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mc:AlternateContent xmlns:mc="http://schemas.openxmlformats.org/markup-compatibility/2006">
    <mc:Choice Requires="x15">
      <x15ac:absPath xmlns:x15ac="http://schemas.microsoft.com/office/spreadsheetml/2010/11/ac" url="C:\Tarifáló 2021\NDK verziók\"/>
    </mc:Choice>
  </mc:AlternateContent>
  <xr:revisionPtr revIDLastSave="0" documentId="13_ncr:1_{FE7E3ADF-4FCE-4148-B66A-DD727F41C057}" xr6:coauthVersionLast="45" xr6:coauthVersionMax="45" xr10:uidLastSave="{00000000-0000-0000-0000-000000000000}"/>
  <bookViews>
    <workbookView xWindow="-120" yWindow="-120" windowWidth="19440" windowHeight="15000" firstSheet="4" activeTab="4" xr2:uid="{00000000-000D-0000-FFFF-FFFF00000000}"/>
  </bookViews>
  <sheets>
    <sheet name="KÖBE" sheetId="9" state="hidden" r:id="rId1"/>
    <sheet name="Signal" sheetId="10" state="hidden" r:id="rId2"/>
    <sheet name="GROUPAMA" sheetId="11" state="hidden" r:id="rId3"/>
    <sheet name="Generali" sheetId="15" state="hidden" r:id="rId4"/>
    <sheet name="NDK" sheetId="1" r:id="rId5"/>
    <sheet name="KÉRDÉSEK" sheetId="3" r:id="rId6"/>
    <sheet name="Díjkínálat" sheetId="5" r:id="rId7"/>
    <sheet name="Infók" sheetId="6" r:id="rId8"/>
    <sheet name="GP területek" sheetId="16" state="hidden" r:id="rId9"/>
    <sheet name="UNION" sheetId="14" state="hidden" r:id="rId10"/>
    <sheet name="Posta" sheetId="13" state="hidden" r:id="rId11"/>
    <sheet name="CIG" sheetId="12" state="hidden" r:id="rId12"/>
    <sheet name="Allianz" sheetId="8" state="hidden" r:id="rId13"/>
    <sheet name="Wáberer" sheetId="7" state="hidden" r:id="rId14"/>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2" i="3" l="1"/>
  <c r="C40" i="3"/>
  <c r="AF12" i="11"/>
  <c r="D31" i="3"/>
  <c r="AA6" i="11"/>
  <c r="D32" i="3"/>
  <c r="AA8" i="11"/>
  <c r="D33" i="3"/>
  <c r="AA11" i="11"/>
  <c r="D30" i="3"/>
  <c r="AA3" i="11"/>
  <c r="AF60" i="11"/>
  <c r="AF58" i="11"/>
  <c r="AF59" i="11"/>
  <c r="T56" i="11"/>
  <c r="AF61" i="11"/>
  <c r="R61" i="11"/>
  <c r="Q61" i="11"/>
  <c r="P61" i="11"/>
  <c r="N61" i="11"/>
  <c r="S60" i="11"/>
  <c r="S59" i="11"/>
  <c r="S58" i="11"/>
  <c r="R58" i="11" s="1"/>
  <c r="Q58" i="11" s="1"/>
  <c r="P58" i="11" s="1"/>
  <c r="N58" i="11" s="1"/>
  <c r="T57" i="11"/>
  <c r="S55" i="11"/>
  <c r="D44" i="3" s="1"/>
  <c r="AX64" i="15"/>
  <c r="AX65" i="15"/>
  <c r="AX63" i="15"/>
  <c r="AV64" i="15"/>
  <c r="AV65" i="15"/>
  <c r="AV63" i="15"/>
  <c r="AT64" i="15"/>
  <c r="AT65" i="15"/>
  <c r="AT63" i="15"/>
  <c r="AX57" i="15"/>
  <c r="AX58" i="15"/>
  <c r="AX56" i="15"/>
  <c r="AV57" i="15"/>
  <c r="AV58" i="15"/>
  <c r="AV56" i="15"/>
  <c r="AT57" i="15"/>
  <c r="AT58" i="15"/>
  <c r="AT56" i="15"/>
  <c r="AR58" i="15"/>
  <c r="AR57" i="15"/>
  <c r="AR56" i="15"/>
  <c r="Z77" i="15"/>
  <c r="Y77" i="15"/>
  <c r="X77" i="15"/>
  <c r="Z74" i="15"/>
  <c r="Y74" i="15"/>
  <c r="X74" i="15"/>
  <c r="Z78" i="15"/>
  <c r="Y78" i="15"/>
  <c r="X78" i="15"/>
  <c r="Z75" i="15"/>
  <c r="Y75" i="15"/>
  <c r="X75" i="15"/>
  <c r="Z9" i="15"/>
  <c r="Y9" i="15"/>
  <c r="X9" i="15"/>
  <c r="Z7" i="15"/>
  <c r="Y7" i="15"/>
  <c r="X7" i="15"/>
  <c r="D272" i="3"/>
  <c r="D427" i="3"/>
  <c r="D426" i="3"/>
  <c r="AU1" i="8"/>
  <c r="F43" i="8"/>
  <c r="D235" i="3"/>
  <c r="D142" i="3"/>
  <c r="A2" i="7"/>
  <c r="CU119" i="1"/>
  <c r="DA4" i="1"/>
  <c r="CP119" i="1"/>
  <c r="CL119" i="1"/>
  <c r="AW13" i="15"/>
  <c r="AT13" i="15"/>
  <c r="D167" i="3"/>
  <c r="M3" i="7"/>
  <c r="B5" i="7"/>
  <c r="C4" i="7"/>
  <c r="B18" i="1"/>
  <c r="AS9" i="15"/>
  <c r="AT9" i="15"/>
  <c r="AS8" i="15"/>
  <c r="AS17" i="15"/>
  <c r="AS7" i="15"/>
  <c r="AT7" i="15"/>
  <c r="AH36" i="15"/>
  <c r="AH35" i="15"/>
  <c r="AH34" i="15"/>
  <c r="AH33" i="15"/>
  <c r="AH32" i="15"/>
  <c r="AH27" i="15"/>
  <c r="AH26" i="15"/>
  <c r="AH25" i="15"/>
  <c r="AH24" i="15"/>
  <c r="AH21" i="15"/>
  <c r="AH20" i="15"/>
  <c r="AH19" i="15"/>
  <c r="AH18" i="15"/>
  <c r="AH16" i="15"/>
  <c r="AH15" i="15"/>
  <c r="AH14" i="15"/>
  <c r="AH13" i="15"/>
  <c r="AH11" i="15"/>
  <c r="AH10" i="15"/>
  <c r="AH8" i="15"/>
  <c r="AH6" i="15"/>
  <c r="AH5" i="15"/>
  <c r="AH4" i="15"/>
  <c r="AG36" i="15"/>
  <c r="AG35" i="15"/>
  <c r="AG34" i="15"/>
  <c r="AG33" i="15"/>
  <c r="AG32" i="15"/>
  <c r="AG27" i="15"/>
  <c r="AG26" i="15"/>
  <c r="AG25" i="15"/>
  <c r="AG24" i="15"/>
  <c r="AG21" i="15"/>
  <c r="AG20" i="15"/>
  <c r="AG19" i="15"/>
  <c r="AG18" i="15"/>
  <c r="AG16" i="15"/>
  <c r="AG15" i="15"/>
  <c r="AG14" i="15"/>
  <c r="AG13" i="15"/>
  <c r="AG11" i="15"/>
  <c r="AG10" i="15"/>
  <c r="AG8" i="15"/>
  <c r="AM77" i="15"/>
  <c r="AM78" i="15"/>
  <c r="AM9" i="15"/>
  <c r="AG6" i="15"/>
  <c r="AG74" i="15"/>
  <c r="AG75" i="15"/>
  <c r="AG7" i="15"/>
  <c r="AG5" i="15"/>
  <c r="AG4" i="15"/>
  <c r="AF36" i="15"/>
  <c r="AF35" i="15"/>
  <c r="AF34" i="15"/>
  <c r="AF33" i="15"/>
  <c r="AF32" i="15"/>
  <c r="AF27" i="15"/>
  <c r="AF26" i="15"/>
  <c r="AF25" i="15"/>
  <c r="AF24" i="15"/>
  <c r="AF21" i="15"/>
  <c r="AF20" i="15"/>
  <c r="AF19" i="15"/>
  <c r="AF18" i="15"/>
  <c r="AF16" i="15"/>
  <c r="AF15" i="15"/>
  <c r="AF14" i="15"/>
  <c r="AF13" i="15"/>
  <c r="AF11" i="15"/>
  <c r="AF10" i="15"/>
  <c r="AF8" i="15"/>
  <c r="AF6" i="15"/>
  <c r="AF5" i="15"/>
  <c r="AF4" i="15"/>
  <c r="AE36" i="15"/>
  <c r="AE35" i="15"/>
  <c r="AE34" i="15"/>
  <c r="AE33" i="15"/>
  <c r="AE32" i="15"/>
  <c r="AE27" i="15"/>
  <c r="AE26" i="15"/>
  <c r="AE25" i="15"/>
  <c r="AE24" i="15"/>
  <c r="AE21" i="15"/>
  <c r="AE20" i="15"/>
  <c r="AE19" i="15"/>
  <c r="AE18" i="15"/>
  <c r="AE16" i="15"/>
  <c r="AE15" i="15"/>
  <c r="AE14" i="15"/>
  <c r="AE13" i="15"/>
  <c r="AE11" i="15"/>
  <c r="AE10" i="15"/>
  <c r="AE8" i="15"/>
  <c r="AE6" i="15"/>
  <c r="AE5" i="15"/>
  <c r="AE4" i="15"/>
  <c r="AH74" i="15"/>
  <c r="AE74" i="15"/>
  <c r="AI77" i="15"/>
  <c r="AI74" i="15"/>
  <c r="W77" i="15"/>
  <c r="V77" i="15"/>
  <c r="U77" i="15"/>
  <c r="T77" i="15"/>
  <c r="S77" i="15"/>
  <c r="R77" i="15"/>
  <c r="Q77" i="15"/>
  <c r="P77" i="15"/>
  <c r="O77" i="15"/>
  <c r="N77" i="15"/>
  <c r="M77" i="15"/>
  <c r="M78" i="15"/>
  <c r="M9" i="15"/>
  <c r="L77" i="15"/>
  <c r="K77" i="15"/>
  <c r="J77" i="15"/>
  <c r="I77" i="15"/>
  <c r="H77" i="15"/>
  <c r="F77" i="15"/>
  <c r="E77" i="15"/>
  <c r="D77" i="15"/>
  <c r="W74" i="15"/>
  <c r="V74" i="15"/>
  <c r="U74" i="15"/>
  <c r="T74" i="15"/>
  <c r="S74" i="15"/>
  <c r="R74" i="15"/>
  <c r="Q74" i="15"/>
  <c r="P74" i="15"/>
  <c r="O74" i="15"/>
  <c r="N74" i="15"/>
  <c r="M74" i="15"/>
  <c r="L74" i="15"/>
  <c r="K74" i="15"/>
  <c r="J74" i="15"/>
  <c r="I74" i="15"/>
  <c r="H74" i="15"/>
  <c r="H75" i="15"/>
  <c r="H7" i="15"/>
  <c r="G74" i="15"/>
  <c r="F74" i="15"/>
  <c r="E74" i="15"/>
  <c r="D74" i="15"/>
  <c r="W46" i="14"/>
  <c r="W57" i="14"/>
  <c r="W34" i="14"/>
  <c r="K31" i="7"/>
  <c r="AL26" i="7"/>
  <c r="AL24" i="7"/>
  <c r="AL23" i="7"/>
  <c r="AL22" i="7"/>
  <c r="AL21" i="7"/>
  <c r="AL20" i="7"/>
  <c r="AN17" i="7"/>
  <c r="AK19" i="7"/>
  <c r="AM26" i="7"/>
  <c r="K30" i="7"/>
  <c r="U48" i="1"/>
  <c r="C48" i="1"/>
  <c r="U49" i="1"/>
  <c r="U47" i="1"/>
  <c r="C47" i="1"/>
  <c r="U46" i="1"/>
  <c r="C46" i="1"/>
  <c r="U45" i="1"/>
  <c r="C45" i="1"/>
  <c r="U44" i="1"/>
  <c r="C44" i="1"/>
  <c r="U43" i="1"/>
  <c r="C43" i="1"/>
  <c r="AN6" i="7"/>
  <c r="AN16" i="7"/>
  <c r="AM25" i="7"/>
  <c r="AN15" i="7"/>
  <c r="AM24" i="7"/>
  <c r="AN24" i="7"/>
  <c r="K26" i="7"/>
  <c r="AN14" i="7"/>
  <c r="AM23" i="7"/>
  <c r="AN13" i="7"/>
  <c r="AM22" i="7"/>
  <c r="AN22" i="7"/>
  <c r="K23" i="7"/>
  <c r="AN12" i="7"/>
  <c r="AM21" i="7"/>
  <c r="AN11" i="7"/>
  <c r="AM20" i="7"/>
  <c r="AN20" i="7"/>
  <c r="K17" i="7"/>
  <c r="BK58" i="7"/>
  <c r="BL39" i="7"/>
  <c r="M58" i="7"/>
  <c r="L58" i="7"/>
  <c r="K58" i="7"/>
  <c r="BF1" i="7"/>
  <c r="AJ36" i="15"/>
  <c r="AJ35" i="15"/>
  <c r="AJ34" i="15"/>
  <c r="AJ33" i="15"/>
  <c r="AJ32" i="15"/>
  <c r="AJ27" i="15"/>
  <c r="AJ26" i="15"/>
  <c r="AJ25" i="15"/>
  <c r="AJ24" i="15"/>
  <c r="AJ21" i="15"/>
  <c r="AJ20" i="15"/>
  <c r="AJ19" i="15"/>
  <c r="AJ18" i="15"/>
  <c r="AJ16" i="15"/>
  <c r="AJ15" i="15"/>
  <c r="AJ14" i="15"/>
  <c r="AJ13" i="15"/>
  <c r="AJ11" i="15"/>
  <c r="AJ10" i="15"/>
  <c r="AJ8" i="15"/>
  <c r="AJ6" i="15"/>
  <c r="AJ5" i="15"/>
  <c r="AJ4" i="15"/>
  <c r="AI36" i="15"/>
  <c r="AI35" i="15"/>
  <c r="AI34" i="15"/>
  <c r="AI33" i="15"/>
  <c r="AI32" i="15"/>
  <c r="AI27" i="15"/>
  <c r="AI26" i="15"/>
  <c r="AI25" i="15"/>
  <c r="AI24" i="15"/>
  <c r="AI21" i="15"/>
  <c r="AI20" i="15"/>
  <c r="AI19" i="15"/>
  <c r="AI18" i="15"/>
  <c r="AI16" i="15"/>
  <c r="AI15" i="15"/>
  <c r="AI14" i="15"/>
  <c r="AI13" i="15"/>
  <c r="AI11" i="15"/>
  <c r="AI10" i="15"/>
  <c r="AI8" i="15"/>
  <c r="AI6" i="15"/>
  <c r="AI5" i="15"/>
  <c r="AI4" i="15"/>
  <c r="AL77" i="15"/>
  <c r="AL78" i="15"/>
  <c r="AL9" i="15"/>
  <c r="AL74" i="15"/>
  <c r="AL75" i="15"/>
  <c r="AL7" i="15"/>
  <c r="AK77" i="15"/>
  <c r="AK78" i="15"/>
  <c r="AK9" i="15"/>
  <c r="AK74" i="15"/>
  <c r="AK75" i="15"/>
  <c r="AK7" i="15"/>
  <c r="AD36" i="15"/>
  <c r="AD35" i="15"/>
  <c r="AD34" i="15"/>
  <c r="AD33" i="15"/>
  <c r="AD32" i="15"/>
  <c r="AD27" i="15"/>
  <c r="AD26" i="15"/>
  <c r="AD25" i="15"/>
  <c r="AD24" i="15"/>
  <c r="AD21" i="15"/>
  <c r="AD20" i="15"/>
  <c r="AD19" i="15"/>
  <c r="AD18" i="15"/>
  <c r="AD16" i="15"/>
  <c r="AD15" i="15"/>
  <c r="AD14" i="15"/>
  <c r="AD13" i="15"/>
  <c r="AD11" i="15"/>
  <c r="AD10" i="15"/>
  <c r="AD8" i="15"/>
  <c r="AJ77" i="15"/>
  <c r="AJ78" i="15"/>
  <c r="AD6" i="15"/>
  <c r="AD5" i="15"/>
  <c r="AD4" i="15"/>
  <c r="EG71" i="1"/>
  <c r="EI70" i="1"/>
  <c r="AE143" i="8"/>
  <c r="AE137" i="8"/>
  <c r="AE136" i="8"/>
  <c r="AE135" i="8"/>
  <c r="AE134" i="8"/>
  <c r="AE132" i="8"/>
  <c r="AE124" i="8"/>
  <c r="AE123" i="8"/>
  <c r="AE122" i="8"/>
  <c r="AE121" i="8"/>
  <c r="AE120" i="8"/>
  <c r="AE117" i="8"/>
  <c r="AE116" i="8"/>
  <c r="AE114" i="8"/>
  <c r="AE113" i="8"/>
  <c r="AE112" i="8"/>
  <c r="AE108" i="8"/>
  <c r="AE106" i="8"/>
  <c r="AE105" i="8"/>
  <c r="AS1" i="8"/>
  <c r="D7" i="3"/>
  <c r="C9" i="3"/>
  <c r="W55" i="14"/>
  <c r="DI47" i="1"/>
  <c r="W54" i="14"/>
  <c r="DI46" i="1"/>
  <c r="W53" i="14"/>
  <c r="DI45" i="1"/>
  <c r="W52" i="14"/>
  <c r="DI44" i="1"/>
  <c r="W51" i="14"/>
  <c r="DI43" i="1"/>
  <c r="W50" i="14"/>
  <c r="DI42" i="1"/>
  <c r="W49" i="14"/>
  <c r="DI41" i="1"/>
  <c r="W48" i="14"/>
  <c r="DI40" i="1"/>
  <c r="W45" i="14"/>
  <c r="DI37" i="1"/>
  <c r="W42" i="14"/>
  <c r="DI36" i="1"/>
  <c r="W41" i="14"/>
  <c r="DI35" i="1"/>
  <c r="W40" i="14"/>
  <c r="DI34" i="1"/>
  <c r="W39" i="14"/>
  <c r="DI33" i="1"/>
  <c r="W38" i="14"/>
  <c r="DI32" i="1"/>
  <c r="W37" i="14"/>
  <c r="DI31" i="1"/>
  <c r="W35" i="14"/>
  <c r="DI29" i="1"/>
  <c r="DI28" i="1"/>
  <c r="W33" i="14"/>
  <c r="W32" i="14"/>
  <c r="DI26" i="1"/>
  <c r="W30" i="14"/>
  <c r="DI24" i="1"/>
  <c r="W28" i="14"/>
  <c r="DI22" i="1"/>
  <c r="W27" i="14"/>
  <c r="DI21" i="1"/>
  <c r="W24" i="14"/>
  <c r="DI18" i="1"/>
  <c r="W18" i="14"/>
  <c r="DI16" i="1"/>
  <c r="W15" i="14"/>
  <c r="DI13" i="1"/>
  <c r="W12" i="14"/>
  <c r="DI10" i="1"/>
  <c r="W5" i="14"/>
  <c r="DI7" i="1"/>
  <c r="W4" i="14"/>
  <c r="DI6" i="1"/>
  <c r="W2" i="14"/>
  <c r="DI4" i="1"/>
  <c r="F56" i="8"/>
  <c r="F55" i="8"/>
  <c r="D244" i="3" s="1"/>
  <c r="F52" i="8"/>
  <c r="D234" i="3"/>
  <c r="AN9" i="15"/>
  <c r="AN7" i="15"/>
  <c r="BJ51" i="15"/>
  <c r="D271" i="3"/>
  <c r="BK40" i="15"/>
  <c r="EO47" i="1"/>
  <c r="EO46" i="1"/>
  <c r="EO45" i="1"/>
  <c r="EO44" i="1"/>
  <c r="EO43" i="1"/>
  <c r="EO42" i="1"/>
  <c r="EO41" i="1"/>
  <c r="EO40" i="1"/>
  <c r="EO37" i="1"/>
  <c r="EO36" i="1"/>
  <c r="EO35" i="1"/>
  <c r="EO34" i="1"/>
  <c r="EO33" i="1"/>
  <c r="EO32" i="1"/>
  <c r="EO31" i="1"/>
  <c r="EO29" i="1"/>
  <c r="EO27" i="1"/>
  <c r="EO26" i="1"/>
  <c r="B1" i="16"/>
  <c r="Q21" i="1"/>
  <c r="M55" i="7"/>
  <c r="Q17" i="1"/>
  <c r="C21" i="1"/>
  <c r="Q16" i="1"/>
  <c r="Q15" i="1"/>
  <c r="Q36" i="1"/>
  <c r="BK8" i="7"/>
  <c r="C177" i="3"/>
  <c r="O4" i="7"/>
  <c r="D152" i="3"/>
  <c r="C438" i="3"/>
  <c r="C439" i="3"/>
  <c r="AG67" i="1"/>
  <c r="U6" i="8"/>
  <c r="U2" i="8"/>
  <c r="C251" i="3"/>
  <c r="AH1" i="8"/>
  <c r="Q78" i="15"/>
  <c r="Q9" i="15"/>
  <c r="R78" i="15"/>
  <c r="R9" i="15"/>
  <c r="S78" i="15"/>
  <c r="S9" i="15"/>
  <c r="T78" i="15"/>
  <c r="T9" i="15"/>
  <c r="U78" i="15"/>
  <c r="U9" i="15"/>
  <c r="V78" i="15"/>
  <c r="V9" i="15"/>
  <c r="W78" i="15"/>
  <c r="W9" i="15"/>
  <c r="AD78" i="15"/>
  <c r="AD9" i="15"/>
  <c r="AE78" i="15"/>
  <c r="AE9" i="15"/>
  <c r="AF78" i="15"/>
  <c r="AF9" i="15"/>
  <c r="AG78" i="15"/>
  <c r="AG9" i="15"/>
  <c r="AH78" i="15"/>
  <c r="AH9" i="15"/>
  <c r="AI78" i="15"/>
  <c r="AI9" i="15"/>
  <c r="AJ9" i="15"/>
  <c r="Q75" i="15"/>
  <c r="Q7" i="15"/>
  <c r="R75" i="15"/>
  <c r="R7" i="15"/>
  <c r="S75" i="15"/>
  <c r="S7" i="15"/>
  <c r="T75" i="15"/>
  <c r="T7" i="15"/>
  <c r="U75" i="15"/>
  <c r="U7" i="15"/>
  <c r="V75" i="15"/>
  <c r="V7" i="15"/>
  <c r="W75" i="15"/>
  <c r="W7" i="15"/>
  <c r="AE75" i="15"/>
  <c r="AE7" i="15"/>
  <c r="AF75" i="15"/>
  <c r="AF7" i="15"/>
  <c r="AH75" i="15"/>
  <c r="AH7" i="15"/>
  <c r="AI75" i="15"/>
  <c r="AI7" i="15"/>
  <c r="BI28" i="15"/>
  <c r="BI12" i="15"/>
  <c r="AU2" i="1"/>
  <c r="AT2" i="1"/>
  <c r="AS2" i="1"/>
  <c r="AR2" i="1"/>
  <c r="AQ2" i="1"/>
  <c r="AP2" i="1"/>
  <c r="AO2" i="1"/>
  <c r="AN2" i="1"/>
  <c r="AM2" i="1"/>
  <c r="AL2" i="1"/>
  <c r="AK2" i="1"/>
  <c r="AJ2" i="1"/>
  <c r="AF2" i="1"/>
  <c r="C148" i="3"/>
  <c r="D166" i="3"/>
  <c r="AA1" i="7"/>
  <c r="D393" i="3"/>
  <c r="D388" i="3"/>
  <c r="D394" i="3"/>
  <c r="D392" i="3"/>
  <c r="C264" i="3"/>
  <c r="H43" i="15"/>
  <c r="H42" i="15"/>
  <c r="B261" i="3"/>
  <c r="C298" i="3"/>
  <c r="D279" i="3"/>
  <c r="BK41" i="15"/>
  <c r="BG41" i="15"/>
  <c r="D91" i="15"/>
  <c r="Q94" i="15"/>
  <c r="Q31" i="15"/>
  <c r="D90" i="15"/>
  <c r="D89" i="15"/>
  <c r="R92" i="15"/>
  <c r="R29" i="15"/>
  <c r="E78" i="15"/>
  <c r="E9" i="15"/>
  <c r="F78" i="15"/>
  <c r="F9" i="15"/>
  <c r="G78" i="15"/>
  <c r="G9" i="15"/>
  <c r="H78" i="15"/>
  <c r="H9" i="15"/>
  <c r="I78" i="15"/>
  <c r="I9" i="15"/>
  <c r="J78" i="15"/>
  <c r="J9" i="15"/>
  <c r="K78" i="15"/>
  <c r="K9" i="15"/>
  <c r="L78" i="15"/>
  <c r="L9" i="15"/>
  <c r="N78" i="15"/>
  <c r="N9" i="15"/>
  <c r="O78" i="15"/>
  <c r="O9" i="15"/>
  <c r="P78" i="15"/>
  <c r="P9" i="15"/>
  <c r="D78" i="15"/>
  <c r="D9" i="15"/>
  <c r="P75" i="15"/>
  <c r="P7" i="15"/>
  <c r="O75" i="15"/>
  <c r="O7" i="15"/>
  <c r="N75" i="15"/>
  <c r="N7" i="15"/>
  <c r="M75" i="15"/>
  <c r="M7" i="15"/>
  <c r="L75" i="15"/>
  <c r="L7" i="15"/>
  <c r="K75" i="15"/>
  <c r="K7" i="15"/>
  <c r="J75" i="15"/>
  <c r="J7" i="15"/>
  <c r="I75" i="15"/>
  <c r="I7" i="15"/>
  <c r="G75" i="15"/>
  <c r="G7" i="15"/>
  <c r="F75" i="15"/>
  <c r="F7" i="15"/>
  <c r="E75" i="15"/>
  <c r="E7" i="15"/>
  <c r="D75" i="15"/>
  <c r="D7" i="15"/>
  <c r="AU2" i="11"/>
  <c r="R73" i="11"/>
  <c r="AF69" i="11"/>
  <c r="R72" i="11"/>
  <c r="R81" i="11"/>
  <c r="AG77" i="11"/>
  <c r="AW27" i="11"/>
  <c r="R71" i="11"/>
  <c r="AG67" i="11"/>
  <c r="AO26" i="11"/>
  <c r="W11" i="8"/>
  <c r="W24" i="8"/>
  <c r="W76" i="8"/>
  <c r="C111" i="3"/>
  <c r="B56" i="14"/>
  <c r="F52" i="14"/>
  <c r="F1" i="14"/>
  <c r="B44" i="14"/>
  <c r="C97" i="3"/>
  <c r="CN157" i="1"/>
  <c r="B4" i="1"/>
  <c r="B6" i="1"/>
  <c r="B7" i="1"/>
  <c r="B10" i="1"/>
  <c r="D8" i="12" s="1"/>
  <c r="E8" i="12" s="1"/>
  <c r="B13" i="1"/>
  <c r="BH10" i="15" s="1"/>
  <c r="B16" i="1"/>
  <c r="X18" i="14" s="1"/>
  <c r="B21" i="1"/>
  <c r="D19" i="12"/>
  <c r="B24" i="1"/>
  <c r="X30" i="14"/>
  <c r="BH26" i="15"/>
  <c r="BI26" i="15"/>
  <c r="B44" i="1"/>
  <c r="X52" i="14"/>
  <c r="B45" i="1"/>
  <c r="B46" i="1"/>
  <c r="D53" i="5"/>
  <c r="B47" i="1"/>
  <c r="B34" i="1"/>
  <c r="C31" i="13"/>
  <c r="D31" i="13"/>
  <c r="B35" i="1"/>
  <c r="B36" i="1"/>
  <c r="CN40" i="1"/>
  <c r="B37" i="1"/>
  <c r="B31" i="1"/>
  <c r="C28" i="13"/>
  <c r="D28" i="13"/>
  <c r="B32" i="1"/>
  <c r="X38" i="14"/>
  <c r="B33" i="1"/>
  <c r="X39" i="14"/>
  <c r="K29" i="8"/>
  <c r="K127" i="8"/>
  <c r="AG127" i="8"/>
  <c r="B49" i="1"/>
  <c r="B26" i="1"/>
  <c r="B27" i="1"/>
  <c r="B29" i="1"/>
  <c r="AI76" i="8"/>
  <c r="B42" i="1"/>
  <c r="B43" i="1"/>
  <c r="B40" i="1"/>
  <c r="X48" i="14"/>
  <c r="B41" i="1"/>
  <c r="X49" i="14"/>
  <c r="E91" i="3"/>
  <c r="CL141" i="1"/>
  <c r="C98" i="3"/>
  <c r="I89" i="3"/>
  <c r="B76" i="1"/>
  <c r="AG92" i="1"/>
  <c r="DA60" i="1"/>
  <c r="DA62" i="1"/>
  <c r="CL37" i="1"/>
  <c r="AZ34" i="1"/>
  <c r="D83" i="3"/>
  <c r="AJ51" i="1"/>
  <c r="AJ76" i="1" s="1"/>
  <c r="B74" i="1"/>
  <c r="B17" i="1"/>
  <c r="B25" i="1"/>
  <c r="B30" i="1"/>
  <c r="B39" i="1"/>
  <c r="B48" i="1"/>
  <c r="K44" i="8"/>
  <c r="AM437" i="1"/>
  <c r="AM433" i="1"/>
  <c r="AM435" i="1" s="1"/>
  <c r="AM438" i="1" s="1"/>
  <c r="AI26" i="1" s="1"/>
  <c r="I115" i="3"/>
  <c r="F25" i="14" s="1"/>
  <c r="F26" i="14" s="1"/>
  <c r="J102" i="3"/>
  <c r="K15" i="14"/>
  <c r="C126" i="3"/>
  <c r="F14" i="14"/>
  <c r="B62" i="14"/>
  <c r="B47" i="14"/>
  <c r="E74" i="14"/>
  <c r="B75" i="14"/>
  <c r="C75" i="14"/>
  <c r="E75" i="14"/>
  <c r="B76" i="14"/>
  <c r="C76" i="14"/>
  <c r="E76" i="14"/>
  <c r="B5" i="1"/>
  <c r="B8" i="1"/>
  <c r="B9" i="1"/>
  <c r="B11" i="1"/>
  <c r="BH9" i="15" s="1"/>
  <c r="BI9" i="15" s="1"/>
  <c r="B12" i="1"/>
  <c r="B14" i="1"/>
  <c r="B15" i="1"/>
  <c r="B19" i="1"/>
  <c r="D17" i="12"/>
  <c r="E17" i="12"/>
  <c r="B20" i="1"/>
  <c r="D18" i="12"/>
  <c r="E18" i="12"/>
  <c r="B22" i="1"/>
  <c r="B23" i="1"/>
  <c r="B28" i="1"/>
  <c r="B38" i="1"/>
  <c r="D45" i="5"/>
  <c r="I127" i="3"/>
  <c r="D117" i="3" s="1"/>
  <c r="C131" i="3"/>
  <c r="BA19" i="1"/>
  <c r="BA20" i="1"/>
  <c r="AC29" i="1"/>
  <c r="AC49" i="1"/>
  <c r="J151" i="3"/>
  <c r="D148" i="3"/>
  <c r="AC18" i="1"/>
  <c r="G1" i="12"/>
  <c r="AD2" i="1"/>
  <c r="G349" i="3"/>
  <c r="G350" i="3"/>
  <c r="D347" i="3"/>
  <c r="C358" i="3"/>
  <c r="AN51" i="1"/>
  <c r="G102" i="3"/>
  <c r="N2" i="7"/>
  <c r="L200" i="3"/>
  <c r="L201" i="3"/>
  <c r="J218" i="3"/>
  <c r="E194" i="3"/>
  <c r="D195" i="3"/>
  <c r="D151" i="3"/>
  <c r="L20" i="7"/>
  <c r="BZ20" i="7"/>
  <c r="L23" i="7"/>
  <c r="BZ23" i="7"/>
  <c r="L30" i="7"/>
  <c r="BZ30" i="7"/>
  <c r="L31" i="7"/>
  <c r="BZ31" i="7"/>
  <c r="K32" i="7"/>
  <c r="BU32" i="7"/>
  <c r="K33" i="7"/>
  <c r="BU33" i="7"/>
  <c r="K34" i="7"/>
  <c r="BU34" i="7"/>
  <c r="K35" i="7"/>
  <c r="BU35" i="7"/>
  <c r="K36" i="7"/>
  <c r="BU36" i="7"/>
  <c r="K39" i="7"/>
  <c r="BU39" i="7"/>
  <c r="K40" i="7"/>
  <c r="BU40" i="7"/>
  <c r="K41" i="7"/>
  <c r="BU41" i="7"/>
  <c r="K42" i="7"/>
  <c r="BU42" i="7"/>
  <c r="K43" i="7"/>
  <c r="BU43" i="7"/>
  <c r="L43" i="7"/>
  <c r="BZ43" i="7"/>
  <c r="K44" i="7"/>
  <c r="L44" i="7"/>
  <c r="BZ44" i="7"/>
  <c r="K45" i="7"/>
  <c r="BU45" i="7"/>
  <c r="L45" i="7"/>
  <c r="BZ45" i="7"/>
  <c r="K46" i="7"/>
  <c r="BU46" i="7"/>
  <c r="L46" i="7"/>
  <c r="BZ46" i="7"/>
  <c r="K48" i="7"/>
  <c r="BU48" i="7"/>
  <c r="L17" i="7"/>
  <c r="BZ18" i="7"/>
  <c r="BB1" i="7"/>
  <c r="BM30" i="7"/>
  <c r="AZ1" i="7"/>
  <c r="BJ6" i="7"/>
  <c r="BK9" i="7"/>
  <c r="BK6" i="7"/>
  <c r="BL6" i="7"/>
  <c r="AU1" i="7"/>
  <c r="Q32" i="1"/>
  <c r="AL25" i="7"/>
  <c r="AN25" i="7"/>
  <c r="BL5" i="7"/>
  <c r="Q34" i="1"/>
  <c r="C34" i="1"/>
  <c r="Q33" i="1"/>
  <c r="C33" i="1"/>
  <c r="N12" i="7"/>
  <c r="O13" i="7"/>
  <c r="P13" i="7"/>
  <c r="N13" i="7" s="1"/>
  <c r="O14" i="7"/>
  <c r="P14" i="7"/>
  <c r="C1" i="7"/>
  <c r="C3" i="7"/>
  <c r="S3" i="7"/>
  <c r="AC4" i="1"/>
  <c r="W3" i="7"/>
  <c r="AZ3" i="7"/>
  <c r="S5" i="7"/>
  <c r="AR5" i="7"/>
  <c r="W5" i="7"/>
  <c r="AZ5" i="7"/>
  <c r="S6" i="7"/>
  <c r="AR6" i="7"/>
  <c r="W6" i="7"/>
  <c r="AZ6" i="7"/>
  <c r="S9" i="7"/>
  <c r="W9" i="7"/>
  <c r="AZ9" i="7"/>
  <c r="S12" i="7"/>
  <c r="W12" i="7"/>
  <c r="AZ12" i="7"/>
  <c r="S15" i="7"/>
  <c r="AR15" i="7"/>
  <c r="W15" i="7"/>
  <c r="AZ15" i="7"/>
  <c r="J70" i="7"/>
  <c r="C28" i="7"/>
  <c r="H70" i="7"/>
  <c r="A28" i="7"/>
  <c r="I70" i="7"/>
  <c r="B28" i="7"/>
  <c r="AC479" i="1"/>
  <c r="D294" i="3"/>
  <c r="D269" i="3"/>
  <c r="D287" i="3"/>
  <c r="C301" i="3"/>
  <c r="B51" i="15"/>
  <c r="B50" i="15" s="1"/>
  <c r="D277" i="3"/>
  <c r="BK42" i="15"/>
  <c r="D278" i="3"/>
  <c r="BK43" i="15"/>
  <c r="EF57" i="1"/>
  <c r="EF61" i="1"/>
  <c r="EG57" i="1"/>
  <c r="EG61" i="1"/>
  <c r="EH57" i="1"/>
  <c r="EH61" i="1"/>
  <c r="EI57" i="1"/>
  <c r="EI61" i="1"/>
  <c r="EJ57" i="1"/>
  <c r="EJ61" i="1"/>
  <c r="EK57" i="1"/>
  <c r="EK61" i="1"/>
  <c r="EM57" i="1"/>
  <c r="EM61" i="1"/>
  <c r="EE57" i="1"/>
  <c r="EE61" i="1"/>
  <c r="EF51" i="1"/>
  <c r="EF55" i="1"/>
  <c r="EG51" i="1"/>
  <c r="EG55" i="1"/>
  <c r="EH51" i="1"/>
  <c r="EH55" i="1"/>
  <c r="EI51" i="1"/>
  <c r="EI55" i="1"/>
  <c r="EJ51" i="1"/>
  <c r="EJ55" i="1"/>
  <c r="EK51" i="1"/>
  <c r="EK55" i="1"/>
  <c r="EM51" i="1"/>
  <c r="EM55" i="1"/>
  <c r="EE51" i="1"/>
  <c r="EE55" i="1"/>
  <c r="C296" i="3"/>
  <c r="S48" i="8"/>
  <c r="X50" i="1"/>
  <c r="C299" i="3" s="1"/>
  <c r="H234" i="3"/>
  <c r="J236" i="3"/>
  <c r="G245" i="3"/>
  <c r="G249" i="3"/>
  <c r="T1" i="8"/>
  <c r="D4" i="8"/>
  <c r="V52" i="1" s="1"/>
  <c r="J1" i="8"/>
  <c r="D50" i="8" s="1"/>
  <c r="D245" i="3"/>
  <c r="S49" i="8"/>
  <c r="S50" i="8"/>
  <c r="V4" i="1"/>
  <c r="K37" i="8"/>
  <c r="K135" i="8"/>
  <c r="O101" i="8"/>
  <c r="O103" i="8"/>
  <c r="O104" i="8"/>
  <c r="O107" i="8"/>
  <c r="O109" i="8"/>
  <c r="O110" i="8"/>
  <c r="O111" i="8"/>
  <c r="O115" i="8"/>
  <c r="O118" i="8"/>
  <c r="O119" i="8"/>
  <c r="O125" i="8"/>
  <c r="O126" i="8"/>
  <c r="O127" i="8"/>
  <c r="O128" i="8"/>
  <c r="O129" i="8"/>
  <c r="O130" i="8"/>
  <c r="O131" i="8"/>
  <c r="O133" i="8"/>
  <c r="O138" i="8"/>
  <c r="O139" i="8"/>
  <c r="O140" i="8"/>
  <c r="O141" i="8"/>
  <c r="O142" i="8"/>
  <c r="O144" i="8"/>
  <c r="O145" i="8"/>
  <c r="O146" i="8"/>
  <c r="O147" i="8"/>
  <c r="X101" i="8"/>
  <c r="X103" i="8"/>
  <c r="X104" i="8"/>
  <c r="X107" i="8"/>
  <c r="X109" i="8"/>
  <c r="X110" i="8"/>
  <c r="X111" i="8"/>
  <c r="X115" i="8"/>
  <c r="X118" i="8"/>
  <c r="X119" i="8"/>
  <c r="X125" i="8"/>
  <c r="X126" i="8"/>
  <c r="X127" i="8"/>
  <c r="X128" i="8"/>
  <c r="X129" i="8"/>
  <c r="X130" i="8"/>
  <c r="X131" i="8"/>
  <c r="X133" i="8"/>
  <c r="X138" i="8"/>
  <c r="X139" i="8"/>
  <c r="X140" i="8"/>
  <c r="X141" i="8"/>
  <c r="X142" i="8"/>
  <c r="X144" i="8"/>
  <c r="X145" i="8"/>
  <c r="X146" i="8"/>
  <c r="X147" i="8"/>
  <c r="K144" i="8"/>
  <c r="AG144" i="8"/>
  <c r="K145" i="8"/>
  <c r="K146" i="8"/>
  <c r="AG146" i="8"/>
  <c r="Z18" i="1"/>
  <c r="Y18" i="1"/>
  <c r="L102" i="8"/>
  <c r="L105" i="8"/>
  <c r="L106" i="8"/>
  <c r="L108" i="8"/>
  <c r="L113" i="8"/>
  <c r="L114" i="8"/>
  <c r="L116" i="8"/>
  <c r="L117" i="8"/>
  <c r="L122" i="8"/>
  <c r="L132" i="8"/>
  <c r="K102" i="8"/>
  <c r="K105" i="8"/>
  <c r="K106" i="8"/>
  <c r="K108" i="8"/>
  <c r="K113" i="8"/>
  <c r="K114" i="8"/>
  <c r="K116" i="8"/>
  <c r="K117" i="8"/>
  <c r="K122" i="8"/>
  <c r="K132" i="8"/>
  <c r="J4" i="8"/>
  <c r="J102" i="8"/>
  <c r="J7" i="8"/>
  <c r="J105" i="8"/>
  <c r="J8" i="8"/>
  <c r="J106" i="8"/>
  <c r="J10" i="8"/>
  <c r="J108" i="8"/>
  <c r="J15" i="8"/>
  <c r="J113" i="8"/>
  <c r="J16" i="8"/>
  <c r="J114" i="8"/>
  <c r="J18" i="8"/>
  <c r="J116" i="8"/>
  <c r="J19" i="8"/>
  <c r="J117" i="8"/>
  <c r="J245" i="3"/>
  <c r="J249" i="3"/>
  <c r="AH49" i="8"/>
  <c r="B233" i="3"/>
  <c r="I240" i="3"/>
  <c r="J240" i="3"/>
  <c r="I238" i="3"/>
  <c r="J238" i="3"/>
  <c r="I239" i="3"/>
  <c r="J239" i="3"/>
  <c r="I241" i="3"/>
  <c r="J241" i="3"/>
  <c r="D232" i="3"/>
  <c r="AF87" i="1"/>
  <c r="D27" i="3"/>
  <c r="AR3" i="7"/>
  <c r="M105" i="9"/>
  <c r="M106" i="9"/>
  <c r="D385" i="3"/>
  <c r="D386" i="3"/>
  <c r="D387" i="3"/>
  <c r="D389" i="3"/>
  <c r="AU1" i="9"/>
  <c r="G19" i="9"/>
  <c r="F131" i="9"/>
  <c r="L19" i="9"/>
  <c r="R19" i="9"/>
  <c r="W19" i="9"/>
  <c r="AB19" i="9"/>
  <c r="AC19" i="9"/>
  <c r="X131" i="9"/>
  <c r="AH19" i="9"/>
  <c r="AL19" i="9"/>
  <c r="AP19" i="9"/>
  <c r="AU19" i="9"/>
  <c r="B3" i="9"/>
  <c r="C3" i="9"/>
  <c r="D131" i="9"/>
  <c r="D3" i="9"/>
  <c r="E3" i="9"/>
  <c r="F3" i="9"/>
  <c r="G3" i="9"/>
  <c r="B4" i="9"/>
  <c r="C4" i="9"/>
  <c r="D4" i="9"/>
  <c r="E4" i="9"/>
  <c r="F4" i="9"/>
  <c r="G4" i="9"/>
  <c r="B5" i="9"/>
  <c r="C5" i="9"/>
  <c r="D5" i="9"/>
  <c r="E5" i="9"/>
  <c r="F5" i="9"/>
  <c r="G5" i="9"/>
  <c r="B7" i="9"/>
  <c r="C7" i="9"/>
  <c r="D7" i="9"/>
  <c r="E7" i="9"/>
  <c r="F7" i="9"/>
  <c r="G7" i="9"/>
  <c r="B6" i="9"/>
  <c r="B8" i="9"/>
  <c r="C6" i="9"/>
  <c r="D6" i="9"/>
  <c r="E6" i="9"/>
  <c r="F6" i="9"/>
  <c r="G6" i="9"/>
  <c r="G8" i="9"/>
  <c r="B10" i="9"/>
  <c r="C10" i="9"/>
  <c r="D10" i="9"/>
  <c r="E10" i="9"/>
  <c r="F10" i="9"/>
  <c r="G10" i="9"/>
  <c r="B11" i="9"/>
  <c r="C11" i="9"/>
  <c r="D11" i="9"/>
  <c r="E11" i="9"/>
  <c r="F11" i="9"/>
  <c r="G11" i="9"/>
  <c r="B9" i="9"/>
  <c r="B12" i="9"/>
  <c r="C9" i="9"/>
  <c r="C12" i="9"/>
  <c r="D9" i="9"/>
  <c r="D12" i="9"/>
  <c r="E9" i="9"/>
  <c r="E12" i="9"/>
  <c r="F9" i="9"/>
  <c r="F12" i="9"/>
  <c r="G9" i="9"/>
  <c r="G12" i="9"/>
  <c r="B13" i="9"/>
  <c r="AR131" i="9"/>
  <c r="C13" i="9"/>
  <c r="D13" i="9"/>
  <c r="E13" i="9"/>
  <c r="F13" i="9"/>
  <c r="AS131" i="9"/>
  <c r="G13" i="9"/>
  <c r="AT131" i="9"/>
  <c r="G61" i="9"/>
  <c r="J61" i="9"/>
  <c r="L61" i="9"/>
  <c r="M61" i="9"/>
  <c r="N61" i="9"/>
  <c r="L80" i="9"/>
  <c r="M80" i="9"/>
  <c r="C341" i="3"/>
  <c r="C342" i="3"/>
  <c r="D315" i="3"/>
  <c r="D313" i="3"/>
  <c r="D307" i="3"/>
  <c r="B327" i="3"/>
  <c r="D305" i="3"/>
  <c r="C12" i="5"/>
  <c r="AM20" i="1"/>
  <c r="AM19" i="1"/>
  <c r="BI17" i="15"/>
  <c r="BI23" i="15"/>
  <c r="C343" i="3"/>
  <c r="D53" i="3"/>
  <c r="AF6" i="11"/>
  <c r="D55" i="3"/>
  <c r="AF14" i="11"/>
  <c r="AW2" i="1"/>
  <c r="AU51" i="1"/>
  <c r="AM1" i="11"/>
  <c r="B1" i="11"/>
  <c r="D1" i="11"/>
  <c r="F1" i="11" s="1"/>
  <c r="B2" i="11" s="1"/>
  <c r="AF56" i="11"/>
  <c r="AH56" i="11"/>
  <c r="S53" i="11"/>
  <c r="D43" i="3" s="1"/>
  <c r="T54" i="11"/>
  <c r="S54" i="11" s="1"/>
  <c r="R54" i="11" s="1"/>
  <c r="Q54" i="11" s="1"/>
  <c r="P54" i="11" s="1"/>
  <c r="AF54" i="11"/>
  <c r="AH5" i="11"/>
  <c r="AP5" i="11"/>
  <c r="AI5" i="11"/>
  <c r="AH8" i="11"/>
  <c r="AP8" i="11"/>
  <c r="AI8" i="11"/>
  <c r="AH9" i="11"/>
  <c r="AP9" i="11"/>
  <c r="AI9" i="11"/>
  <c r="AH11" i="11"/>
  <c r="AP11" i="11"/>
  <c r="AI11" i="11"/>
  <c r="AH12" i="11"/>
  <c r="AP12" i="11"/>
  <c r="AI12" i="11"/>
  <c r="AH14" i="11"/>
  <c r="AP14" i="11"/>
  <c r="AI14" i="11"/>
  <c r="AH15" i="11"/>
  <c r="AP15" i="11"/>
  <c r="AI15" i="11"/>
  <c r="AH17" i="11"/>
  <c r="AP17" i="11"/>
  <c r="AI17" i="11"/>
  <c r="AH19" i="11"/>
  <c r="AP19" i="11"/>
  <c r="AI19" i="11"/>
  <c r="AH20" i="11"/>
  <c r="AP20" i="11"/>
  <c r="AI20" i="11"/>
  <c r="AH22" i="11"/>
  <c r="AP22" i="11"/>
  <c r="AI22" i="11"/>
  <c r="AH23" i="11"/>
  <c r="AP23" i="11"/>
  <c r="AI23" i="11"/>
  <c r="AH25" i="11"/>
  <c r="AP25" i="11"/>
  <c r="AI25" i="11"/>
  <c r="AH28" i="11"/>
  <c r="AP28" i="11"/>
  <c r="AI28" i="11"/>
  <c r="AH30" i="11"/>
  <c r="AP30" i="11"/>
  <c r="AI30" i="11"/>
  <c r="AH38" i="11"/>
  <c r="AP38" i="11"/>
  <c r="AI38" i="11"/>
  <c r="AH39" i="11"/>
  <c r="AP39" i="11"/>
  <c r="AI39" i="11"/>
  <c r="AH48" i="11"/>
  <c r="AP48" i="11"/>
  <c r="AI48" i="11"/>
  <c r="B20" i="5"/>
  <c r="I23" i="3"/>
  <c r="D17" i="5"/>
  <c r="AG63" i="1"/>
  <c r="AG64" i="1"/>
  <c r="AG65" i="1"/>
  <c r="D1" i="10"/>
  <c r="H2" i="10" s="1"/>
  <c r="B21" i="5"/>
  <c r="C38" i="1"/>
  <c r="D82" i="3"/>
  <c r="BB49" i="1"/>
  <c r="BB47" i="1"/>
  <c r="BB46" i="1"/>
  <c r="BB45" i="1"/>
  <c r="BB44" i="1"/>
  <c r="BB43" i="1"/>
  <c r="BB42" i="1"/>
  <c r="BB41" i="1"/>
  <c r="BB40" i="1"/>
  <c r="BB37" i="1"/>
  <c r="BB36" i="1"/>
  <c r="BB35" i="1"/>
  <c r="BB34" i="1"/>
  <c r="BB33" i="1"/>
  <c r="BB32" i="1"/>
  <c r="BB31" i="1"/>
  <c r="BB29" i="1"/>
  <c r="BB27" i="1"/>
  <c r="BB26" i="1"/>
  <c r="BB24" i="1"/>
  <c r="BB21" i="1"/>
  <c r="BB18" i="1"/>
  <c r="BB16" i="1"/>
  <c r="BB13" i="1"/>
  <c r="BB10" i="1"/>
  <c r="BB9" i="1"/>
  <c r="BB7" i="1"/>
  <c r="BB6" i="1"/>
  <c r="BB5" i="1"/>
  <c r="BB4" i="1"/>
  <c r="BB51" i="1"/>
  <c r="G229" i="3"/>
  <c r="W5" i="8"/>
  <c r="AB10" i="8"/>
  <c r="D77" i="8"/>
  <c r="D78" i="8"/>
  <c r="AI65" i="8"/>
  <c r="AI66" i="8"/>
  <c r="AI67" i="8"/>
  <c r="AF13" i="8"/>
  <c r="AF12" i="8"/>
  <c r="AF11" i="8"/>
  <c r="AF10" i="8"/>
  <c r="AA45" i="8"/>
  <c r="AA44" i="8"/>
  <c r="AA43" i="8"/>
  <c r="AA42" i="8"/>
  <c r="AA41" i="8"/>
  <c r="AA40" i="8"/>
  <c r="AA39" i="8"/>
  <c r="AA38" i="8"/>
  <c r="AA37" i="8"/>
  <c r="AA36" i="8"/>
  <c r="AA35" i="8"/>
  <c r="AA33" i="8"/>
  <c r="AA32" i="8"/>
  <c r="AA31" i="8"/>
  <c r="AA30" i="8"/>
  <c r="AA29" i="8"/>
  <c r="AA28" i="8"/>
  <c r="AA27" i="8"/>
  <c r="AA26" i="8"/>
  <c r="AA23" i="8"/>
  <c r="AA22" i="8"/>
  <c r="AA21" i="8"/>
  <c r="AA20" i="8"/>
  <c r="AA17" i="8"/>
  <c r="AA14" i="8"/>
  <c r="AA13" i="8"/>
  <c r="AA12" i="8"/>
  <c r="AA11" i="8"/>
  <c r="AA9" i="8"/>
  <c r="AA6" i="8"/>
  <c r="AA5" i="8"/>
  <c r="AA3" i="8"/>
  <c r="L356" i="3"/>
  <c r="AD70" i="1"/>
  <c r="AD71" i="1"/>
  <c r="AD76" i="1"/>
  <c r="AD79" i="1"/>
  <c r="AD83" i="1"/>
  <c r="D349" i="3"/>
  <c r="D356" i="3"/>
  <c r="D355" i="3"/>
  <c r="D346" i="3"/>
  <c r="AB479" i="1"/>
  <c r="AB478" i="1"/>
  <c r="AB477" i="1"/>
  <c r="AB476" i="1"/>
  <c r="AB475" i="1"/>
  <c r="AB474" i="1"/>
  <c r="AB473" i="1"/>
  <c r="AB472" i="1"/>
  <c r="AC475" i="1"/>
  <c r="AC43" i="1"/>
  <c r="AC42" i="1"/>
  <c r="AC41" i="1"/>
  <c r="AC40" i="1"/>
  <c r="AC37" i="1"/>
  <c r="AC36" i="1"/>
  <c r="AC35" i="1"/>
  <c r="AC34" i="1"/>
  <c r="AC33" i="1"/>
  <c r="AC32" i="1"/>
  <c r="AC31" i="1"/>
  <c r="AC27" i="1"/>
  <c r="AC26" i="1"/>
  <c r="AC24" i="1"/>
  <c r="AC21" i="1"/>
  <c r="AC6" i="1"/>
  <c r="D154" i="3"/>
  <c r="B189" i="3"/>
  <c r="L2" i="7"/>
  <c r="D155" i="3"/>
  <c r="B187" i="3"/>
  <c r="D158" i="3"/>
  <c r="D157" i="3"/>
  <c r="D156" i="3"/>
  <c r="M11" i="7"/>
  <c r="D159" i="3"/>
  <c r="J194" i="3"/>
  <c r="B24" i="5"/>
  <c r="B18" i="5"/>
  <c r="BB20" i="1"/>
  <c r="BB19" i="1"/>
  <c r="D309" i="3"/>
  <c r="G59" i="9"/>
  <c r="B22" i="5"/>
  <c r="B16" i="3"/>
  <c r="E1" i="8"/>
  <c r="E2" i="8" s="1"/>
  <c r="D54" i="3"/>
  <c r="AF8" i="11"/>
  <c r="AU20" i="1"/>
  <c r="AU19" i="1"/>
  <c r="D47" i="3"/>
  <c r="D49" i="3"/>
  <c r="AC51" i="1"/>
  <c r="B23" i="5"/>
  <c r="AF51" i="1"/>
  <c r="AF20" i="1"/>
  <c r="AF19" i="1"/>
  <c r="AL51" i="1"/>
  <c r="BA73" i="1"/>
  <c r="BA74" i="1"/>
  <c r="BA75" i="1"/>
  <c r="BA76" i="1"/>
  <c r="BA77" i="1"/>
  <c r="BA79" i="1"/>
  <c r="D106" i="3"/>
  <c r="AV63" i="1"/>
  <c r="AV64" i="1"/>
  <c r="AV65" i="1"/>
  <c r="AX66" i="1"/>
  <c r="AX103" i="1"/>
  <c r="AX104" i="1"/>
  <c r="BZ106" i="1"/>
  <c r="CE106" i="1"/>
  <c r="CI106" i="1"/>
  <c r="DH106" i="1"/>
  <c r="DI106" i="1"/>
  <c r="DL106" i="1"/>
  <c r="BZ153" i="1"/>
  <c r="CE153" i="1"/>
  <c r="CI153" i="1"/>
  <c r="DH153" i="1"/>
  <c r="DI153" i="1"/>
  <c r="DL153" i="1"/>
  <c r="BZ108" i="1"/>
  <c r="CE108" i="1"/>
  <c r="CI108" i="1"/>
  <c r="DH108" i="1"/>
  <c r="BZ155" i="1"/>
  <c r="CE155" i="1"/>
  <c r="CI155" i="1"/>
  <c r="DH155" i="1"/>
  <c r="BZ109" i="1"/>
  <c r="CE109" i="1"/>
  <c r="CI109" i="1"/>
  <c r="DH109" i="1"/>
  <c r="BZ156" i="1"/>
  <c r="CE156" i="1"/>
  <c r="CI156" i="1"/>
  <c r="DH156" i="1"/>
  <c r="BZ112" i="1"/>
  <c r="CE112" i="1"/>
  <c r="CI112" i="1"/>
  <c r="DH112" i="1"/>
  <c r="BZ159" i="1"/>
  <c r="CE159" i="1"/>
  <c r="CI159" i="1"/>
  <c r="DH159" i="1"/>
  <c r="BZ114" i="1"/>
  <c r="CE114" i="1"/>
  <c r="CI114" i="1"/>
  <c r="DH114" i="1"/>
  <c r="BZ161" i="1"/>
  <c r="CE161" i="1"/>
  <c r="CI161" i="1"/>
  <c r="DH161" i="1"/>
  <c r="BZ115" i="1"/>
  <c r="CE115" i="1"/>
  <c r="CI115" i="1"/>
  <c r="DH115" i="1"/>
  <c r="BZ162" i="1"/>
  <c r="CE162" i="1"/>
  <c r="CI162" i="1"/>
  <c r="DH162" i="1"/>
  <c r="BZ117" i="1"/>
  <c r="CE117" i="1"/>
  <c r="CI117" i="1"/>
  <c r="DH117" i="1"/>
  <c r="BZ164" i="1"/>
  <c r="CE164" i="1"/>
  <c r="CI164" i="1"/>
  <c r="DH164" i="1"/>
  <c r="BZ120" i="1"/>
  <c r="CE120" i="1"/>
  <c r="CI120" i="1"/>
  <c r="BZ167" i="1"/>
  <c r="CE167" i="1"/>
  <c r="CI167" i="1"/>
  <c r="DH167" i="1"/>
  <c r="BZ123" i="1"/>
  <c r="CE123" i="1"/>
  <c r="CI123" i="1"/>
  <c r="BZ170" i="1"/>
  <c r="CE170" i="1"/>
  <c r="CI170" i="1"/>
  <c r="DH170" i="1"/>
  <c r="BZ125" i="1"/>
  <c r="CE125" i="1"/>
  <c r="CI125" i="1"/>
  <c r="BZ172" i="1"/>
  <c r="CE172" i="1"/>
  <c r="CI172" i="1"/>
  <c r="DH172" i="1"/>
  <c r="BZ126" i="1"/>
  <c r="CE126" i="1"/>
  <c r="CI126" i="1"/>
  <c r="BZ173" i="1"/>
  <c r="CE173" i="1"/>
  <c r="CI173" i="1"/>
  <c r="DH173" i="1"/>
  <c r="BZ128" i="1"/>
  <c r="CI128" i="1"/>
  <c r="DH128" i="1"/>
  <c r="CE128" i="1"/>
  <c r="BZ175" i="1"/>
  <c r="CI175" i="1"/>
  <c r="DH175" i="1"/>
  <c r="CE175" i="1"/>
  <c r="BZ130" i="1"/>
  <c r="CI130" i="1"/>
  <c r="DH130" i="1"/>
  <c r="CE130" i="1"/>
  <c r="BZ177" i="1"/>
  <c r="CI177" i="1"/>
  <c r="DH177" i="1"/>
  <c r="CE177" i="1"/>
  <c r="BZ131" i="1"/>
  <c r="CI131" i="1"/>
  <c r="DH131" i="1"/>
  <c r="CE131" i="1"/>
  <c r="BZ178" i="1"/>
  <c r="CI178" i="1"/>
  <c r="DH178" i="1"/>
  <c r="CE178" i="1"/>
  <c r="BZ132" i="1"/>
  <c r="CI132" i="1"/>
  <c r="DH132" i="1"/>
  <c r="CE132" i="1"/>
  <c r="BZ179" i="1"/>
  <c r="CI179" i="1"/>
  <c r="DH179" i="1"/>
  <c r="CE179" i="1"/>
  <c r="BZ133" i="1"/>
  <c r="CE133" i="1"/>
  <c r="CI133" i="1"/>
  <c r="DH133" i="1"/>
  <c r="BZ180" i="1"/>
  <c r="CE180" i="1"/>
  <c r="CI180" i="1"/>
  <c r="BZ134" i="1"/>
  <c r="CE134" i="1"/>
  <c r="CI134" i="1"/>
  <c r="BZ181" i="1"/>
  <c r="CE181" i="1"/>
  <c r="CI181" i="1"/>
  <c r="BZ135" i="1"/>
  <c r="CE135" i="1"/>
  <c r="CI135" i="1"/>
  <c r="BZ182" i="1"/>
  <c r="CE182" i="1"/>
  <c r="CI182" i="1"/>
  <c r="BZ136" i="1"/>
  <c r="CE136" i="1"/>
  <c r="CI136" i="1"/>
  <c r="BZ183" i="1"/>
  <c r="CE183" i="1"/>
  <c r="CI183" i="1"/>
  <c r="BZ139" i="1"/>
  <c r="CE139" i="1"/>
  <c r="CI139" i="1"/>
  <c r="BZ186" i="1"/>
  <c r="CE186" i="1"/>
  <c r="CI186" i="1"/>
  <c r="BZ140" i="1"/>
  <c r="CE140" i="1"/>
  <c r="CI140" i="1"/>
  <c r="DH140" i="1"/>
  <c r="BZ187" i="1"/>
  <c r="CE187" i="1"/>
  <c r="CI187" i="1"/>
  <c r="DH187" i="1"/>
  <c r="BZ141" i="1"/>
  <c r="CE141" i="1"/>
  <c r="CI141" i="1"/>
  <c r="DH141" i="1"/>
  <c r="BZ188" i="1"/>
  <c r="CE188" i="1"/>
  <c r="CI188" i="1"/>
  <c r="DH188" i="1"/>
  <c r="BZ142" i="1"/>
  <c r="CE142" i="1"/>
  <c r="CI142" i="1"/>
  <c r="DH142" i="1"/>
  <c r="BZ189" i="1"/>
  <c r="CE189" i="1"/>
  <c r="CI189" i="1"/>
  <c r="DH189" i="1"/>
  <c r="BZ143" i="1"/>
  <c r="CE143" i="1"/>
  <c r="CI143" i="1"/>
  <c r="DH143" i="1"/>
  <c r="BZ190" i="1"/>
  <c r="CE190" i="1"/>
  <c r="CI190" i="1"/>
  <c r="BZ144" i="1"/>
  <c r="CE144" i="1"/>
  <c r="CI144" i="1"/>
  <c r="BZ191" i="1"/>
  <c r="CE191" i="1"/>
  <c r="CI191" i="1"/>
  <c r="BZ145" i="1"/>
  <c r="CE145" i="1"/>
  <c r="CI145" i="1"/>
  <c r="BZ192" i="1"/>
  <c r="CE192" i="1"/>
  <c r="CI192" i="1"/>
  <c r="BZ146" i="1"/>
  <c r="CE146" i="1"/>
  <c r="CI146" i="1"/>
  <c r="BZ193" i="1"/>
  <c r="CE193" i="1"/>
  <c r="CI193" i="1"/>
  <c r="BZ148" i="1"/>
  <c r="CE148" i="1"/>
  <c r="CI148" i="1"/>
  <c r="BZ195" i="1"/>
  <c r="CE195" i="1"/>
  <c r="CI195" i="1"/>
  <c r="C7" i="1"/>
  <c r="G31" i="9"/>
  <c r="L31" i="9"/>
  <c r="K143" i="9"/>
  <c r="R31" i="9"/>
  <c r="W31" i="9"/>
  <c r="AB31" i="9"/>
  <c r="AC31" i="9"/>
  <c r="AH31" i="9"/>
  <c r="AL31" i="9"/>
  <c r="AP31" i="9"/>
  <c r="AU31" i="9"/>
  <c r="P143" i="9"/>
  <c r="G73" i="9"/>
  <c r="J73" i="9"/>
  <c r="J60" i="9"/>
  <c r="J62" i="9"/>
  <c r="J63" i="9"/>
  <c r="X63" i="9"/>
  <c r="Y63" i="9"/>
  <c r="J64" i="9"/>
  <c r="X64" i="9"/>
  <c r="Y64" i="9"/>
  <c r="J65" i="9"/>
  <c r="J66" i="9"/>
  <c r="J67" i="9"/>
  <c r="X67" i="9"/>
  <c r="Y67" i="9"/>
  <c r="J68" i="9"/>
  <c r="J69" i="9"/>
  <c r="J70" i="9"/>
  <c r="J71" i="9"/>
  <c r="X71" i="9"/>
  <c r="Y71" i="9"/>
  <c r="J72" i="9"/>
  <c r="X72" i="9"/>
  <c r="Y72" i="9"/>
  <c r="J74" i="9"/>
  <c r="J75" i="9"/>
  <c r="J76" i="9"/>
  <c r="X76" i="9"/>
  <c r="Y76" i="9"/>
  <c r="J77" i="9"/>
  <c r="J78" i="9"/>
  <c r="J79" i="9"/>
  <c r="J80" i="9"/>
  <c r="X80" i="9"/>
  <c r="Y80" i="9"/>
  <c r="J81" i="9"/>
  <c r="X81" i="9"/>
  <c r="Y81" i="9"/>
  <c r="J82" i="9"/>
  <c r="J83" i="9"/>
  <c r="J84" i="9"/>
  <c r="X84" i="9"/>
  <c r="Y84" i="9"/>
  <c r="J85" i="9"/>
  <c r="J86" i="9"/>
  <c r="J87" i="9"/>
  <c r="J88" i="9"/>
  <c r="X88" i="9"/>
  <c r="Y88" i="9"/>
  <c r="J89" i="9"/>
  <c r="X89" i="9"/>
  <c r="Y89" i="9"/>
  <c r="J90" i="9"/>
  <c r="J91" i="9"/>
  <c r="J92" i="9"/>
  <c r="X92" i="9"/>
  <c r="Y92" i="9"/>
  <c r="J93" i="9"/>
  <c r="J94" i="9"/>
  <c r="J95" i="9"/>
  <c r="J96" i="9"/>
  <c r="X96" i="9"/>
  <c r="Y96" i="9"/>
  <c r="J97" i="9"/>
  <c r="X97" i="9"/>
  <c r="Y97" i="9"/>
  <c r="J59" i="9"/>
  <c r="G60" i="9"/>
  <c r="G62" i="9"/>
  <c r="G63" i="9"/>
  <c r="V63" i="9"/>
  <c r="G64" i="9"/>
  <c r="T64" i="9"/>
  <c r="U64" i="9"/>
  <c r="G65" i="9"/>
  <c r="G66" i="9"/>
  <c r="G67" i="9"/>
  <c r="G68" i="9"/>
  <c r="G69" i="9"/>
  <c r="T69" i="9"/>
  <c r="U69" i="9"/>
  <c r="G70" i="9"/>
  <c r="G71" i="9"/>
  <c r="G72" i="9"/>
  <c r="T72" i="9"/>
  <c r="U72" i="9"/>
  <c r="G74" i="9"/>
  <c r="G75" i="9"/>
  <c r="G76" i="9"/>
  <c r="G77" i="9"/>
  <c r="T77" i="9"/>
  <c r="U77" i="9"/>
  <c r="G78" i="9"/>
  <c r="U78" i="9"/>
  <c r="G79" i="9"/>
  <c r="T79" i="9"/>
  <c r="U79" i="9"/>
  <c r="G80" i="9"/>
  <c r="U80" i="9"/>
  <c r="G81" i="9"/>
  <c r="T81" i="9"/>
  <c r="U81" i="9"/>
  <c r="G82" i="9"/>
  <c r="V82" i="9"/>
  <c r="G83" i="9"/>
  <c r="U83" i="9"/>
  <c r="G84" i="9"/>
  <c r="V84" i="9"/>
  <c r="G85" i="9"/>
  <c r="T85" i="9"/>
  <c r="U85" i="9"/>
  <c r="G86" i="9"/>
  <c r="G87" i="9"/>
  <c r="U87" i="9"/>
  <c r="G88" i="9"/>
  <c r="G89" i="9"/>
  <c r="T89" i="9"/>
  <c r="U89" i="9"/>
  <c r="G90" i="9"/>
  <c r="G91" i="9"/>
  <c r="T91" i="9"/>
  <c r="G92" i="9"/>
  <c r="G93" i="9"/>
  <c r="T93" i="9"/>
  <c r="U93" i="9"/>
  <c r="G94" i="9"/>
  <c r="G95" i="9"/>
  <c r="U95" i="9"/>
  <c r="G96" i="9"/>
  <c r="T96" i="9"/>
  <c r="U96" i="9"/>
  <c r="G97" i="9"/>
  <c r="U97" i="9"/>
  <c r="P6" i="9"/>
  <c r="P9" i="9"/>
  <c r="AU18" i="9"/>
  <c r="AT130" i="9"/>
  <c r="AU20" i="9"/>
  <c r="AR132" i="9"/>
  <c r="AS132" i="9"/>
  <c r="AU21" i="9"/>
  <c r="AT133" i="9"/>
  <c r="AU22" i="9"/>
  <c r="AS134" i="9"/>
  <c r="AU23" i="9"/>
  <c r="AU24" i="9"/>
  <c r="AR136" i="9"/>
  <c r="AU25" i="9"/>
  <c r="AU26" i="9"/>
  <c r="AR138" i="9"/>
  <c r="AS138" i="9"/>
  <c r="AU27" i="9"/>
  <c r="AU28" i="9"/>
  <c r="AR140" i="9"/>
  <c r="AU29" i="9"/>
  <c r="AU30" i="9"/>
  <c r="AR142" i="9"/>
  <c r="AS142" i="9"/>
  <c r="AU32" i="9"/>
  <c r="AU33" i="9"/>
  <c r="AS145" i="9"/>
  <c r="AU34" i="9"/>
  <c r="AR146" i="9"/>
  <c r="AS146" i="9"/>
  <c r="AU35" i="9"/>
  <c r="AS147" i="9"/>
  <c r="AU36" i="9"/>
  <c r="AT148" i="9"/>
  <c r="AU37" i="9"/>
  <c r="AR149" i="9"/>
  <c r="AS149" i="9"/>
  <c r="AU38" i="9"/>
  <c r="AT150" i="9"/>
  <c r="AU39" i="9"/>
  <c r="AS151" i="9"/>
  <c r="AU40" i="9"/>
  <c r="AR152" i="9"/>
  <c r="AU41" i="9"/>
  <c r="AR153" i="9"/>
  <c r="AS153" i="9"/>
  <c r="AU42" i="9"/>
  <c r="AU43" i="9"/>
  <c r="AR155" i="9"/>
  <c r="AS155" i="9"/>
  <c r="AU44" i="9"/>
  <c r="AR156" i="9"/>
  <c r="AU45" i="9"/>
  <c r="AR157" i="9"/>
  <c r="AS157" i="9"/>
  <c r="AU46" i="9"/>
  <c r="AU47" i="9"/>
  <c r="AR159" i="9"/>
  <c r="AS159" i="9"/>
  <c r="AU48" i="9"/>
  <c r="AS160" i="9"/>
  <c r="AU49" i="9"/>
  <c r="AR161" i="9"/>
  <c r="AS161" i="9"/>
  <c r="AU50" i="9"/>
  <c r="AU51" i="9"/>
  <c r="AU52" i="9"/>
  <c r="AU53" i="9"/>
  <c r="AU54" i="9"/>
  <c r="AU55" i="9"/>
  <c r="AT167" i="9"/>
  <c r="AU17" i="9"/>
  <c r="AS129" i="9"/>
  <c r="AH18" i="9"/>
  <c r="AL18" i="9"/>
  <c r="AP18" i="9"/>
  <c r="AH20" i="9"/>
  <c r="AL20" i="9"/>
  <c r="AP20" i="9"/>
  <c r="AH21" i="9"/>
  <c r="AL21" i="9"/>
  <c r="AP21" i="9"/>
  <c r="AH22" i="9"/>
  <c r="AL22" i="9"/>
  <c r="AP22" i="9"/>
  <c r="AH23" i="9"/>
  <c r="AL23" i="9"/>
  <c r="AP23" i="9"/>
  <c r="AH24" i="9"/>
  <c r="AL24" i="9"/>
  <c r="AP24" i="9"/>
  <c r="AH25" i="9"/>
  <c r="AL25" i="9"/>
  <c r="AP25" i="9"/>
  <c r="AH26" i="9"/>
  <c r="AL26" i="9"/>
  <c r="AP26" i="9"/>
  <c r="AQ26" i="9"/>
  <c r="AJ138" i="9"/>
  <c r="AH27" i="9"/>
  <c r="AL27" i="9"/>
  <c r="AP27" i="9"/>
  <c r="AH28" i="9"/>
  <c r="AL28" i="9"/>
  <c r="AP28" i="9"/>
  <c r="AH29" i="9"/>
  <c r="AL29" i="9"/>
  <c r="AP29" i="9"/>
  <c r="AH30" i="9"/>
  <c r="AL30" i="9"/>
  <c r="AP30" i="9"/>
  <c r="AH32" i="9"/>
  <c r="AL32" i="9"/>
  <c r="AP32" i="9"/>
  <c r="AH33" i="9"/>
  <c r="AL33" i="9"/>
  <c r="AP33" i="9"/>
  <c r="AH34" i="9"/>
  <c r="AL34" i="9"/>
  <c r="AP34" i="9"/>
  <c r="AH35" i="9"/>
  <c r="AL35" i="9"/>
  <c r="AP35" i="9"/>
  <c r="AH36" i="9"/>
  <c r="AL36" i="9"/>
  <c r="AP36" i="9"/>
  <c r="AH37" i="9"/>
  <c r="AL37" i="9"/>
  <c r="AP37" i="9"/>
  <c r="AH38" i="9"/>
  <c r="AL38" i="9"/>
  <c r="AP38" i="9"/>
  <c r="AH39" i="9"/>
  <c r="AL39" i="9"/>
  <c r="AP39" i="9"/>
  <c r="AH40" i="9"/>
  <c r="AL40" i="9"/>
  <c r="AP40" i="9"/>
  <c r="AH41" i="9"/>
  <c r="AL41" i="9"/>
  <c r="AP41" i="9"/>
  <c r="AH42" i="9"/>
  <c r="AL42" i="9"/>
  <c r="AP42" i="9"/>
  <c r="AH43" i="9"/>
  <c r="AL43" i="9"/>
  <c r="AP43" i="9"/>
  <c r="AH44" i="9"/>
  <c r="AL44" i="9"/>
  <c r="AP44" i="9"/>
  <c r="AH45" i="9"/>
  <c r="AL45" i="9"/>
  <c r="AP45" i="9"/>
  <c r="AH46" i="9"/>
  <c r="AL46" i="9"/>
  <c r="AP46" i="9"/>
  <c r="AH47" i="9"/>
  <c r="AL47" i="9"/>
  <c r="AP47" i="9"/>
  <c r="AH48" i="9"/>
  <c r="AL48" i="9"/>
  <c r="AQ48" i="9"/>
  <c r="AP48" i="9"/>
  <c r="AH49" i="9"/>
  <c r="AL49" i="9"/>
  <c r="AP49" i="9"/>
  <c r="AH50" i="9"/>
  <c r="AL50" i="9"/>
  <c r="AP50" i="9"/>
  <c r="AH51" i="9"/>
  <c r="AL51" i="9"/>
  <c r="AP51" i="9"/>
  <c r="AH52" i="9"/>
  <c r="AL52" i="9"/>
  <c r="AP52" i="9"/>
  <c r="AH53" i="9"/>
  <c r="AL53" i="9"/>
  <c r="AP53" i="9"/>
  <c r="AH54" i="9"/>
  <c r="AL54" i="9"/>
  <c r="AP54" i="9"/>
  <c r="AQ54" i="9"/>
  <c r="AH55" i="9"/>
  <c r="AL55" i="9"/>
  <c r="AQ55" i="9"/>
  <c r="AP55" i="9"/>
  <c r="AH17" i="9"/>
  <c r="AL17" i="9"/>
  <c r="AP17" i="9"/>
  <c r="W18" i="9"/>
  <c r="AB18" i="9"/>
  <c r="AC18" i="9"/>
  <c r="W20" i="9"/>
  <c r="AB20" i="9"/>
  <c r="AC20" i="9"/>
  <c r="V132" i="9"/>
  <c r="W21" i="9"/>
  <c r="AB21" i="9"/>
  <c r="AC21" i="9"/>
  <c r="S133" i="9"/>
  <c r="W22" i="9"/>
  <c r="AB22" i="9"/>
  <c r="AC22" i="9"/>
  <c r="W23" i="9"/>
  <c r="AB23" i="9"/>
  <c r="AC23" i="9"/>
  <c r="W24" i="9"/>
  <c r="AB24" i="9"/>
  <c r="AC24" i="9"/>
  <c r="X136" i="9"/>
  <c r="W25" i="9"/>
  <c r="AB25" i="9"/>
  <c r="AC25" i="9"/>
  <c r="S137" i="9"/>
  <c r="W26" i="9"/>
  <c r="AB26" i="9"/>
  <c r="AC26" i="9"/>
  <c r="W27" i="9"/>
  <c r="AB27" i="9"/>
  <c r="AC27" i="9"/>
  <c r="W28" i="9"/>
  <c r="AB28" i="9"/>
  <c r="AC28" i="9"/>
  <c r="W29" i="9"/>
  <c r="AB29" i="9"/>
  <c r="AC29" i="9"/>
  <c r="W30" i="9"/>
  <c r="AB30" i="9"/>
  <c r="AC30" i="9"/>
  <c r="Y142" i="9"/>
  <c r="W32" i="9"/>
  <c r="AB32" i="9"/>
  <c r="AC32" i="9"/>
  <c r="V144" i="9"/>
  <c r="S144" i="9"/>
  <c r="W33" i="9"/>
  <c r="AB33" i="9"/>
  <c r="AC33" i="9"/>
  <c r="W34" i="9"/>
  <c r="AB34" i="9"/>
  <c r="AC34" i="9"/>
  <c r="Z146" i="9"/>
  <c r="W35" i="9"/>
  <c r="AB35" i="9"/>
  <c r="AC35" i="9"/>
  <c r="W36" i="9"/>
  <c r="AB36" i="9"/>
  <c r="AC36" i="9"/>
  <c r="Y148" i="9"/>
  <c r="W37" i="9"/>
  <c r="AB37" i="9"/>
  <c r="AC37" i="9"/>
  <c r="V149" i="9"/>
  <c r="W38" i="9"/>
  <c r="AB38" i="9"/>
  <c r="AC38" i="9"/>
  <c r="Z150" i="9"/>
  <c r="W39" i="9"/>
  <c r="AB39" i="9"/>
  <c r="AC39" i="9"/>
  <c r="X151" i="9"/>
  <c r="W40" i="9"/>
  <c r="AB40" i="9"/>
  <c r="AC40" i="9"/>
  <c r="W41" i="9"/>
  <c r="AB41" i="9"/>
  <c r="AC41" i="9"/>
  <c r="W42" i="9"/>
  <c r="AB42" i="9"/>
  <c r="AC42" i="9"/>
  <c r="W43" i="9"/>
  <c r="AB43" i="9"/>
  <c r="AC43" i="9"/>
  <c r="W44" i="9"/>
  <c r="AB44" i="9"/>
  <c r="AC44" i="9"/>
  <c r="AA156" i="9"/>
  <c r="W45" i="9"/>
  <c r="AB45" i="9"/>
  <c r="AC45" i="9"/>
  <c r="W46" i="9"/>
  <c r="AB46" i="9"/>
  <c r="AC46" i="9"/>
  <c r="W47" i="9"/>
  <c r="AB47" i="9"/>
  <c r="AC47" i="9"/>
  <c r="W48" i="9"/>
  <c r="AB48" i="9"/>
  <c r="AC48" i="9"/>
  <c r="W49" i="9"/>
  <c r="AB49" i="9"/>
  <c r="AC49" i="9"/>
  <c r="Y161" i="9"/>
  <c r="W50" i="9"/>
  <c r="AB50" i="9"/>
  <c r="AC50" i="9"/>
  <c r="Y162" i="9"/>
  <c r="W51" i="9"/>
  <c r="AB51" i="9"/>
  <c r="AC51" i="9"/>
  <c r="T163" i="9"/>
  <c r="W52" i="9"/>
  <c r="AB52" i="9"/>
  <c r="AC52" i="9"/>
  <c r="AA164" i="9"/>
  <c r="W53" i="9"/>
  <c r="AB53" i="9"/>
  <c r="AC53" i="9"/>
  <c r="AA165" i="9"/>
  <c r="W54" i="9"/>
  <c r="AB54" i="9"/>
  <c r="AC54" i="9"/>
  <c r="AA166" i="9"/>
  <c r="W55" i="9"/>
  <c r="AB55" i="9"/>
  <c r="AC55" i="9"/>
  <c r="Y167" i="9"/>
  <c r="S167" i="9"/>
  <c r="W17" i="9"/>
  <c r="AB17" i="9"/>
  <c r="AC17" i="9"/>
  <c r="T129" i="9"/>
  <c r="U133" i="9"/>
  <c r="S141" i="9"/>
  <c r="U146" i="9"/>
  <c r="U149" i="9"/>
  <c r="U166" i="9"/>
  <c r="R18" i="9"/>
  <c r="P130" i="9"/>
  <c r="R20" i="9"/>
  <c r="N132" i="9"/>
  <c r="Q132" i="9"/>
  <c r="R21" i="9"/>
  <c r="R22" i="9"/>
  <c r="R23" i="9"/>
  <c r="R24" i="9"/>
  <c r="R25" i="9"/>
  <c r="R26" i="9"/>
  <c r="R27" i="9"/>
  <c r="R28" i="9"/>
  <c r="R29" i="9"/>
  <c r="R30" i="9"/>
  <c r="R32" i="9"/>
  <c r="R33" i="9"/>
  <c r="R34" i="9"/>
  <c r="R35" i="9"/>
  <c r="R36" i="9"/>
  <c r="R37" i="9"/>
  <c r="R38" i="9"/>
  <c r="R39" i="9"/>
  <c r="R40" i="9"/>
  <c r="R41" i="9"/>
  <c r="R42" i="9"/>
  <c r="R43" i="9"/>
  <c r="R44" i="9"/>
  <c r="R45" i="9"/>
  <c r="R46" i="9"/>
  <c r="R47" i="9"/>
  <c r="R48" i="9"/>
  <c r="R49" i="9"/>
  <c r="R50" i="9"/>
  <c r="R51" i="9"/>
  <c r="R52" i="9"/>
  <c r="N164" i="9"/>
  <c r="R53" i="9"/>
  <c r="N165" i="9"/>
  <c r="R54" i="9"/>
  <c r="M166" i="9"/>
  <c r="N166" i="9"/>
  <c r="P166" i="9"/>
  <c r="R55" i="9"/>
  <c r="M167" i="9"/>
  <c r="N167" i="9"/>
  <c r="R17" i="9"/>
  <c r="P129" i="9"/>
  <c r="L18" i="9"/>
  <c r="H130" i="9"/>
  <c r="I130" i="9"/>
  <c r="L20" i="9"/>
  <c r="I132" i="9"/>
  <c r="L21" i="9"/>
  <c r="K133" i="9"/>
  <c r="L22" i="9"/>
  <c r="I134" i="9"/>
  <c r="L23" i="9"/>
  <c r="H135" i="9"/>
  <c r="I135" i="9"/>
  <c r="L24" i="9"/>
  <c r="I136" i="9"/>
  <c r="L25" i="9"/>
  <c r="H137" i="9"/>
  <c r="L26" i="9"/>
  <c r="I138" i="9"/>
  <c r="L27" i="9"/>
  <c r="H139" i="9"/>
  <c r="I139" i="9"/>
  <c r="L28" i="9"/>
  <c r="I140" i="9"/>
  <c r="L29" i="9"/>
  <c r="K141" i="9"/>
  <c r="L30" i="9"/>
  <c r="I142" i="9"/>
  <c r="L32" i="9"/>
  <c r="H144" i="9"/>
  <c r="I144" i="9"/>
  <c r="L33" i="9"/>
  <c r="I145" i="9"/>
  <c r="L34" i="9"/>
  <c r="H146" i="9"/>
  <c r="L35" i="9"/>
  <c r="I147" i="9"/>
  <c r="L36" i="9"/>
  <c r="H148" i="9"/>
  <c r="I148" i="9"/>
  <c r="L37" i="9"/>
  <c r="I149" i="9"/>
  <c r="L38" i="9"/>
  <c r="L39" i="9"/>
  <c r="I151" i="9"/>
  <c r="L40" i="9"/>
  <c r="I152" i="9"/>
  <c r="L41" i="9"/>
  <c r="I153" i="9"/>
  <c r="L42" i="9"/>
  <c r="I154" i="9"/>
  <c r="L43" i="9"/>
  <c r="I155" i="9"/>
  <c r="L44" i="9"/>
  <c r="H156" i="9"/>
  <c r="I156" i="9"/>
  <c r="L45" i="9"/>
  <c r="I157" i="9"/>
  <c r="L46" i="9"/>
  <c r="L47" i="9"/>
  <c r="I159" i="9"/>
  <c r="L48" i="9"/>
  <c r="I160" i="9"/>
  <c r="L49" i="9"/>
  <c r="I161" i="9"/>
  <c r="L50" i="9"/>
  <c r="I162" i="9"/>
  <c r="L51" i="9"/>
  <c r="I163" i="9"/>
  <c r="L52" i="9"/>
  <c r="H164" i="9"/>
  <c r="I164" i="9"/>
  <c r="L53" i="9"/>
  <c r="I165" i="9"/>
  <c r="L54" i="9"/>
  <c r="L55" i="9"/>
  <c r="I167" i="9"/>
  <c r="L17" i="9"/>
  <c r="J129" i="9"/>
  <c r="G18" i="9"/>
  <c r="F130" i="9"/>
  <c r="G20" i="9"/>
  <c r="G21" i="9"/>
  <c r="G22" i="9"/>
  <c r="G23" i="9"/>
  <c r="F135" i="9"/>
  <c r="G24" i="9"/>
  <c r="G25" i="9"/>
  <c r="G26" i="9"/>
  <c r="G27" i="9"/>
  <c r="F139" i="9"/>
  <c r="G28" i="9"/>
  <c r="G29" i="9"/>
  <c r="G30" i="9"/>
  <c r="G32" i="9"/>
  <c r="F144" i="9"/>
  <c r="G33" i="9"/>
  <c r="G34" i="9"/>
  <c r="G35" i="9"/>
  <c r="G36" i="9"/>
  <c r="F148" i="9"/>
  <c r="G37" i="9"/>
  <c r="G38" i="9"/>
  <c r="G39" i="9"/>
  <c r="G40" i="9"/>
  <c r="G41" i="9"/>
  <c r="G42" i="9"/>
  <c r="F154" i="9"/>
  <c r="G43" i="9"/>
  <c r="G44" i="9"/>
  <c r="C156" i="9"/>
  <c r="G45" i="9"/>
  <c r="G46" i="9"/>
  <c r="C158" i="9"/>
  <c r="G47" i="9"/>
  <c r="G48" i="9"/>
  <c r="G49" i="9"/>
  <c r="G50" i="9"/>
  <c r="F162" i="9"/>
  <c r="G51" i="9"/>
  <c r="G52" i="9"/>
  <c r="C164" i="9"/>
  <c r="G53" i="9"/>
  <c r="G54" i="9"/>
  <c r="G55" i="9"/>
  <c r="D167" i="9"/>
  <c r="G17" i="9"/>
  <c r="E130" i="9"/>
  <c r="E135" i="9"/>
  <c r="E139" i="9"/>
  <c r="E144" i="9"/>
  <c r="E148" i="9"/>
  <c r="E154" i="9"/>
  <c r="E162" i="9"/>
  <c r="D130" i="9"/>
  <c r="D135" i="9"/>
  <c r="D139" i="9"/>
  <c r="D144" i="9"/>
  <c r="D148" i="9"/>
  <c r="D152" i="9"/>
  <c r="D154" i="9"/>
  <c r="D156" i="9"/>
  <c r="D160" i="9"/>
  <c r="C133" i="9"/>
  <c r="C135" i="9"/>
  <c r="C137" i="9"/>
  <c r="C139" i="9"/>
  <c r="C141" i="9"/>
  <c r="C144" i="9"/>
  <c r="C146" i="9"/>
  <c r="C148" i="9"/>
  <c r="C150" i="9"/>
  <c r="C152" i="9"/>
  <c r="C154" i="9"/>
  <c r="C160" i="9"/>
  <c r="C162" i="9"/>
  <c r="C166" i="9"/>
  <c r="C130" i="9"/>
  <c r="CA203" i="1"/>
  <c r="CB204" i="1"/>
  <c r="CC204" i="1"/>
  <c r="CB205" i="1"/>
  <c r="CC205" i="1"/>
  <c r="CD205" i="1"/>
  <c r="CA206" i="1"/>
  <c r="CA207" i="1"/>
  <c r="CA208" i="1"/>
  <c r="CA209" i="1"/>
  <c r="C32" i="1"/>
  <c r="AV2" i="1"/>
  <c r="E209" i="3"/>
  <c r="E210" i="3"/>
  <c r="D174" i="3"/>
  <c r="I119" i="3"/>
  <c r="D119" i="3"/>
  <c r="I120" i="3"/>
  <c r="D120" i="3"/>
  <c r="I121" i="3"/>
  <c r="D121" i="3"/>
  <c r="I122" i="3"/>
  <c r="D122" i="3"/>
  <c r="C4" i="1"/>
  <c r="C6" i="1"/>
  <c r="C10" i="1"/>
  <c r="C13" i="1"/>
  <c r="C17" i="1"/>
  <c r="C24" i="1"/>
  <c r="C25" i="1"/>
  <c r="C27" i="1"/>
  <c r="C29" i="1"/>
  <c r="C30" i="1"/>
  <c r="C37" i="1"/>
  <c r="C39" i="1"/>
  <c r="C40" i="1"/>
  <c r="C41" i="1"/>
  <c r="C42" i="1"/>
  <c r="C49" i="1"/>
  <c r="B19" i="5"/>
  <c r="B17" i="5"/>
  <c r="B16" i="5"/>
  <c r="B15" i="5"/>
  <c r="B14" i="5"/>
  <c r="C351" i="3"/>
  <c r="A31" i="5"/>
  <c r="J193" i="3"/>
  <c r="C8" i="5"/>
  <c r="C7" i="5"/>
  <c r="B13" i="5"/>
  <c r="AD51" i="1"/>
  <c r="D350" i="3"/>
  <c r="AW51" i="1"/>
  <c r="BZ147" i="1"/>
  <c r="CE147" i="1"/>
  <c r="CI147" i="1"/>
  <c r="BZ138" i="1"/>
  <c r="CE138" i="1"/>
  <c r="CI138" i="1"/>
  <c r="BZ137" i="1"/>
  <c r="CE137" i="1"/>
  <c r="CI137" i="1"/>
  <c r="BZ129" i="1"/>
  <c r="CE129" i="1"/>
  <c r="CI129" i="1"/>
  <c r="BZ127" i="1"/>
  <c r="CE127" i="1"/>
  <c r="CI127" i="1"/>
  <c r="BZ124" i="1"/>
  <c r="CE124" i="1"/>
  <c r="CI124" i="1"/>
  <c r="BZ122" i="1"/>
  <c r="CE122" i="1"/>
  <c r="CI122" i="1"/>
  <c r="BZ121" i="1"/>
  <c r="CE121" i="1"/>
  <c r="CI121" i="1"/>
  <c r="DH121" i="1"/>
  <c r="BZ119" i="1"/>
  <c r="CE119" i="1"/>
  <c r="CI119" i="1"/>
  <c r="DH119" i="1"/>
  <c r="BZ118" i="1"/>
  <c r="CE118" i="1"/>
  <c r="CI118" i="1"/>
  <c r="DH118" i="1"/>
  <c r="BZ116" i="1"/>
  <c r="CE116" i="1"/>
  <c r="CI116" i="1"/>
  <c r="DH116" i="1"/>
  <c r="BZ113" i="1"/>
  <c r="CE113" i="1"/>
  <c r="CI113" i="1"/>
  <c r="DH113" i="1"/>
  <c r="BZ111" i="1"/>
  <c r="CE111" i="1"/>
  <c r="CI111" i="1"/>
  <c r="DH111" i="1"/>
  <c r="BZ110" i="1"/>
  <c r="CE110" i="1"/>
  <c r="CI110" i="1"/>
  <c r="DH110" i="1"/>
  <c r="BZ107" i="1"/>
  <c r="CE107" i="1"/>
  <c r="CI107" i="1"/>
  <c r="DH107" i="1"/>
  <c r="CE194" i="1"/>
  <c r="BZ194" i="1"/>
  <c r="CI194" i="1"/>
  <c r="CE185" i="1"/>
  <c r="BZ185" i="1"/>
  <c r="CI185" i="1"/>
  <c r="DH185" i="1"/>
  <c r="CE184" i="1"/>
  <c r="CI184" i="1"/>
  <c r="DH184" i="1"/>
  <c r="BZ184" i="1"/>
  <c r="CE176" i="1"/>
  <c r="BZ176" i="1"/>
  <c r="CI176" i="1"/>
  <c r="DH176" i="1"/>
  <c r="CE174" i="1"/>
  <c r="BZ174" i="1"/>
  <c r="CI174" i="1"/>
  <c r="CE171" i="1"/>
  <c r="BZ171" i="1"/>
  <c r="CI171" i="1"/>
  <c r="DH171" i="1"/>
  <c r="CE169" i="1"/>
  <c r="BZ169" i="1"/>
  <c r="CE168" i="1"/>
  <c r="BZ168" i="1"/>
  <c r="CI168" i="1"/>
  <c r="DH168" i="1"/>
  <c r="CE166" i="1"/>
  <c r="BZ166" i="1"/>
  <c r="CI166" i="1"/>
  <c r="DH166" i="1"/>
  <c r="CE165" i="1"/>
  <c r="BZ165" i="1"/>
  <c r="CE163" i="1"/>
  <c r="BZ163" i="1"/>
  <c r="CI163" i="1"/>
  <c r="DH163" i="1"/>
  <c r="CE160" i="1"/>
  <c r="CI160" i="1"/>
  <c r="DH160" i="1"/>
  <c r="BZ160" i="1"/>
  <c r="CE158" i="1"/>
  <c r="CI158" i="1"/>
  <c r="DH158" i="1"/>
  <c r="CE157" i="1"/>
  <c r="CI157" i="1"/>
  <c r="DH157" i="1"/>
  <c r="CE154" i="1"/>
  <c r="CI154" i="1"/>
  <c r="DH154" i="1"/>
  <c r="AK51" i="1"/>
  <c r="D56" i="5"/>
  <c r="AC2" i="1"/>
  <c r="J190" i="3"/>
  <c r="J191" i="3"/>
  <c r="J189" i="3"/>
  <c r="J192" i="3"/>
  <c r="N204" i="3"/>
  <c r="L197" i="3"/>
  <c r="J217" i="3"/>
  <c r="F183" i="3"/>
  <c r="D191" i="3"/>
  <c r="AC66" i="1"/>
  <c r="C287" i="3"/>
  <c r="B264" i="3"/>
  <c r="AX88" i="1"/>
  <c r="B253" i="3"/>
  <c r="C254" i="3"/>
  <c r="BA2" i="1"/>
  <c r="BA51" i="1"/>
  <c r="AJ110" i="1"/>
  <c r="AG121" i="1"/>
  <c r="AG122" i="1"/>
  <c r="AG110" i="1" s="1"/>
  <c r="AF119" i="1"/>
  <c r="AF120" i="1"/>
  <c r="AF110" i="1" s="1"/>
  <c r="AE117" i="1"/>
  <c r="AE118" i="1"/>
  <c r="CL116" i="1"/>
  <c r="CL115" i="1"/>
  <c r="CL114" i="1"/>
  <c r="CL113" i="1"/>
  <c r="CL112" i="1"/>
  <c r="CL111" i="1"/>
  <c r="CL110" i="1"/>
  <c r="CL109" i="1"/>
  <c r="CL108" i="1"/>
  <c r="CL107" i="1"/>
  <c r="CL106" i="1"/>
  <c r="CL104" i="1"/>
  <c r="CL103" i="1"/>
  <c r="CL102" i="1"/>
  <c r="CL101" i="1"/>
  <c r="CL100" i="1"/>
  <c r="CL99" i="1"/>
  <c r="CL98" i="1"/>
  <c r="CL97" i="1"/>
  <c r="CL96" i="1"/>
  <c r="CL95" i="1"/>
  <c r="CL94" i="1"/>
  <c r="CL93" i="1"/>
  <c r="CL92" i="1"/>
  <c r="CL91" i="1"/>
  <c r="CL90" i="1"/>
  <c r="DA61" i="1"/>
  <c r="AZ51" i="1"/>
  <c r="AE51" i="1"/>
  <c r="AH51" i="1"/>
  <c r="AK290" i="1"/>
  <c r="AK288" i="1"/>
  <c r="AK286" i="1"/>
  <c r="AK285" i="1"/>
  <c r="AK277" i="1"/>
  <c r="AK276" i="1"/>
  <c r="AK275" i="1"/>
  <c r="AK274" i="1"/>
  <c r="AK273" i="1"/>
  <c r="AK272" i="1"/>
  <c r="AK271" i="1"/>
  <c r="AK267" i="1"/>
  <c r="AE290" i="1"/>
  <c r="AE288" i="1"/>
  <c r="AE286" i="1"/>
  <c r="AE285" i="1"/>
  <c r="AE283" i="1"/>
  <c r="AE277" i="1"/>
  <c r="AE276" i="1"/>
  <c r="AE275" i="1"/>
  <c r="AE274" i="1"/>
  <c r="AE273" i="1"/>
  <c r="AE272" i="1"/>
  <c r="AE271" i="1"/>
  <c r="AE267" i="1"/>
  <c r="AE263" i="1"/>
  <c r="AE260" i="1"/>
  <c r="AE258" i="1"/>
  <c r="AE257" i="1"/>
  <c r="AE255" i="1"/>
  <c r="AE253" i="1"/>
  <c r="AE252" i="1"/>
  <c r="AE251" i="1"/>
  <c r="V160" i="9"/>
  <c r="V145" i="9"/>
  <c r="U145" i="9"/>
  <c r="T143" i="9"/>
  <c r="V143" i="9"/>
  <c r="Y143" i="9"/>
  <c r="AA143" i="9"/>
  <c r="S143" i="9"/>
  <c r="U143" i="9"/>
  <c r="X143" i="9"/>
  <c r="Z143" i="9"/>
  <c r="AA129" i="9"/>
  <c r="V155" i="9"/>
  <c r="U155" i="9"/>
  <c r="V135" i="9"/>
  <c r="U135" i="9"/>
  <c r="AT161" i="9"/>
  <c r="AT159" i="9"/>
  <c r="AT158" i="9"/>
  <c r="AT157" i="9"/>
  <c r="AT156" i="9"/>
  <c r="AT155" i="9"/>
  <c r="AT153" i="9"/>
  <c r="AT149" i="9"/>
  <c r="AT146" i="9"/>
  <c r="AT142" i="9"/>
  <c r="AT141" i="9"/>
  <c r="AT140" i="9"/>
  <c r="AT139" i="9"/>
  <c r="AT138" i="9"/>
  <c r="AT137" i="9"/>
  <c r="AT136" i="9"/>
  <c r="AT132" i="9"/>
  <c r="V96" i="9"/>
  <c r="V93" i="9"/>
  <c r="V92" i="9"/>
  <c r="V91" i="9"/>
  <c r="V90" i="9"/>
  <c r="V89" i="9"/>
  <c r="V85" i="9"/>
  <c r="V81" i="9"/>
  <c r="V79" i="9"/>
  <c r="V77" i="9"/>
  <c r="V76" i="9"/>
  <c r="V75" i="9"/>
  <c r="V74" i="9"/>
  <c r="V72" i="9"/>
  <c r="V71" i="9"/>
  <c r="V70" i="9"/>
  <c r="V69" i="9"/>
  <c r="V67" i="9"/>
  <c r="V64" i="9"/>
  <c r="J164" i="9"/>
  <c r="J156" i="9"/>
  <c r="J148" i="9"/>
  <c r="J144" i="9"/>
  <c r="J139" i="9"/>
  <c r="J135" i="9"/>
  <c r="J130" i="9"/>
  <c r="Q167" i="9"/>
  <c r="O167" i="9"/>
  <c r="Q166" i="9"/>
  <c r="O166" i="9"/>
  <c r="O165" i="9"/>
  <c r="O164" i="9"/>
  <c r="O163" i="9"/>
  <c r="O161" i="9"/>
  <c r="O159" i="9"/>
  <c r="O157" i="9"/>
  <c r="Q155" i="9"/>
  <c r="Q154" i="9"/>
  <c r="Q153" i="9"/>
  <c r="Q152" i="9"/>
  <c r="Q151" i="9"/>
  <c r="Q150" i="9"/>
  <c r="Q149" i="9"/>
  <c r="Q148" i="9"/>
  <c r="Q147" i="9"/>
  <c r="Q146" i="9"/>
  <c r="Q145" i="9"/>
  <c r="Q144" i="9"/>
  <c r="Q142" i="9"/>
  <c r="Q141" i="9"/>
  <c r="Q140" i="9"/>
  <c r="Q139" i="9"/>
  <c r="Q138" i="9"/>
  <c r="Q137" i="9"/>
  <c r="Q136" i="9"/>
  <c r="Q135" i="9"/>
  <c r="Q134" i="9"/>
  <c r="Q133" i="9"/>
  <c r="O132" i="9"/>
  <c r="Z159" i="9"/>
  <c r="K131" i="9"/>
  <c r="AQ19" i="9"/>
  <c r="C131" i="9"/>
  <c r="E131" i="9"/>
  <c r="AM131" i="9"/>
  <c r="C29" i="13"/>
  <c r="D29" i="13"/>
  <c r="AB32" i="11"/>
  <c r="D170" i="3"/>
  <c r="CN39" i="1"/>
  <c r="BH22" i="15"/>
  <c r="BI22" i="15"/>
  <c r="AB47" i="11"/>
  <c r="M130" i="9"/>
  <c r="O130" i="9"/>
  <c r="Q130" i="9"/>
  <c r="T167" i="9"/>
  <c r="Y158" i="9"/>
  <c r="T158" i="9"/>
  <c r="S158" i="9"/>
  <c r="Y153" i="9"/>
  <c r="X153" i="9"/>
  <c r="AA147" i="9"/>
  <c r="V147" i="9"/>
  <c r="Z147" i="9"/>
  <c r="Y138" i="9"/>
  <c r="X138" i="9"/>
  <c r="AQ46" i="9"/>
  <c r="AO138" i="9"/>
  <c r="AK138" i="9"/>
  <c r="AG138" i="9"/>
  <c r="AD138" i="9"/>
  <c r="T61" i="9"/>
  <c r="U61" i="9"/>
  <c r="V61" i="9"/>
  <c r="J167" i="9"/>
  <c r="K166" i="9"/>
  <c r="H163" i="9"/>
  <c r="H162" i="9"/>
  <c r="K162" i="9"/>
  <c r="J162" i="9"/>
  <c r="J159" i="9"/>
  <c r="K158" i="9"/>
  <c r="H155" i="9"/>
  <c r="H154" i="9"/>
  <c r="K154" i="9"/>
  <c r="J154" i="9"/>
  <c r="J151" i="9"/>
  <c r="K150" i="9"/>
  <c r="H147" i="9"/>
  <c r="K146" i="9"/>
  <c r="H142" i="9"/>
  <c r="H141" i="9"/>
  <c r="H138" i="9"/>
  <c r="K137" i="9"/>
  <c r="H134" i="9"/>
  <c r="H133" i="9"/>
  <c r="M132" i="9"/>
  <c r="P132" i="9"/>
  <c r="N130" i="9"/>
  <c r="U158" i="9"/>
  <c r="U147" i="9"/>
  <c r="U129" i="9"/>
  <c r="X166" i="9"/>
  <c r="Y166" i="9"/>
  <c r="V166" i="9"/>
  <c r="Z158" i="9"/>
  <c r="V157" i="9"/>
  <c r="Z153" i="9"/>
  <c r="V152" i="9"/>
  <c r="AA142" i="9"/>
  <c r="Z142" i="9"/>
  <c r="T134" i="9"/>
  <c r="S134" i="9"/>
  <c r="AQ43" i="9"/>
  <c r="AR160" i="9"/>
  <c r="AT160" i="9"/>
  <c r="AS152" i="9"/>
  <c r="AR144" i="9"/>
  <c r="AS144" i="9"/>
  <c r="AT144" i="9"/>
  <c r="AR135" i="9"/>
  <c r="AS135" i="9"/>
  <c r="AT135" i="9"/>
  <c r="T94" i="9"/>
  <c r="U94" i="9"/>
  <c r="V94" i="9"/>
  <c r="T78" i="9"/>
  <c r="V78" i="9"/>
  <c r="T75" i="9"/>
  <c r="U75" i="9"/>
  <c r="U66" i="9"/>
  <c r="X94" i="9"/>
  <c r="Y94" i="9"/>
  <c r="X86" i="9"/>
  <c r="Y86" i="9"/>
  <c r="X78" i="9"/>
  <c r="Y78" i="9"/>
  <c r="X69" i="9"/>
  <c r="Y69" i="9"/>
  <c r="X60" i="9"/>
  <c r="Y60" i="9"/>
  <c r="Z164" i="9"/>
  <c r="AA159" i="9"/>
  <c r="V156" i="9"/>
  <c r="V154" i="9"/>
  <c r="AA151" i="9"/>
  <c r="V151" i="9"/>
  <c r="V150" i="9"/>
  <c r="V146" i="9"/>
  <c r="Z141" i="9"/>
  <c r="V141" i="9"/>
  <c r="X137" i="9"/>
  <c r="T137" i="9"/>
  <c r="Y137" i="9"/>
  <c r="Z133" i="9"/>
  <c r="V133" i="9"/>
  <c r="AQ34" i="9"/>
  <c r="AS156" i="9"/>
  <c r="AR148" i="9"/>
  <c r="AR139" i="9"/>
  <c r="AS139" i="9"/>
  <c r="AR130" i="9"/>
  <c r="AS130" i="9"/>
  <c r="T90" i="9"/>
  <c r="U90" i="9"/>
  <c r="T82" i="9"/>
  <c r="AS143" i="9"/>
  <c r="AT143" i="9"/>
  <c r="AR143" i="9"/>
  <c r="M143" i="9"/>
  <c r="O143" i="9"/>
  <c r="Q143" i="9"/>
  <c r="N143" i="9"/>
  <c r="C143" i="9"/>
  <c r="E143" i="9"/>
  <c r="D143" i="9"/>
  <c r="F143" i="9"/>
  <c r="AA149" i="9"/>
  <c r="X148" i="9"/>
  <c r="T148" i="9"/>
  <c r="Z144" i="9"/>
  <c r="Y140" i="9"/>
  <c r="T140" i="9"/>
  <c r="Z139" i="9"/>
  <c r="Y136" i="9"/>
  <c r="T136" i="9"/>
  <c r="AA132" i="9"/>
  <c r="X130" i="9"/>
  <c r="T130" i="9"/>
  <c r="AQ42" i="9"/>
  <c r="AQ40" i="9"/>
  <c r="AQ37" i="9"/>
  <c r="AQ35" i="9"/>
  <c r="AQ29" i="9"/>
  <c r="AR166" i="9"/>
  <c r="AR165" i="9"/>
  <c r="AR164" i="9"/>
  <c r="AR163" i="9"/>
  <c r="AR162" i="9"/>
  <c r="T70" i="9"/>
  <c r="U70" i="9"/>
  <c r="Y59" i="9"/>
  <c r="X59" i="9"/>
  <c r="X90" i="9"/>
  <c r="Y90" i="9"/>
  <c r="X82" i="9"/>
  <c r="Y82" i="9"/>
  <c r="X74" i="9"/>
  <c r="Y74" i="9"/>
  <c r="X65" i="9"/>
  <c r="Y65" i="9"/>
  <c r="U59" i="9"/>
  <c r="V59" i="9"/>
  <c r="T59" i="9"/>
  <c r="I131" i="9"/>
  <c r="H131" i="9"/>
  <c r="J131" i="9"/>
  <c r="AQ31" i="9"/>
  <c r="AV69" i="1"/>
  <c r="Z131" i="9"/>
  <c r="N131" i="9"/>
  <c r="P131" i="9"/>
  <c r="AM141" i="9"/>
  <c r="AF141" i="9"/>
  <c r="AE141" i="9"/>
  <c r="AK141" i="9"/>
  <c r="AG141" i="9"/>
  <c r="AM146" i="9"/>
  <c r="AF146" i="9"/>
  <c r="AE146" i="9"/>
  <c r="AK146" i="9"/>
  <c r="AG146" i="9"/>
  <c r="AN160" i="9"/>
  <c r="AK160" i="9"/>
  <c r="AG160" i="9"/>
  <c r="AJ160" i="9"/>
  <c r="AO160" i="9"/>
  <c r="AD143" i="9"/>
  <c r="AG147" i="9"/>
  <c r="AJ147" i="9"/>
  <c r="AN149" i="9"/>
  <c r="AG149" i="9"/>
  <c r="AF149" i="9"/>
  <c r="AK152" i="9"/>
  <c r="AM154" i="9"/>
  <c r="AG154" i="9"/>
  <c r="AN158" i="9"/>
  <c r="AK158" i="9"/>
  <c r="AG158" i="9"/>
  <c r="AM158" i="9"/>
  <c r="AD158" i="9"/>
  <c r="AO158" i="9"/>
  <c r="AF158" i="9"/>
  <c r="AJ158" i="9"/>
  <c r="C24" i="13"/>
  <c r="D24" i="13"/>
  <c r="AI56" i="8"/>
  <c r="D48" i="5"/>
  <c r="BH18" i="15"/>
  <c r="D33" i="12"/>
  <c r="E33" i="12"/>
  <c r="AI82" i="8"/>
  <c r="C32" i="13"/>
  <c r="D32" i="13"/>
  <c r="AB35" i="11"/>
  <c r="K41" i="8"/>
  <c r="K139" i="8"/>
  <c r="AG139" i="8"/>
  <c r="AB33" i="11"/>
  <c r="BP53" i="7"/>
  <c r="AB29" i="11"/>
  <c r="BP31" i="7"/>
  <c r="AC478" i="1"/>
  <c r="AC472" i="1"/>
  <c r="AC473" i="1"/>
  <c r="F8" i="9"/>
  <c r="D8" i="9"/>
  <c r="E8" i="9"/>
  <c r="C8" i="9"/>
  <c r="B4" i="16"/>
  <c r="B5" i="16" s="1"/>
  <c r="B7" i="16" s="1"/>
  <c r="B1" i="14"/>
  <c r="B52" i="14" s="1"/>
  <c r="J23" i="7"/>
  <c r="M23" i="7"/>
  <c r="BP23" i="7"/>
  <c r="BQ23" i="7"/>
  <c r="B53" i="5"/>
  <c r="CN30" i="1"/>
  <c r="D22" i="12"/>
  <c r="E22" i="12"/>
  <c r="AF155" i="9"/>
  <c r="AM155" i="9"/>
  <c r="AN154" i="9"/>
  <c r="AD154" i="9"/>
  <c r="AM149" i="9"/>
  <c r="AD149" i="9"/>
  <c r="AO149" i="9"/>
  <c r="AE149" i="9"/>
  <c r="AD166" i="9"/>
  <c r="AJ131" i="9"/>
  <c r="AI131" i="9"/>
  <c r="S129" i="9"/>
  <c r="V129" i="9"/>
  <c r="Z129" i="9"/>
  <c r="Y129" i="9"/>
  <c r="X165" i="9"/>
  <c r="T165" i="9"/>
  <c r="V165" i="9"/>
  <c r="Z165" i="9"/>
  <c r="S165" i="9"/>
  <c r="U165" i="9"/>
  <c r="Y165" i="9"/>
  <c r="S163" i="9"/>
  <c r="Y163" i="9"/>
  <c r="X163" i="9"/>
  <c r="V163" i="9"/>
  <c r="Z163" i="9"/>
  <c r="AA162" i="9"/>
  <c r="S162" i="9"/>
  <c r="U162" i="9"/>
  <c r="Z162" i="9"/>
  <c r="T162" i="9"/>
  <c r="Y160" i="9"/>
  <c r="T160" i="9"/>
  <c r="X160" i="9"/>
  <c r="S160" i="9"/>
  <c r="Y159" i="9"/>
  <c r="S159" i="9"/>
  <c r="U159" i="9"/>
  <c r="T159" i="9"/>
  <c r="V159" i="9"/>
  <c r="X159" i="9"/>
  <c r="X156" i="9"/>
  <c r="U156" i="9"/>
  <c r="Z156" i="9"/>
  <c r="S156" i="9"/>
  <c r="Y156" i="9"/>
  <c r="T156" i="9"/>
  <c r="AA153" i="9"/>
  <c r="V153" i="9"/>
  <c r="S153" i="9"/>
  <c r="AA152" i="9"/>
  <c r="U152" i="9"/>
  <c r="X152" i="9"/>
  <c r="T152" i="9"/>
  <c r="Y152" i="9"/>
  <c r="AJ166" i="9"/>
  <c r="AO166" i="9"/>
  <c r="AK166" i="9"/>
  <c r="S166" i="9"/>
  <c r="U164" i="9"/>
  <c r="S164" i="9"/>
  <c r="V161" i="9"/>
  <c r="T161" i="9"/>
  <c r="AA148" i="9"/>
  <c r="Y144" i="9"/>
  <c r="AA139" i="9"/>
  <c r="AA130" i="9"/>
  <c r="AQ47" i="9"/>
  <c r="AQ39" i="9"/>
  <c r="AQ36" i="9"/>
  <c r="AQ32" i="9"/>
  <c r="AQ22" i="9"/>
  <c r="AQ20" i="9"/>
  <c r="AR167" i="9"/>
  <c r="AS167" i="9"/>
  <c r="AR150" i="9"/>
  <c r="AS150" i="9"/>
  <c r="AR133" i="9"/>
  <c r="AS133" i="9"/>
  <c r="T84" i="9"/>
  <c r="U84" i="9"/>
  <c r="T71" i="9"/>
  <c r="U71" i="9"/>
  <c r="T63" i="9"/>
  <c r="U63" i="9"/>
  <c r="T60" i="9"/>
  <c r="V60" i="9"/>
  <c r="U60" i="9"/>
  <c r="X91" i="9"/>
  <c r="Y91" i="9"/>
  <c r="X83" i="9"/>
  <c r="Y83" i="9"/>
  <c r="X75" i="9"/>
  <c r="Y75" i="9"/>
  <c r="X66" i="9"/>
  <c r="Y66" i="9"/>
  <c r="T73" i="9"/>
  <c r="V73" i="9"/>
  <c r="U73" i="9"/>
  <c r="D129" i="9"/>
  <c r="D166" i="9"/>
  <c r="D164" i="9"/>
  <c r="D162" i="9"/>
  <c r="E167" i="9"/>
  <c r="E165" i="9"/>
  <c r="E163" i="9"/>
  <c r="E161" i="9"/>
  <c r="E159" i="9"/>
  <c r="E157" i="9"/>
  <c r="E155" i="9"/>
  <c r="E153" i="9"/>
  <c r="E151" i="9"/>
  <c r="H129" i="9"/>
  <c r="J165" i="9"/>
  <c r="K164" i="9"/>
  <c r="J161" i="9"/>
  <c r="K160" i="9"/>
  <c r="J157" i="9"/>
  <c r="K156" i="9"/>
  <c r="J153" i="9"/>
  <c r="K152" i="9"/>
  <c r="J149" i="9"/>
  <c r="K148" i="9"/>
  <c r="J145" i="9"/>
  <c r="K144" i="9"/>
  <c r="J140" i="9"/>
  <c r="K139" i="9"/>
  <c r="J136" i="9"/>
  <c r="K135" i="9"/>
  <c r="J132" i="9"/>
  <c r="K130" i="9"/>
  <c r="Q129" i="9"/>
  <c r="P167" i="9"/>
  <c r="P165" i="9"/>
  <c r="P164" i="9"/>
  <c r="P163" i="9"/>
  <c r="AQ41" i="9"/>
  <c r="AD153" i="9"/>
  <c r="AQ38" i="9"/>
  <c r="AQ33" i="9"/>
  <c r="AM145" i="9"/>
  <c r="AQ24" i="9"/>
  <c r="AQ21" i="9"/>
  <c r="AN133" i="9"/>
  <c r="AQ18" i="9"/>
  <c r="AT129" i="9"/>
  <c r="AR129" i="9"/>
  <c r="AR158" i="9"/>
  <c r="AS158" i="9"/>
  <c r="AR141" i="9"/>
  <c r="AS141" i="9"/>
  <c r="T92" i="9"/>
  <c r="U92" i="9"/>
  <c r="T76" i="9"/>
  <c r="U76" i="9"/>
  <c r="T67" i="9"/>
  <c r="U67" i="9"/>
  <c r="T62" i="9"/>
  <c r="V62" i="9"/>
  <c r="U62" i="9"/>
  <c r="X95" i="9"/>
  <c r="Y95" i="9"/>
  <c r="X87" i="9"/>
  <c r="Y87" i="9"/>
  <c r="X79" i="9"/>
  <c r="Y79" i="9"/>
  <c r="X70" i="9"/>
  <c r="Y70" i="9"/>
  <c r="X62" i="9"/>
  <c r="Y62" i="9"/>
  <c r="H143" i="9"/>
  <c r="J143" i="9"/>
  <c r="I143" i="9"/>
  <c r="X61" i="9"/>
  <c r="Y61" i="9"/>
  <c r="S131" i="9"/>
  <c r="T131" i="9"/>
  <c r="U131" i="9"/>
  <c r="V131" i="9"/>
  <c r="Y131" i="9"/>
  <c r="AA131" i="9"/>
  <c r="AC16" i="1"/>
  <c r="DI27" i="1"/>
  <c r="AN130" i="9"/>
  <c r="AI130" i="9"/>
  <c r="AK136" i="9"/>
  <c r="AN136" i="9"/>
  <c r="AJ136" i="9"/>
  <c r="AN150" i="9"/>
  <c r="AF150" i="9"/>
  <c r="AK134" i="9"/>
  <c r="AD134" i="9"/>
  <c r="AM134" i="9"/>
  <c r="AN148" i="9"/>
  <c r="AJ148" i="9"/>
  <c r="AK159" i="9"/>
  <c r="AG159" i="9"/>
  <c r="AO159" i="9"/>
  <c r="AO133" i="9"/>
  <c r="AG133" i="9"/>
  <c r="AF133" i="9"/>
  <c r="AK133" i="9"/>
  <c r="AD133" i="9"/>
  <c r="AI145" i="9"/>
  <c r="AJ145" i="9"/>
  <c r="AK145" i="9"/>
  <c r="AE145" i="9"/>
  <c r="AO145" i="9"/>
  <c r="AK153" i="9"/>
  <c r="AI153" i="9"/>
  <c r="AN153" i="9"/>
  <c r="AJ153" i="9"/>
  <c r="AE153" i="9"/>
  <c r="AJ132" i="9"/>
  <c r="AF132" i="9"/>
  <c r="AO132" i="9"/>
  <c r="AM132" i="9"/>
  <c r="AK132" i="9"/>
  <c r="AG132" i="9"/>
  <c r="AD132" i="9"/>
  <c r="AE132" i="9"/>
  <c r="AI132" i="9"/>
  <c r="AN132" i="9"/>
  <c r="AD144" i="9"/>
  <c r="AK144" i="9"/>
  <c r="AJ144" i="9"/>
  <c r="AI144" i="9"/>
  <c r="AN144" i="9"/>
  <c r="AF144" i="9"/>
  <c r="AO144" i="9"/>
  <c r="AG144" i="9"/>
  <c r="AM144" i="9"/>
  <c r="AE144" i="9"/>
  <c r="AK151" i="9"/>
  <c r="AD151" i="9"/>
  <c r="AN151" i="9"/>
  <c r="AI151" i="9"/>
  <c r="AF151" i="9"/>
  <c r="AM151" i="9"/>
  <c r="AJ151" i="9"/>
  <c r="AG151" i="9"/>
  <c r="AO151" i="9"/>
  <c r="AE151" i="9"/>
  <c r="D3" i="10"/>
  <c r="H9" i="10" s="1"/>
  <c r="AF10" i="1" s="1"/>
  <c r="B39" i="14"/>
  <c r="B36" i="14"/>
  <c r="BH16" i="15"/>
  <c r="BI16" i="15"/>
  <c r="C34" i="13"/>
  <c r="D34" i="13"/>
  <c r="B43" i="5"/>
  <c r="AC7" i="1"/>
  <c r="BM5" i="7"/>
  <c r="BM2" i="7"/>
  <c r="D31" i="12"/>
  <c r="E31" i="12"/>
  <c r="B38" i="5"/>
  <c r="C26" i="13"/>
  <c r="D26" i="13"/>
  <c r="J32" i="7"/>
  <c r="M32" i="7"/>
  <c r="BP32" i="7"/>
  <c r="CN43" i="1"/>
  <c r="AI80" i="8"/>
  <c r="BH32" i="15"/>
  <c r="C30" i="13"/>
  <c r="D30" i="13"/>
  <c r="D40" i="5"/>
  <c r="D30" i="12"/>
  <c r="E30" i="12"/>
  <c r="K28" i="8"/>
  <c r="K126" i="8"/>
  <c r="AG126" i="8"/>
  <c r="AB44" i="11"/>
  <c r="J43" i="7"/>
  <c r="M43" i="7"/>
  <c r="BP43" i="7"/>
  <c r="BQ43" i="7"/>
  <c r="D51" i="5"/>
  <c r="BU31" i="7"/>
  <c r="BU30" i="7"/>
  <c r="J216" i="3"/>
  <c r="J220" i="3"/>
  <c r="J221" i="3"/>
  <c r="BU44" i="7"/>
  <c r="B183" i="3"/>
  <c r="AD130" i="9"/>
  <c r="AK130" i="9"/>
  <c r="AJ130" i="9"/>
  <c r="AM130" i="9"/>
  <c r="AE130" i="9"/>
  <c r="AF136" i="9"/>
  <c r="AD136" i="9"/>
  <c r="AM136" i="9"/>
  <c r="AO136" i="9"/>
  <c r="AG136" i="9"/>
  <c r="AD150" i="9"/>
  <c r="AK150" i="9"/>
  <c r="AM150" i="9"/>
  <c r="AE150" i="9"/>
  <c r="AI150" i="9"/>
  <c r="AF134" i="9"/>
  <c r="AI134" i="9"/>
  <c r="AO134" i="9"/>
  <c r="AJ134" i="9"/>
  <c r="AG134" i="9"/>
  <c r="AD148" i="9"/>
  <c r="AI148" i="9"/>
  <c r="AM148" i="9"/>
  <c r="AG148" i="9"/>
  <c r="AO148" i="9"/>
  <c r="AF159" i="9"/>
  <c r="AJ159" i="9"/>
  <c r="AI159" i="9"/>
  <c r="AD159" i="9"/>
  <c r="AN159" i="9"/>
  <c r="AE159" i="9"/>
  <c r="AM159" i="9"/>
  <c r="AE148" i="9"/>
  <c r="AF148" i="9"/>
  <c r="AK148" i="9"/>
  <c r="AE134" i="9"/>
  <c r="AN134" i="9"/>
  <c r="AJ150" i="9"/>
  <c r="AG150" i="9"/>
  <c r="AO150" i="9"/>
  <c r="AE136" i="9"/>
  <c r="AI136" i="9"/>
  <c r="AF130" i="9"/>
  <c r="AG130" i="9"/>
  <c r="AO130" i="9"/>
  <c r="AN167" i="9"/>
  <c r="AK167" i="9"/>
  <c r="AG167" i="9"/>
  <c r="AD167" i="9"/>
  <c r="AF167" i="9"/>
  <c r="AI167" i="9"/>
  <c r="AE167" i="9"/>
  <c r="AO167" i="9"/>
  <c r="AJ167" i="9"/>
  <c r="AM167" i="9"/>
  <c r="AF166" i="9"/>
  <c r="AE166" i="9"/>
  <c r="AI166" i="9"/>
  <c r="AG166" i="9"/>
  <c r="AM166" i="9"/>
  <c r="AN166" i="9"/>
  <c r="F167" i="9"/>
  <c r="C167" i="9"/>
  <c r="F165" i="9"/>
  <c r="D165" i="9"/>
  <c r="C165" i="9"/>
  <c r="F163" i="9"/>
  <c r="C163" i="9"/>
  <c r="F161" i="9"/>
  <c r="D161" i="9"/>
  <c r="C161" i="9"/>
  <c r="F159" i="9"/>
  <c r="D159" i="9"/>
  <c r="C159" i="9"/>
  <c r="F157" i="9"/>
  <c r="D157" i="9"/>
  <c r="C157" i="9"/>
  <c r="F155" i="9"/>
  <c r="D155" i="9"/>
  <c r="C155" i="9"/>
  <c r="F153" i="9"/>
  <c r="D153" i="9"/>
  <c r="C153" i="9"/>
  <c r="F151" i="9"/>
  <c r="D151" i="9"/>
  <c r="C151" i="9"/>
  <c r="F149" i="9"/>
  <c r="E149" i="9"/>
  <c r="D149" i="9"/>
  <c r="C149" i="9"/>
  <c r="F147" i="9"/>
  <c r="E147" i="9"/>
  <c r="D147" i="9"/>
  <c r="C147" i="9"/>
  <c r="F145" i="9"/>
  <c r="E145" i="9"/>
  <c r="D145" i="9"/>
  <c r="C145" i="9"/>
  <c r="F142" i="9"/>
  <c r="E142" i="9"/>
  <c r="D142" i="9"/>
  <c r="C142" i="9"/>
  <c r="F140" i="9"/>
  <c r="E140" i="9"/>
  <c r="D140" i="9"/>
  <c r="C140" i="9"/>
  <c r="F138" i="9"/>
  <c r="E138" i="9"/>
  <c r="D138" i="9"/>
  <c r="C138" i="9"/>
  <c r="F136" i="9"/>
  <c r="E136" i="9"/>
  <c r="D136" i="9"/>
  <c r="C136" i="9"/>
  <c r="F134" i="9"/>
  <c r="E134" i="9"/>
  <c r="D134" i="9"/>
  <c r="C134" i="9"/>
  <c r="F132" i="9"/>
  <c r="E132" i="9"/>
  <c r="D132" i="9"/>
  <c r="C132" i="9"/>
  <c r="N129" i="9"/>
  <c r="M129" i="9"/>
  <c r="M163" i="9"/>
  <c r="Q163" i="9"/>
  <c r="M162" i="9"/>
  <c r="P162" i="9"/>
  <c r="Q162" i="9"/>
  <c r="M161" i="9"/>
  <c r="P161" i="9"/>
  <c r="Q161" i="9"/>
  <c r="M160" i="9"/>
  <c r="P160" i="9"/>
  <c r="Q160" i="9"/>
  <c r="M159" i="9"/>
  <c r="P159" i="9"/>
  <c r="Q159" i="9"/>
  <c r="M158" i="9"/>
  <c r="P158" i="9"/>
  <c r="Q158" i="9"/>
  <c r="M157" i="9"/>
  <c r="P157" i="9"/>
  <c r="Q157" i="9"/>
  <c r="M156" i="9"/>
  <c r="P156" i="9"/>
  <c r="Q156" i="9"/>
  <c r="M155" i="9"/>
  <c r="P155" i="9"/>
  <c r="M154" i="9"/>
  <c r="P154" i="9"/>
  <c r="M153" i="9"/>
  <c r="P153" i="9"/>
  <c r="M152" i="9"/>
  <c r="P152" i="9"/>
  <c r="M151" i="9"/>
  <c r="P151" i="9"/>
  <c r="M150" i="9"/>
  <c r="P150" i="9"/>
  <c r="M149" i="9"/>
  <c r="P149" i="9"/>
  <c r="M148" i="9"/>
  <c r="P148" i="9"/>
  <c r="M147" i="9"/>
  <c r="P147" i="9"/>
  <c r="M146" i="9"/>
  <c r="P146" i="9"/>
  <c r="M145" i="9"/>
  <c r="P145" i="9"/>
  <c r="M144" i="9"/>
  <c r="P144" i="9"/>
  <c r="M142" i="9"/>
  <c r="P142" i="9"/>
  <c r="M141" i="9"/>
  <c r="P141" i="9"/>
  <c r="M140" i="9"/>
  <c r="P140" i="9"/>
  <c r="M139" i="9"/>
  <c r="P139" i="9"/>
  <c r="M138" i="9"/>
  <c r="P138" i="9"/>
  <c r="M137" i="9"/>
  <c r="P137" i="9"/>
  <c r="M136" i="9"/>
  <c r="P136" i="9"/>
  <c r="M135" i="9"/>
  <c r="P135" i="9"/>
  <c r="M134" i="9"/>
  <c r="P134" i="9"/>
  <c r="M133" i="9"/>
  <c r="P133" i="9"/>
  <c r="Z161" i="9"/>
  <c r="U161" i="9"/>
  <c r="AA160" i="9"/>
  <c r="Z160" i="9"/>
  <c r="AA157" i="9"/>
  <c r="U157" i="9"/>
  <c r="Y154" i="9"/>
  <c r="S154" i="9"/>
  <c r="Y150" i="9"/>
  <c r="S150" i="9"/>
  <c r="X149" i="9"/>
  <c r="S149" i="9"/>
  <c r="AA146" i="9"/>
  <c r="S146" i="9"/>
  <c r="Z132" i="9"/>
  <c r="S132" i="9"/>
  <c r="AQ17" i="9"/>
  <c r="AR154" i="9"/>
  <c r="AS154" i="9"/>
  <c r="T88" i="9"/>
  <c r="U88" i="9"/>
  <c r="T65" i="9"/>
  <c r="U65" i="9"/>
  <c r="AN131" i="9"/>
  <c r="AE131" i="9"/>
  <c r="AD131" i="9"/>
  <c r="AI154" i="9"/>
  <c r="AO154" i="9"/>
  <c r="AE155" i="9"/>
  <c r="AD155" i="9"/>
  <c r="AJ155" i="9"/>
  <c r="AK155" i="9"/>
  <c r="AK154" i="9"/>
  <c r="AF154" i="9"/>
  <c r="AJ152" i="9"/>
  <c r="AM152" i="9"/>
  <c r="AO152" i="9"/>
  <c r="AE152" i="9"/>
  <c r="AF143" i="9"/>
  <c r="AI143" i="9"/>
  <c r="AO143" i="9"/>
  <c r="AJ143" i="9"/>
  <c r="T132" i="9"/>
  <c r="Y132" i="9"/>
  <c r="T139" i="9"/>
  <c r="X139" i="9"/>
  <c r="T144" i="9"/>
  <c r="X144" i="9"/>
  <c r="T149" i="9"/>
  <c r="Y149" i="9"/>
  <c r="U82" i="9"/>
  <c r="AS148" i="9"/>
  <c r="Y146" i="9"/>
  <c r="T146" i="9"/>
  <c r="X146" i="9"/>
  <c r="T150" i="9"/>
  <c r="X150" i="9"/>
  <c r="T154" i="9"/>
  <c r="X154" i="9"/>
  <c r="AA161" i="9"/>
  <c r="V86" i="9"/>
  <c r="AT152" i="9"/>
  <c r="Z134" i="9"/>
  <c r="V134" i="9"/>
  <c r="AA134" i="9"/>
  <c r="S142" i="9"/>
  <c r="X142" i="9"/>
  <c r="T142" i="9"/>
  <c r="Y157" i="9"/>
  <c r="T157" i="9"/>
  <c r="X157" i="9"/>
  <c r="V162" i="9"/>
  <c r="AA167" i="9"/>
  <c r="U167" i="9"/>
  <c r="J134" i="9"/>
  <c r="J138" i="9"/>
  <c r="J142" i="9"/>
  <c r="J147" i="9"/>
  <c r="H151" i="9"/>
  <c r="J155" i="9"/>
  <c r="H159" i="9"/>
  <c r="J163" i="9"/>
  <c r="H167" i="9"/>
  <c r="Z138" i="9"/>
  <c r="V138" i="9"/>
  <c r="V167" i="9"/>
  <c r="X167" i="9"/>
  <c r="AO131" i="9"/>
  <c r="AG131" i="9"/>
  <c r="Z167" i="9"/>
  <c r="O133" i="9"/>
  <c r="O134" i="9"/>
  <c r="O135" i="9"/>
  <c r="O136" i="9"/>
  <c r="O137" i="9"/>
  <c r="O138" i="9"/>
  <c r="O139" i="9"/>
  <c r="O140" i="9"/>
  <c r="O141" i="9"/>
  <c r="O142" i="9"/>
  <c r="O144" i="9"/>
  <c r="O145" i="9"/>
  <c r="O146" i="9"/>
  <c r="O147" i="9"/>
  <c r="O148" i="9"/>
  <c r="O149" i="9"/>
  <c r="O150" i="9"/>
  <c r="O151" i="9"/>
  <c r="O152" i="9"/>
  <c r="O153" i="9"/>
  <c r="O154" i="9"/>
  <c r="O155" i="9"/>
  <c r="O156" i="9"/>
  <c r="O158" i="9"/>
  <c r="O160" i="9"/>
  <c r="O162" i="9"/>
  <c r="V65" i="9"/>
  <c r="V88" i="9"/>
  <c r="AT154" i="9"/>
  <c r="U160" i="9"/>
  <c r="D163" i="9"/>
  <c r="F129" i="9"/>
  <c r="E129" i="9"/>
  <c r="C129" i="9"/>
  <c r="F164" i="9"/>
  <c r="E164" i="9"/>
  <c r="F160" i="9"/>
  <c r="E160" i="9"/>
  <c r="F156" i="9"/>
  <c r="E156" i="9"/>
  <c r="F152" i="9"/>
  <c r="E152" i="9"/>
  <c r="K167" i="9"/>
  <c r="H165" i="9"/>
  <c r="K165" i="9"/>
  <c r="K163" i="9"/>
  <c r="H161" i="9"/>
  <c r="K161" i="9"/>
  <c r="K159" i="9"/>
  <c r="H157" i="9"/>
  <c r="K157" i="9"/>
  <c r="K155" i="9"/>
  <c r="H153" i="9"/>
  <c r="K153" i="9"/>
  <c r="K151" i="9"/>
  <c r="H149" i="9"/>
  <c r="K149" i="9"/>
  <c r="K147" i="9"/>
  <c r="I146" i="9"/>
  <c r="J146" i="9"/>
  <c r="H145" i="9"/>
  <c r="K145" i="9"/>
  <c r="K142" i="9"/>
  <c r="I141" i="9"/>
  <c r="J141" i="9"/>
  <c r="H140" i="9"/>
  <c r="K140" i="9"/>
  <c r="K138" i="9"/>
  <c r="I137" i="9"/>
  <c r="J137" i="9"/>
  <c r="H136" i="9"/>
  <c r="K136" i="9"/>
  <c r="K134" i="9"/>
  <c r="I133" i="9"/>
  <c r="J133" i="9"/>
  <c r="H132" i="9"/>
  <c r="K132" i="9"/>
  <c r="O129" i="9"/>
  <c r="M165" i="9"/>
  <c r="Q165" i="9"/>
  <c r="N163" i="9"/>
  <c r="N162" i="9"/>
  <c r="N161" i="9"/>
  <c r="N160" i="9"/>
  <c r="N159" i="9"/>
  <c r="N158" i="9"/>
  <c r="N157" i="9"/>
  <c r="N156" i="9"/>
  <c r="N155" i="9"/>
  <c r="N154" i="9"/>
  <c r="N153" i="9"/>
  <c r="N152" i="9"/>
  <c r="N151" i="9"/>
  <c r="N150" i="9"/>
  <c r="N149" i="9"/>
  <c r="N148" i="9"/>
  <c r="N147" i="9"/>
  <c r="N146" i="9"/>
  <c r="N145" i="9"/>
  <c r="N144" i="9"/>
  <c r="N142" i="9"/>
  <c r="N141" i="9"/>
  <c r="N140" i="9"/>
  <c r="N139" i="9"/>
  <c r="N138" i="9"/>
  <c r="N137" i="9"/>
  <c r="N136" i="9"/>
  <c r="N135" i="9"/>
  <c r="N134" i="9"/>
  <c r="N133" i="9"/>
  <c r="U154" i="9"/>
  <c r="U150" i="9"/>
  <c r="U144" i="9"/>
  <c r="S139" i="9"/>
  <c r="U132" i="9"/>
  <c r="Y164" i="9"/>
  <c r="V164" i="9"/>
  <c r="X161" i="9"/>
  <c r="X155" i="9"/>
  <c r="T155" i="9"/>
  <c r="Y155" i="9"/>
  <c r="S155" i="9"/>
  <c r="Z151" i="9"/>
  <c r="S151" i="9"/>
  <c r="AA150" i="9"/>
  <c r="Z149" i="9"/>
  <c r="X145" i="9"/>
  <c r="T145" i="9"/>
  <c r="Y145" i="9"/>
  <c r="S145" i="9"/>
  <c r="AA144" i="9"/>
  <c r="AA141" i="9"/>
  <c r="U141" i="9"/>
  <c r="X140" i="9"/>
  <c r="U140" i="9"/>
  <c r="Y139" i="9"/>
  <c r="AA137" i="9"/>
  <c r="U137" i="9"/>
  <c r="Z136" i="9"/>
  <c r="U136" i="9"/>
  <c r="Y135" i="9"/>
  <c r="T135" i="9"/>
  <c r="X135" i="9"/>
  <c r="S135" i="9"/>
  <c r="X132" i="9"/>
  <c r="Y130" i="9"/>
  <c r="S130" i="9"/>
  <c r="AQ53" i="9"/>
  <c r="AF165" i="9"/>
  <c r="AQ51" i="9"/>
  <c r="AQ49" i="9"/>
  <c r="AN161" i="9"/>
  <c r="AQ44" i="9"/>
  <c r="AR137" i="9"/>
  <c r="AS137" i="9"/>
  <c r="T74" i="9"/>
  <c r="U74" i="9"/>
  <c r="AQ52" i="9"/>
  <c r="AQ50" i="9"/>
  <c r="AM162" i="9"/>
  <c r="AQ45" i="9"/>
  <c r="AK161" i="9"/>
  <c r="AO161" i="9"/>
  <c r="AI161" i="9"/>
  <c r="AG161" i="9"/>
  <c r="AJ161" i="9"/>
  <c r="AM165" i="9"/>
  <c r="AG165" i="9"/>
  <c r="AI165" i="9"/>
  <c r="AE165" i="9"/>
  <c r="AD165" i="9"/>
  <c r="AJ162" i="9"/>
  <c r="AI162" i="9"/>
  <c r="AO162" i="9"/>
  <c r="AG162" i="9"/>
  <c r="AK162" i="9"/>
  <c r="AI157" i="9"/>
  <c r="AF157" i="9"/>
  <c r="AM157" i="9"/>
  <c r="AJ157" i="9"/>
  <c r="AG157" i="9"/>
  <c r="AK157" i="9"/>
  <c r="AO157" i="9"/>
  <c r="AE157" i="9"/>
  <c r="AN157" i="9"/>
  <c r="AD157" i="9"/>
  <c r="AM164" i="9"/>
  <c r="AJ164" i="9"/>
  <c r="AF164" i="9"/>
  <c r="AI164" i="9"/>
  <c r="AE164" i="9"/>
  <c r="AD164" i="9"/>
  <c r="AK164" i="9"/>
  <c r="AO164" i="9"/>
  <c r="AN164" i="9"/>
  <c r="AG164" i="9"/>
  <c r="AM156" i="9"/>
  <c r="AJ156" i="9"/>
  <c r="AF156" i="9"/>
  <c r="AI156" i="9"/>
  <c r="AE156" i="9"/>
  <c r="AD156" i="9"/>
  <c r="AK156" i="9"/>
  <c r="AO156" i="9"/>
  <c r="AN156" i="9"/>
  <c r="AG156" i="9"/>
  <c r="AN163" i="9"/>
  <c r="AK163" i="9"/>
  <c r="AF163" i="9"/>
  <c r="AO163" i="9"/>
  <c r="AE163" i="9"/>
  <c r="AD163" i="9"/>
  <c r="AJ163" i="9"/>
  <c r="AI163" i="9"/>
  <c r="AM163" i="9"/>
  <c r="AG163" i="9"/>
  <c r="AN129" i="9"/>
  <c r="AK129" i="9"/>
  <c r="AG129" i="9"/>
  <c r="AJ129" i="9"/>
  <c r="AF129" i="9"/>
  <c r="AM129" i="9"/>
  <c r="AO129" i="9"/>
  <c r="AD129" i="9"/>
  <c r="AE129" i="9"/>
  <c r="AI129" i="9"/>
  <c r="H41" i="10"/>
  <c r="AF42" i="1" s="1"/>
  <c r="H36" i="10"/>
  <c r="AF37" i="1" s="1"/>
  <c r="AM74" i="15"/>
  <c r="AM75" i="15"/>
  <c r="AM7" i="15"/>
  <c r="P5" i="7"/>
  <c r="AS18" i="15"/>
  <c r="AT8" i="15"/>
  <c r="D43" i="12"/>
  <c r="D52" i="5"/>
  <c r="AB40" i="11"/>
  <c r="D38" i="12"/>
  <c r="E38" i="12"/>
  <c r="B47" i="5"/>
  <c r="C41" i="13"/>
  <c r="D41" i="13"/>
  <c r="CN32" i="1"/>
  <c r="AG145" i="8"/>
  <c r="AN21" i="7"/>
  <c r="K20" i="7"/>
  <c r="BU20" i="7"/>
  <c r="AN23" i="7"/>
  <c r="K25" i="7"/>
  <c r="BU25" i="7"/>
  <c r="BU23" i="7"/>
  <c r="BU26" i="7"/>
  <c r="AI89" i="8"/>
  <c r="C16" i="13"/>
  <c r="D16" i="13" s="1"/>
  <c r="Y69" i="1"/>
  <c r="AB16" i="11"/>
  <c r="V15" i="7"/>
  <c r="Y15" i="7" s="1"/>
  <c r="AY15" i="7" s="1"/>
  <c r="BH11" i="15"/>
  <c r="BI11" i="15" s="1"/>
  <c r="AI63" i="8"/>
  <c r="D14" i="12"/>
  <c r="E14" i="12" s="1"/>
  <c r="K12" i="8"/>
  <c r="K110" i="8" s="1"/>
  <c r="AG110" i="8" s="1"/>
  <c r="B45" i="5"/>
  <c r="CN25" i="1"/>
  <c r="C39" i="13"/>
  <c r="D39" i="13"/>
  <c r="D40" i="12"/>
  <c r="E40" i="12"/>
  <c r="D55" i="5"/>
  <c r="K142" i="8"/>
  <c r="AG142" i="8"/>
  <c r="AI95" i="8"/>
  <c r="K26" i="8"/>
  <c r="K124" i="8"/>
  <c r="D47" i="5"/>
  <c r="K36" i="8"/>
  <c r="K134" i="8"/>
  <c r="CN51" i="1"/>
  <c r="BH35" i="15"/>
  <c r="BI35" i="15"/>
  <c r="AI87" i="8"/>
  <c r="J39" i="7"/>
  <c r="M39" i="7"/>
  <c r="BP39" i="7"/>
  <c r="BQ39" i="7"/>
  <c r="C37" i="13"/>
  <c r="D37" i="13"/>
  <c r="AI72" i="8"/>
  <c r="B46" i="5"/>
  <c r="CN52" i="1"/>
  <c r="AB41" i="11"/>
  <c r="D44" i="5"/>
  <c r="J36" i="7"/>
  <c r="M36" i="7"/>
  <c r="BP36" i="7"/>
  <c r="AI84" i="8"/>
  <c r="J44" i="7"/>
  <c r="M44" i="7"/>
  <c r="BP44" i="7"/>
  <c r="AI92" i="8"/>
  <c r="K40" i="8"/>
  <c r="K138" i="8"/>
  <c r="AG138" i="8"/>
  <c r="D42" i="12"/>
  <c r="AI91" i="8"/>
  <c r="AB10" i="11"/>
  <c r="D264" i="3"/>
  <c r="J20" i="7"/>
  <c r="M20" i="7"/>
  <c r="BP20" i="7"/>
  <c r="C21" i="13"/>
  <c r="D21" i="13"/>
  <c r="AB24" i="11"/>
  <c r="K20" i="8"/>
  <c r="K118" i="8"/>
  <c r="AG118" i="8"/>
  <c r="AI71" i="8"/>
  <c r="AI54" i="8"/>
  <c r="BL2" i="7"/>
  <c r="C36" i="1"/>
  <c r="BS8" i="7"/>
  <c r="BU18" i="7"/>
  <c r="B39" i="5"/>
  <c r="AT4" i="9"/>
  <c r="AT7" i="9" s="1"/>
  <c r="AT3" i="9"/>
  <c r="B3" i="16"/>
  <c r="H5" i="10"/>
  <c r="AF6" i="1" s="1"/>
  <c r="H42" i="10"/>
  <c r="AF43" i="1" s="1"/>
  <c r="H46" i="10"/>
  <c r="H15" i="10"/>
  <c r="AF16" i="1" s="1"/>
  <c r="H30" i="10"/>
  <c r="AF31" i="1" s="1"/>
  <c r="H3" i="10"/>
  <c r="AF4" i="1" s="1"/>
  <c r="H31" i="10"/>
  <c r="AF32" i="1" s="1"/>
  <c r="H32" i="10"/>
  <c r="AF33" i="1" s="1"/>
  <c r="H48" i="10"/>
  <c r="AF49" i="1" s="1"/>
  <c r="H12" i="10"/>
  <c r="AF13" i="1" s="1"/>
  <c r="H33" i="10"/>
  <c r="AF34" i="1"/>
  <c r="AF47" i="1"/>
  <c r="AD162" i="9"/>
  <c r="AN162" i="9"/>
  <c r="AE162" i="9"/>
  <c r="AF162" i="9"/>
  <c r="AN165" i="9"/>
  <c r="AO165" i="9"/>
  <c r="AK165" i="9"/>
  <c r="AJ165" i="9"/>
  <c r="AD161" i="9"/>
  <c r="AM161" i="9"/>
  <c r="AE161" i="9"/>
  <c r="AF161" i="9"/>
  <c r="AO153" i="9"/>
  <c r="AG153" i="9"/>
  <c r="AM153" i="9"/>
  <c r="AF153" i="9"/>
  <c r="AN145" i="9"/>
  <c r="AD145" i="9"/>
  <c r="AF145" i="9"/>
  <c r="AG145" i="9"/>
  <c r="AI133" i="9"/>
  <c r="AJ133" i="9"/>
  <c r="AE133" i="9"/>
  <c r="AM133" i="9"/>
  <c r="AE143" i="9"/>
  <c r="AM143" i="9"/>
  <c r="AN143" i="9"/>
  <c r="AG143" i="9"/>
  <c r="AK143" i="9"/>
  <c r="AI147" i="9"/>
  <c r="AN147" i="9"/>
  <c r="AE147" i="9"/>
  <c r="AO147" i="9"/>
  <c r="AM147" i="9"/>
  <c r="AF147" i="9"/>
  <c r="AK147" i="9"/>
  <c r="AD147" i="9"/>
  <c r="AI152" i="9"/>
  <c r="AN152" i="9"/>
  <c r="AG152" i="9"/>
  <c r="AF152" i="9"/>
  <c r="AD152" i="9"/>
  <c r="AI155" i="9"/>
  <c r="AN155" i="9"/>
  <c r="AO155" i="9"/>
  <c r="AG155" i="9"/>
  <c r="AJ141" i="9"/>
  <c r="AI141" i="9"/>
  <c r="AD141" i="9"/>
  <c r="AO141" i="9"/>
  <c r="AN141" i="9"/>
  <c r="AI149" i="9"/>
  <c r="AK149" i="9"/>
  <c r="AJ149" i="9"/>
  <c r="AJ154" i="9"/>
  <c r="AE154" i="9"/>
  <c r="AJ146" i="9"/>
  <c r="AI146" i="9"/>
  <c r="AD146" i="9"/>
  <c r="AO146" i="9"/>
  <c r="AN146" i="9"/>
  <c r="AI158" i="9"/>
  <c r="AE158" i="9"/>
  <c r="AF131" i="9"/>
  <c r="AK131" i="9"/>
  <c r="F166" i="9"/>
  <c r="E166" i="9"/>
  <c r="F150" i="9"/>
  <c r="E150" i="9"/>
  <c r="D150" i="9"/>
  <c r="F141" i="9"/>
  <c r="E141" i="9"/>
  <c r="D141" i="9"/>
  <c r="F133" i="9"/>
  <c r="E133" i="9"/>
  <c r="D133" i="9"/>
  <c r="S161" i="9"/>
  <c r="X129" i="9"/>
  <c r="AA163" i="9"/>
  <c r="U163" i="9"/>
  <c r="X162" i="9"/>
  <c r="Z155" i="9"/>
  <c r="AA155" i="9"/>
  <c r="Z152" i="9"/>
  <c r="S152" i="9"/>
  <c r="Y147" i="9"/>
  <c r="T147" i="9"/>
  <c r="X147" i="9"/>
  <c r="S147" i="9"/>
  <c r="Z140" i="9"/>
  <c r="S140" i="9"/>
  <c r="AA140" i="9"/>
  <c r="V140" i="9"/>
  <c r="AA138" i="9"/>
  <c r="T138" i="9"/>
  <c r="S138" i="9"/>
  <c r="U138" i="9"/>
  <c r="S136" i="9"/>
  <c r="AA136" i="9"/>
  <c r="V136" i="9"/>
  <c r="AA135" i="9"/>
  <c r="Z135" i="9"/>
  <c r="U130" i="9"/>
  <c r="Z130" i="9"/>
  <c r="V130" i="9"/>
  <c r="AQ27" i="9"/>
  <c r="AQ25" i="9"/>
  <c r="AQ23" i="9"/>
  <c r="AS165" i="9"/>
  <c r="AT165" i="9"/>
  <c r="AS163" i="9"/>
  <c r="AT163" i="9"/>
  <c r="AR151" i="9"/>
  <c r="AT151" i="9"/>
  <c r="AR147" i="9"/>
  <c r="AT147" i="9"/>
  <c r="AS140" i="9"/>
  <c r="AS136" i="9"/>
  <c r="AR134" i="9"/>
  <c r="AT134" i="9"/>
  <c r="T97" i="9"/>
  <c r="V97" i="9"/>
  <c r="U91" i="9"/>
  <c r="T86" i="9"/>
  <c r="U86" i="9"/>
  <c r="X93" i="9"/>
  <c r="Y93" i="9"/>
  <c r="X77" i="9"/>
  <c r="Y77" i="9"/>
  <c r="Y73" i="9"/>
  <c r="X73" i="9"/>
  <c r="F158" i="9"/>
  <c r="E158" i="9"/>
  <c r="D158" i="9"/>
  <c r="F146" i="9"/>
  <c r="E146" i="9"/>
  <c r="D146" i="9"/>
  <c r="F137" i="9"/>
  <c r="E137" i="9"/>
  <c r="D137" i="9"/>
  <c r="I129" i="9"/>
  <c r="K129" i="9"/>
  <c r="I166" i="9"/>
  <c r="H166" i="9"/>
  <c r="J166" i="9"/>
  <c r="H160" i="9"/>
  <c r="J160" i="9"/>
  <c r="I158" i="9"/>
  <c r="H158" i="9"/>
  <c r="J158" i="9"/>
  <c r="H152" i="9"/>
  <c r="J152" i="9"/>
  <c r="I150" i="9"/>
  <c r="H150" i="9"/>
  <c r="J150" i="9"/>
  <c r="M164" i="9"/>
  <c r="Q164" i="9"/>
  <c r="Z166" i="9"/>
  <c r="T166" i="9"/>
  <c r="T164" i="9"/>
  <c r="X164" i="9"/>
  <c r="AA158" i="9"/>
  <c r="X158" i="9"/>
  <c r="V158" i="9"/>
  <c r="Z157" i="9"/>
  <c r="S157" i="9"/>
  <c r="Z154" i="9"/>
  <c r="AA154" i="9"/>
  <c r="T153" i="9"/>
  <c r="U153" i="9"/>
  <c r="U151" i="9"/>
  <c r="Y151" i="9"/>
  <c r="T151" i="9"/>
  <c r="S148" i="9"/>
  <c r="U148" i="9"/>
  <c r="Z148" i="9"/>
  <c r="V148" i="9"/>
  <c r="Z145" i="9"/>
  <c r="AA145" i="9"/>
  <c r="U142" i="9"/>
  <c r="V142" i="9"/>
  <c r="X141" i="9"/>
  <c r="T141" i="9"/>
  <c r="Y141" i="9"/>
  <c r="U139" i="9"/>
  <c r="V139" i="9"/>
  <c r="Z137" i="9"/>
  <c r="V137" i="9"/>
  <c r="U134" i="9"/>
  <c r="Y134" i="9"/>
  <c r="X134" i="9"/>
  <c r="AA133" i="9"/>
  <c r="X133" i="9"/>
  <c r="T133" i="9"/>
  <c r="Y133" i="9"/>
  <c r="AI160" i="9"/>
  <c r="AE160" i="9"/>
  <c r="AM160" i="9"/>
  <c r="AD160" i="9"/>
  <c r="AF160" i="9"/>
  <c r="AQ30" i="9"/>
  <c r="AQ28" i="9"/>
  <c r="AF138" i="9"/>
  <c r="AM138" i="9"/>
  <c r="AI138" i="9"/>
  <c r="AE138" i="9"/>
  <c r="AN138" i="9"/>
  <c r="AS166" i="9"/>
  <c r="AT166" i="9"/>
  <c r="AS164" i="9"/>
  <c r="AT164" i="9"/>
  <c r="AS162" i="9"/>
  <c r="AT162" i="9"/>
  <c r="AR145" i="9"/>
  <c r="AT145" i="9"/>
  <c r="T95" i="9"/>
  <c r="V95" i="9"/>
  <c r="T87" i="9"/>
  <c r="V87" i="9"/>
  <c r="T83" i="9"/>
  <c r="V83" i="9"/>
  <c r="T80" i="9"/>
  <c r="V80" i="9"/>
  <c r="T68" i="9"/>
  <c r="U68" i="9"/>
  <c r="V68" i="9"/>
  <c r="V66" i="9"/>
  <c r="T66" i="9"/>
  <c r="X85" i="9"/>
  <c r="Y85" i="9"/>
  <c r="X68" i="9"/>
  <c r="Y68" i="9"/>
  <c r="M131" i="9"/>
  <c r="O131" i="9"/>
  <c r="Q131" i="9"/>
  <c r="AR12" i="7"/>
  <c r="AC13" i="1"/>
  <c r="AC10" i="1"/>
  <c r="AR9" i="7"/>
  <c r="AD74" i="15"/>
  <c r="AD75" i="15"/>
  <c r="AD7" i="15"/>
  <c r="AJ74" i="15"/>
  <c r="AJ75" i="15"/>
  <c r="AJ7" i="15"/>
  <c r="AD139" i="9"/>
  <c r="AK139" i="9"/>
  <c r="AM139" i="9"/>
  <c r="AF139" i="9"/>
  <c r="AE139" i="9"/>
  <c r="AO139" i="9"/>
  <c r="AG139" i="9"/>
  <c r="AJ139" i="9"/>
  <c r="AI139" i="9"/>
  <c r="AN139" i="9"/>
  <c r="AE140" i="9"/>
  <c r="AM140" i="9"/>
  <c r="AJ140" i="9"/>
  <c r="AO140" i="9"/>
  <c r="AK140" i="9"/>
  <c r="AI140" i="9"/>
  <c r="AN140" i="9"/>
  <c r="AD140" i="9"/>
  <c r="AG140" i="9"/>
  <c r="AF140" i="9"/>
  <c r="AI135" i="9"/>
  <c r="AE135" i="9"/>
  <c r="AO135" i="9"/>
  <c r="AD135" i="9"/>
  <c r="AF135" i="9"/>
  <c r="AN135" i="9"/>
  <c r="AG135" i="9"/>
  <c r="AM135" i="9"/>
  <c r="AK135" i="9"/>
  <c r="AJ135" i="9"/>
  <c r="AK142" i="9"/>
  <c r="AM142" i="9"/>
  <c r="AE142" i="9"/>
  <c r="AO142" i="9"/>
  <c r="AN142" i="9"/>
  <c r="AI142" i="9"/>
  <c r="AJ142" i="9"/>
  <c r="AF142" i="9"/>
  <c r="AD142" i="9"/>
  <c r="AG142" i="9"/>
  <c r="AK137" i="9"/>
  <c r="AJ137" i="9"/>
  <c r="AI137" i="9"/>
  <c r="AO137" i="9"/>
  <c r="AG137" i="9"/>
  <c r="AD137" i="9"/>
  <c r="AM137" i="9"/>
  <c r="AE137" i="9"/>
  <c r="AF137" i="9"/>
  <c r="AN137" i="9"/>
  <c r="K14" i="7"/>
  <c r="T15" i="7" s="1"/>
  <c r="AS15" i="7" s="1"/>
  <c r="J14" i="7"/>
  <c r="T3" i="7"/>
  <c r="AS3" i="7" s="1"/>
  <c r="T6" i="7"/>
  <c r="AS6" i="7" s="1"/>
  <c r="T5" i="7"/>
  <c r="AS5" i="7"/>
  <c r="AU9" i="8"/>
  <c r="P9" i="8"/>
  <c r="AN60" i="8"/>
  <c r="N107" i="8"/>
  <c r="D39" i="8"/>
  <c r="D47" i="8"/>
  <c r="D40" i="8"/>
  <c r="D48" i="8"/>
  <c r="E25" i="8"/>
  <c r="D27" i="8"/>
  <c r="F25" i="8"/>
  <c r="F27" i="8"/>
  <c r="D317" i="3"/>
  <c r="C323" i="3"/>
  <c r="W30" i="8"/>
  <c r="X76" i="8"/>
  <c r="AB16" i="8"/>
  <c r="AU13" i="8"/>
  <c r="P13" i="8"/>
  <c r="AN64" i="8"/>
  <c r="D46" i="8"/>
  <c r="D38" i="8"/>
  <c r="D45" i="8"/>
  <c r="D37" i="8"/>
  <c r="F64" i="15"/>
  <c r="D64" i="15" s="1"/>
  <c r="F65" i="15"/>
  <c r="D65" i="15" s="1"/>
  <c r="D43" i="15" s="1"/>
  <c r="B38" i="14"/>
  <c r="B41" i="14"/>
  <c r="F15" i="14"/>
  <c r="CA205" i="1"/>
  <c r="CL43" i="1"/>
  <c r="AZ33" i="1"/>
  <c r="EE24" i="1"/>
  <c r="EM24" i="1"/>
  <c r="BG54" i="15"/>
  <c r="AM31" i="1"/>
  <c r="AM46" i="1"/>
  <c r="AM42" i="1"/>
  <c r="AM47" i="1"/>
  <c r="AM37" i="1"/>
  <c r="AM36" i="1"/>
  <c r="AM33" i="1"/>
  <c r="AM27" i="1"/>
  <c r="AM43" i="1"/>
  <c r="AM8" i="1"/>
  <c r="AM32" i="1"/>
  <c r="AM35" i="1"/>
  <c r="AM45" i="1"/>
  <c r="AM44" i="1"/>
  <c r="AM34" i="1"/>
  <c r="AM29" i="1"/>
  <c r="AM40" i="1"/>
  <c r="AM11" i="1"/>
  <c r="AM26" i="1"/>
  <c r="D45" i="12"/>
  <c r="E45" i="12"/>
  <c r="D54" i="5"/>
  <c r="X53" i="14"/>
  <c r="CN33" i="1"/>
  <c r="C42" i="13"/>
  <c r="D42" i="13"/>
  <c r="BH19" i="15"/>
  <c r="BI19" i="15"/>
  <c r="AB45" i="11"/>
  <c r="D49" i="5"/>
  <c r="K38" i="8"/>
  <c r="K136" i="8"/>
  <c r="C38" i="13"/>
  <c r="J40" i="7"/>
  <c r="M40" i="7"/>
  <c r="BP40" i="7"/>
  <c r="BQ40" i="7"/>
  <c r="D39" i="12"/>
  <c r="E39" i="12"/>
  <c r="AI88" i="8"/>
  <c r="D39" i="5"/>
  <c r="J31" i="7"/>
  <c r="AI79" i="8"/>
  <c r="X4" i="14"/>
  <c r="Y63" i="1"/>
  <c r="BH5" i="15"/>
  <c r="D4" i="12"/>
  <c r="E4" i="12"/>
  <c r="C6" i="13"/>
  <c r="D6" i="13"/>
  <c r="CL44" i="1"/>
  <c r="AZ49" i="1"/>
  <c r="CL51" i="1"/>
  <c r="AZ40" i="1"/>
  <c r="CZ63" i="1"/>
  <c r="CL10" i="1"/>
  <c r="CL16" i="1"/>
  <c r="AZ4" i="1"/>
  <c r="CL24" i="1"/>
  <c r="C322" i="3"/>
  <c r="C321" i="3"/>
  <c r="D319" i="3"/>
  <c r="BB52" i="1"/>
  <c r="D171" i="3"/>
  <c r="AN52" i="1"/>
  <c r="AD52" i="1"/>
  <c r="J1" i="12"/>
  <c r="BM53" i="7"/>
  <c r="G121" i="3"/>
  <c r="F122" i="3"/>
  <c r="H22" i="12"/>
  <c r="T93" i="15"/>
  <c r="T30" i="15"/>
  <c r="R93" i="15"/>
  <c r="R30" i="15"/>
  <c r="AI30" i="15"/>
  <c r="U93" i="15"/>
  <c r="U30" i="15"/>
  <c r="AC93" i="15"/>
  <c r="AC30" i="15"/>
  <c r="X93" i="15"/>
  <c r="X30" i="15"/>
  <c r="Z93" i="15"/>
  <c r="Z30" i="15"/>
  <c r="AB93" i="15"/>
  <c r="AB30" i="15"/>
  <c r="Y93" i="15"/>
  <c r="Y30" i="15"/>
  <c r="AA93" i="15"/>
  <c r="AA30" i="15"/>
  <c r="L93" i="15"/>
  <c r="L30" i="15"/>
  <c r="O93" i="15"/>
  <c r="O30" i="15"/>
  <c r="BG30" i="15"/>
  <c r="EQ27" i="1"/>
  <c r="K93" i="15"/>
  <c r="K30" i="15"/>
  <c r="M93" i="15"/>
  <c r="M30" i="15"/>
  <c r="I93" i="15"/>
  <c r="I30" i="15"/>
  <c r="N93" i="15"/>
  <c r="N30" i="15"/>
  <c r="J93" i="15"/>
  <c r="J30" i="15"/>
  <c r="F93" i="15"/>
  <c r="F30" i="15"/>
  <c r="AJ30" i="15"/>
  <c r="H93" i="15"/>
  <c r="H30" i="15"/>
  <c r="S93" i="15"/>
  <c r="S30" i="15"/>
  <c r="AE30" i="15"/>
  <c r="H29" i="12"/>
  <c r="H16" i="12"/>
  <c r="AD18" i="1"/>
  <c r="Q93" i="15"/>
  <c r="Q30" i="15"/>
  <c r="E93" i="15"/>
  <c r="E30" i="15"/>
  <c r="AG30" i="15"/>
  <c r="AZ13" i="1"/>
  <c r="H23" i="12"/>
  <c r="H24" i="12"/>
  <c r="AN26" i="1"/>
  <c r="H4" i="12"/>
  <c r="H26" i="12"/>
  <c r="H33" i="12"/>
  <c r="H28" i="12"/>
  <c r="H38" i="12"/>
  <c r="AD40" i="1"/>
  <c r="AN24" i="1"/>
  <c r="AD31" i="1"/>
  <c r="AH30" i="15"/>
  <c r="AN40" i="1"/>
  <c r="AU11" i="8"/>
  <c r="P11" i="8"/>
  <c r="AN62" i="8"/>
  <c r="AU17" i="8"/>
  <c r="P17" i="8"/>
  <c r="N115" i="8"/>
  <c r="AF68" i="11"/>
  <c r="E27" i="11"/>
  <c r="AN6" i="1"/>
  <c r="N94" i="15"/>
  <c r="N31" i="15"/>
  <c r="M92" i="15"/>
  <c r="M29" i="15"/>
  <c r="Q92" i="15"/>
  <c r="Q29" i="15"/>
  <c r="Y94" i="15"/>
  <c r="Y31" i="15"/>
  <c r="T94" i="15"/>
  <c r="T31" i="15"/>
  <c r="AA94" i="15"/>
  <c r="AA31" i="15"/>
  <c r="L94" i="15"/>
  <c r="L31" i="15"/>
  <c r="AN35" i="1"/>
  <c r="AD35" i="1"/>
  <c r="AN18" i="1"/>
  <c r="AD24" i="1"/>
  <c r="H43" i="12"/>
  <c r="H9" i="12"/>
  <c r="H8" i="12"/>
  <c r="H39" i="12"/>
  <c r="H25" i="12"/>
  <c r="H18" i="12"/>
  <c r="H7" i="12"/>
  <c r="H10" i="12"/>
  <c r="H17" i="12"/>
  <c r="H34" i="12"/>
  <c r="H35" i="12"/>
  <c r="H19" i="12"/>
  <c r="H5" i="12"/>
  <c r="H20" i="12"/>
  <c r="H45" i="12"/>
  <c r="H6" i="12"/>
  <c r="H21" i="12"/>
  <c r="E21" i="12"/>
  <c r="H40" i="12"/>
  <c r="H31" i="12"/>
  <c r="AD6" i="1"/>
  <c r="AD26" i="1"/>
  <c r="AN31" i="1"/>
  <c r="H46" i="12"/>
  <c r="E46" i="12"/>
  <c r="H37" i="12"/>
  <c r="H3" i="12"/>
  <c r="H44" i="12"/>
  <c r="H2" i="12"/>
  <c r="H41" i="12"/>
  <c r="H36" i="12"/>
  <c r="H30" i="12"/>
  <c r="H42" i="12"/>
  <c r="H32" i="12"/>
  <c r="H27" i="12"/>
  <c r="K221" i="3"/>
  <c r="P6" i="7"/>
  <c r="D247" i="3"/>
  <c r="F53" i="8"/>
  <c r="D93" i="15"/>
  <c r="D30" i="15"/>
  <c r="AD30" i="15"/>
  <c r="G93" i="15"/>
  <c r="G30" i="15"/>
  <c r="AF30" i="15"/>
  <c r="P93" i="15"/>
  <c r="P30" i="15"/>
  <c r="BG44" i="15"/>
  <c r="BG43" i="15"/>
  <c r="BJ49" i="15"/>
  <c r="BO2" i="7"/>
  <c r="BP3" i="7"/>
  <c r="BP2" i="7"/>
  <c r="BQ2" i="7"/>
  <c r="BM26" i="7"/>
  <c r="BM31" i="7"/>
  <c r="AU26" i="8"/>
  <c r="P26" i="8"/>
  <c r="AN77" i="8"/>
  <c r="AU43" i="8"/>
  <c r="P43" i="8"/>
  <c r="AN94" i="8"/>
  <c r="Y48" i="8"/>
  <c r="P48" i="8"/>
  <c r="N144" i="8"/>
  <c r="AU49" i="8"/>
  <c r="AU42" i="8"/>
  <c r="P42" i="8"/>
  <c r="AU41" i="8"/>
  <c r="P41" i="8"/>
  <c r="N139" i="8"/>
  <c r="AU39" i="8"/>
  <c r="P39" i="8"/>
  <c r="AN90" i="8"/>
  <c r="AU48" i="8"/>
  <c r="AU50" i="8"/>
  <c r="P25" i="8"/>
  <c r="AU35" i="8"/>
  <c r="P35" i="8"/>
  <c r="AN86" i="8"/>
  <c r="Y49" i="8"/>
  <c r="P49" i="8"/>
  <c r="AU37" i="8"/>
  <c r="P37" i="8"/>
  <c r="AN88" i="8"/>
  <c r="AU28" i="8"/>
  <c r="P28" i="8"/>
  <c r="N126" i="8"/>
  <c r="Y50" i="8"/>
  <c r="P50" i="8"/>
  <c r="N146" i="8"/>
  <c r="AU5" i="8"/>
  <c r="P5" i="8"/>
  <c r="AN56" i="8"/>
  <c r="AU31" i="8"/>
  <c r="P31" i="8"/>
  <c r="AN82" i="8"/>
  <c r="AU40" i="8"/>
  <c r="P40" i="8"/>
  <c r="AN91" i="8"/>
  <c r="AU22" i="8"/>
  <c r="P22" i="8"/>
  <c r="AN73" i="8"/>
  <c r="T92" i="15"/>
  <c r="T29" i="15"/>
  <c r="F92" i="15"/>
  <c r="F29" i="15"/>
  <c r="AJ29" i="15"/>
  <c r="CA204" i="1"/>
  <c r="CA210" i="1" s="1"/>
  <c r="CB211" i="1" s="1"/>
  <c r="D34" i="8"/>
  <c r="B37" i="14"/>
  <c r="B34" i="14"/>
  <c r="C42" i="14"/>
  <c r="B42" i="14" s="1"/>
  <c r="D41" i="8"/>
  <c r="D49" i="8"/>
  <c r="D42" i="8"/>
  <c r="D44" i="8"/>
  <c r="D51" i="8"/>
  <c r="D43" i="8"/>
  <c r="B40" i="14"/>
  <c r="B43" i="14"/>
  <c r="B35" i="14"/>
  <c r="G27" i="14"/>
  <c r="AG68" i="11"/>
  <c r="AF67" i="11"/>
  <c r="E26" i="11"/>
  <c r="Q6" i="11"/>
  <c r="AU6" i="1" s="1"/>
  <c r="Q16" i="11"/>
  <c r="AU16" i="1" s="1"/>
  <c r="Q21" i="11"/>
  <c r="AU21" i="1" s="1"/>
  <c r="Q31" i="11"/>
  <c r="Q37" i="11"/>
  <c r="AU37" i="1" s="1"/>
  <c r="Q41" i="11"/>
  <c r="AU41" i="1" s="1"/>
  <c r="Q43" i="11"/>
  <c r="AU43" i="1" s="1"/>
  <c r="Q45" i="11"/>
  <c r="AU45" i="1" s="1"/>
  <c r="Q47" i="11"/>
  <c r="AU47" i="1" s="1"/>
  <c r="Q4" i="11"/>
  <c r="Q18" i="11"/>
  <c r="AU18" i="1" s="1"/>
  <c r="Q24" i="11"/>
  <c r="AU24" i="1" s="1"/>
  <c r="Q32" i="11"/>
  <c r="AU32" i="1" s="1"/>
  <c r="Q34" i="11"/>
  <c r="AU34" i="1" s="1"/>
  <c r="Q36" i="11"/>
  <c r="AU36" i="1" s="1"/>
  <c r="Q40" i="11"/>
  <c r="H15" i="12"/>
  <c r="H13" i="12"/>
  <c r="H14" i="12"/>
  <c r="H12" i="12"/>
  <c r="H11" i="12"/>
  <c r="H47" i="12"/>
  <c r="AF4" i="11"/>
  <c r="R80" i="11"/>
  <c r="AG76" i="11"/>
  <c r="AW26" i="11"/>
  <c r="AT17" i="11"/>
  <c r="AU17" i="11" s="1"/>
  <c r="AV17" i="11" s="1"/>
  <c r="AX17" i="11" s="1"/>
  <c r="AL17" i="11" s="1"/>
  <c r="AT15" i="11"/>
  <c r="AU15" i="11" s="1"/>
  <c r="AV15" i="11"/>
  <c r="AX15" i="11" s="1"/>
  <c r="AL15" i="11" s="1"/>
  <c r="R45" i="11"/>
  <c r="AT41" i="11"/>
  <c r="AU41" i="11" s="1"/>
  <c r="AV41" i="11" s="1"/>
  <c r="AX41" i="11" s="1"/>
  <c r="AL41" i="11" s="1"/>
  <c r="AT43" i="11"/>
  <c r="AU43" i="11" s="1"/>
  <c r="AV43" i="11" s="1"/>
  <c r="AX43" i="11" s="1"/>
  <c r="AT5" i="11"/>
  <c r="AU5" i="11" s="1"/>
  <c r="AV5" i="11" s="1"/>
  <c r="AX5" i="11" s="1"/>
  <c r="AL5" i="11" s="1"/>
  <c r="AT37" i="11"/>
  <c r="AU37" i="11" s="1"/>
  <c r="AV37" i="11" s="1"/>
  <c r="AX37" i="11" s="1"/>
  <c r="AL37" i="11" s="1"/>
  <c r="R6" i="11"/>
  <c r="R18" i="11"/>
  <c r="AT42" i="11"/>
  <c r="AU42" i="11" s="1"/>
  <c r="AV42" i="11" s="1"/>
  <c r="AX42" i="11" s="1"/>
  <c r="AL42" i="11" s="1"/>
  <c r="AT19" i="11"/>
  <c r="AU19" i="11" s="1"/>
  <c r="AV19" i="11" s="1"/>
  <c r="AX19" i="11" s="1"/>
  <c r="AL19" i="11" s="1"/>
  <c r="R21" i="11"/>
  <c r="R32" i="11"/>
  <c r="R36" i="11"/>
  <c r="AT6" i="11"/>
  <c r="AU6" i="11" s="1"/>
  <c r="AV6" i="11" s="1"/>
  <c r="AX6" i="11" s="1"/>
  <c r="AU4" i="1"/>
  <c r="R34" i="11"/>
  <c r="AT44" i="11"/>
  <c r="AU44" i="11" s="1"/>
  <c r="AV44" i="11" s="1"/>
  <c r="AX44" i="11" s="1"/>
  <c r="AL44" i="11" s="1"/>
  <c r="AT14" i="11"/>
  <c r="AU14" i="11"/>
  <c r="AV14" i="11" s="1"/>
  <c r="AX14" i="11" s="1"/>
  <c r="AL14" i="11" s="1"/>
  <c r="AT4" i="11"/>
  <c r="AU4" i="11" s="1"/>
  <c r="AV4" i="11" s="1"/>
  <c r="AX4" i="11" s="1"/>
  <c r="AL4" i="11" s="1"/>
  <c r="AT48" i="11"/>
  <c r="AU48" i="11" s="1"/>
  <c r="AV48" i="11" s="1"/>
  <c r="AX48" i="11" s="1"/>
  <c r="AL48" i="11" s="1"/>
  <c r="AT33" i="11"/>
  <c r="AU33" i="11"/>
  <c r="AV33" i="11" s="1"/>
  <c r="AX33" i="11" s="1"/>
  <c r="AL33" i="11" s="1"/>
  <c r="AT45" i="11"/>
  <c r="AU45" i="11"/>
  <c r="AV45" i="11" s="1"/>
  <c r="AX45" i="11" s="1"/>
  <c r="AL45" i="11" s="1"/>
  <c r="AT46" i="11"/>
  <c r="AU46" i="11"/>
  <c r="AV46" i="11" s="1"/>
  <c r="AX46" i="11" s="1"/>
  <c r="AL46" i="11" s="1"/>
  <c r="R43" i="11"/>
  <c r="R33" i="11"/>
  <c r="AT12" i="11"/>
  <c r="AU12" i="11"/>
  <c r="AV12" i="11" s="1"/>
  <c r="AX12" i="11" s="1"/>
  <c r="AL12" i="11" s="1"/>
  <c r="R35" i="11"/>
  <c r="AU40" i="1"/>
  <c r="AT10" i="11"/>
  <c r="AU10" i="11" s="1"/>
  <c r="AV10" i="11" s="1"/>
  <c r="AX10" i="11" s="1"/>
  <c r="AT36" i="11"/>
  <c r="AU36" i="11" s="1"/>
  <c r="AV36" i="11" s="1"/>
  <c r="AX36" i="11" s="1"/>
  <c r="AL36" i="11" s="1"/>
  <c r="AT7" i="11"/>
  <c r="AU7" i="11" s="1"/>
  <c r="AV7" i="11" s="1"/>
  <c r="AX7" i="11" s="1"/>
  <c r="AL7" i="11" s="1"/>
  <c r="AU31" i="1"/>
  <c r="R7" i="11"/>
  <c r="R4" i="11"/>
  <c r="AT20" i="11"/>
  <c r="AU20" i="11"/>
  <c r="AV20" i="11" s="1"/>
  <c r="AX20" i="11" s="1"/>
  <c r="AL20" i="11" s="1"/>
  <c r="R10" i="11"/>
  <c r="AT9" i="11"/>
  <c r="AU9" i="11" s="1"/>
  <c r="AV9" i="11" s="1"/>
  <c r="AX9" i="11" s="1"/>
  <c r="AL9" i="11" s="1"/>
  <c r="AT47" i="11"/>
  <c r="AU47" i="11" s="1"/>
  <c r="AV47" i="11" s="1"/>
  <c r="AX47" i="11" s="1"/>
  <c r="AL47" i="11" s="1"/>
  <c r="AT13" i="11"/>
  <c r="AU13" i="11" s="1"/>
  <c r="AV13" i="11" s="1"/>
  <c r="AX13" i="11" s="1"/>
  <c r="AT21" i="11"/>
  <c r="AU21" i="11" s="1"/>
  <c r="AV21" i="11" s="1"/>
  <c r="AX21" i="11" s="1"/>
  <c r="AL21" i="11" s="1"/>
  <c r="AT40" i="11"/>
  <c r="AU40" i="11" s="1"/>
  <c r="AV40" i="11" s="1"/>
  <c r="AX40" i="11" s="1"/>
  <c r="AL40" i="11" s="1"/>
  <c r="R24" i="11"/>
  <c r="R29" i="11"/>
  <c r="R16" i="11"/>
  <c r="R37" i="11"/>
  <c r="R47" i="11"/>
  <c r="R40" i="11"/>
  <c r="AT23" i="11"/>
  <c r="AU23" i="11" s="1"/>
  <c r="AV23" i="11" s="1"/>
  <c r="AX23" i="11" s="1"/>
  <c r="AL23" i="11" s="1"/>
  <c r="AT16" i="11"/>
  <c r="AU16" i="11"/>
  <c r="AV16" i="11" s="1"/>
  <c r="AX16" i="11" s="1"/>
  <c r="AT22" i="11"/>
  <c r="AU22" i="11"/>
  <c r="AV22" i="11" s="1"/>
  <c r="AX22" i="11" s="1"/>
  <c r="AL22" i="11" s="1"/>
  <c r="AT38" i="11"/>
  <c r="AU38" i="11" s="1"/>
  <c r="AV38" i="11" s="1"/>
  <c r="AX38" i="11" s="1"/>
  <c r="AL38" i="11" s="1"/>
  <c r="AT24" i="11"/>
  <c r="AU24" i="11" s="1"/>
  <c r="AV24" i="11" s="1"/>
  <c r="AX24" i="11" s="1"/>
  <c r="AL24" i="11" s="1"/>
  <c r="AT32" i="11"/>
  <c r="AU32" i="11" s="1"/>
  <c r="AV32" i="11" s="1"/>
  <c r="AX32" i="11" s="1"/>
  <c r="AL32" i="11" s="1"/>
  <c r="AT49" i="11"/>
  <c r="AU49" i="11" s="1"/>
  <c r="AV49" i="11" s="1"/>
  <c r="AX49" i="11" s="1"/>
  <c r="AL49" i="11" s="1"/>
  <c r="R13" i="11"/>
  <c r="R26" i="11"/>
  <c r="AG69" i="11"/>
  <c r="X29" i="11"/>
  <c r="R82" i="11"/>
  <c r="AG78" i="11"/>
  <c r="AW29" i="11"/>
  <c r="AN70" i="8"/>
  <c r="F27" i="11"/>
  <c r="Q27" i="11"/>
  <c r="AU27" i="1"/>
  <c r="AD34" i="1"/>
  <c r="AN34" i="1"/>
  <c r="AN32" i="1"/>
  <c r="AD32" i="1"/>
  <c r="AN4" i="1"/>
  <c r="AD4" i="1"/>
  <c r="AD42" i="1"/>
  <c r="AN42" i="1"/>
  <c r="AN21" i="1"/>
  <c r="AD21" i="1"/>
  <c r="E19" i="12"/>
  <c r="AN36" i="1"/>
  <c r="AD36" i="1"/>
  <c r="AD20" i="1"/>
  <c r="AD41" i="1"/>
  <c r="AN41" i="1"/>
  <c r="AD29" i="1"/>
  <c r="AN29" i="1"/>
  <c r="AN44" i="1"/>
  <c r="E42" i="12"/>
  <c r="AD44" i="1"/>
  <c r="AD43" i="1"/>
  <c r="AN43" i="1"/>
  <c r="AN46" i="1"/>
  <c r="AD46" i="1"/>
  <c r="AN33" i="1"/>
  <c r="AD33" i="1"/>
  <c r="AD47" i="1"/>
  <c r="AN47" i="1"/>
  <c r="AD7" i="1"/>
  <c r="AN7" i="1"/>
  <c r="AD37" i="1"/>
  <c r="AN37" i="1"/>
  <c r="AD19" i="1"/>
  <c r="AN27" i="1"/>
  <c r="AD27" i="1"/>
  <c r="AN10" i="1"/>
  <c r="AD10" i="1"/>
  <c r="E43" i="12"/>
  <c r="AN45" i="1"/>
  <c r="AD45" i="1"/>
  <c r="AO27" i="11"/>
  <c r="X27" i="11"/>
  <c r="AN67" i="8"/>
  <c r="N145" i="8"/>
  <c r="AN66" i="8"/>
  <c r="W14" i="8"/>
  <c r="AN76" i="8"/>
  <c r="AN92" i="8"/>
  <c r="AN65" i="8"/>
  <c r="BR31" i="7"/>
  <c r="BS31" i="7"/>
  <c r="BT31" i="7"/>
  <c r="BV31" i="7"/>
  <c r="BN31" i="7"/>
  <c r="BO31" i="7"/>
  <c r="BQ31" i="7"/>
  <c r="BG3" i="15"/>
  <c r="AT20" i="15"/>
  <c r="AO29" i="11"/>
  <c r="N138" i="8"/>
  <c r="AN79" i="8"/>
  <c r="AN93" i="8"/>
  <c r="N140" i="8"/>
  <c r="N141" i="8"/>
  <c r="BR26" i="7"/>
  <c r="BG152" i="15"/>
  <c r="BG144" i="15"/>
  <c r="BG136" i="15"/>
  <c r="BG128" i="15"/>
  <c r="BG120" i="15"/>
  <c r="BG112" i="15"/>
  <c r="BG104" i="15"/>
  <c r="BG96" i="15"/>
  <c r="BG88" i="15"/>
  <c r="BG148" i="15"/>
  <c r="BG132" i="15"/>
  <c r="BG116" i="15"/>
  <c r="BG100" i="15"/>
  <c r="BG84" i="15"/>
  <c r="BG76" i="15"/>
  <c r="BG68" i="15"/>
  <c r="BG60" i="15"/>
  <c r="BG149" i="15"/>
  <c r="BG145" i="15"/>
  <c r="BG141" i="15"/>
  <c r="BG137" i="15"/>
  <c r="BG133" i="15"/>
  <c r="BG129" i="15"/>
  <c r="BG125" i="15"/>
  <c r="BG121" i="15"/>
  <c r="BG117" i="15"/>
  <c r="BG113" i="15"/>
  <c r="BG109" i="15"/>
  <c r="BG105" i="15"/>
  <c r="BG101" i="15"/>
  <c r="BG97" i="15"/>
  <c r="BG93" i="15"/>
  <c r="BG89" i="15"/>
  <c r="BG85" i="15"/>
  <c r="BG81" i="15"/>
  <c r="BG73" i="15"/>
  <c r="BG65" i="15"/>
  <c r="BG79" i="15"/>
  <c r="BG71" i="15"/>
  <c r="BG63" i="15"/>
  <c r="BG55" i="15"/>
  <c r="BG56" i="15"/>
  <c r="BH58" i="15"/>
  <c r="BN37" i="15" s="1"/>
  <c r="AU55" i="1" s="1"/>
  <c r="BG150" i="15"/>
  <c r="BG142" i="15"/>
  <c r="BG134" i="15"/>
  <c r="BG126" i="15"/>
  <c r="BG118" i="15"/>
  <c r="BG110" i="15"/>
  <c r="BG102" i="15"/>
  <c r="BG94" i="15"/>
  <c r="BG86" i="15"/>
  <c r="BG78" i="15"/>
  <c r="BG70" i="15"/>
  <c r="BG62" i="15"/>
  <c r="BG151" i="15"/>
  <c r="BG124" i="15"/>
  <c r="BG92" i="15"/>
  <c r="BG72" i="15"/>
  <c r="BG153" i="15"/>
  <c r="BG143" i="15"/>
  <c r="BG135" i="15"/>
  <c r="BG127" i="15"/>
  <c r="BG119" i="15"/>
  <c r="BG111" i="15"/>
  <c r="BG103" i="15"/>
  <c r="BG95" i="15"/>
  <c r="BG87" i="15"/>
  <c r="BG77" i="15"/>
  <c r="BG61" i="15"/>
  <c r="BG67" i="15"/>
  <c r="BG154" i="15"/>
  <c r="BG138" i="15"/>
  <c r="BG122" i="15"/>
  <c r="BG106" i="15"/>
  <c r="BG90" i="15"/>
  <c r="BG74" i="15"/>
  <c r="BG155" i="15"/>
  <c r="BG140" i="15"/>
  <c r="BG108" i="15"/>
  <c r="BG80" i="15"/>
  <c r="BG64" i="15"/>
  <c r="BG147" i="15"/>
  <c r="BG139" i="15"/>
  <c r="BG131" i="15"/>
  <c r="BG123" i="15"/>
  <c r="BG115" i="15"/>
  <c r="BG107" i="15"/>
  <c r="BG99" i="15"/>
  <c r="BG91" i="15"/>
  <c r="BG83" i="15"/>
  <c r="BG69" i="15"/>
  <c r="BG75" i="15"/>
  <c r="BJ54" i="15"/>
  <c r="BG146" i="15"/>
  <c r="BG130" i="15"/>
  <c r="BG114" i="15"/>
  <c r="BG98" i="15"/>
  <c r="BG82" i="15"/>
  <c r="BG66" i="15"/>
  <c r="D260" i="3"/>
  <c r="F26" i="11"/>
  <c r="Q26" i="11"/>
  <c r="AU26" i="1"/>
  <c r="AD49" i="1"/>
  <c r="AN49" i="1"/>
  <c r="AN13" i="1"/>
  <c r="AD13" i="1"/>
  <c r="AN16" i="1"/>
  <c r="AD16" i="1"/>
  <c r="AF76" i="11"/>
  <c r="AS26" i="11"/>
  <c r="AF78" i="11"/>
  <c r="BG157" i="15"/>
  <c r="BJ50" i="15"/>
  <c r="AT21" i="15"/>
  <c r="AV21" i="15"/>
  <c r="AT22" i="15"/>
  <c r="AV22" i="15"/>
  <c r="BG13" i="15"/>
  <c r="EQ34" i="1"/>
  <c r="BG32" i="15"/>
  <c r="EQ33" i="1"/>
  <c r="BG18" i="15"/>
  <c r="BI18" i="15"/>
  <c r="BG24" i="15"/>
  <c r="BG8" i="15"/>
  <c r="BG15" i="15"/>
  <c r="BG33" i="15"/>
  <c r="EQ42" i="1"/>
  <c r="BG6" i="15"/>
  <c r="EQ7" i="1"/>
  <c r="BG22" i="15"/>
  <c r="EQ49" i="1"/>
  <c r="BG4" i="15"/>
  <c r="EQ4" i="1"/>
  <c r="BG21" i="15"/>
  <c r="EQ47" i="1"/>
  <c r="BG35" i="15"/>
  <c r="BG20" i="15"/>
  <c r="BG19" i="15"/>
  <c r="BG36" i="15"/>
  <c r="BI36" i="15"/>
  <c r="BG11" i="15"/>
  <c r="BG26" i="15"/>
  <c r="EQ24" i="1"/>
  <c r="BG14" i="15"/>
  <c r="BG16" i="15"/>
  <c r="BG5" i="15"/>
  <c r="EQ6" i="1"/>
  <c r="BG7" i="15"/>
  <c r="EQ8" i="1"/>
  <c r="BG10" i="15"/>
  <c r="EQ13" i="1"/>
  <c r="BG27" i="15"/>
  <c r="EQ31" i="1"/>
  <c r="BG34" i="15"/>
  <c r="BG25" i="15"/>
  <c r="BG9" i="15"/>
  <c r="EQ11" i="1"/>
  <c r="AR29" i="11"/>
  <c r="AT29" i="11"/>
  <c r="AU29" i="11" s="1"/>
  <c r="AV29" i="11" s="1"/>
  <c r="AX29" i="11" s="1"/>
  <c r="AL29" i="11" s="1"/>
  <c r="AS29" i="11"/>
  <c r="BI5" i="15"/>
  <c r="EQ18" i="1"/>
  <c r="AT24" i="15"/>
  <c r="F94" i="15"/>
  <c r="F31" i="15"/>
  <c r="AJ31" i="15"/>
  <c r="AC94" i="15"/>
  <c r="AC31" i="15"/>
  <c r="G94" i="15"/>
  <c r="G31" i="15"/>
  <c r="AF31" i="15"/>
  <c r="S94" i="15"/>
  <c r="S31" i="15"/>
  <c r="AE31" i="15"/>
  <c r="H94" i="15"/>
  <c r="H31" i="15"/>
  <c r="BH33" i="15"/>
  <c r="BI33" i="15"/>
  <c r="AB42" i="11"/>
  <c r="D50" i="5"/>
  <c r="CN49" i="1"/>
  <c r="J25" i="7"/>
  <c r="M25" i="7"/>
  <c r="BP25" i="7"/>
  <c r="BQ25" i="7"/>
  <c r="B42" i="5"/>
  <c r="C10" i="13"/>
  <c r="D10" i="13" s="1"/>
  <c r="CI165" i="1"/>
  <c r="DH165" i="1"/>
  <c r="DH186" i="1"/>
  <c r="DH139" i="1"/>
  <c r="DH183" i="1"/>
  <c r="DH136" i="1"/>
  <c r="DH182" i="1"/>
  <c r="DH135" i="1"/>
  <c r="DH181" i="1"/>
  <c r="DH134" i="1"/>
  <c r="DH180" i="1"/>
  <c r="AI31" i="1"/>
  <c r="AI41" i="1"/>
  <c r="AI43" i="1"/>
  <c r="AI47" i="1"/>
  <c r="DH174" i="1"/>
  <c r="DH194" i="1"/>
  <c r="DH122" i="1"/>
  <c r="DH124" i="1"/>
  <c r="DH127" i="1"/>
  <c r="DH129" i="1"/>
  <c r="DH137" i="1"/>
  <c r="DH138" i="1"/>
  <c r="DH147" i="1"/>
  <c r="DH195" i="1"/>
  <c r="DH148" i="1"/>
  <c r="DH193" i="1"/>
  <c r="DH146" i="1"/>
  <c r="DH192" i="1"/>
  <c r="DH145" i="1"/>
  <c r="DH191" i="1"/>
  <c r="DH144" i="1"/>
  <c r="DH190" i="1"/>
  <c r="DH126" i="1"/>
  <c r="DH125" i="1"/>
  <c r="DH123" i="1"/>
  <c r="DH120" i="1"/>
  <c r="T9" i="7"/>
  <c r="H3" i="9"/>
  <c r="J13" i="9"/>
  <c r="H13" i="9"/>
  <c r="O7" i="9"/>
  <c r="N7" i="9"/>
  <c r="N3" i="9"/>
  <c r="K8" i="9"/>
  <c r="N10" i="9"/>
  <c r="K13" i="9"/>
  <c r="L13" i="9"/>
  <c r="K10" i="9"/>
  <c r="J5" i="9"/>
  <c r="EP8" i="1"/>
  <c r="EO49" i="1" s="1"/>
  <c r="AM49" i="1" s="1"/>
  <c r="EW15" i="1"/>
  <c r="G7" i="14"/>
  <c r="E10" i="14"/>
  <c r="C12" i="14"/>
  <c r="D5" i="14"/>
  <c r="F7" i="14"/>
  <c r="D7" i="14"/>
  <c r="G10" i="14"/>
  <c r="H11" i="14"/>
  <c r="C5" i="14"/>
  <c r="E8" i="14"/>
  <c r="EQ37" i="1"/>
  <c r="EQ21" i="1"/>
  <c r="EQ45" i="1"/>
  <c r="E94" i="15"/>
  <c r="E31" i="15"/>
  <c r="AG31" i="15"/>
  <c r="P94" i="15"/>
  <c r="P31" i="15"/>
  <c r="M94" i="15"/>
  <c r="M31" i="15"/>
  <c r="I94" i="15"/>
  <c r="I31" i="15"/>
  <c r="X94" i="15"/>
  <c r="X31" i="15"/>
  <c r="AB94" i="15"/>
  <c r="AB31" i="15"/>
  <c r="K94" i="15"/>
  <c r="K31" i="15"/>
  <c r="R94" i="15"/>
  <c r="R31" i="15"/>
  <c r="D94" i="15"/>
  <c r="D31" i="15"/>
  <c r="AD31" i="15"/>
  <c r="O94" i="15"/>
  <c r="O31" i="15"/>
  <c r="BG31" i="15"/>
  <c r="U94" i="15"/>
  <c r="U31" i="15"/>
  <c r="J94" i="15"/>
  <c r="J31" i="15"/>
  <c r="Z94" i="15"/>
  <c r="Z31" i="15"/>
  <c r="EQ10" i="1"/>
  <c r="EQ40" i="1"/>
  <c r="EQ16" i="1"/>
  <c r="EQ43" i="1"/>
  <c r="EQ32" i="1"/>
  <c r="BI32" i="15"/>
  <c r="D92" i="15"/>
  <c r="D29" i="15"/>
  <c r="AD29" i="15"/>
  <c r="J92" i="15"/>
  <c r="J29" i="15"/>
  <c r="H92" i="15"/>
  <c r="H29" i="15"/>
  <c r="EQ36" i="1"/>
  <c r="EQ46" i="1"/>
  <c r="I92" i="15"/>
  <c r="I29" i="15"/>
  <c r="E92" i="15"/>
  <c r="E29" i="15"/>
  <c r="AG29" i="15"/>
  <c r="L92" i="15"/>
  <c r="L29" i="15"/>
  <c r="K92" i="15"/>
  <c r="K29" i="15"/>
  <c r="AB92" i="15"/>
  <c r="AB29" i="15"/>
  <c r="X92" i="15"/>
  <c r="X29" i="15"/>
  <c r="O92" i="15"/>
  <c r="O29" i="15"/>
  <c r="BG29" i="15"/>
  <c r="AA92" i="15"/>
  <c r="AA29" i="15"/>
  <c r="P92" i="15"/>
  <c r="P29" i="15"/>
  <c r="U92" i="15"/>
  <c r="U29" i="15"/>
  <c r="N92" i="15"/>
  <c r="N29" i="15"/>
  <c r="G92" i="15"/>
  <c r="G29" i="15"/>
  <c r="AF29" i="15"/>
  <c r="AC92" i="15"/>
  <c r="AC29" i="15"/>
  <c r="S92" i="15"/>
  <c r="S29" i="15"/>
  <c r="AE29" i="15"/>
  <c r="Y92" i="15"/>
  <c r="Y29" i="15"/>
  <c r="Z92" i="15"/>
  <c r="Z29" i="15"/>
  <c r="D266" i="3"/>
  <c r="EK24" i="1"/>
  <c r="C292" i="3"/>
  <c r="EQ44" i="1"/>
  <c r="EQ41" i="1"/>
  <c r="EQ35" i="1"/>
  <c r="EQ26" i="1"/>
  <c r="AH29" i="15"/>
  <c r="AI29" i="15"/>
  <c r="EG24" i="1"/>
  <c r="EJ24" i="1"/>
  <c r="B267" i="3"/>
  <c r="EH24" i="1"/>
  <c r="N133" i="8"/>
  <c r="N103" i="8"/>
  <c r="N129" i="8"/>
  <c r="N111" i="8"/>
  <c r="AU25" i="8"/>
  <c r="W36" i="8"/>
  <c r="AH76" i="8"/>
  <c r="AA25" i="8"/>
  <c r="J242" i="3"/>
  <c r="D238" i="3"/>
  <c r="N109" i="8"/>
  <c r="AB15" i="8"/>
  <c r="AB18" i="8"/>
  <c r="AU45" i="8"/>
  <c r="P45" i="8"/>
  <c r="AN96" i="8"/>
  <c r="AU20" i="8"/>
  <c r="P20" i="8"/>
  <c r="AU6" i="8"/>
  <c r="P6" i="8"/>
  <c r="AU30" i="8"/>
  <c r="P30" i="8"/>
  <c r="AU3" i="8"/>
  <c r="P3" i="8"/>
  <c r="AU44" i="8"/>
  <c r="P44" i="8"/>
  <c r="AU33" i="8"/>
  <c r="P33" i="8"/>
  <c r="AU29" i="8"/>
  <c r="P29" i="8"/>
  <c r="AU27" i="8"/>
  <c r="P27" i="8"/>
  <c r="AU23" i="8"/>
  <c r="P23" i="8"/>
  <c r="AN74" i="8"/>
  <c r="AU12" i="8"/>
  <c r="P12" i="8"/>
  <c r="AU21" i="8"/>
  <c r="P21" i="8"/>
  <c r="AU38" i="8"/>
  <c r="P38" i="8"/>
  <c r="AN89" i="8"/>
  <c r="Y51" i="8"/>
  <c r="P51" i="8"/>
  <c r="AU36" i="8"/>
  <c r="P36" i="8"/>
  <c r="AN87" i="8"/>
  <c r="AU32" i="8"/>
  <c r="P32" i="8"/>
  <c r="AB7" i="8"/>
  <c r="AB19" i="8"/>
  <c r="AB8" i="8"/>
  <c r="BL18" i="7"/>
  <c r="BM25" i="7"/>
  <c r="BR25" i="7"/>
  <c r="BR2" i="7"/>
  <c r="BS3" i="7"/>
  <c r="BS2" i="7"/>
  <c r="BT2" i="7"/>
  <c r="BV2" i="7"/>
  <c r="BW3" i="7"/>
  <c r="BW2" i="7"/>
  <c r="BX2" i="7"/>
  <c r="BL41" i="7"/>
  <c r="BL36" i="7"/>
  <c r="BL33" i="7"/>
  <c r="BL46" i="7"/>
  <c r="BL34" i="7"/>
  <c r="BL44" i="7"/>
  <c r="J170" i="3"/>
  <c r="BD1" i="7"/>
  <c r="BM35" i="7"/>
  <c r="BL53" i="7"/>
  <c r="BL55" i="7"/>
  <c r="BN53" i="7"/>
  <c r="BL32" i="7"/>
  <c r="BL45" i="7"/>
  <c r="BL29" i="7"/>
  <c r="BL25" i="7"/>
  <c r="BL26" i="7"/>
  <c r="BN26" i="7"/>
  <c r="BO26" i="7"/>
  <c r="BL35" i="7"/>
  <c r="BL43" i="7"/>
  <c r="BL20" i="7"/>
  <c r="BL23" i="7"/>
  <c r="BL42" i="7"/>
  <c r="BM6" i="7"/>
  <c r="BY2" i="7"/>
  <c r="Q3" i="7"/>
  <c r="Y1" i="7"/>
  <c r="BO53" i="7"/>
  <c r="BQ53" i="7"/>
  <c r="Q18" i="1"/>
  <c r="M30" i="7"/>
  <c r="BP30" i="7"/>
  <c r="BQ30" i="7"/>
  <c r="BR30" i="7"/>
  <c r="BS30" i="7"/>
  <c r="BT30" i="7"/>
  <c r="BV30" i="7"/>
  <c r="BN30" i="7"/>
  <c r="BO30" i="7"/>
  <c r="Y20" i="7"/>
  <c r="Z20" i="7"/>
  <c r="S1" i="7"/>
  <c r="BW25" i="7"/>
  <c r="BX25" i="7"/>
  <c r="BY25" i="7"/>
  <c r="AC45" i="1"/>
  <c r="AC44" i="1"/>
  <c r="AC46" i="1"/>
  <c r="B148" i="3"/>
  <c r="AC47" i="1"/>
  <c r="BM23" i="7"/>
  <c r="BM34" i="7"/>
  <c r="BM36" i="7"/>
  <c r="BM48" i="7"/>
  <c r="BM20" i="7"/>
  <c r="Z30" i="14"/>
  <c r="Z28" i="14"/>
  <c r="Z27" i="14"/>
  <c r="N124" i="3"/>
  <c r="Z24" i="14"/>
  <c r="F55" i="14"/>
  <c r="F53" i="14"/>
  <c r="F54" i="14"/>
  <c r="E77" i="14"/>
  <c r="D108" i="3"/>
  <c r="F29" i="11"/>
  <c r="Q29" i="11"/>
  <c r="AU29" i="1" s="1"/>
  <c r="E29" i="11"/>
  <c r="AF77" i="11"/>
  <c r="I24" i="3"/>
  <c r="S56" i="11"/>
  <c r="R56" i="11" s="1"/>
  <c r="Q56" i="11" s="1"/>
  <c r="P56" i="11" s="1"/>
  <c r="N56" i="11" s="1"/>
  <c r="S57" i="11"/>
  <c r="R57" i="11" s="1"/>
  <c r="Q57" i="11" s="1"/>
  <c r="P57" i="11" s="1"/>
  <c r="N57" i="11" s="1"/>
  <c r="AR26" i="11"/>
  <c r="AT26" i="11"/>
  <c r="AU26" i="11" s="1"/>
  <c r="AV26" i="11" s="1"/>
  <c r="AX26" i="11" s="1"/>
  <c r="AL26" i="11" s="1"/>
  <c r="X26" i="11"/>
  <c r="R59" i="11"/>
  <c r="Q59" i="11" s="1"/>
  <c r="P59" i="11" s="1"/>
  <c r="N59" i="11" s="1"/>
  <c r="R53" i="11"/>
  <c r="Q53" i="11" s="1"/>
  <c r="P53" i="11" s="1"/>
  <c r="N53" i="11" s="1"/>
  <c r="S61" i="11"/>
  <c r="R60" i="11"/>
  <c r="Q60" i="11" s="1"/>
  <c r="P60" i="11" s="1"/>
  <c r="N60" i="11" s="1"/>
  <c r="AS9" i="7"/>
  <c r="AT9" i="7" s="1"/>
  <c r="EE71" i="1"/>
  <c r="EY7" i="1"/>
  <c r="EO7" i="1" s="1"/>
  <c r="AM7" i="1" s="1"/>
  <c r="EY13" i="1"/>
  <c r="EO13" i="1" s="1"/>
  <c r="AM13" i="1" s="1"/>
  <c r="EY24" i="1"/>
  <c r="EO24" i="1" s="1"/>
  <c r="AM24" i="1" s="1"/>
  <c r="EY18" i="1"/>
  <c r="EO18" i="1"/>
  <c r="AM18" i="1" s="1"/>
  <c r="EY10" i="1"/>
  <c r="EO10" i="1" s="1"/>
  <c r="AM10" i="1" s="1"/>
  <c r="EQ29" i="1"/>
  <c r="AI31" i="15"/>
  <c r="AH31" i="15"/>
  <c r="F45" i="8"/>
  <c r="D248" i="3" s="1"/>
  <c r="AN63" i="8"/>
  <c r="N110" i="8"/>
  <c r="N125" i="8"/>
  <c r="AN78" i="8"/>
  <c r="N131" i="8"/>
  <c r="AN84" i="8"/>
  <c r="N101" i="8"/>
  <c r="AN54" i="8"/>
  <c r="N104" i="8"/>
  <c r="AN57" i="8"/>
  <c r="N130" i="8"/>
  <c r="AN83" i="8"/>
  <c r="N147" i="8"/>
  <c r="AN68" i="8"/>
  <c r="AN72" i="8"/>
  <c r="N119" i="8"/>
  <c r="N127" i="8"/>
  <c r="AN80" i="8"/>
  <c r="N142" i="8"/>
  <c r="AN95" i="8"/>
  <c r="N128" i="8"/>
  <c r="AN81" i="8"/>
  <c r="AN71" i="8"/>
  <c r="N118" i="8"/>
  <c r="BM39" i="7"/>
  <c r="BM33" i="7"/>
  <c r="BM32" i="7"/>
  <c r="BM45" i="7"/>
  <c r="BM46" i="7"/>
  <c r="BM40" i="7"/>
  <c r="BM42" i="7"/>
  <c r="BM43" i="7"/>
  <c r="AT15" i="7"/>
  <c r="AT3" i="7"/>
  <c r="AX3" i="7" s="1"/>
  <c r="BF3" i="7" s="1"/>
  <c r="BA3" i="7" s="1"/>
  <c r="BC3" i="7" s="1"/>
  <c r="AT5" i="7"/>
  <c r="AU5" i="7" s="1"/>
  <c r="AW5" i="7" s="1"/>
  <c r="BE5" i="7" s="1"/>
  <c r="BB5" i="7" s="1"/>
  <c r="BD5" i="7" s="1"/>
  <c r="AT6" i="7"/>
  <c r="AU6" i="7" s="1"/>
  <c r="AW6" i="7" s="1"/>
  <c r="BE6" i="7" s="1"/>
  <c r="BB6" i="7" s="1"/>
  <c r="BD6" i="7" s="1"/>
  <c r="BW43" i="7"/>
  <c r="BX43" i="7"/>
  <c r="BY43" i="7"/>
  <c r="CA43" i="7"/>
  <c r="BN35" i="7"/>
  <c r="BO35" i="7"/>
  <c r="BR35" i="7"/>
  <c r="BS35" i="7"/>
  <c r="BT35" i="7"/>
  <c r="BV35" i="7"/>
  <c r="BW35" i="7"/>
  <c r="BX35" i="7"/>
  <c r="BY35" i="7"/>
  <c r="BM18" i="7"/>
  <c r="BR18" i="7" s="1"/>
  <c r="BS18" i="7" s="1"/>
  <c r="BT18" i="7" s="1"/>
  <c r="BV18" i="7" s="1"/>
  <c r="BV49" i="7" s="1"/>
  <c r="BM41" i="7"/>
  <c r="BM44" i="7"/>
  <c r="BW44" i="7"/>
  <c r="BX44" i="7"/>
  <c r="BY44" i="7"/>
  <c r="CA44" i="7"/>
  <c r="BN25" i="7"/>
  <c r="BO25" i="7"/>
  <c r="BS25" i="7"/>
  <c r="BT25" i="7"/>
  <c r="BV25" i="7"/>
  <c r="BS26" i="7"/>
  <c r="BT26" i="7"/>
  <c r="BV26" i="7"/>
  <c r="BW26" i="7"/>
  <c r="BX26" i="7"/>
  <c r="BY26" i="7"/>
  <c r="BW30" i="7"/>
  <c r="BX30" i="7"/>
  <c r="BY30" i="7"/>
  <c r="CA30" i="7"/>
  <c r="BW42" i="7"/>
  <c r="BX42" i="7"/>
  <c r="BY42" i="7"/>
  <c r="BW31" i="7"/>
  <c r="BX31" i="7"/>
  <c r="BY31" i="7"/>
  <c r="CA31" i="7"/>
  <c r="AX6" i="7"/>
  <c r="BF6" i="7" s="1"/>
  <c r="BA6" i="7" s="1"/>
  <c r="BC6" i="7" s="1"/>
  <c r="BR42" i="7"/>
  <c r="BS42" i="7"/>
  <c r="BT42" i="7"/>
  <c r="BV42" i="7"/>
  <c r="BN42" i="7"/>
  <c r="BO42" i="7"/>
  <c r="BR43" i="7"/>
  <c r="BS43" i="7"/>
  <c r="BT43" i="7"/>
  <c r="BV43" i="7"/>
  <c r="BN43" i="7"/>
  <c r="BO43" i="7"/>
  <c r="AX15" i="7"/>
  <c r="BF15" i="7" s="1"/>
  <c r="BA15" i="7" s="1"/>
  <c r="AU15" i="7"/>
  <c r="AW15" i="7" s="1"/>
  <c r="BE15" i="7" s="1"/>
  <c r="BB15" i="7" s="1"/>
  <c r="BD15" i="7" s="1"/>
  <c r="BW20" i="7"/>
  <c r="BX20" i="7"/>
  <c r="BY20" i="7"/>
  <c r="CA20" i="7"/>
  <c r="BR20" i="7"/>
  <c r="BS20" i="7"/>
  <c r="BT20" i="7"/>
  <c r="BV20" i="7"/>
  <c r="BN20" i="7"/>
  <c r="BO20" i="7"/>
  <c r="BQ20" i="7"/>
  <c r="BW48" i="7"/>
  <c r="BX48" i="7"/>
  <c r="BY48" i="7"/>
  <c r="BR48" i="7"/>
  <c r="BS48" i="7"/>
  <c r="BT48" i="7"/>
  <c r="BV48" i="7"/>
  <c r="BN48" i="7"/>
  <c r="BO48" i="7"/>
  <c r="BR36" i="7"/>
  <c r="BS36" i="7"/>
  <c r="BT36" i="7"/>
  <c r="BV36" i="7"/>
  <c r="BN36" i="7"/>
  <c r="BO36" i="7"/>
  <c r="BQ36" i="7"/>
  <c r="BW36" i="7"/>
  <c r="BX36" i="7"/>
  <c r="BY36" i="7"/>
  <c r="BN34" i="7"/>
  <c r="BO34" i="7"/>
  <c r="BW34" i="7"/>
  <c r="BX34" i="7"/>
  <c r="BY34" i="7"/>
  <c r="BR34" i="7"/>
  <c r="BS34" i="7"/>
  <c r="BT34" i="7"/>
  <c r="BV34" i="7"/>
  <c r="BN23" i="7"/>
  <c r="BO23" i="7"/>
  <c r="BW23" i="7"/>
  <c r="BX23" i="7"/>
  <c r="BY23" i="7"/>
  <c r="CA23" i="7"/>
  <c r="BR23" i="7"/>
  <c r="BS23" i="7"/>
  <c r="BT23" i="7"/>
  <c r="BV23" i="7"/>
  <c r="BN39" i="7"/>
  <c r="BO39" i="7"/>
  <c r="BW39" i="7"/>
  <c r="BX39" i="7"/>
  <c r="BY39" i="7"/>
  <c r="BR39" i="7"/>
  <c r="BS39" i="7"/>
  <c r="BT39" i="7"/>
  <c r="BV39" i="7"/>
  <c r="BW33" i="7"/>
  <c r="BX33" i="7"/>
  <c r="BY33" i="7"/>
  <c r="BR33" i="7"/>
  <c r="BS33" i="7"/>
  <c r="BT33" i="7"/>
  <c r="BV33" i="7"/>
  <c r="BN33" i="7"/>
  <c r="BO33" i="7"/>
  <c r="BR32" i="7"/>
  <c r="BS32" i="7"/>
  <c r="BT32" i="7"/>
  <c r="BV32" i="7"/>
  <c r="BW32" i="7"/>
  <c r="BX32" i="7"/>
  <c r="BY32" i="7"/>
  <c r="BN32" i="7"/>
  <c r="BO32" i="7"/>
  <c r="BQ32" i="7"/>
  <c r="BN45" i="7"/>
  <c r="BO45" i="7"/>
  <c r="BR45" i="7"/>
  <c r="BS45" i="7"/>
  <c r="BT45" i="7"/>
  <c r="BV45" i="7"/>
  <c r="BW45" i="7"/>
  <c r="BX45" i="7"/>
  <c r="BY45" i="7"/>
  <c r="CA45" i="7"/>
  <c r="BN46" i="7"/>
  <c r="BO46" i="7"/>
  <c r="BR46" i="7"/>
  <c r="BS46" i="7"/>
  <c r="BT46" i="7"/>
  <c r="BV46" i="7"/>
  <c r="BW46" i="7"/>
  <c r="BX46" i="7"/>
  <c r="BY46" i="7"/>
  <c r="CA46" i="7"/>
  <c r="BR40" i="7"/>
  <c r="BS40" i="7"/>
  <c r="BT40" i="7"/>
  <c r="BV40" i="7"/>
  <c r="BW40" i="7"/>
  <c r="BX40" i="7"/>
  <c r="BY40" i="7"/>
  <c r="BN40" i="7"/>
  <c r="BO40" i="7"/>
  <c r="Z34" i="14"/>
  <c r="Z35" i="14"/>
  <c r="Z33" i="14"/>
  <c r="N112" i="3"/>
  <c r="Z32" i="14"/>
  <c r="Z53" i="14"/>
  <c r="N115" i="3"/>
  <c r="Z54" i="14"/>
  <c r="Z55" i="14"/>
  <c r="Z52" i="14"/>
  <c r="N109" i="3"/>
  <c r="Z38" i="14"/>
  <c r="Z37" i="14"/>
  <c r="AS27" i="11"/>
  <c r="AR27" i="11"/>
  <c r="AT27" i="11"/>
  <c r="AU27" i="11" s="1"/>
  <c r="AV27" i="11" s="1"/>
  <c r="AX27" i="11" s="1"/>
  <c r="AL27" i="11" s="1"/>
  <c r="EF69" i="1"/>
  <c r="EF70" i="1"/>
  <c r="AO51" i="8"/>
  <c r="BN18" i="7"/>
  <c r="BO18" i="7" s="1"/>
  <c r="BQ18" i="7" s="1"/>
  <c r="BQ49" i="7" s="1"/>
  <c r="BR41" i="7"/>
  <c r="BS41" i="7"/>
  <c r="BT41" i="7"/>
  <c r="BV41" i="7"/>
  <c r="BN41" i="7"/>
  <c r="BO41" i="7"/>
  <c r="BW41" i="7"/>
  <c r="BX41" i="7"/>
  <c r="BY41" i="7"/>
  <c r="BN44" i="7"/>
  <c r="BO44" i="7"/>
  <c r="BQ44" i="7"/>
  <c r="BR44" i="7"/>
  <c r="BS44" i="7"/>
  <c r="BT44" i="7"/>
  <c r="BV44" i="7"/>
  <c r="BW18" i="7"/>
  <c r="BX18" i="7" s="1"/>
  <c r="BY18" i="7" s="1"/>
  <c r="CA18" i="7" s="1"/>
  <c r="CA49" i="7" s="1"/>
  <c r="CA51" i="7" s="1"/>
  <c r="AS16" i="15"/>
  <c r="X28" i="14"/>
  <c r="B51" i="5"/>
  <c r="AI86" i="8"/>
  <c r="K35" i="8"/>
  <c r="K133" i="8"/>
  <c r="AG133" i="8"/>
  <c r="K21" i="8"/>
  <c r="K119" i="8"/>
  <c r="AG119" i="8"/>
  <c r="B54" i="5"/>
  <c r="AI90" i="8"/>
  <c r="J42" i="7"/>
  <c r="M42" i="7"/>
  <c r="BP42" i="7"/>
  <c r="BQ42" i="7"/>
  <c r="CN46" i="1"/>
  <c r="AI73" i="8"/>
  <c r="D29" i="12"/>
  <c r="E29" i="12"/>
  <c r="K27" i="8"/>
  <c r="K125" i="8"/>
  <c r="AG125" i="8"/>
  <c r="CN42" i="1"/>
  <c r="X42" i="14"/>
  <c r="D34" i="12"/>
  <c r="E34" i="12"/>
  <c r="D43" i="5"/>
  <c r="K32" i="8"/>
  <c r="K130" i="8"/>
  <c r="AG130" i="8"/>
  <c r="AB34" i="11"/>
  <c r="D44" i="12"/>
  <c r="E44" i="12"/>
  <c r="BH20" i="15"/>
  <c r="BI20" i="15"/>
  <c r="AB7" i="11"/>
  <c r="Y64" i="1"/>
  <c r="X2" i="14"/>
  <c r="CN16" i="1"/>
  <c r="CO16" i="1"/>
  <c r="B36" i="5"/>
  <c r="C4" i="13"/>
  <c r="AB4" i="11"/>
  <c r="Y62" i="1"/>
  <c r="L67" i="9"/>
  <c r="K25" i="8"/>
  <c r="K123" i="8"/>
  <c r="D41" i="5"/>
  <c r="C33" i="13"/>
  <c r="D33" i="13"/>
  <c r="BH4" i="15"/>
  <c r="BI4" i="15"/>
  <c r="D2" i="12"/>
  <c r="E2" i="12"/>
  <c r="K3" i="8"/>
  <c r="K101" i="8"/>
  <c r="AG101" i="8"/>
  <c r="D46" i="5"/>
  <c r="J45" i="7"/>
  <c r="M45" i="7"/>
  <c r="BP45" i="7"/>
  <c r="BQ45" i="7"/>
  <c r="V3" i="7"/>
  <c r="Y3" i="7"/>
  <c r="AY3" i="7"/>
  <c r="AB36" i="11"/>
  <c r="X45" i="14"/>
  <c r="K33" i="8"/>
  <c r="K131" i="8"/>
  <c r="AG131" i="8"/>
  <c r="AB37" i="11"/>
  <c r="D35" i="12"/>
  <c r="E35" i="12"/>
  <c r="CN41" i="1"/>
  <c r="X41" i="14"/>
  <c r="D42" i="5"/>
  <c r="K31" i="8"/>
  <c r="K129" i="8"/>
  <c r="AG129" i="8"/>
  <c r="J34" i="7"/>
  <c r="M34" i="7"/>
  <c r="BP34" i="7"/>
  <c r="BQ34" i="7"/>
  <c r="BH14" i="15"/>
  <c r="BI14" i="15"/>
  <c r="C18" i="13"/>
  <c r="D18" i="13"/>
  <c r="CN27" i="1"/>
  <c r="J17" i="7"/>
  <c r="M17" i="7"/>
  <c r="BP18" i="7"/>
  <c r="D16" i="12"/>
  <c r="E16" i="12"/>
  <c r="AR26" i="15"/>
  <c r="BH24" i="15"/>
  <c r="BI24" i="15"/>
  <c r="AI36" i="1"/>
  <c r="AI45" i="1"/>
  <c r="AI34" i="1"/>
  <c r="AI33" i="1"/>
  <c r="AI4" i="1"/>
  <c r="AI29" i="1"/>
  <c r="CL42" i="1"/>
  <c r="AZ32" i="1"/>
  <c r="CL89" i="1"/>
  <c r="CL34" i="1"/>
  <c r="AZ46" i="1"/>
  <c r="CI169" i="1"/>
  <c r="DH169" i="1"/>
  <c r="CO42" i="1"/>
  <c r="AI35" i="1"/>
  <c r="AI7" i="1"/>
  <c r="AI40" i="1"/>
  <c r="AI16" i="1"/>
  <c r="AI19" i="1"/>
  <c r="AI20" i="1"/>
  <c r="AI37" i="1"/>
  <c r="AI10" i="1"/>
  <c r="CL50" i="1"/>
  <c r="AZ43" i="1"/>
  <c r="CL35" i="1"/>
  <c r="AZ47" i="1"/>
  <c r="CL47" i="1"/>
  <c r="CL17" i="1"/>
  <c r="AZ6" i="1"/>
  <c r="CL27" i="1"/>
  <c r="CL32" i="1"/>
  <c r="CL39" i="1"/>
  <c r="CL48" i="1"/>
  <c r="AZ29" i="1"/>
  <c r="CL30" i="1"/>
  <c r="CL25" i="1"/>
  <c r="AZ16" i="1"/>
  <c r="CL46" i="1"/>
  <c r="CL49" i="1"/>
  <c r="CL33" i="1"/>
  <c r="CL41" i="1"/>
  <c r="AI32" i="1"/>
  <c r="AI18" i="1"/>
  <c r="AI46" i="1"/>
  <c r="AI44" i="1"/>
  <c r="AI49" i="1"/>
  <c r="AI42" i="1"/>
  <c r="AI6" i="1"/>
  <c r="AI13" i="1"/>
  <c r="AI24" i="1"/>
  <c r="CO51" i="1"/>
  <c r="CL21" i="1"/>
  <c r="CL29" i="1"/>
  <c r="AZ21" i="1"/>
  <c r="CL18" i="1"/>
  <c r="AZ7" i="1"/>
  <c r="CL52" i="1"/>
  <c r="AZ41" i="1"/>
  <c r="CL146" i="1"/>
  <c r="AI27" i="1"/>
  <c r="CL40" i="1"/>
  <c r="AI21" i="1"/>
  <c r="CO43" i="1"/>
  <c r="CO52" i="1"/>
  <c r="X34" i="14"/>
  <c r="B57" i="5"/>
  <c r="X27" i="14"/>
  <c r="B50" i="5"/>
  <c r="K17" i="8"/>
  <c r="K115" i="8"/>
  <c r="AG115" i="8"/>
  <c r="AI70" i="8"/>
  <c r="AB21" i="11"/>
  <c r="CN29" i="1"/>
  <c r="CO29" i="1"/>
  <c r="C19" i="13"/>
  <c r="D19" i="13"/>
  <c r="BH25" i="15"/>
  <c r="BI25" i="15"/>
  <c r="C13" i="13"/>
  <c r="D13" i="13" s="1"/>
  <c r="D11" i="12"/>
  <c r="E11" i="12" s="1"/>
  <c r="CN18" i="1"/>
  <c r="AI57" i="8"/>
  <c r="C7" i="13"/>
  <c r="V6" i="7"/>
  <c r="Y6" i="7"/>
  <c r="AY6" i="7"/>
  <c r="X5" i="14"/>
  <c r="BH6" i="15"/>
  <c r="D5" i="12"/>
  <c r="E5" i="12"/>
  <c r="K6" i="8"/>
  <c r="K104" i="8"/>
  <c r="AG104" i="8"/>
  <c r="T9" i="1"/>
  <c r="C16" i="1"/>
  <c r="X51" i="14"/>
  <c r="CN50" i="1"/>
  <c r="CO50" i="1"/>
  <c r="K39" i="8"/>
  <c r="K137" i="8"/>
  <c r="BH34" i="15"/>
  <c r="BI34" i="15"/>
  <c r="C40" i="13"/>
  <c r="D40" i="13"/>
  <c r="D41" i="12"/>
  <c r="E41" i="12"/>
  <c r="AB43" i="11"/>
  <c r="AL43" i="11"/>
  <c r="X35" i="14"/>
  <c r="Q35" i="1"/>
  <c r="Q31" i="1"/>
  <c r="C31" i="1"/>
  <c r="D27" i="12"/>
  <c r="E27" i="12"/>
  <c r="CN48" i="1"/>
  <c r="CO48" i="1"/>
  <c r="BH31" i="15"/>
  <c r="BI31" i="15"/>
  <c r="D36" i="5"/>
  <c r="X32" i="14"/>
  <c r="C23" i="13"/>
  <c r="D23" i="13"/>
  <c r="B55" i="5"/>
  <c r="BH29" i="15"/>
  <c r="BI29" i="15"/>
  <c r="K22" i="8"/>
  <c r="K120" i="8"/>
  <c r="D24" i="12"/>
  <c r="E24" i="12"/>
  <c r="AB26" i="11"/>
  <c r="AI94" i="8"/>
  <c r="BH21" i="15"/>
  <c r="BI21" i="15"/>
  <c r="C44" i="13"/>
  <c r="D44" i="13"/>
  <c r="CN35" i="1"/>
  <c r="CO35" i="1"/>
  <c r="K43" i="8"/>
  <c r="K141" i="8"/>
  <c r="AG141" i="8"/>
  <c r="X55" i="14"/>
  <c r="J46" i="7"/>
  <c r="M46" i="7"/>
  <c r="BP46" i="7"/>
  <c r="BQ46" i="7"/>
  <c r="C422" i="3"/>
  <c r="X50" i="14"/>
  <c r="J41" i="7"/>
  <c r="M41" i="7"/>
  <c r="BP41" i="7"/>
  <c r="BQ41" i="7"/>
  <c r="X33" i="14"/>
  <c r="BH30" i="15"/>
  <c r="BI30" i="15"/>
  <c r="K23" i="8"/>
  <c r="K121" i="8"/>
  <c r="AI74" i="8"/>
  <c r="B56" i="5"/>
  <c r="X57" i="14"/>
  <c r="AB49" i="11"/>
  <c r="AI96" i="8"/>
  <c r="C46" i="13"/>
  <c r="K45" i="8"/>
  <c r="K143" i="8"/>
  <c r="X40" i="14"/>
  <c r="CN37" i="1"/>
  <c r="CO37" i="1"/>
  <c r="D32" i="12"/>
  <c r="E32" i="12"/>
  <c r="X54" i="14"/>
  <c r="K42" i="8"/>
  <c r="K140" i="8"/>
  <c r="AG140" i="8"/>
  <c r="AI93" i="8"/>
  <c r="AB46" i="11"/>
  <c r="CN34" i="1"/>
  <c r="C43" i="13"/>
  <c r="D43" i="13"/>
  <c r="Y66" i="1"/>
  <c r="AB6" i="11"/>
  <c r="AL6" i="11"/>
  <c r="V5" i="7"/>
  <c r="Y5" i="7"/>
  <c r="AY5" i="7"/>
  <c r="K5" i="8"/>
  <c r="K103" i="8"/>
  <c r="AG103" i="8"/>
  <c r="CN17" i="1"/>
  <c r="X24" i="14"/>
  <c r="K14" i="8"/>
  <c r="AB18" i="11"/>
  <c r="CO34" i="1"/>
  <c r="AZ31" i="1"/>
  <c r="CO40" i="1"/>
  <c r="AZ36" i="1"/>
  <c r="AZ10" i="1"/>
  <c r="CO41" i="1"/>
  <c r="AZ37" i="1"/>
  <c r="CO49" i="1"/>
  <c r="AZ42" i="1"/>
  <c r="CO32" i="1"/>
  <c r="AZ44" i="1"/>
  <c r="CO18" i="1"/>
  <c r="AZ45" i="1"/>
  <c r="CO33" i="1"/>
  <c r="AZ26" i="1"/>
  <c r="CO46" i="1"/>
  <c r="AZ24" i="1"/>
  <c r="CO30" i="1"/>
  <c r="CO39" i="1"/>
  <c r="AZ35" i="1"/>
  <c r="CO27" i="1"/>
  <c r="AZ18" i="1"/>
  <c r="AZ27" i="1"/>
  <c r="CO17" i="1"/>
  <c r="BK5" i="7"/>
  <c r="C35" i="1"/>
  <c r="C26" i="1"/>
  <c r="K147" i="8"/>
  <c r="AG147" i="8"/>
  <c r="AI68" i="8"/>
  <c r="AS10" i="15"/>
  <c r="AT10" i="15"/>
  <c r="AT12" i="15"/>
  <c r="S51" i="8"/>
  <c r="BI6" i="15"/>
  <c r="BK2" i="7"/>
  <c r="BU2" i="7"/>
  <c r="BM7" i="7"/>
  <c r="BH2" i="7"/>
  <c r="AS19" i="15"/>
  <c r="C18" i="1"/>
  <c r="AB31" i="11"/>
  <c r="J30" i="7"/>
  <c r="BH27" i="15"/>
  <c r="K30" i="8"/>
  <c r="K128" i="8"/>
  <c r="AG128" i="8"/>
  <c r="D4" i="13"/>
  <c r="AI81" i="8"/>
  <c r="BH13" i="15"/>
  <c r="BI13" i="15"/>
  <c r="J35" i="7"/>
  <c r="M35" i="7"/>
  <c r="BP35" i="7"/>
  <c r="BQ35" i="7"/>
  <c r="BH15" i="15"/>
  <c r="BI15" i="15"/>
  <c r="AI83" i="8"/>
  <c r="C423" i="3"/>
  <c r="D38" i="5"/>
  <c r="X37" i="14"/>
  <c r="J33" i="7"/>
  <c r="M33" i="7"/>
  <c r="BP33" i="7"/>
  <c r="BQ33" i="7"/>
  <c r="AI78" i="8"/>
  <c r="C9" i="13"/>
  <c r="D7" i="13"/>
  <c r="B41" i="5"/>
  <c r="C5" i="13"/>
  <c r="B37" i="5"/>
  <c r="AI77" i="8"/>
  <c r="D37" i="5"/>
  <c r="C17" i="13"/>
  <c r="D17" i="13"/>
  <c r="K13" i="8"/>
  <c r="K111" i="8"/>
  <c r="AG111" i="8"/>
  <c r="D25" i="12"/>
  <c r="E25" i="12"/>
  <c r="J26" i="7"/>
  <c r="M26" i="7"/>
  <c r="BP26" i="7"/>
  <c r="BQ26" i="7"/>
  <c r="AB27" i="11"/>
  <c r="CN47" i="1"/>
  <c r="CO47" i="1"/>
  <c r="J48" i="7"/>
  <c r="M48" i="7"/>
  <c r="BP48" i="7"/>
  <c r="BQ48" i="7"/>
  <c r="CN44" i="1"/>
  <c r="CO44" i="1"/>
  <c r="D47" i="12"/>
  <c r="E47" i="12"/>
  <c r="BH7" i="15"/>
  <c r="B40" i="5"/>
  <c r="BI7" i="15"/>
  <c r="BI27" i="15"/>
  <c r="C41" i="15"/>
  <c r="AW19" i="15"/>
  <c r="AV19" i="15"/>
  <c r="AT23" i="15"/>
  <c r="B44" i="5" l="1"/>
  <c r="X15" i="14"/>
  <c r="B50" i="1"/>
  <c r="AU9" i="7"/>
  <c r="AW9" i="7" s="1"/>
  <c r="BE9" i="7" s="1"/>
  <c r="BB9" i="7" s="1"/>
  <c r="BD9" i="7" s="1"/>
  <c r="AX9" i="7"/>
  <c r="BF9" i="7" s="1"/>
  <c r="BA9" i="7" s="1"/>
  <c r="EY21" i="1"/>
  <c r="EO21" i="1" s="1"/>
  <c r="AM21" i="1" s="1"/>
  <c r="EY4" i="1"/>
  <c r="EO4" i="1" s="1"/>
  <c r="AM4" i="1" s="1"/>
  <c r="EY6" i="1"/>
  <c r="EO6" i="1" s="1"/>
  <c r="AM6" i="1" s="1"/>
  <c r="EY16" i="1"/>
  <c r="EO16" i="1" s="1"/>
  <c r="AM16" i="1" s="1"/>
  <c r="F5" i="14"/>
  <c r="C4" i="14"/>
  <c r="H10" i="14"/>
  <c r="E7" i="14"/>
  <c r="D4" i="14"/>
  <c r="E6" i="14"/>
  <c r="D6" i="14"/>
  <c r="E11" i="14"/>
  <c r="C10" i="14"/>
  <c r="F11" i="14"/>
  <c r="C7" i="14"/>
  <c r="B7" i="14" s="1"/>
  <c r="D11" i="14"/>
  <c r="F12" i="14"/>
  <c r="C6" i="14"/>
  <c r="B6" i="14" s="1"/>
  <c r="D9" i="14"/>
  <c r="C11" i="14"/>
  <c r="F8" i="14"/>
  <c r="D8" i="14"/>
  <c r="E12" i="14"/>
  <c r="C9" i="14"/>
  <c r="B9" i="14" s="1"/>
  <c r="F10" i="14"/>
  <c r="L52" i="1"/>
  <c r="F52" i="1"/>
  <c r="AU3" i="7"/>
  <c r="AW3" i="7" s="1"/>
  <c r="BE3" i="7" s="1"/>
  <c r="BB3" i="7" s="1"/>
  <c r="BD3" i="7" s="1"/>
  <c r="H5" i="9"/>
  <c r="K4" i="9"/>
  <c r="N4" i="9"/>
  <c r="L72" i="9"/>
  <c r="N5" i="9"/>
  <c r="K11" i="9"/>
  <c r="L4" i="9"/>
  <c r="N8" i="9"/>
  <c r="M4" i="9"/>
  <c r="O12" i="9"/>
  <c r="J10" i="9"/>
  <c r="K5" i="9"/>
  <c r="J8" i="9"/>
  <c r="O8" i="9"/>
  <c r="L12" i="9"/>
  <c r="M7" i="9"/>
  <c r="L10" i="9"/>
  <c r="M13" i="9"/>
  <c r="M10" i="9"/>
  <c r="K12" i="9"/>
  <c r="N12" i="9"/>
  <c r="O10" i="9"/>
  <c r="O11" i="9"/>
  <c r="AC72" i="9"/>
  <c r="AB72" i="9"/>
  <c r="M5" i="9"/>
  <c r="M3" i="9"/>
  <c r="L11" i="9"/>
  <c r="L64" i="9"/>
  <c r="O13" i="9"/>
  <c r="M12" i="9"/>
  <c r="AC62" i="9"/>
  <c r="O5" i="9"/>
  <c r="L7" i="9"/>
  <c r="O3" i="9"/>
  <c r="L3" i="9"/>
  <c r="T12" i="7"/>
  <c r="AS12" i="7" s="1"/>
  <c r="AT12" i="7" s="1"/>
  <c r="H45" i="10"/>
  <c r="AF46" i="1" s="1"/>
  <c r="H39" i="10"/>
  <c r="AF40" i="1" s="1"/>
  <c r="H44" i="10"/>
  <c r="AF45" i="1" s="1"/>
  <c r="H34" i="10"/>
  <c r="AF35" i="1" s="1"/>
  <c r="H25" i="10"/>
  <c r="AF26" i="1" s="1"/>
  <c r="H17" i="10"/>
  <c r="AF18" i="1" s="1"/>
  <c r="H6" i="10"/>
  <c r="AF7" i="1" s="1"/>
  <c r="H26" i="10"/>
  <c r="AF27" i="1" s="1"/>
  <c r="H35" i="10"/>
  <c r="AF36" i="1" s="1"/>
  <c r="H23" i="10"/>
  <c r="AF24" i="1" s="1"/>
  <c r="H28" i="10"/>
  <c r="AF29" i="1" s="1"/>
  <c r="H43" i="10"/>
  <c r="AF44" i="1" s="1"/>
  <c r="H40" i="10"/>
  <c r="AF41" i="1" s="1"/>
  <c r="H20" i="10"/>
  <c r="AF21" i="1" s="1"/>
  <c r="AE110" i="1"/>
  <c r="BA78" i="1"/>
  <c r="BA81" i="1" s="1"/>
  <c r="AD73" i="1"/>
  <c r="AD86" i="1" s="1"/>
  <c r="AD89" i="1" s="1"/>
  <c r="N14" i="7"/>
  <c r="E43" i="14"/>
  <c r="AI51" i="1"/>
  <c r="R55" i="11"/>
  <c r="Q55" i="11" s="1"/>
  <c r="P55" i="11" s="1"/>
  <c r="N55" i="11" s="1"/>
  <c r="D57" i="8"/>
  <c r="X12" i="14"/>
  <c r="AL53" i="1"/>
  <c r="AD53" i="1"/>
  <c r="H6" i="9"/>
  <c r="AI60" i="8"/>
  <c r="BH8" i="15"/>
  <c r="BI8" i="15" s="1"/>
  <c r="K9" i="8"/>
  <c r="K107" i="8" s="1"/>
  <c r="AG107" i="8" s="1"/>
  <c r="V9" i="7"/>
  <c r="Y9" i="7" s="1"/>
  <c r="AY9" i="7" s="1"/>
  <c r="BC9" i="7" s="1"/>
  <c r="CN21" i="1"/>
  <c r="CO21" i="1" s="1"/>
  <c r="N54" i="11"/>
  <c r="P62" i="11"/>
  <c r="D61" i="8"/>
  <c r="L1" i="8" s="1"/>
  <c r="AG66" i="1"/>
  <c r="C441" i="3" s="1"/>
  <c r="C442" i="3" s="1"/>
  <c r="G28" i="14"/>
  <c r="D103" i="3" s="1"/>
  <c r="AA53" i="8"/>
  <c r="Y75" i="8" s="1"/>
  <c r="Z24" i="8" s="1"/>
  <c r="H236" i="3"/>
  <c r="D236" i="3" s="1"/>
  <c r="Y72" i="8"/>
  <c r="Z21" i="8" s="1"/>
  <c r="Y61" i="8"/>
  <c r="C297" i="3"/>
  <c r="C273" i="3" s="1"/>
  <c r="B79" i="1"/>
  <c r="H9" i="9"/>
  <c r="AB13" i="11"/>
  <c r="AL13" i="11" s="1"/>
  <c r="Y68" i="1"/>
  <c r="V12" i="7"/>
  <c r="Y12" i="7" s="1"/>
  <c r="AY12" i="7" s="1"/>
  <c r="CN24" i="1"/>
  <c r="CO24" i="1" s="1"/>
  <c r="K11" i="8"/>
  <c r="K109" i="8" s="1"/>
  <c r="AG109" i="8" s="1"/>
  <c r="AI62" i="8"/>
  <c r="D273" i="3"/>
  <c r="C281" i="3" s="1"/>
  <c r="BK44" i="15"/>
  <c r="BK45" i="15" s="1"/>
  <c r="BJ23" i="15" s="1"/>
  <c r="Y71" i="8"/>
  <c r="Z20" i="8" s="1"/>
  <c r="Y77" i="8"/>
  <c r="Z26" i="8" s="1"/>
  <c r="Y63" i="8"/>
  <c r="Z12" i="8" s="1"/>
  <c r="AB12" i="8" s="1"/>
  <c r="AE16" i="1" s="1"/>
  <c r="C163" i="3"/>
  <c r="E197" i="3"/>
  <c r="H198" i="3" s="1"/>
  <c r="D165" i="3" s="1"/>
  <c r="Z1" i="8"/>
  <c r="C443" i="3"/>
  <c r="AX5" i="7"/>
  <c r="BF5" i="7" s="1"/>
  <c r="BA5" i="7" s="1"/>
  <c r="BC5" i="7" s="1"/>
  <c r="AT8" i="11"/>
  <c r="AU8" i="11" s="1"/>
  <c r="AV8" i="11" s="1"/>
  <c r="AX8" i="11" s="1"/>
  <c r="AL8" i="11" s="1"/>
  <c r="Q10" i="11"/>
  <c r="AU10" i="1" s="1"/>
  <c r="Q33" i="11"/>
  <c r="AU33" i="1" s="1"/>
  <c r="Q35" i="11"/>
  <c r="AU35" i="1" s="1"/>
  <c r="Q7" i="11"/>
  <c r="AU7" i="1" s="1"/>
  <c r="Q13" i="11"/>
  <c r="AU13" i="1" s="1"/>
  <c r="Q42" i="11"/>
  <c r="AU42" i="1" s="1"/>
  <c r="Q44" i="11"/>
  <c r="AU44" i="1" s="1"/>
  <c r="Q46" i="11"/>
  <c r="AU46" i="1" s="1"/>
  <c r="Q49" i="11"/>
  <c r="AU49" i="1" s="1"/>
  <c r="AT30" i="11"/>
  <c r="AU30" i="11" s="1"/>
  <c r="AV30" i="11" s="1"/>
  <c r="AX30" i="11" s="1"/>
  <c r="AL30" i="11" s="1"/>
  <c r="AT28" i="11"/>
  <c r="AU28" i="11" s="1"/>
  <c r="AV28" i="11" s="1"/>
  <c r="AX28" i="11" s="1"/>
  <c r="AL28" i="11" s="1"/>
  <c r="R27" i="11"/>
  <c r="R46" i="11"/>
  <c r="AT25" i="11"/>
  <c r="AU25" i="11" s="1"/>
  <c r="AV25" i="11" s="1"/>
  <c r="AX25" i="11" s="1"/>
  <c r="AL25" i="11" s="1"/>
  <c r="AT34" i="11"/>
  <c r="AU34" i="11" s="1"/>
  <c r="AV34" i="11" s="1"/>
  <c r="AX34" i="11" s="1"/>
  <c r="AL34" i="11" s="1"/>
  <c r="AT18" i="11"/>
  <c r="AU18" i="11" s="1"/>
  <c r="AV18" i="11" s="1"/>
  <c r="AX18" i="11" s="1"/>
  <c r="AL18" i="11" s="1"/>
  <c r="R31" i="11"/>
  <c r="AT35" i="11"/>
  <c r="AU35" i="11" s="1"/>
  <c r="AV35" i="11" s="1"/>
  <c r="AX35" i="11" s="1"/>
  <c r="AL35" i="11" s="1"/>
  <c r="R49" i="11"/>
  <c r="AT39" i="11"/>
  <c r="AU39" i="11" s="1"/>
  <c r="AV39" i="11" s="1"/>
  <c r="AX39" i="11" s="1"/>
  <c r="AL39" i="11" s="1"/>
  <c r="AT31" i="11"/>
  <c r="AU31" i="11" s="1"/>
  <c r="AV31" i="11" s="1"/>
  <c r="AX31" i="11" s="1"/>
  <c r="AL31" i="11" s="1"/>
  <c r="R44" i="11"/>
  <c r="R41" i="11"/>
  <c r="R42" i="11"/>
  <c r="AT11" i="11"/>
  <c r="AU11" i="11" s="1"/>
  <c r="AV11" i="11" s="1"/>
  <c r="AX11" i="11" s="1"/>
  <c r="AL11" i="11" s="1"/>
  <c r="J12" i="9"/>
  <c r="P12" i="9" s="1"/>
  <c r="K7" i="9"/>
  <c r="K3" i="9"/>
  <c r="L5" i="9"/>
  <c r="P5" i="9" s="1"/>
  <c r="M8" i="9"/>
  <c r="O4" i="9"/>
  <c r="J3" i="9"/>
  <c r="P3" i="9" s="1"/>
  <c r="H4" i="9"/>
  <c r="N13" i="9"/>
  <c r="P13" i="9" s="1"/>
  <c r="J4" i="9"/>
  <c r="P4" i="9" s="1"/>
  <c r="AD62" i="9"/>
  <c r="M11" i="9"/>
  <c r="N11" i="9"/>
  <c r="AB62" i="9"/>
  <c r="L8" i="9"/>
  <c r="P8" i="9" s="1"/>
  <c r="J7" i="9"/>
  <c r="P7" i="9" s="1"/>
  <c r="J11" i="9"/>
  <c r="P11" i="9" s="1"/>
  <c r="G11" i="14"/>
  <c r="I11" i="14"/>
  <c r="D10" i="14"/>
  <c r="B3" i="14"/>
  <c r="I10" i="14"/>
  <c r="E5" i="14"/>
  <c r="B5" i="14" s="1"/>
  <c r="D12" i="14"/>
  <c r="B12" i="14" s="1"/>
  <c r="J10" i="14"/>
  <c r="C8" i="14"/>
  <c r="B8" i="14" s="1"/>
  <c r="AL10" i="11"/>
  <c r="BC15" i="7"/>
  <c r="N52" i="11"/>
  <c r="N64" i="11" s="1"/>
  <c r="S41" i="11" s="1"/>
  <c r="E44" i="14"/>
  <c r="G43" i="14" s="1"/>
  <c r="E45" i="14"/>
  <c r="H56" i="15"/>
  <c r="F56" i="15"/>
  <c r="F52" i="15"/>
  <c r="D52" i="15" s="1"/>
  <c r="H55" i="15"/>
  <c r="F60" i="15"/>
  <c r="D60" i="15" s="1"/>
  <c r="G55" i="15"/>
  <c r="H53" i="15"/>
  <c r="J56" i="15"/>
  <c r="I56" i="15"/>
  <c r="I55" i="15"/>
  <c r="F54" i="15"/>
  <c r="F49" i="15"/>
  <c r="I49" i="15"/>
  <c r="F50" i="15"/>
  <c r="D50" i="15" s="1"/>
  <c r="H49" i="15"/>
  <c r="F58" i="15"/>
  <c r="D58" i="15" s="1"/>
  <c r="F53" i="15"/>
  <c r="K56" i="15"/>
  <c r="G56" i="15"/>
  <c r="G49" i="15"/>
  <c r="F59" i="15"/>
  <c r="D59" i="15" s="1"/>
  <c r="F51" i="15"/>
  <c r="D51" i="15" s="1"/>
  <c r="J55" i="15"/>
  <c r="G57" i="15"/>
  <c r="I53" i="15"/>
  <c r="G53" i="15"/>
  <c r="F55" i="15"/>
  <c r="F57" i="15"/>
  <c r="D57" i="15" s="1"/>
  <c r="G54" i="15"/>
  <c r="AK52" i="1"/>
  <c r="AK53" i="1" s="1"/>
  <c r="AJ52" i="1"/>
  <c r="BJ22" i="15"/>
  <c r="BJ20" i="15"/>
  <c r="Y54" i="8"/>
  <c r="Z3" i="8" s="1"/>
  <c r="AB3" i="8" s="1"/>
  <c r="AE4" i="1" s="1"/>
  <c r="Y62" i="8"/>
  <c r="Z11" i="8" s="1"/>
  <c r="Y92" i="8"/>
  <c r="Z41" i="8" s="1"/>
  <c r="Y80" i="8"/>
  <c r="Z29" i="8" s="1"/>
  <c r="C102" i="3"/>
  <c r="H34" i="14" s="1"/>
  <c r="M2" i="7"/>
  <c r="O2" i="7" s="1"/>
  <c r="M4" i="7" s="1"/>
  <c r="P48" i="7" s="1"/>
  <c r="J90" i="7" s="1"/>
  <c r="C48" i="7" s="1"/>
  <c r="Q48" i="7" s="1"/>
  <c r="C425" i="3"/>
  <c r="C396" i="3"/>
  <c r="C397" i="3" s="1"/>
  <c r="C399" i="3" s="1"/>
  <c r="I10" i="9" s="1"/>
  <c r="D108" i="9" s="1"/>
  <c r="F108" i="9" s="1"/>
  <c r="D348" i="3"/>
  <c r="CO25" i="1"/>
  <c r="CN53" i="1"/>
  <c r="CK124" i="1" s="1"/>
  <c r="CR140" i="1" s="1"/>
  <c r="CL147" i="1" s="1"/>
  <c r="CN156" i="1" s="1"/>
  <c r="AL16" i="11"/>
  <c r="BI10" i="15"/>
  <c r="D119" i="9"/>
  <c r="F119" i="9" s="1"/>
  <c r="D48" i="13"/>
  <c r="BB53" i="1" s="1"/>
  <c r="C18" i="5" s="1"/>
  <c r="E49" i="12"/>
  <c r="AN53" i="1" s="1"/>
  <c r="K114" i="9"/>
  <c r="K115" i="9" s="1"/>
  <c r="D103" i="9" s="1"/>
  <c r="F103" i="9" s="1"/>
  <c r="M75" i="9"/>
  <c r="O75" i="9" s="1"/>
  <c r="P20" i="7"/>
  <c r="J62" i="7" s="1"/>
  <c r="C20" i="7" s="1"/>
  <c r="Q20" i="7" s="1"/>
  <c r="N35" i="7"/>
  <c r="I77" i="7" s="1"/>
  <c r="B35" i="7" s="1"/>
  <c r="O35" i="7" s="1"/>
  <c r="R43" i="7"/>
  <c r="H85" i="7" s="1"/>
  <c r="A43" i="7" s="1"/>
  <c r="S43" i="7" s="1"/>
  <c r="P44" i="7"/>
  <c r="J86" i="7" s="1"/>
  <c r="C44" i="7" s="1"/>
  <c r="Q44" i="7" s="1"/>
  <c r="P23" i="7"/>
  <c r="J65" i="7" s="1"/>
  <c r="C23" i="7" s="1"/>
  <c r="Q23" i="7" s="1"/>
  <c r="N307" i="3"/>
  <c r="C24" i="5"/>
  <c r="CO156" i="1"/>
  <c r="N17" i="7" l="1"/>
  <c r="I59" i="7" s="1"/>
  <c r="B17" i="7" s="1"/>
  <c r="O17" i="7" s="1"/>
  <c r="AB6" i="7"/>
  <c r="AE6" i="7" s="1"/>
  <c r="AG6" i="7" s="1"/>
  <c r="AC6" i="7" s="1"/>
  <c r="P35" i="7"/>
  <c r="J77" i="7" s="1"/>
  <c r="C35" i="7" s="1"/>
  <c r="Q35" i="7" s="1"/>
  <c r="Z9" i="7"/>
  <c r="AD9" i="7" s="1"/>
  <c r="AF9" i="7" s="1"/>
  <c r="AA9" i="7" s="1"/>
  <c r="P40" i="7"/>
  <c r="J82" i="7" s="1"/>
  <c r="C40" i="7" s="1"/>
  <c r="Q40" i="7" s="1"/>
  <c r="D110" i="9"/>
  <c r="F110" i="9" s="1"/>
  <c r="D113" i="9"/>
  <c r="F113" i="9" s="1"/>
  <c r="D101" i="9"/>
  <c r="F101" i="9" s="1"/>
  <c r="BH37" i="15"/>
  <c r="J40" i="15" s="1"/>
  <c r="D42" i="15" s="1"/>
  <c r="D44" i="15" s="1"/>
  <c r="AB50" i="11"/>
  <c r="AF10" i="11" s="1"/>
  <c r="AF17" i="11" s="1"/>
  <c r="C79" i="3" s="1"/>
  <c r="AV52" i="1" s="1"/>
  <c r="CO53" i="1"/>
  <c r="AZ57" i="1" s="1"/>
  <c r="D237" i="3"/>
  <c r="D249" i="3" s="1"/>
  <c r="C249" i="3" s="1"/>
  <c r="C5" i="5"/>
  <c r="B11" i="14"/>
  <c r="AE62" i="9"/>
  <c r="AF65" i="9" s="1"/>
  <c r="AF66" i="9" s="1"/>
  <c r="AU12" i="7"/>
  <c r="AW12" i="7" s="1"/>
  <c r="BE12" i="7" s="1"/>
  <c r="BB12" i="7" s="1"/>
  <c r="BD12" i="7" s="1"/>
  <c r="BD17" i="7" s="1"/>
  <c r="AX12" i="7"/>
  <c r="BF12" i="7" s="1"/>
  <c r="BA12" i="7" s="1"/>
  <c r="BC12" i="7" s="1"/>
  <c r="AE72" i="9"/>
  <c r="P10" i="9"/>
  <c r="D8" i="5"/>
  <c r="AE2" i="1"/>
  <c r="B4" i="14"/>
  <c r="D55" i="15"/>
  <c r="J3" i="8"/>
  <c r="J101" i="8" s="1"/>
  <c r="Y67" i="8"/>
  <c r="AE12" i="8" s="1"/>
  <c r="AG12" i="8" s="1"/>
  <c r="Y87" i="8"/>
  <c r="Z36" i="8" s="1"/>
  <c r="AB36" i="8" s="1"/>
  <c r="AE40" i="1" s="1"/>
  <c r="Y59" i="8"/>
  <c r="Y82" i="8"/>
  <c r="Z31" i="8" s="1"/>
  <c r="BJ35" i="15"/>
  <c r="BJ15" i="15"/>
  <c r="BJ16" i="15"/>
  <c r="Y68" i="8"/>
  <c r="J51" i="8" s="1"/>
  <c r="Y74" i="8"/>
  <c r="Z23" i="8" s="1"/>
  <c r="AB23" i="8" s="1"/>
  <c r="AE27" i="1" s="1"/>
  <c r="Y81" i="8"/>
  <c r="Z30" i="8" s="1"/>
  <c r="AB30" i="8" s="1"/>
  <c r="AE34" i="1" s="1"/>
  <c r="Y88" i="8"/>
  <c r="Z37" i="8" s="1"/>
  <c r="J37" i="8" s="1"/>
  <c r="J135" i="8" s="1"/>
  <c r="Y84" i="8"/>
  <c r="Z33" i="8" s="1"/>
  <c r="AB33" i="8" s="1"/>
  <c r="AE37" i="1" s="1"/>
  <c r="AU52" i="1"/>
  <c r="AL50" i="11"/>
  <c r="AW53" i="1" s="1"/>
  <c r="Y55" i="8"/>
  <c r="Y58" i="8"/>
  <c r="Y73" i="8"/>
  <c r="Z22" i="8" s="1"/>
  <c r="J22" i="8" s="1"/>
  <c r="J120" i="8" s="1"/>
  <c r="Y91" i="8"/>
  <c r="Z40" i="8" s="1"/>
  <c r="AB40" i="8" s="1"/>
  <c r="AE44" i="1" s="1"/>
  <c r="Y76" i="8"/>
  <c r="Z25" i="8" s="1"/>
  <c r="Y94" i="8"/>
  <c r="Z43" i="8" s="1"/>
  <c r="J43" i="8" s="1"/>
  <c r="J141" i="8" s="1"/>
  <c r="Y95" i="8"/>
  <c r="Z44" i="8" s="1"/>
  <c r="J44" i="8" s="1"/>
  <c r="J142" i="8" s="1"/>
  <c r="Y56" i="8"/>
  <c r="Z5" i="8" s="1"/>
  <c r="BJ34" i="15"/>
  <c r="BJ28" i="15"/>
  <c r="BJ14" i="15"/>
  <c r="BJ26" i="15"/>
  <c r="BJ9" i="15"/>
  <c r="Y66" i="8"/>
  <c r="J49" i="8" s="1"/>
  <c r="J145" i="8" s="1"/>
  <c r="Y57" i="8"/>
  <c r="Z6" i="8" s="1"/>
  <c r="J6" i="8" s="1"/>
  <c r="J104" i="8" s="1"/>
  <c r="Y83" i="8"/>
  <c r="Z32" i="8" s="1"/>
  <c r="AB32" i="8" s="1"/>
  <c r="AE36" i="1" s="1"/>
  <c r="Y85" i="8"/>
  <c r="Z34" i="8" s="1"/>
  <c r="AB34" i="8" s="1"/>
  <c r="Y64" i="8"/>
  <c r="Z13" i="8" s="1"/>
  <c r="J13" i="8" s="1"/>
  <c r="J111" i="8" s="1"/>
  <c r="Y90" i="8"/>
  <c r="Z39" i="8" s="1"/>
  <c r="AB39" i="8" s="1"/>
  <c r="AE43" i="1" s="1"/>
  <c r="Y86" i="8"/>
  <c r="Z35" i="8" s="1"/>
  <c r="Y79" i="8"/>
  <c r="Z28" i="8" s="1"/>
  <c r="J28" i="8" s="1"/>
  <c r="J126" i="8" s="1"/>
  <c r="Y70" i="8"/>
  <c r="Z17" i="8" s="1"/>
  <c r="BC17" i="7"/>
  <c r="AT17" i="7" s="1"/>
  <c r="AT25" i="7" s="1"/>
  <c r="I5" i="9"/>
  <c r="N347" i="3"/>
  <c r="C15" i="5"/>
  <c r="P43" i="7"/>
  <c r="J85" i="7" s="1"/>
  <c r="C43" i="7" s="1"/>
  <c r="Q43" i="7" s="1"/>
  <c r="R31" i="7"/>
  <c r="H73" i="7" s="1"/>
  <c r="A31" i="7" s="1"/>
  <c r="BV5" i="7"/>
  <c r="BX6" i="7" s="1"/>
  <c r="BW5" i="7" s="1"/>
  <c r="BX5" i="7" s="1"/>
  <c r="BY5" i="7" s="1"/>
  <c r="AB12" i="7"/>
  <c r="AE12" i="7" s="1"/>
  <c r="AG12" i="7" s="1"/>
  <c r="AC12" i="7" s="1"/>
  <c r="Z15" i="7"/>
  <c r="AD15" i="7" s="1"/>
  <c r="AF15" i="7" s="1"/>
  <c r="AA15" i="7" s="1"/>
  <c r="AB3" i="7"/>
  <c r="AE3" i="7" s="1"/>
  <c r="AG3" i="7" s="1"/>
  <c r="AC3" i="7" s="1"/>
  <c r="P46" i="7"/>
  <c r="J88" i="7" s="1"/>
  <c r="C46" i="7" s="1"/>
  <c r="Q46" i="7" s="1"/>
  <c r="N39" i="7"/>
  <c r="I81" i="7" s="1"/>
  <c r="B39" i="7" s="1"/>
  <c r="O39" i="7" s="1"/>
  <c r="P39" i="7"/>
  <c r="J81" i="7" s="1"/>
  <c r="C39" i="7" s="1"/>
  <c r="Q39" i="7" s="1"/>
  <c r="D114" i="9"/>
  <c r="F114" i="9" s="1"/>
  <c r="D102" i="9"/>
  <c r="F102" i="9" s="1"/>
  <c r="D118" i="9"/>
  <c r="F118" i="9" s="1"/>
  <c r="D106" i="9"/>
  <c r="F106" i="9" s="1"/>
  <c r="D116" i="9"/>
  <c r="F116" i="9" s="1"/>
  <c r="D104" i="9"/>
  <c r="F104" i="9" s="1"/>
  <c r="D121" i="9"/>
  <c r="F121" i="9" s="1"/>
  <c r="J40" i="8"/>
  <c r="AF75" i="9"/>
  <c r="AF76" i="9" s="1"/>
  <c r="AE78" i="9" s="1"/>
  <c r="J12" i="8"/>
  <c r="J110" i="8" s="1"/>
  <c r="Y65" i="8"/>
  <c r="Y78" i="8"/>
  <c r="Z27" i="8" s="1"/>
  <c r="Y89" i="8"/>
  <c r="Z38" i="8" s="1"/>
  <c r="Y69" i="8"/>
  <c r="Y93" i="8"/>
  <c r="Z42" i="8" s="1"/>
  <c r="Y60" i="8"/>
  <c r="Z9" i="8" s="1"/>
  <c r="Y96" i="8"/>
  <c r="Z45" i="8" s="1"/>
  <c r="AB24" i="8"/>
  <c r="J24" i="8"/>
  <c r="J122" i="8" s="1"/>
  <c r="AB37" i="8"/>
  <c r="AE41" i="1" s="1"/>
  <c r="J33" i="8"/>
  <c r="J131" i="8" s="1"/>
  <c r="J21" i="8"/>
  <c r="J119" i="8" s="1"/>
  <c r="AB21" i="8"/>
  <c r="AE25" i="1" s="1"/>
  <c r="I12" i="9"/>
  <c r="I2" i="9" s="1"/>
  <c r="Z14" i="8"/>
  <c r="J26" i="8"/>
  <c r="J124" i="8" s="1"/>
  <c r="AB26" i="8"/>
  <c r="AE30" i="1" s="1"/>
  <c r="J34" i="8"/>
  <c r="J132" i="8" s="1"/>
  <c r="AB13" i="8"/>
  <c r="AE17" i="1" s="1"/>
  <c r="J39" i="8"/>
  <c r="J137" i="8" s="1"/>
  <c r="N32" i="7"/>
  <c r="I74" i="7" s="1"/>
  <c r="B32" i="7" s="1"/>
  <c r="O32" i="7" s="1"/>
  <c r="N20" i="7"/>
  <c r="I62" i="7" s="1"/>
  <c r="B20" i="7" s="1"/>
  <c r="AC471" i="1" s="1"/>
  <c r="N46" i="7"/>
  <c r="I88" i="7" s="1"/>
  <c r="B46" i="7" s="1"/>
  <c r="O46" i="7" s="1"/>
  <c r="R45" i="7"/>
  <c r="H87" i="7" s="1"/>
  <c r="A45" i="7" s="1"/>
  <c r="S45" i="7" s="1"/>
  <c r="N30" i="7"/>
  <c r="I72" i="7" s="1"/>
  <c r="B30" i="7" s="1"/>
  <c r="O30" i="7" s="1"/>
  <c r="N43" i="7"/>
  <c r="I85" i="7" s="1"/>
  <c r="B43" i="7" s="1"/>
  <c r="O43" i="7" s="1"/>
  <c r="BR5" i="7"/>
  <c r="BS9" i="7" s="1"/>
  <c r="BS5" i="7" s="1"/>
  <c r="BT5" i="7" s="1"/>
  <c r="BU5" i="7" s="1"/>
  <c r="N23" i="7"/>
  <c r="I65" i="7" s="1"/>
  <c r="B23" i="7" s="1"/>
  <c r="O23" i="7" s="1"/>
  <c r="N48" i="7"/>
  <c r="I90" i="7" s="1"/>
  <c r="B48" i="7" s="1"/>
  <c r="O48" i="7" s="1"/>
  <c r="R30" i="7"/>
  <c r="T30" i="7" s="1"/>
  <c r="T34" i="7" s="1"/>
  <c r="S30" i="7" s="1"/>
  <c r="R20" i="7"/>
  <c r="H62" i="7" s="1"/>
  <c r="A20" i="7" s="1"/>
  <c r="S20" i="7" s="1"/>
  <c r="R44" i="7"/>
  <c r="H86" i="7" s="1"/>
  <c r="A44" i="7" s="1"/>
  <c r="S44" i="7" s="1"/>
  <c r="AB5" i="7"/>
  <c r="AE5" i="7" s="1"/>
  <c r="AG5" i="7" s="1"/>
  <c r="AC5" i="7" s="1"/>
  <c r="P26" i="7"/>
  <c r="J68" i="7" s="1"/>
  <c r="C26" i="7" s="1"/>
  <c r="Q26" i="7" s="1"/>
  <c r="P30" i="7"/>
  <c r="J72" i="7" s="1"/>
  <c r="C30" i="7" s="1"/>
  <c r="Q30" i="7" s="1"/>
  <c r="P25" i="7"/>
  <c r="J67" i="7" s="1"/>
  <c r="C25" i="7" s="1"/>
  <c r="Q25" i="7" s="1"/>
  <c r="N36" i="7"/>
  <c r="I78" i="7" s="1"/>
  <c r="B36" i="7" s="1"/>
  <c r="O36" i="7" s="1"/>
  <c r="N40" i="7"/>
  <c r="I82" i="7" s="1"/>
  <c r="B40" i="7" s="1"/>
  <c r="O40" i="7" s="1"/>
  <c r="D122" i="9"/>
  <c r="F122" i="9" s="1"/>
  <c r="M70" i="9"/>
  <c r="O70" i="9" s="1"/>
  <c r="D117" i="9"/>
  <c r="F117" i="9" s="1"/>
  <c r="D112" i="9"/>
  <c r="F112" i="9" s="1"/>
  <c r="D111" i="9"/>
  <c r="F111" i="9" s="1"/>
  <c r="D115" i="9"/>
  <c r="F115" i="9" s="1"/>
  <c r="D123" i="9"/>
  <c r="F123" i="9" s="1"/>
  <c r="D109" i="9"/>
  <c r="F109" i="9" s="1"/>
  <c r="M65" i="9"/>
  <c r="O65" i="9" s="1"/>
  <c r="D107" i="9"/>
  <c r="F107" i="9" s="1"/>
  <c r="D105" i="9"/>
  <c r="F105" i="9" s="1"/>
  <c r="D120" i="9"/>
  <c r="F120" i="9" s="1"/>
  <c r="D100" i="9"/>
  <c r="F100" i="9" s="1"/>
  <c r="AE11" i="8"/>
  <c r="AG11" i="8" s="1"/>
  <c r="J32" i="8"/>
  <c r="J130" i="8" s="1"/>
  <c r="J23" i="8"/>
  <c r="J121" i="8" s="1"/>
  <c r="AB20" i="8"/>
  <c r="AE24" i="1" s="1"/>
  <c r="J20" i="8"/>
  <c r="J118" i="8" s="1"/>
  <c r="J30" i="8"/>
  <c r="J128" i="8" s="1"/>
  <c r="BJ13" i="15"/>
  <c r="BJ36" i="15"/>
  <c r="BJ27" i="15"/>
  <c r="BJ21" i="15"/>
  <c r="BJ19" i="15"/>
  <c r="BJ17" i="15"/>
  <c r="BJ31" i="15"/>
  <c r="BJ24" i="15"/>
  <c r="BJ4" i="15"/>
  <c r="BJ5" i="15"/>
  <c r="BJ33" i="15"/>
  <c r="BJ32" i="15"/>
  <c r="BJ12" i="15"/>
  <c r="BJ8" i="15"/>
  <c r="BJ29" i="15"/>
  <c r="BJ30" i="15"/>
  <c r="BJ18" i="15"/>
  <c r="BJ25" i="15"/>
  <c r="BJ6" i="15"/>
  <c r="BJ7" i="15"/>
  <c r="BJ11" i="15"/>
  <c r="Q2" i="9"/>
  <c r="Q4" i="9" s="1"/>
  <c r="Q7" i="9" s="1"/>
  <c r="B10" i="14"/>
  <c r="J3" i="14" s="1"/>
  <c r="F13" i="14" s="1"/>
  <c r="F16" i="14" s="1"/>
  <c r="D101" i="3" s="1"/>
  <c r="U41" i="11"/>
  <c r="T41" i="11"/>
  <c r="AI52" i="1"/>
  <c r="AJ53" i="1"/>
  <c r="AI53" i="1" s="1"/>
  <c r="D53" i="15"/>
  <c r="D54" i="15"/>
  <c r="S26" i="11"/>
  <c r="S44" i="11"/>
  <c r="S24" i="11"/>
  <c r="S33" i="11"/>
  <c r="S36" i="11"/>
  <c r="S49" i="11"/>
  <c r="S13" i="11"/>
  <c r="S18" i="11"/>
  <c r="S10" i="11"/>
  <c r="S32" i="11"/>
  <c r="S45" i="11"/>
  <c r="C50" i="3"/>
  <c r="S1" i="11" s="1"/>
  <c r="D49" i="15"/>
  <c r="D56" i="15"/>
  <c r="F46" i="14"/>
  <c r="F48" i="14" s="1"/>
  <c r="B45" i="14"/>
  <c r="S7" i="11"/>
  <c r="S31" i="11"/>
  <c r="S35" i="11"/>
  <c r="S29" i="11"/>
  <c r="S42" i="11"/>
  <c r="S40" i="11"/>
  <c r="S46" i="11"/>
  <c r="S6" i="11"/>
  <c r="S43" i="11"/>
  <c r="S21" i="11"/>
  <c r="S16" i="11"/>
  <c r="S34" i="11"/>
  <c r="S4" i="11"/>
  <c r="S47" i="11"/>
  <c r="S37" i="11"/>
  <c r="S27" i="11"/>
  <c r="C436" i="3"/>
  <c r="C429" i="3" s="1"/>
  <c r="D424" i="3"/>
  <c r="J50" i="8"/>
  <c r="AB29" i="8"/>
  <c r="AE33" i="1" s="1"/>
  <c r="J29" i="8"/>
  <c r="J127" i="8" s="1"/>
  <c r="J36" i="8"/>
  <c r="J134" i="8" s="1"/>
  <c r="AB41" i="8"/>
  <c r="AE45" i="1" s="1"/>
  <c r="J41" i="8"/>
  <c r="J139" i="8" s="1"/>
  <c r="J11" i="8"/>
  <c r="J109" i="8" s="1"/>
  <c r="AB11" i="8"/>
  <c r="AE13" i="1" s="1"/>
  <c r="P36" i="7"/>
  <c r="J78" i="7" s="1"/>
  <c r="C36" i="7" s="1"/>
  <c r="Q36" i="7" s="1"/>
  <c r="P45" i="7"/>
  <c r="J87" i="7" s="1"/>
  <c r="C45" i="7" s="1"/>
  <c r="Q45" i="7" s="1"/>
  <c r="N26" i="7"/>
  <c r="I68" i="7" s="1"/>
  <c r="B26" i="7" s="1"/>
  <c r="N41" i="7"/>
  <c r="I83" i="7" s="1"/>
  <c r="B41" i="7" s="1"/>
  <c r="O41" i="7" s="1"/>
  <c r="P41" i="7"/>
  <c r="J83" i="7" s="1"/>
  <c r="C41" i="7" s="1"/>
  <c r="Q41" i="7" s="1"/>
  <c r="N34" i="7"/>
  <c r="I76" i="7" s="1"/>
  <c r="B34" i="7" s="1"/>
  <c r="O34" i="7" s="1"/>
  <c r="Z12" i="7"/>
  <c r="AD12" i="7" s="1"/>
  <c r="AF12" i="7" s="1"/>
  <c r="AA12" i="7" s="1"/>
  <c r="N31" i="7"/>
  <c r="I73" i="7" s="1"/>
  <c r="B31" i="7" s="1"/>
  <c r="O31" i="7" s="1"/>
  <c r="N44" i="7"/>
  <c r="I86" i="7" s="1"/>
  <c r="B44" i="7" s="1"/>
  <c r="O44" i="7" s="1"/>
  <c r="P34" i="7"/>
  <c r="J76" i="7" s="1"/>
  <c r="C34" i="7" s="1"/>
  <c r="Q34" i="7" s="1"/>
  <c r="BO5" i="7"/>
  <c r="BP9" i="7" s="1"/>
  <c r="BP5" i="7" s="1"/>
  <c r="BQ5" i="7" s="1"/>
  <c r="AB9" i="7"/>
  <c r="AE9" i="7" s="1"/>
  <c r="AG9" i="7" s="1"/>
  <c r="AC9" i="7" s="1"/>
  <c r="P17" i="7"/>
  <c r="J59" i="7" s="1"/>
  <c r="C17" i="7" s="1"/>
  <c r="Q17" i="7" s="1"/>
  <c r="R17" i="7"/>
  <c r="H59" i="7" s="1"/>
  <c r="A17" i="7" s="1"/>
  <c r="S17" i="7" s="1"/>
  <c r="J55" i="7"/>
  <c r="J56" i="7" s="1"/>
  <c r="K55" i="7" s="1"/>
  <c r="L55" i="7" s="1"/>
  <c r="N55" i="7" s="1"/>
  <c r="P42" i="7"/>
  <c r="J84" i="7" s="1"/>
  <c r="C42" i="7" s="1"/>
  <c r="Q42" i="7" s="1"/>
  <c r="N45" i="7"/>
  <c r="I87" i="7" s="1"/>
  <c r="B45" i="7" s="1"/>
  <c r="O45" i="7" s="1"/>
  <c r="N33" i="7"/>
  <c r="I75" i="7" s="1"/>
  <c r="B33" i="7" s="1"/>
  <c r="O33" i="7" s="1"/>
  <c r="Z6" i="7"/>
  <c r="AD6" i="7" s="1"/>
  <c r="AF6" i="7" s="1"/>
  <c r="AA6" i="7" s="1"/>
  <c r="N42" i="7"/>
  <c r="I84" i="7" s="1"/>
  <c r="B42" i="7" s="1"/>
  <c r="O42" i="7" s="1"/>
  <c r="N25" i="7"/>
  <c r="I67" i="7" s="1"/>
  <c r="B25" i="7" s="1"/>
  <c r="AB15" i="7"/>
  <c r="AE15" i="7" s="1"/>
  <c r="AG15" i="7" s="1"/>
  <c r="AC15" i="7" s="1"/>
  <c r="P31" i="7"/>
  <c r="J73" i="7" s="1"/>
  <c r="C31" i="7" s="1"/>
  <c r="Q31" i="7" s="1"/>
  <c r="R23" i="7"/>
  <c r="H65" i="7" s="1"/>
  <c r="A23" i="7" s="1"/>
  <c r="S23" i="7" s="1"/>
  <c r="P32" i="7"/>
  <c r="J74" i="7" s="1"/>
  <c r="C32" i="7" s="1"/>
  <c r="Q32" i="7" s="1"/>
  <c r="Z5" i="7"/>
  <c r="AD5" i="7" s="1"/>
  <c r="AF5" i="7" s="1"/>
  <c r="AA5" i="7" s="1"/>
  <c r="Z3" i="7"/>
  <c r="AD3" i="7" s="1"/>
  <c r="AF3" i="7" s="1"/>
  <c r="AA3" i="7" s="1"/>
  <c r="P33" i="7"/>
  <c r="J75" i="7" s="1"/>
  <c r="C33" i="7" s="1"/>
  <c r="Q33" i="7" s="1"/>
  <c r="R46" i="7"/>
  <c r="H88" i="7" s="1"/>
  <c r="A46" i="7" s="1"/>
  <c r="S46" i="7" s="1"/>
  <c r="BR6" i="7"/>
  <c r="BR10" i="7" s="1"/>
  <c r="BS6" i="7" s="1"/>
  <c r="BT6" i="7" s="1"/>
  <c r="BU6" i="7" s="1"/>
  <c r="BU7" i="7" s="1"/>
  <c r="AB22" i="8"/>
  <c r="AE26" i="1" s="1"/>
  <c r="AB43" i="8"/>
  <c r="AE47" i="1" s="1"/>
  <c r="BJ10" i="15"/>
  <c r="BI38" i="15"/>
  <c r="Q10" i="9"/>
  <c r="J104" i="9" s="1"/>
  <c r="CM16" i="1"/>
  <c r="CR16" i="1" s="1"/>
  <c r="CM32" i="1"/>
  <c r="CR32" i="1" s="1"/>
  <c r="CM50" i="1"/>
  <c r="CR50" i="1" s="1"/>
  <c r="CM44" i="1"/>
  <c r="CR44" i="1" s="1"/>
  <c r="CM42" i="1"/>
  <c r="CR42" i="1" s="1"/>
  <c r="CM33" i="1"/>
  <c r="CR33" i="1" s="1"/>
  <c r="CM49" i="1"/>
  <c r="CR49" i="1" s="1"/>
  <c r="CM51" i="1"/>
  <c r="CR51" i="1" s="1"/>
  <c r="CM37" i="1"/>
  <c r="CR37" i="1" s="1"/>
  <c r="CM43" i="1"/>
  <c r="CR43" i="1" s="1"/>
  <c r="CM17" i="1"/>
  <c r="CR17" i="1" s="1"/>
  <c r="CM48" i="1"/>
  <c r="CR48" i="1" s="1"/>
  <c r="CM21" i="1"/>
  <c r="CR21" i="1" s="1"/>
  <c r="C89" i="3"/>
  <c r="AZ52" i="1" s="1"/>
  <c r="AZ55" i="1" s="1"/>
  <c r="CM47" i="1"/>
  <c r="CR47" i="1" s="1"/>
  <c r="CM29" i="1"/>
  <c r="CR29" i="1" s="1"/>
  <c r="CM39" i="1"/>
  <c r="CR39" i="1" s="1"/>
  <c r="CM25" i="1"/>
  <c r="CR25" i="1" s="1"/>
  <c r="CM27" i="1"/>
  <c r="CR27" i="1" s="1"/>
  <c r="CM46" i="1"/>
  <c r="CR46" i="1" s="1"/>
  <c r="CM24" i="1"/>
  <c r="CR24" i="1" s="1"/>
  <c r="CM41" i="1"/>
  <c r="CR41" i="1" s="1"/>
  <c r="CM52" i="1"/>
  <c r="CR52" i="1" s="1"/>
  <c r="CM40" i="1"/>
  <c r="CR40" i="1" s="1"/>
  <c r="CM30" i="1"/>
  <c r="CR30" i="1" s="1"/>
  <c r="CM18" i="1"/>
  <c r="CR18" i="1" s="1"/>
  <c r="CM34" i="1"/>
  <c r="CR34" i="1" s="1"/>
  <c r="CM35" i="1"/>
  <c r="CR35" i="1" s="1"/>
  <c r="J138" i="8"/>
  <c r="AH6" i="8" l="1"/>
  <c r="AH2" i="8"/>
  <c r="Q1" i="8"/>
  <c r="L50" i="8"/>
  <c r="N50" i="8" s="1"/>
  <c r="O50" i="8" s="1"/>
  <c r="Q50" i="8" s="1"/>
  <c r="T50" i="8" s="1"/>
  <c r="T31" i="7"/>
  <c r="T35" i="7" s="1"/>
  <c r="S31" i="7" s="1"/>
  <c r="AC474" i="1"/>
  <c r="BH5" i="7"/>
  <c r="AB6" i="8"/>
  <c r="AE7" i="1" s="1"/>
  <c r="AA16" i="7"/>
  <c r="AX28" i="8"/>
  <c r="AY28" i="8" s="1"/>
  <c r="AB31" i="8"/>
  <c r="AE35" i="1" s="1"/>
  <c r="J31" i="8"/>
  <c r="J129" i="8" s="1"/>
  <c r="AX37" i="8"/>
  <c r="AY37" i="8" s="1"/>
  <c r="AE13" i="8"/>
  <c r="AG13" i="8" s="1"/>
  <c r="AB25" i="8"/>
  <c r="AE29" i="1" s="1"/>
  <c r="J25" i="8"/>
  <c r="AX23" i="8"/>
  <c r="AY23" i="8" s="1"/>
  <c r="AX44" i="8"/>
  <c r="L44" i="8" s="1"/>
  <c r="AX21" i="8"/>
  <c r="L21" i="8" s="1"/>
  <c r="AH48" i="8"/>
  <c r="AJ61" i="8" s="1"/>
  <c r="AK61" i="8" s="1"/>
  <c r="AM61" i="8" s="1"/>
  <c r="AO61" i="8" s="1"/>
  <c r="AP61" i="8" s="1"/>
  <c r="AB28" i="8"/>
  <c r="AE32" i="1" s="1"/>
  <c r="AB44" i="8"/>
  <c r="AE48" i="1" s="1"/>
  <c r="AB17" i="8"/>
  <c r="AE21" i="1" s="1"/>
  <c r="J17" i="8"/>
  <c r="J35" i="8"/>
  <c r="AB35" i="8"/>
  <c r="AE39" i="1" s="1"/>
  <c r="J5" i="8"/>
  <c r="J103" i="8" s="1"/>
  <c r="AB5" i="8"/>
  <c r="AE6" i="1" s="1"/>
  <c r="O78" i="9"/>
  <c r="AE80" i="9" s="1"/>
  <c r="J105" i="9" s="1"/>
  <c r="AB45" i="8"/>
  <c r="AE49" i="1" s="1"/>
  <c r="J45" i="8"/>
  <c r="AB42" i="8"/>
  <c r="AE46" i="1" s="1"/>
  <c r="J42" i="8"/>
  <c r="AB38" i="8"/>
  <c r="AE42" i="1" s="1"/>
  <c r="J38" i="8"/>
  <c r="AE10" i="8"/>
  <c r="AG10" i="8" s="1"/>
  <c r="J48" i="8"/>
  <c r="AX40" i="8"/>
  <c r="L40" i="8" s="1"/>
  <c r="H72" i="7"/>
  <c r="A30" i="7" s="1"/>
  <c r="O20" i="7"/>
  <c r="AX39" i="8"/>
  <c r="AY39" i="8" s="1"/>
  <c r="AX29" i="8"/>
  <c r="L29" i="8" s="1"/>
  <c r="AX32" i="8"/>
  <c r="L32" i="8" s="1"/>
  <c r="AX26" i="8"/>
  <c r="AY26" i="8" s="1"/>
  <c r="AX33" i="8"/>
  <c r="L33" i="8" s="1"/>
  <c r="AX20" i="8"/>
  <c r="AY20" i="8" s="1"/>
  <c r="AX22" i="8"/>
  <c r="AY22" i="8" s="1"/>
  <c r="AX31" i="8"/>
  <c r="L31" i="8" s="1"/>
  <c r="L49" i="8"/>
  <c r="N49" i="8" s="1"/>
  <c r="O49" i="8" s="1"/>
  <c r="Q49" i="8" s="1"/>
  <c r="T49" i="8" s="1"/>
  <c r="BJ38" i="15"/>
  <c r="AB9" i="8"/>
  <c r="AE10" i="1" s="1"/>
  <c r="J9" i="8"/>
  <c r="J107" i="8" s="1"/>
  <c r="J27" i="8"/>
  <c r="AB27" i="8"/>
  <c r="AE31" i="1" s="1"/>
  <c r="AC16" i="7"/>
  <c r="S16" i="7" s="1"/>
  <c r="F124" i="9"/>
  <c r="I100" i="9" s="1"/>
  <c r="J106" i="9" s="1"/>
  <c r="Q50" i="7"/>
  <c r="S50" i="7"/>
  <c r="K48" i="8"/>
  <c r="J147" i="8"/>
  <c r="K49" i="8"/>
  <c r="L51" i="8"/>
  <c r="L147" i="8" s="1"/>
  <c r="AX30" i="8"/>
  <c r="AY30" i="8" s="1"/>
  <c r="AX36" i="8"/>
  <c r="AY36" i="8" s="1"/>
  <c r="AX43" i="8"/>
  <c r="L43" i="8" s="1"/>
  <c r="J14" i="8"/>
  <c r="AB14" i="8"/>
  <c r="AE18" i="1" s="1"/>
  <c r="T37" i="11"/>
  <c r="U37" i="11"/>
  <c r="T4" i="11"/>
  <c r="U4" i="11"/>
  <c r="T16" i="11"/>
  <c r="U16" i="11"/>
  <c r="U43" i="11"/>
  <c r="T43" i="11"/>
  <c r="U46" i="11"/>
  <c r="T46" i="11"/>
  <c r="U42" i="11"/>
  <c r="T42" i="11"/>
  <c r="T35" i="11"/>
  <c r="U35" i="11"/>
  <c r="T7" i="11"/>
  <c r="U7" i="11"/>
  <c r="C58" i="14"/>
  <c r="D114" i="3"/>
  <c r="C70" i="15"/>
  <c r="T45" i="11"/>
  <c r="U45" i="11"/>
  <c r="T10" i="11"/>
  <c r="U10" i="11"/>
  <c r="U13" i="11"/>
  <c r="T13" i="11"/>
  <c r="T36" i="11"/>
  <c r="U36" i="11"/>
  <c r="T24" i="11"/>
  <c r="U24" i="11"/>
  <c r="U26" i="11"/>
  <c r="T26" i="11"/>
  <c r="T27" i="11"/>
  <c r="U27" i="11"/>
  <c r="T47" i="11"/>
  <c r="U47" i="11"/>
  <c r="U34" i="11"/>
  <c r="T34" i="11"/>
  <c r="U21" i="11"/>
  <c r="T21" i="11"/>
  <c r="U6" i="11"/>
  <c r="T6" i="11"/>
  <c r="U40" i="11"/>
  <c r="T40" i="11"/>
  <c r="U29" i="11"/>
  <c r="T29" i="11"/>
  <c r="U31" i="11"/>
  <c r="T31" i="11"/>
  <c r="U32" i="11"/>
  <c r="T32" i="11"/>
  <c r="T18" i="11"/>
  <c r="U18" i="11"/>
  <c r="T49" i="11"/>
  <c r="U49" i="11"/>
  <c r="U33" i="11"/>
  <c r="T33" i="11"/>
  <c r="T44" i="11"/>
  <c r="U44" i="11"/>
  <c r="N7" i="3"/>
  <c r="C13" i="5"/>
  <c r="AG41" i="11"/>
  <c r="AH41" i="11" s="1"/>
  <c r="AP41" i="11" s="1"/>
  <c r="AI41" i="11" s="1"/>
  <c r="V41" i="11"/>
  <c r="W41" i="11" s="1"/>
  <c r="Y41" i="11" s="1"/>
  <c r="Z41" i="11" s="1"/>
  <c r="AC41" i="11" s="1"/>
  <c r="AF52" i="1"/>
  <c r="AF53" i="1"/>
  <c r="M1" i="10"/>
  <c r="O25" i="7"/>
  <c r="AC476" i="1"/>
  <c r="AC477" i="1"/>
  <c r="O26" i="7"/>
  <c r="K50" i="8"/>
  <c r="J146" i="8"/>
  <c r="AY40" i="8"/>
  <c r="CR53" i="1"/>
  <c r="AY29" i="8"/>
  <c r="L26" i="8"/>
  <c r="L146" i="8"/>
  <c r="L22" i="8"/>
  <c r="AY31" i="8"/>
  <c r="AZ53" i="1"/>
  <c r="N84" i="3" s="1"/>
  <c r="C20" i="5"/>
  <c r="AY44" i="8"/>
  <c r="L28" i="8"/>
  <c r="N51" i="8"/>
  <c r="O51" i="8" s="1"/>
  <c r="Q51" i="8" s="1"/>
  <c r="T51" i="8" s="1"/>
  <c r="L20" i="8"/>
  <c r="L36" i="8"/>
  <c r="AJ90" i="8"/>
  <c r="AK90" i="8" s="1"/>
  <c r="AM90" i="8" s="1"/>
  <c r="AO90" i="8" s="1"/>
  <c r="AP90" i="8" s="1"/>
  <c r="AJ62" i="8"/>
  <c r="AK62" i="8" s="1"/>
  <c r="AM62" i="8" s="1"/>
  <c r="AO62" i="8" s="1"/>
  <c r="AP62" i="8" s="1"/>
  <c r="AJ91" i="8"/>
  <c r="AK91" i="8" s="1"/>
  <c r="AM91" i="8" s="1"/>
  <c r="AO91" i="8" s="1"/>
  <c r="AP91" i="8" s="1"/>
  <c r="AJ67" i="8"/>
  <c r="AK67" i="8" s="1"/>
  <c r="AM67" i="8" s="1"/>
  <c r="AO67" i="8" s="1"/>
  <c r="AP67" i="8" s="1"/>
  <c r="AJ60" i="8"/>
  <c r="AK60" i="8" s="1"/>
  <c r="AM60" i="8" s="1"/>
  <c r="AO60" i="8" s="1"/>
  <c r="AP60" i="8" s="1"/>
  <c r="AJ56" i="8"/>
  <c r="AK56" i="8" s="1"/>
  <c r="AM56" i="8" s="1"/>
  <c r="AO56" i="8" s="1"/>
  <c r="AP56" i="8" s="1"/>
  <c r="AJ65" i="8"/>
  <c r="AK65" i="8" s="1"/>
  <c r="AM65" i="8" s="1"/>
  <c r="AO65" i="8" s="1"/>
  <c r="AP65" i="8" s="1"/>
  <c r="AJ83" i="8"/>
  <c r="AK83" i="8" s="1"/>
  <c r="AM83" i="8" s="1"/>
  <c r="AO83" i="8" s="1"/>
  <c r="AP83" i="8" s="1"/>
  <c r="AJ58" i="8"/>
  <c r="AK58" i="8" s="1"/>
  <c r="AM58" i="8" s="1"/>
  <c r="AO58" i="8" s="1"/>
  <c r="AP58" i="8" s="1"/>
  <c r="AJ69" i="8"/>
  <c r="AK69" i="8" s="1"/>
  <c r="AM69" i="8" s="1"/>
  <c r="AO69" i="8" s="1"/>
  <c r="AP69" i="8" s="1"/>
  <c r="AJ59" i="8"/>
  <c r="AK59" i="8" s="1"/>
  <c r="AM59" i="8" s="1"/>
  <c r="AO59" i="8" s="1"/>
  <c r="AP59" i="8" s="1"/>
  <c r="AJ73" i="8"/>
  <c r="AK73" i="8" s="1"/>
  <c r="AM73" i="8" s="1"/>
  <c r="AO73" i="8" s="1"/>
  <c r="AP73" i="8" s="1"/>
  <c r="AJ95" i="8"/>
  <c r="AK95" i="8" s="1"/>
  <c r="AM95" i="8" s="1"/>
  <c r="AO95" i="8" s="1"/>
  <c r="AP95" i="8" s="1"/>
  <c r="AJ66" i="8"/>
  <c r="AK66" i="8" s="1"/>
  <c r="AM66" i="8" s="1"/>
  <c r="AO66" i="8" s="1"/>
  <c r="AP66" i="8" s="1"/>
  <c r="AJ87" i="8"/>
  <c r="AK87" i="8" s="1"/>
  <c r="AM87" i="8" s="1"/>
  <c r="AO87" i="8" s="1"/>
  <c r="AP87" i="8" s="1"/>
  <c r="AJ96" i="8"/>
  <c r="AK96" i="8" s="1"/>
  <c r="AM96" i="8" s="1"/>
  <c r="AO96" i="8" s="1"/>
  <c r="AP96" i="8" s="1"/>
  <c r="AJ88" i="8"/>
  <c r="AK88" i="8" s="1"/>
  <c r="AM88" i="8" s="1"/>
  <c r="AO88" i="8" s="1"/>
  <c r="AP88" i="8" s="1"/>
  <c r="AJ89" i="8"/>
  <c r="AK89" i="8" s="1"/>
  <c r="AM89" i="8" s="1"/>
  <c r="AO89" i="8" s="1"/>
  <c r="AP89" i="8" s="1"/>
  <c r="AJ63" i="8"/>
  <c r="AK63" i="8" s="1"/>
  <c r="AM63" i="8" s="1"/>
  <c r="AO63" i="8" s="1"/>
  <c r="AP63" i="8" s="1"/>
  <c r="AJ72" i="8"/>
  <c r="AK72" i="8" s="1"/>
  <c r="AM72" i="8" s="1"/>
  <c r="AO72" i="8" s="1"/>
  <c r="AP72" i="8" s="1"/>
  <c r="AJ93" i="8"/>
  <c r="AK93" i="8" s="1"/>
  <c r="AM93" i="8" s="1"/>
  <c r="AO93" i="8" s="1"/>
  <c r="AP93" i="8" s="1"/>
  <c r="AH4" i="8" l="1"/>
  <c r="D246" i="3"/>
  <c r="AJ92" i="8"/>
  <c r="AK92" i="8" s="1"/>
  <c r="AM92" i="8" s="1"/>
  <c r="AO92" i="8" s="1"/>
  <c r="AP92" i="8" s="1"/>
  <c r="AJ57" i="8"/>
  <c r="AK57" i="8" s="1"/>
  <c r="AM57" i="8" s="1"/>
  <c r="AO57" i="8" s="1"/>
  <c r="AP57" i="8" s="1"/>
  <c r="AP97" i="8" s="1"/>
  <c r="W2" i="8" s="1"/>
  <c r="AJ79" i="8"/>
  <c r="AK79" i="8" s="1"/>
  <c r="AM79" i="8" s="1"/>
  <c r="AO79" i="8" s="1"/>
  <c r="AP79" i="8" s="1"/>
  <c r="AJ94" i="8"/>
  <c r="AK94" i="8" s="1"/>
  <c r="AM94" i="8" s="1"/>
  <c r="AO94" i="8" s="1"/>
  <c r="AP94" i="8" s="1"/>
  <c r="AJ74" i="8"/>
  <c r="AK74" i="8" s="1"/>
  <c r="AM74" i="8" s="1"/>
  <c r="AO74" i="8" s="1"/>
  <c r="AP74" i="8" s="1"/>
  <c r="AJ81" i="8"/>
  <c r="AK81" i="8" s="1"/>
  <c r="AM81" i="8" s="1"/>
  <c r="AO81" i="8" s="1"/>
  <c r="AP81" i="8" s="1"/>
  <c r="AJ70" i="8"/>
  <c r="AK70" i="8" s="1"/>
  <c r="AM70" i="8" s="1"/>
  <c r="AO70" i="8" s="1"/>
  <c r="AP70" i="8" s="1"/>
  <c r="AJ82" i="8"/>
  <c r="AK82" i="8" s="1"/>
  <c r="AM82" i="8" s="1"/>
  <c r="AO82" i="8" s="1"/>
  <c r="AP82" i="8" s="1"/>
  <c r="AJ64" i="8"/>
  <c r="AK64" i="8" s="1"/>
  <c r="AM64" i="8" s="1"/>
  <c r="AO64" i="8" s="1"/>
  <c r="AP64" i="8" s="1"/>
  <c r="AJ78" i="8"/>
  <c r="AK78" i="8" s="1"/>
  <c r="AM78" i="8" s="1"/>
  <c r="AO78" i="8" s="1"/>
  <c r="AP78" i="8" s="1"/>
  <c r="AJ85" i="8"/>
  <c r="AK85" i="8" s="1"/>
  <c r="AM85" i="8" s="1"/>
  <c r="AO85" i="8" s="1"/>
  <c r="AP85" i="8" s="1"/>
  <c r="AJ76" i="8"/>
  <c r="AK76" i="8" s="1"/>
  <c r="AM76" i="8" s="1"/>
  <c r="AO76" i="8" s="1"/>
  <c r="AP76" i="8" s="1"/>
  <c r="AJ86" i="8"/>
  <c r="AK86" i="8" s="1"/>
  <c r="AM86" i="8" s="1"/>
  <c r="AO86" i="8" s="1"/>
  <c r="AP86" i="8" s="1"/>
  <c r="AJ84" i="8"/>
  <c r="AK84" i="8" s="1"/>
  <c r="AM84" i="8" s="1"/>
  <c r="AO84" i="8" s="1"/>
  <c r="AP84" i="8" s="1"/>
  <c r="AJ54" i="8"/>
  <c r="AK54" i="8" s="1"/>
  <c r="AM54" i="8" s="1"/>
  <c r="AO54" i="8" s="1"/>
  <c r="AP54" i="8" s="1"/>
  <c r="AJ75" i="8"/>
  <c r="AK75" i="8" s="1"/>
  <c r="AM75" i="8" s="1"/>
  <c r="AO75" i="8" s="1"/>
  <c r="AP75" i="8" s="1"/>
  <c r="AJ77" i="8"/>
  <c r="AK77" i="8" s="1"/>
  <c r="AM77" i="8" s="1"/>
  <c r="AO77" i="8" s="1"/>
  <c r="AP77" i="8" s="1"/>
  <c r="AJ80" i="8"/>
  <c r="AK80" i="8" s="1"/>
  <c r="AM80" i="8" s="1"/>
  <c r="AO80" i="8" s="1"/>
  <c r="AP80" i="8" s="1"/>
  <c r="AJ71" i="8"/>
  <c r="AK71" i="8" s="1"/>
  <c r="AM71" i="8" s="1"/>
  <c r="AO71" i="8" s="1"/>
  <c r="AP71" i="8" s="1"/>
  <c r="AJ68" i="8"/>
  <c r="AK68" i="8" s="1"/>
  <c r="AM68" i="8" s="1"/>
  <c r="AO68" i="8" s="1"/>
  <c r="AP68" i="8" s="1"/>
  <c r="N104" i="9"/>
  <c r="J107" i="9" s="1"/>
  <c r="I50" i="1" s="1"/>
  <c r="AE52" i="1"/>
  <c r="AX41" i="8"/>
  <c r="L23" i="8"/>
  <c r="L121" i="8" s="1"/>
  <c r="L39" i="8"/>
  <c r="L37" i="8"/>
  <c r="L135" i="8" s="1"/>
  <c r="L30" i="8"/>
  <c r="O30" i="8" s="1"/>
  <c r="Q30" i="8" s="1"/>
  <c r="S30" i="8" s="1"/>
  <c r="AY21" i="8"/>
  <c r="J133" i="8"/>
  <c r="AX35" i="8"/>
  <c r="AY33" i="8"/>
  <c r="L145" i="8"/>
  <c r="AH145" i="8" s="1"/>
  <c r="AK145" i="8" s="1"/>
  <c r="AI145" i="8" s="1"/>
  <c r="AJ145" i="8" s="1"/>
  <c r="AY32" i="8"/>
  <c r="AX5" i="8"/>
  <c r="L5" i="8" s="1"/>
  <c r="O50" i="7"/>
  <c r="R51" i="7" s="1"/>
  <c r="R53" i="7" s="1"/>
  <c r="G2" i="7" s="1"/>
  <c r="AC53" i="1" s="1"/>
  <c r="J115" i="8"/>
  <c r="AX17" i="8"/>
  <c r="AX25" i="8"/>
  <c r="J123" i="8"/>
  <c r="J125" i="8"/>
  <c r="AX27" i="8"/>
  <c r="J144" i="8"/>
  <c r="L48" i="8"/>
  <c r="J136" i="8"/>
  <c r="AX38" i="8"/>
  <c r="J140" i="8"/>
  <c r="AX42" i="8"/>
  <c r="J143" i="8"/>
  <c r="AX45" i="8"/>
  <c r="AY43" i="8"/>
  <c r="V33" i="11"/>
  <c r="W33" i="11" s="1"/>
  <c r="Y33" i="11" s="1"/>
  <c r="Z33" i="11" s="1"/>
  <c r="AC33" i="11" s="1"/>
  <c r="AG33" i="11"/>
  <c r="AH33" i="11" s="1"/>
  <c r="AP33" i="11" s="1"/>
  <c r="AI33" i="11" s="1"/>
  <c r="AG32" i="11"/>
  <c r="AH32" i="11" s="1"/>
  <c r="AP32" i="11" s="1"/>
  <c r="AI32" i="11" s="1"/>
  <c r="V32" i="11"/>
  <c r="W32" i="11" s="1"/>
  <c r="Y32" i="11" s="1"/>
  <c r="Z32" i="11" s="1"/>
  <c r="AC32" i="11" s="1"/>
  <c r="AG31" i="11"/>
  <c r="AH31" i="11" s="1"/>
  <c r="AP31" i="11" s="1"/>
  <c r="AI31" i="11" s="1"/>
  <c r="V31" i="11"/>
  <c r="W31" i="11" s="1"/>
  <c r="Y31" i="11" s="1"/>
  <c r="Z31" i="11" s="1"/>
  <c r="AC31" i="11" s="1"/>
  <c r="AG29" i="11"/>
  <c r="AH29" i="11" s="1"/>
  <c r="AP29" i="11" s="1"/>
  <c r="AI29" i="11" s="1"/>
  <c r="V29" i="11"/>
  <c r="W29" i="11" s="1"/>
  <c r="Y29" i="11" s="1"/>
  <c r="Z29" i="11" s="1"/>
  <c r="AC29" i="11" s="1"/>
  <c r="V40" i="11"/>
  <c r="W40" i="11" s="1"/>
  <c r="Y40" i="11" s="1"/>
  <c r="Z40" i="11" s="1"/>
  <c r="AC40" i="11" s="1"/>
  <c r="AG40" i="11"/>
  <c r="AH40" i="11" s="1"/>
  <c r="AP40" i="11" s="1"/>
  <c r="AI40" i="11" s="1"/>
  <c r="AG6" i="11"/>
  <c r="AH6" i="11" s="1"/>
  <c r="AP6" i="11" s="1"/>
  <c r="AI6" i="11" s="1"/>
  <c r="V6" i="11"/>
  <c r="W6" i="11" s="1"/>
  <c r="Y6" i="11" s="1"/>
  <c r="Z6" i="11" s="1"/>
  <c r="AC6" i="11" s="1"/>
  <c r="V21" i="11"/>
  <c r="W21" i="11" s="1"/>
  <c r="Y21" i="11" s="1"/>
  <c r="Z21" i="11" s="1"/>
  <c r="AC21" i="11" s="1"/>
  <c r="AG21" i="11"/>
  <c r="AH21" i="11" s="1"/>
  <c r="AP21" i="11" s="1"/>
  <c r="AI21" i="11" s="1"/>
  <c r="V34" i="11"/>
  <c r="W34" i="11" s="1"/>
  <c r="Y34" i="11" s="1"/>
  <c r="Z34" i="11" s="1"/>
  <c r="AC34" i="11" s="1"/>
  <c r="AG34" i="11"/>
  <c r="AH34" i="11" s="1"/>
  <c r="AP34" i="11" s="1"/>
  <c r="AI34" i="11" s="1"/>
  <c r="AG26" i="11"/>
  <c r="AH26" i="11" s="1"/>
  <c r="AP26" i="11" s="1"/>
  <c r="AI26" i="11" s="1"/>
  <c r="V26" i="11"/>
  <c r="W26" i="11" s="1"/>
  <c r="Y26" i="11" s="1"/>
  <c r="Z26" i="11" s="1"/>
  <c r="AC26" i="11" s="1"/>
  <c r="V13" i="11"/>
  <c r="W13" i="11" s="1"/>
  <c r="Y13" i="11" s="1"/>
  <c r="Z13" i="11" s="1"/>
  <c r="AC13" i="11" s="1"/>
  <c r="AG13" i="11"/>
  <c r="AH13" i="11" s="1"/>
  <c r="AP13" i="11" s="1"/>
  <c r="AI13" i="11" s="1"/>
  <c r="AG7" i="11"/>
  <c r="AH7" i="11" s="1"/>
  <c r="AP7" i="11" s="1"/>
  <c r="AI7" i="11" s="1"/>
  <c r="V7" i="11"/>
  <c r="W7" i="11" s="1"/>
  <c r="Y7" i="11" s="1"/>
  <c r="Z7" i="11" s="1"/>
  <c r="AC7" i="11" s="1"/>
  <c r="AG35" i="11"/>
  <c r="AH35" i="11" s="1"/>
  <c r="AP35" i="11" s="1"/>
  <c r="AI35" i="11" s="1"/>
  <c r="V35" i="11"/>
  <c r="W35" i="11" s="1"/>
  <c r="Y35" i="11" s="1"/>
  <c r="Z35" i="11" s="1"/>
  <c r="AC35" i="11" s="1"/>
  <c r="AG16" i="11"/>
  <c r="AH16" i="11" s="1"/>
  <c r="AP16" i="11" s="1"/>
  <c r="AI16" i="11" s="1"/>
  <c r="V16" i="11"/>
  <c r="W16" i="11" s="1"/>
  <c r="Y16" i="11" s="1"/>
  <c r="Z16" i="11" s="1"/>
  <c r="AC16" i="11" s="1"/>
  <c r="V4" i="11"/>
  <c r="W4" i="11" s="1"/>
  <c r="Y4" i="11" s="1"/>
  <c r="Z4" i="11" s="1"/>
  <c r="AC4" i="11" s="1"/>
  <c r="AG4" i="11"/>
  <c r="AH4" i="11" s="1"/>
  <c r="AP4" i="11" s="1"/>
  <c r="AI4" i="11" s="1"/>
  <c r="V37" i="11"/>
  <c r="W37" i="11" s="1"/>
  <c r="Y37" i="11" s="1"/>
  <c r="Z37" i="11" s="1"/>
  <c r="AC37" i="11" s="1"/>
  <c r="AG37" i="11"/>
  <c r="AH37" i="11" s="1"/>
  <c r="AP37" i="11" s="1"/>
  <c r="AI37" i="11" s="1"/>
  <c r="V44" i="11"/>
  <c r="W44" i="11" s="1"/>
  <c r="Y44" i="11" s="1"/>
  <c r="Z44" i="11" s="1"/>
  <c r="AC44" i="11" s="1"/>
  <c r="AG44" i="11"/>
  <c r="AH44" i="11" s="1"/>
  <c r="AP44" i="11" s="1"/>
  <c r="AI44" i="11" s="1"/>
  <c r="AG49" i="11"/>
  <c r="AH49" i="11" s="1"/>
  <c r="AP49" i="11" s="1"/>
  <c r="AI49" i="11" s="1"/>
  <c r="V49" i="11"/>
  <c r="W49" i="11" s="1"/>
  <c r="Y49" i="11" s="1"/>
  <c r="Z49" i="11" s="1"/>
  <c r="AC49" i="11" s="1"/>
  <c r="AG18" i="11"/>
  <c r="AH18" i="11" s="1"/>
  <c r="AP18" i="11" s="1"/>
  <c r="AI18" i="11" s="1"/>
  <c r="V18" i="11"/>
  <c r="W18" i="11" s="1"/>
  <c r="Y18" i="11" s="1"/>
  <c r="Z18" i="11" s="1"/>
  <c r="AC18" i="11" s="1"/>
  <c r="V47" i="11"/>
  <c r="W47" i="11" s="1"/>
  <c r="Y47" i="11" s="1"/>
  <c r="Z47" i="11" s="1"/>
  <c r="AC47" i="11" s="1"/>
  <c r="AG47" i="11"/>
  <c r="AH47" i="11" s="1"/>
  <c r="AP47" i="11" s="1"/>
  <c r="AI47" i="11" s="1"/>
  <c r="V27" i="11"/>
  <c r="W27" i="11" s="1"/>
  <c r="Y27" i="11" s="1"/>
  <c r="Z27" i="11" s="1"/>
  <c r="AC27" i="11" s="1"/>
  <c r="AG27" i="11"/>
  <c r="AH27" i="11" s="1"/>
  <c r="AP27" i="11" s="1"/>
  <c r="AI27" i="11" s="1"/>
  <c r="V24" i="11"/>
  <c r="W24" i="11" s="1"/>
  <c r="Y24" i="11" s="1"/>
  <c r="Z24" i="11" s="1"/>
  <c r="AC24" i="11" s="1"/>
  <c r="AG24" i="11"/>
  <c r="AH24" i="11" s="1"/>
  <c r="AP24" i="11" s="1"/>
  <c r="AI24" i="11" s="1"/>
  <c r="V36" i="11"/>
  <c r="W36" i="11" s="1"/>
  <c r="Y36" i="11" s="1"/>
  <c r="Z36" i="11" s="1"/>
  <c r="AC36" i="11" s="1"/>
  <c r="AG36" i="11"/>
  <c r="AH36" i="11" s="1"/>
  <c r="AP36" i="11" s="1"/>
  <c r="AI36" i="11" s="1"/>
  <c r="AG10" i="11"/>
  <c r="AH10" i="11" s="1"/>
  <c r="AP10" i="11" s="1"/>
  <c r="AI10" i="11" s="1"/>
  <c r="V10" i="11"/>
  <c r="W10" i="11" s="1"/>
  <c r="Y10" i="11" s="1"/>
  <c r="Z10" i="11" s="1"/>
  <c r="AC10" i="11" s="1"/>
  <c r="V45" i="11"/>
  <c r="W45" i="11" s="1"/>
  <c r="Y45" i="11" s="1"/>
  <c r="Z45" i="11" s="1"/>
  <c r="AC45" i="11" s="1"/>
  <c r="AG45" i="11"/>
  <c r="AH45" i="11" s="1"/>
  <c r="AP45" i="11" s="1"/>
  <c r="AI45" i="11" s="1"/>
  <c r="AM88" i="1"/>
  <c r="AO73" i="1" s="1"/>
  <c r="AM51" i="1" s="1"/>
  <c r="B53" i="15" s="1"/>
  <c r="I70" i="15"/>
  <c r="AM52" i="1" s="1"/>
  <c r="AM55" i="1" s="1"/>
  <c r="AM53" i="1" s="1"/>
  <c r="AA42" i="14"/>
  <c r="AB42" i="14" s="1"/>
  <c r="AA18" i="14"/>
  <c r="AB18" i="14" s="1"/>
  <c r="AA50" i="14"/>
  <c r="AB50" i="14" s="1"/>
  <c r="AA39" i="14"/>
  <c r="AB39" i="14" s="1"/>
  <c r="AA52" i="14"/>
  <c r="AB52" i="14" s="1"/>
  <c r="AA32" i="14"/>
  <c r="AB32" i="14" s="1"/>
  <c r="AA53" i="14"/>
  <c r="AB53" i="14" s="1"/>
  <c r="C124" i="3"/>
  <c r="D69" i="14" s="1"/>
  <c r="BA52" i="1" s="1"/>
  <c r="AA51" i="14"/>
  <c r="AB51" i="14" s="1"/>
  <c r="AA46" i="14"/>
  <c r="AB46" i="14" s="1"/>
  <c r="AA40" i="14"/>
  <c r="AB40" i="14" s="1"/>
  <c r="AA12" i="14"/>
  <c r="AB12" i="14" s="1"/>
  <c r="AA57" i="14"/>
  <c r="AB57" i="14" s="1"/>
  <c r="AA48" i="14"/>
  <c r="AB48" i="14" s="1"/>
  <c r="AA41" i="14"/>
  <c r="AB41" i="14" s="1"/>
  <c r="AA15" i="14"/>
  <c r="AB15" i="14" s="1"/>
  <c r="AA2" i="14"/>
  <c r="AB2" i="14" s="1"/>
  <c r="AA55" i="14"/>
  <c r="AB55" i="14" s="1"/>
  <c r="AA30" i="14"/>
  <c r="AB30" i="14" s="1"/>
  <c r="AA35" i="14"/>
  <c r="AB35" i="14" s="1"/>
  <c r="AC35" i="14" s="1"/>
  <c r="BA29" i="1" s="1"/>
  <c r="AA38" i="14"/>
  <c r="AB38" i="14" s="1"/>
  <c r="AC38" i="14" s="1"/>
  <c r="BA32" i="1" s="1"/>
  <c r="AA54" i="14"/>
  <c r="AB54" i="14" s="1"/>
  <c r="AA24" i="14"/>
  <c r="AB24" i="14" s="1"/>
  <c r="AA34" i="14"/>
  <c r="AB34" i="14" s="1"/>
  <c r="AA37" i="14"/>
  <c r="AB37" i="14" s="1"/>
  <c r="AA49" i="14"/>
  <c r="AB49" i="14" s="1"/>
  <c r="AA4" i="14"/>
  <c r="AB4" i="14" s="1"/>
  <c r="AA45" i="14"/>
  <c r="AB45" i="14" s="1"/>
  <c r="AA5" i="14"/>
  <c r="AB5" i="14" s="1"/>
  <c r="AA28" i="14"/>
  <c r="AB28" i="14" s="1"/>
  <c r="AA27" i="14"/>
  <c r="AB27" i="14" s="1"/>
  <c r="AA33" i="14"/>
  <c r="AB33" i="14" s="1"/>
  <c r="V42" i="11"/>
  <c r="W42" i="11" s="1"/>
  <c r="Y42" i="11" s="1"/>
  <c r="Z42" i="11" s="1"/>
  <c r="AC42" i="11" s="1"/>
  <c r="AG42" i="11"/>
  <c r="AH42" i="11" s="1"/>
  <c r="AP42" i="11" s="1"/>
  <c r="AI42" i="11" s="1"/>
  <c r="V46" i="11"/>
  <c r="W46" i="11" s="1"/>
  <c r="Y46" i="11" s="1"/>
  <c r="Z46" i="11" s="1"/>
  <c r="AC46" i="11" s="1"/>
  <c r="AG46" i="11"/>
  <c r="AH46" i="11" s="1"/>
  <c r="AP46" i="11" s="1"/>
  <c r="AI46" i="11" s="1"/>
  <c r="V43" i="11"/>
  <c r="W43" i="11" s="1"/>
  <c r="Y43" i="11" s="1"/>
  <c r="Z43" i="11" s="1"/>
  <c r="AC43" i="11" s="1"/>
  <c r="AG43" i="11"/>
  <c r="AH43" i="11" s="1"/>
  <c r="AP43" i="11" s="1"/>
  <c r="AI43" i="11" s="1"/>
  <c r="N419" i="3"/>
  <c r="C23" i="5"/>
  <c r="J42" i="10"/>
  <c r="J20" i="10"/>
  <c r="J18" i="10"/>
  <c r="J47" i="10"/>
  <c r="J13" i="10"/>
  <c r="J30" i="10"/>
  <c r="J33" i="10"/>
  <c r="J26" i="10"/>
  <c r="J46" i="10"/>
  <c r="J8" i="10"/>
  <c r="J16" i="10"/>
  <c r="J23" i="10"/>
  <c r="J24" i="10"/>
  <c r="J7" i="10"/>
  <c r="J6" i="10"/>
  <c r="J27" i="10"/>
  <c r="J15" i="10"/>
  <c r="J10" i="10"/>
  <c r="J32" i="10"/>
  <c r="J44" i="10"/>
  <c r="J34" i="10"/>
  <c r="J28" i="10"/>
  <c r="J19" i="10"/>
  <c r="J38" i="10"/>
  <c r="J9" i="10"/>
  <c r="J36" i="10"/>
  <c r="J31" i="10"/>
  <c r="J14" i="10"/>
  <c r="J37" i="10"/>
  <c r="J11" i="10"/>
  <c r="J22" i="10"/>
  <c r="J41" i="10"/>
  <c r="J3" i="10"/>
  <c r="J25" i="10"/>
  <c r="J29" i="10"/>
  <c r="J17" i="10"/>
  <c r="J5" i="10"/>
  <c r="J35" i="10"/>
  <c r="J45" i="10"/>
  <c r="J12" i="10"/>
  <c r="J21" i="10"/>
  <c r="J40" i="10"/>
  <c r="J4" i="10"/>
  <c r="J39" i="10"/>
  <c r="J48" i="10"/>
  <c r="J43" i="10"/>
  <c r="O43" i="8"/>
  <c r="Q43" i="8" s="1"/>
  <c r="S43" i="8" s="1"/>
  <c r="L141" i="8"/>
  <c r="L131" i="8"/>
  <c r="O33" i="8"/>
  <c r="Q33" i="8" s="1"/>
  <c r="S33" i="8" s="1"/>
  <c r="AH147" i="8"/>
  <c r="AK147" i="8" s="1"/>
  <c r="AI147" i="8" s="1"/>
  <c r="AJ147" i="8" s="1"/>
  <c r="P147" i="8"/>
  <c r="L142" i="8"/>
  <c r="O44" i="8"/>
  <c r="Q44" i="8" s="1"/>
  <c r="S44" i="8" s="1"/>
  <c r="O23" i="8"/>
  <c r="Q23" i="8" s="1"/>
  <c r="S23" i="8" s="1"/>
  <c r="U23" i="8" s="1"/>
  <c r="N386" i="3"/>
  <c r="C22" i="5"/>
  <c r="L130" i="8"/>
  <c r="O32" i="8"/>
  <c r="Q32" i="8" s="1"/>
  <c r="S32" i="8" s="1"/>
  <c r="O29" i="8"/>
  <c r="Q29" i="8" s="1"/>
  <c r="S29" i="8" s="1"/>
  <c r="L127" i="8"/>
  <c r="O40" i="8"/>
  <c r="Q40" i="8" s="1"/>
  <c r="S40" i="8" s="1"/>
  <c r="L138" i="8"/>
  <c r="L134" i="8"/>
  <c r="O36" i="8"/>
  <c r="Q36" i="8" s="1"/>
  <c r="S36" i="8" s="1"/>
  <c r="U36" i="8" s="1"/>
  <c r="L128" i="8"/>
  <c r="O20" i="8"/>
  <c r="Q20" i="8" s="1"/>
  <c r="S20" i="8" s="1"/>
  <c r="L118" i="8"/>
  <c r="L126" i="8"/>
  <c r="O28" i="8"/>
  <c r="Q28" i="8" s="1"/>
  <c r="S28" i="8" s="1"/>
  <c r="O31" i="8"/>
  <c r="Q31" i="8" s="1"/>
  <c r="S31" i="8" s="1"/>
  <c r="L129" i="8"/>
  <c r="O22" i="8"/>
  <c r="Q22" i="8" s="1"/>
  <c r="S22" i="8" s="1"/>
  <c r="U22" i="8" s="1"/>
  <c r="L120" i="8"/>
  <c r="AH146" i="8"/>
  <c r="AK146" i="8" s="1"/>
  <c r="AI146" i="8" s="1"/>
  <c r="AJ146" i="8" s="1"/>
  <c r="P146" i="8"/>
  <c r="L119" i="8"/>
  <c r="O21" i="8"/>
  <c r="Q21" i="8" s="1"/>
  <c r="S21" i="8" s="1"/>
  <c r="L124" i="8"/>
  <c r="O26" i="8"/>
  <c r="Q26" i="8" s="1"/>
  <c r="S26" i="8" s="1"/>
  <c r="L137" i="8"/>
  <c r="O39" i="8"/>
  <c r="Q39" i="8" s="1"/>
  <c r="S39" i="8" s="1"/>
  <c r="U39" i="8" s="1"/>
  <c r="AY5" i="8"/>
  <c r="P145" i="8" l="1"/>
  <c r="O37" i="8"/>
  <c r="Q37" i="8" s="1"/>
  <c r="S37" i="8" s="1"/>
  <c r="U37" i="8" s="1"/>
  <c r="L41" i="8"/>
  <c r="AY41" i="8"/>
  <c r="AX12" i="8"/>
  <c r="AX6" i="8"/>
  <c r="AX13" i="8"/>
  <c r="AX9" i="8"/>
  <c r="AX11" i="8"/>
  <c r="AX3" i="8"/>
  <c r="C21" i="5"/>
  <c r="N144" i="3"/>
  <c r="L25" i="8"/>
  <c r="AY25" i="8"/>
  <c r="L35" i="8"/>
  <c r="AY35" i="8"/>
  <c r="L17" i="8"/>
  <c r="AY17" i="8"/>
  <c r="AY45" i="8"/>
  <c r="L45" i="8"/>
  <c r="AY42" i="8"/>
  <c r="L42" i="8"/>
  <c r="L38" i="8"/>
  <c r="AY38" i="8"/>
  <c r="N48" i="8"/>
  <c r="O48" i="8" s="1"/>
  <c r="Q48" i="8" s="1"/>
  <c r="T48" i="8" s="1"/>
  <c r="T52" i="8" s="1"/>
  <c r="S14" i="8" s="1"/>
  <c r="L144" i="8"/>
  <c r="L27" i="8"/>
  <c r="AY27" i="8"/>
  <c r="BA27" i="1"/>
  <c r="AC33" i="14"/>
  <c r="BA22" i="1"/>
  <c r="AC28" i="14"/>
  <c r="BA37" i="1"/>
  <c r="AC45" i="14"/>
  <c r="AC49" i="14"/>
  <c r="BA41" i="1"/>
  <c r="BA28" i="1"/>
  <c r="AC34" i="14"/>
  <c r="BA46" i="1"/>
  <c r="AC54" i="14"/>
  <c r="BA47" i="1"/>
  <c r="AC55" i="14"/>
  <c r="AC15" i="14"/>
  <c r="BA13" i="1"/>
  <c r="AC48" i="14"/>
  <c r="BA40" i="1"/>
  <c r="AC12" i="14"/>
  <c r="BA10" i="1"/>
  <c r="BA38" i="1"/>
  <c r="AC46" i="14"/>
  <c r="BA26" i="1"/>
  <c r="AC32" i="14"/>
  <c r="AC39" i="14"/>
  <c r="BA33" i="1"/>
  <c r="BA16" i="1"/>
  <c r="AC18" i="14"/>
  <c r="C16" i="5"/>
  <c r="N260" i="3"/>
  <c r="AI50" i="11"/>
  <c r="AV53" i="1" s="1"/>
  <c r="AC51" i="11"/>
  <c r="AU53" i="1" s="1"/>
  <c r="BA21" i="1"/>
  <c r="AC27" i="14"/>
  <c r="AC5" i="14"/>
  <c r="BA7" i="1"/>
  <c r="BA6" i="1"/>
  <c r="AC4" i="14"/>
  <c r="BA31" i="1"/>
  <c r="AC37" i="14"/>
  <c r="AC24" i="14"/>
  <c r="BA18" i="1"/>
  <c r="BA24" i="1"/>
  <c r="AC30" i="14"/>
  <c r="AC2" i="14"/>
  <c r="BA4" i="1"/>
  <c r="AC41" i="14"/>
  <c r="BA35" i="1"/>
  <c r="AC57" i="14"/>
  <c r="BA49" i="1"/>
  <c r="AC40" i="14"/>
  <c r="BA34" i="1"/>
  <c r="BA43" i="1"/>
  <c r="AC51" i="14"/>
  <c r="AC53" i="14"/>
  <c r="BA45" i="1"/>
  <c r="AC52" i="14"/>
  <c r="BA44" i="1"/>
  <c r="BA42" i="1"/>
  <c r="AC50" i="14"/>
  <c r="BA36" i="1"/>
  <c r="AC42" i="14"/>
  <c r="AH126" i="8"/>
  <c r="AK126" i="8" s="1"/>
  <c r="AI126" i="8" s="1"/>
  <c r="AJ126" i="8" s="1"/>
  <c r="P126" i="8"/>
  <c r="AH130" i="8"/>
  <c r="AK130" i="8" s="1"/>
  <c r="AI130" i="8" s="1"/>
  <c r="AJ130" i="8" s="1"/>
  <c r="P130" i="8"/>
  <c r="P142" i="8"/>
  <c r="AH142" i="8"/>
  <c r="AK142" i="8" s="1"/>
  <c r="AI142" i="8" s="1"/>
  <c r="AJ142" i="8" s="1"/>
  <c r="AH131" i="8"/>
  <c r="AK131" i="8" s="1"/>
  <c r="AI131" i="8" s="1"/>
  <c r="AJ131" i="8" s="1"/>
  <c r="P131" i="8"/>
  <c r="O5" i="8"/>
  <c r="Q5" i="8" s="1"/>
  <c r="S5" i="8" s="1"/>
  <c r="L103" i="8"/>
  <c r="AH119" i="8"/>
  <c r="AK119" i="8" s="1"/>
  <c r="AI119" i="8" s="1"/>
  <c r="AJ119" i="8" s="1"/>
  <c r="P119" i="8"/>
  <c r="Y146" i="8"/>
  <c r="Z146" i="8" s="1"/>
  <c r="AB146" i="8" s="1"/>
  <c r="AC146" i="8" s="1"/>
  <c r="AD146" i="8" s="1"/>
  <c r="AE146" i="8" s="1"/>
  <c r="AF146" i="8" s="1"/>
  <c r="Q146" i="8"/>
  <c r="S146" i="8" s="1"/>
  <c r="T146" i="8" s="1"/>
  <c r="U146" i="8" s="1"/>
  <c r="V146" i="8" s="1"/>
  <c r="W146" i="8" s="1"/>
  <c r="AH129" i="8"/>
  <c r="AK129" i="8" s="1"/>
  <c r="AI129" i="8" s="1"/>
  <c r="AJ129" i="8" s="1"/>
  <c r="P129" i="8"/>
  <c r="Q145" i="8"/>
  <c r="S145" i="8" s="1"/>
  <c r="T145" i="8" s="1"/>
  <c r="U145" i="8" s="1"/>
  <c r="V145" i="8" s="1"/>
  <c r="W145" i="8" s="1"/>
  <c r="Y145" i="8"/>
  <c r="Z145" i="8" s="1"/>
  <c r="AB145" i="8" s="1"/>
  <c r="AC145" i="8" s="1"/>
  <c r="AD145" i="8" s="1"/>
  <c r="AE145" i="8" s="1"/>
  <c r="AF145" i="8" s="1"/>
  <c r="AH118" i="8"/>
  <c r="AK118" i="8" s="1"/>
  <c r="AI118" i="8" s="1"/>
  <c r="AJ118" i="8" s="1"/>
  <c r="P118" i="8"/>
  <c r="AH128" i="8"/>
  <c r="AK128" i="8" s="1"/>
  <c r="AI128" i="8" s="1"/>
  <c r="AJ128" i="8" s="1"/>
  <c r="P128" i="8"/>
  <c r="AH138" i="8"/>
  <c r="AK138" i="8" s="1"/>
  <c r="AI138" i="8" s="1"/>
  <c r="AJ138" i="8" s="1"/>
  <c r="P138" i="8"/>
  <c r="AH127" i="8"/>
  <c r="AK127" i="8" s="1"/>
  <c r="AI127" i="8" s="1"/>
  <c r="AJ127" i="8" s="1"/>
  <c r="P127" i="8"/>
  <c r="Q147" i="8"/>
  <c r="S147" i="8" s="1"/>
  <c r="T147" i="8" s="1"/>
  <c r="U147" i="8" s="1"/>
  <c r="V147" i="8" s="1"/>
  <c r="W147" i="8" s="1"/>
  <c r="Y147" i="8"/>
  <c r="Z147" i="8" s="1"/>
  <c r="AB147" i="8" s="1"/>
  <c r="AC147" i="8" s="1"/>
  <c r="AD147" i="8" s="1"/>
  <c r="AE147" i="8" s="1"/>
  <c r="AF147" i="8" s="1"/>
  <c r="P141" i="8"/>
  <c r="AH141" i="8"/>
  <c r="AK141" i="8" s="1"/>
  <c r="AI141" i="8" s="1"/>
  <c r="AJ141" i="8" s="1"/>
  <c r="AY3" i="8" l="1"/>
  <c r="L3" i="8"/>
  <c r="AY9" i="8"/>
  <c r="L9" i="8"/>
  <c r="AY6" i="8"/>
  <c r="L6" i="8"/>
  <c r="AY11" i="8"/>
  <c r="L11" i="8"/>
  <c r="L13" i="8"/>
  <c r="AY13" i="8"/>
  <c r="AY12" i="8"/>
  <c r="L12" i="8"/>
  <c r="O41" i="8"/>
  <c r="Q41" i="8" s="1"/>
  <c r="S41" i="8" s="1"/>
  <c r="L139" i="8"/>
  <c r="L115" i="8"/>
  <c r="O17" i="8"/>
  <c r="Q17" i="8" s="1"/>
  <c r="S17" i="8" s="1"/>
  <c r="L133" i="8"/>
  <c r="O35" i="8"/>
  <c r="Q35" i="8" s="1"/>
  <c r="S35" i="8" s="1"/>
  <c r="L123" i="8"/>
  <c r="O25" i="8"/>
  <c r="Q25" i="8" s="1"/>
  <c r="S25" i="8" s="1"/>
  <c r="U25" i="8" s="1"/>
  <c r="AH144" i="8"/>
  <c r="AK144" i="8" s="1"/>
  <c r="AI144" i="8" s="1"/>
  <c r="AJ144" i="8" s="1"/>
  <c r="P144" i="8"/>
  <c r="L140" i="8"/>
  <c r="O42" i="8"/>
  <c r="Q42" i="8" s="1"/>
  <c r="S42" i="8" s="1"/>
  <c r="O45" i="8"/>
  <c r="Q45" i="8" s="1"/>
  <c r="S45" i="8" s="1"/>
  <c r="U45" i="8" s="1"/>
  <c r="L143" i="8"/>
  <c r="L125" i="8"/>
  <c r="O27" i="8"/>
  <c r="Q27" i="8" s="1"/>
  <c r="S27" i="8" s="1"/>
  <c r="O38" i="8"/>
  <c r="Q38" i="8" s="1"/>
  <c r="S38" i="8" s="1"/>
  <c r="U38" i="8" s="1"/>
  <c r="L136" i="8"/>
  <c r="BA54" i="1"/>
  <c r="C65" i="14" s="1"/>
  <c r="C66" i="14" s="1"/>
  <c r="N18" i="3"/>
  <c r="C17" i="5"/>
  <c r="AC59" i="14"/>
  <c r="BB54" i="1" s="1"/>
  <c r="C68" i="14" s="1"/>
  <c r="BA53" i="1" s="1"/>
  <c r="Q141" i="8"/>
  <c r="S141" i="8" s="1"/>
  <c r="T141" i="8" s="1"/>
  <c r="U141" i="8" s="1"/>
  <c r="V141" i="8" s="1"/>
  <c r="W141" i="8" s="1"/>
  <c r="Y141" i="8"/>
  <c r="Z141" i="8" s="1"/>
  <c r="AB141" i="8" s="1"/>
  <c r="AC141" i="8" s="1"/>
  <c r="AD141" i="8" s="1"/>
  <c r="AE141" i="8" s="1"/>
  <c r="AF141" i="8" s="1"/>
  <c r="Y119" i="8"/>
  <c r="Z119" i="8" s="1"/>
  <c r="AB119" i="8" s="1"/>
  <c r="AC119" i="8" s="1"/>
  <c r="AD119" i="8" s="1"/>
  <c r="AE119" i="8" s="1"/>
  <c r="AF119" i="8" s="1"/>
  <c r="Q119" i="8"/>
  <c r="S119" i="8" s="1"/>
  <c r="T119" i="8" s="1"/>
  <c r="U119" i="8" s="1"/>
  <c r="V119" i="8" s="1"/>
  <c r="W119" i="8" s="1"/>
  <c r="AH103" i="8"/>
  <c r="AK103" i="8" s="1"/>
  <c r="AI103" i="8" s="1"/>
  <c r="AJ103" i="8" s="1"/>
  <c r="P103" i="8"/>
  <c r="Y131" i="8"/>
  <c r="Z131" i="8" s="1"/>
  <c r="AB131" i="8" s="1"/>
  <c r="AC131" i="8" s="1"/>
  <c r="AD131" i="8" s="1"/>
  <c r="AE131" i="8" s="1"/>
  <c r="AF131" i="8" s="1"/>
  <c r="Q131" i="8"/>
  <c r="S131" i="8" s="1"/>
  <c r="T131" i="8" s="1"/>
  <c r="U131" i="8" s="1"/>
  <c r="V131" i="8" s="1"/>
  <c r="W131" i="8" s="1"/>
  <c r="Q130" i="8"/>
  <c r="S130" i="8" s="1"/>
  <c r="T130" i="8" s="1"/>
  <c r="U130" i="8" s="1"/>
  <c r="V130" i="8" s="1"/>
  <c r="W130" i="8" s="1"/>
  <c r="Y130" i="8"/>
  <c r="Z130" i="8" s="1"/>
  <c r="AB130" i="8" s="1"/>
  <c r="AC130" i="8" s="1"/>
  <c r="AD130" i="8" s="1"/>
  <c r="AE130" i="8" s="1"/>
  <c r="AF130" i="8" s="1"/>
  <c r="Q126" i="8"/>
  <c r="S126" i="8" s="1"/>
  <c r="T126" i="8" s="1"/>
  <c r="U126" i="8" s="1"/>
  <c r="V126" i="8" s="1"/>
  <c r="W126" i="8" s="1"/>
  <c r="Y126" i="8"/>
  <c r="Z126" i="8" s="1"/>
  <c r="AB126" i="8" s="1"/>
  <c r="AC126" i="8" s="1"/>
  <c r="AD126" i="8" s="1"/>
  <c r="AE126" i="8" s="1"/>
  <c r="AF126" i="8" s="1"/>
  <c r="Q127" i="8"/>
  <c r="S127" i="8" s="1"/>
  <c r="T127" i="8" s="1"/>
  <c r="U127" i="8" s="1"/>
  <c r="V127" i="8" s="1"/>
  <c r="W127" i="8" s="1"/>
  <c r="Y127" i="8"/>
  <c r="Z127" i="8" s="1"/>
  <c r="AB127" i="8" s="1"/>
  <c r="AC127" i="8" s="1"/>
  <c r="AD127" i="8" s="1"/>
  <c r="AE127" i="8" s="1"/>
  <c r="AF127" i="8" s="1"/>
  <c r="Q138" i="8"/>
  <c r="S138" i="8" s="1"/>
  <c r="T138" i="8" s="1"/>
  <c r="U138" i="8" s="1"/>
  <c r="V138" i="8" s="1"/>
  <c r="W138" i="8" s="1"/>
  <c r="Y138" i="8"/>
  <c r="Z138" i="8" s="1"/>
  <c r="AB138" i="8" s="1"/>
  <c r="AC138" i="8" s="1"/>
  <c r="AD138" i="8" s="1"/>
  <c r="AE138" i="8" s="1"/>
  <c r="AF138" i="8" s="1"/>
  <c r="Q128" i="8"/>
  <c r="S128" i="8" s="1"/>
  <c r="T128" i="8" s="1"/>
  <c r="U128" i="8" s="1"/>
  <c r="V128" i="8" s="1"/>
  <c r="W128" i="8" s="1"/>
  <c r="Y128" i="8"/>
  <c r="Z128" i="8" s="1"/>
  <c r="AB128" i="8" s="1"/>
  <c r="AC128" i="8" s="1"/>
  <c r="AD128" i="8" s="1"/>
  <c r="AE128" i="8" s="1"/>
  <c r="AF128" i="8" s="1"/>
  <c r="Q118" i="8"/>
  <c r="S118" i="8" s="1"/>
  <c r="T118" i="8" s="1"/>
  <c r="U118" i="8" s="1"/>
  <c r="V118" i="8" s="1"/>
  <c r="W118" i="8" s="1"/>
  <c r="Y118" i="8"/>
  <c r="Z118" i="8" s="1"/>
  <c r="AB118" i="8" s="1"/>
  <c r="AC118" i="8" s="1"/>
  <c r="AD118" i="8" s="1"/>
  <c r="AE118" i="8" s="1"/>
  <c r="AF118" i="8" s="1"/>
  <c r="Y129" i="8"/>
  <c r="Z129" i="8" s="1"/>
  <c r="AB129" i="8" s="1"/>
  <c r="AC129" i="8" s="1"/>
  <c r="AD129" i="8" s="1"/>
  <c r="AE129" i="8" s="1"/>
  <c r="AF129" i="8" s="1"/>
  <c r="Q129" i="8"/>
  <c r="S129" i="8" s="1"/>
  <c r="T129" i="8" s="1"/>
  <c r="U129" i="8" s="1"/>
  <c r="V129" i="8" s="1"/>
  <c r="W129" i="8" s="1"/>
  <c r="Q142" i="8"/>
  <c r="S142" i="8" s="1"/>
  <c r="T142" i="8" s="1"/>
  <c r="U142" i="8" s="1"/>
  <c r="V142" i="8" s="1"/>
  <c r="W142" i="8" s="1"/>
  <c r="Y142" i="8"/>
  <c r="Z142" i="8" s="1"/>
  <c r="AB142" i="8" s="1"/>
  <c r="AC142" i="8" s="1"/>
  <c r="AD142" i="8" s="1"/>
  <c r="AE142" i="8" s="1"/>
  <c r="AF142" i="8" s="1"/>
  <c r="P139" i="8" l="1"/>
  <c r="AH139" i="8"/>
  <c r="AK139" i="8" s="1"/>
  <c r="AI139" i="8" s="1"/>
  <c r="AJ139" i="8" s="1"/>
  <c r="O12" i="8"/>
  <c r="Q12" i="8" s="1"/>
  <c r="S12" i="8" s="1"/>
  <c r="L110" i="8"/>
  <c r="O11" i="8"/>
  <c r="Q11" i="8" s="1"/>
  <c r="S11" i="8" s="1"/>
  <c r="L109" i="8"/>
  <c r="O6" i="8"/>
  <c r="Q6" i="8" s="1"/>
  <c r="S6" i="8" s="1"/>
  <c r="L104" i="8"/>
  <c r="O9" i="8"/>
  <c r="Q9" i="8" s="1"/>
  <c r="S9" i="8" s="1"/>
  <c r="L107" i="8"/>
  <c r="O3" i="8"/>
  <c r="Q3" i="8" s="1"/>
  <c r="S3" i="8" s="1"/>
  <c r="L101" i="8"/>
  <c r="L111" i="8"/>
  <c r="O13" i="8"/>
  <c r="Q13" i="8" s="1"/>
  <c r="S13" i="8" s="1"/>
  <c r="U46" i="8"/>
  <c r="P149" i="8" s="1"/>
  <c r="AH133" i="8"/>
  <c r="AK133" i="8" s="1"/>
  <c r="AI133" i="8" s="1"/>
  <c r="AJ133" i="8" s="1"/>
  <c r="P133" i="8"/>
  <c r="AH115" i="8"/>
  <c r="AK115" i="8" s="1"/>
  <c r="AI115" i="8" s="1"/>
  <c r="AJ115" i="8" s="1"/>
  <c r="P115" i="8"/>
  <c r="S46" i="8"/>
  <c r="Y144" i="8"/>
  <c r="Z144" i="8" s="1"/>
  <c r="AB144" i="8" s="1"/>
  <c r="AC144" i="8" s="1"/>
  <c r="AD144" i="8" s="1"/>
  <c r="AE144" i="8" s="1"/>
  <c r="AF144" i="8" s="1"/>
  <c r="Q144" i="8"/>
  <c r="S144" i="8" s="1"/>
  <c r="T144" i="8" s="1"/>
  <c r="U144" i="8" s="1"/>
  <c r="V144" i="8" s="1"/>
  <c r="W144" i="8" s="1"/>
  <c r="AH125" i="8"/>
  <c r="AK125" i="8" s="1"/>
  <c r="AI125" i="8" s="1"/>
  <c r="AJ125" i="8" s="1"/>
  <c r="P125" i="8"/>
  <c r="P140" i="8"/>
  <c r="AH140" i="8"/>
  <c r="AK140" i="8" s="1"/>
  <c r="AI140" i="8" s="1"/>
  <c r="AJ140" i="8" s="1"/>
  <c r="C19" i="5"/>
  <c r="N102" i="3"/>
  <c r="I53" i="14"/>
  <c r="Y103" i="8"/>
  <c r="Z103" i="8" s="1"/>
  <c r="AB103" i="8" s="1"/>
  <c r="AC103" i="8" s="1"/>
  <c r="AD103" i="8" s="1"/>
  <c r="AE103" i="8" s="1"/>
  <c r="AF103" i="8" s="1"/>
  <c r="Q103" i="8"/>
  <c r="S103" i="8" s="1"/>
  <c r="T103" i="8" s="1"/>
  <c r="U103" i="8" s="1"/>
  <c r="V103" i="8" s="1"/>
  <c r="W103" i="8" s="1"/>
  <c r="AH101" i="8" l="1"/>
  <c r="AK101" i="8" s="1"/>
  <c r="AI101" i="8" s="1"/>
  <c r="AJ101" i="8" s="1"/>
  <c r="P101" i="8"/>
  <c r="P107" i="8"/>
  <c r="AH107" i="8"/>
  <c r="AK107" i="8" s="1"/>
  <c r="AI107" i="8" s="1"/>
  <c r="AJ107" i="8" s="1"/>
  <c r="AJ148" i="8" s="1"/>
  <c r="P152" i="8" s="1"/>
  <c r="AH104" i="8"/>
  <c r="AK104" i="8" s="1"/>
  <c r="AI104" i="8" s="1"/>
  <c r="AJ104" i="8" s="1"/>
  <c r="P104" i="8"/>
  <c r="AH109" i="8"/>
  <c r="AK109" i="8" s="1"/>
  <c r="AI109" i="8" s="1"/>
  <c r="AJ109" i="8" s="1"/>
  <c r="P109" i="8"/>
  <c r="AH110" i="8"/>
  <c r="AK110" i="8" s="1"/>
  <c r="AI110" i="8" s="1"/>
  <c r="AJ110" i="8" s="1"/>
  <c r="P110" i="8"/>
  <c r="AH111" i="8"/>
  <c r="AK111" i="8" s="1"/>
  <c r="AI111" i="8" s="1"/>
  <c r="AJ111" i="8" s="1"/>
  <c r="P111" i="8"/>
  <c r="Q139" i="8"/>
  <c r="S139" i="8" s="1"/>
  <c r="T139" i="8" s="1"/>
  <c r="U139" i="8" s="1"/>
  <c r="V139" i="8" s="1"/>
  <c r="W139" i="8" s="1"/>
  <c r="Y139" i="8"/>
  <c r="Z139" i="8" s="1"/>
  <c r="AB139" i="8" s="1"/>
  <c r="AC139" i="8" s="1"/>
  <c r="AD139" i="8" s="1"/>
  <c r="AE139" i="8" s="1"/>
  <c r="AF139" i="8" s="1"/>
  <c r="Q115" i="8"/>
  <c r="S115" i="8" s="1"/>
  <c r="T115" i="8" s="1"/>
  <c r="U115" i="8" s="1"/>
  <c r="V115" i="8" s="1"/>
  <c r="W115" i="8" s="1"/>
  <c r="Y115" i="8"/>
  <c r="Z115" i="8" s="1"/>
  <c r="AB115" i="8" s="1"/>
  <c r="AC115" i="8" s="1"/>
  <c r="AD115" i="8" s="1"/>
  <c r="AE115" i="8" s="1"/>
  <c r="AF115" i="8" s="1"/>
  <c r="Q133" i="8"/>
  <c r="S133" i="8" s="1"/>
  <c r="T133" i="8" s="1"/>
  <c r="U133" i="8" s="1"/>
  <c r="V133" i="8" s="1"/>
  <c r="W133" i="8" s="1"/>
  <c r="Y133" i="8"/>
  <c r="Z133" i="8" s="1"/>
  <c r="AB133" i="8" s="1"/>
  <c r="AC133" i="8" s="1"/>
  <c r="AD133" i="8" s="1"/>
  <c r="AE133" i="8" s="1"/>
  <c r="AF133" i="8" s="1"/>
  <c r="Q125" i="8"/>
  <c r="S125" i="8" s="1"/>
  <c r="T125" i="8" s="1"/>
  <c r="U125" i="8" s="1"/>
  <c r="V125" i="8" s="1"/>
  <c r="W125" i="8" s="1"/>
  <c r="Y125" i="8"/>
  <c r="Z125" i="8" s="1"/>
  <c r="AB125" i="8" s="1"/>
  <c r="AC125" i="8" s="1"/>
  <c r="AD125" i="8" s="1"/>
  <c r="AE125" i="8" s="1"/>
  <c r="AF125" i="8" s="1"/>
  <c r="Q140" i="8"/>
  <c r="S140" i="8" s="1"/>
  <c r="T140" i="8" s="1"/>
  <c r="U140" i="8" s="1"/>
  <c r="V140" i="8" s="1"/>
  <c r="W140" i="8" s="1"/>
  <c r="Y140" i="8"/>
  <c r="Z140" i="8" s="1"/>
  <c r="AB140" i="8" s="1"/>
  <c r="AC140" i="8" s="1"/>
  <c r="AD140" i="8" s="1"/>
  <c r="AE140" i="8" s="1"/>
  <c r="AF140" i="8" s="1"/>
  <c r="Y111" i="8" l="1"/>
  <c r="Z111" i="8" s="1"/>
  <c r="AB111" i="8" s="1"/>
  <c r="AC111" i="8" s="1"/>
  <c r="AD111" i="8" s="1"/>
  <c r="AE111" i="8" s="1"/>
  <c r="AF111" i="8" s="1"/>
  <c r="Q111" i="8"/>
  <c r="S111" i="8" s="1"/>
  <c r="T111" i="8" s="1"/>
  <c r="U111" i="8" s="1"/>
  <c r="V111" i="8" s="1"/>
  <c r="W111" i="8" s="1"/>
  <c r="Y110" i="8"/>
  <c r="Z110" i="8" s="1"/>
  <c r="AB110" i="8" s="1"/>
  <c r="AC110" i="8" s="1"/>
  <c r="AD110" i="8" s="1"/>
  <c r="AE110" i="8" s="1"/>
  <c r="AF110" i="8" s="1"/>
  <c r="Q110" i="8"/>
  <c r="S110" i="8" s="1"/>
  <c r="T110" i="8" s="1"/>
  <c r="U110" i="8" s="1"/>
  <c r="V110" i="8" s="1"/>
  <c r="W110" i="8" s="1"/>
  <c r="Y109" i="8"/>
  <c r="Z109" i="8" s="1"/>
  <c r="AB109" i="8" s="1"/>
  <c r="AC109" i="8" s="1"/>
  <c r="AD109" i="8" s="1"/>
  <c r="AE109" i="8" s="1"/>
  <c r="AF109" i="8" s="1"/>
  <c r="Q109" i="8"/>
  <c r="S109" i="8" s="1"/>
  <c r="T109" i="8" s="1"/>
  <c r="U109" i="8" s="1"/>
  <c r="V109" i="8" s="1"/>
  <c r="W109" i="8" s="1"/>
  <c r="Q104" i="8"/>
  <c r="S104" i="8" s="1"/>
  <c r="T104" i="8" s="1"/>
  <c r="U104" i="8" s="1"/>
  <c r="V104" i="8" s="1"/>
  <c r="W104" i="8" s="1"/>
  <c r="Y104" i="8"/>
  <c r="Z104" i="8" s="1"/>
  <c r="AB104" i="8" s="1"/>
  <c r="AC104" i="8" s="1"/>
  <c r="AD104" i="8" s="1"/>
  <c r="AE104" i="8" s="1"/>
  <c r="AF104" i="8" s="1"/>
  <c r="AF148" i="8" s="1"/>
  <c r="P151" i="8" s="1"/>
  <c r="Y101" i="8"/>
  <c r="Z101" i="8" s="1"/>
  <c r="AB101" i="8" s="1"/>
  <c r="AC101" i="8" s="1"/>
  <c r="AD101" i="8" s="1"/>
  <c r="AE101" i="8" s="1"/>
  <c r="AF101" i="8" s="1"/>
  <c r="Q101" i="8"/>
  <c r="S101" i="8" s="1"/>
  <c r="T101" i="8" s="1"/>
  <c r="U101" i="8" s="1"/>
  <c r="V101" i="8" s="1"/>
  <c r="W101" i="8" s="1"/>
  <c r="Y107" i="8"/>
  <c r="Z107" i="8" s="1"/>
  <c r="AB107" i="8" s="1"/>
  <c r="AC107" i="8" s="1"/>
  <c r="AD107" i="8" s="1"/>
  <c r="AE107" i="8" s="1"/>
  <c r="AF107" i="8" s="1"/>
  <c r="Q107" i="8"/>
  <c r="S107" i="8" s="1"/>
  <c r="T107" i="8" s="1"/>
  <c r="U107" i="8" s="1"/>
  <c r="V107" i="8" s="1"/>
  <c r="W107" i="8" s="1"/>
  <c r="W148" i="8"/>
  <c r="P150" i="8" s="1"/>
  <c r="P153" i="8" l="1"/>
  <c r="W18" i="8" s="1"/>
  <c r="W1" i="8" s="1"/>
  <c r="W4" i="8" s="1"/>
  <c r="AE53" i="1" s="1"/>
  <c r="C14" i="5" s="1"/>
  <c r="N23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Menios</author>
  </authors>
  <commentList>
    <comment ref="BH24" authorId="0" shapeId="0" xr:uid="{00000000-0006-0000-0300-000001000000}">
      <text>
        <r>
          <rPr>
            <b/>
            <sz val="9"/>
            <color indexed="81"/>
            <rFont val="Tahoma"/>
            <family val="2"/>
            <charset val="238"/>
          </rPr>
          <t>Menios:</t>
        </r>
        <r>
          <rPr>
            <sz val="9"/>
            <color indexed="81"/>
            <rFont val="Tahoma"/>
            <family val="2"/>
            <charset val="238"/>
          </rPr>
          <t xml:space="preserve">
Képett! AR26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uthor>
    <author>Egy elégedett Microsoft Office felhasználó</author>
    <author>MENYUS</author>
    <author>Menios</author>
  </authors>
  <commentList>
    <comment ref="Y2" authorId="0" shapeId="0" xr:uid="{00000000-0006-0000-0400-000001000000}">
      <text>
        <r>
          <rPr>
            <sz val="12"/>
            <color indexed="81"/>
            <rFont val="Tahoma"/>
            <family val="2"/>
            <charset val="238"/>
          </rPr>
          <t>A bónusz kedvezmény láthatóan jelentős lehet, de csak kis flottákra tudjuk érvényesíteni.
A bónusz kedvezmény nem alkalmazható 50db-nál nagyobb flottára, vagy ha a szerződő szerepel az "F" táblázatban, vagy ha az előzmény szerződéshez kapcsolódó pótdíj alkalmazandó!
Ilyen esetben ezt a részt értelemszerűen 
fölösleges kitölteni.</t>
        </r>
      </text>
    </comment>
    <comment ref="L3" authorId="0" shapeId="0" xr:uid="{00000000-0006-0000-0400-000002000000}">
      <text>
        <r>
          <rPr>
            <b/>
            <sz val="12"/>
            <color indexed="81"/>
            <rFont val="Tahoma"/>
            <family val="2"/>
            <charset val="238"/>
          </rPr>
          <t xml:space="preserve">Ha a jármű nemzetközi áru- vagy személyfuvarozást </t>
        </r>
        <r>
          <rPr>
            <b/>
            <sz val="12"/>
            <color indexed="10"/>
            <rFont val="Tahoma"/>
            <family val="2"/>
            <charset val="238"/>
          </rPr>
          <t xml:space="preserve">IS </t>
        </r>
        <r>
          <rPr>
            <b/>
            <sz val="12"/>
            <color indexed="81"/>
            <rFont val="Tahoma"/>
            <family val="2"/>
            <charset val="238"/>
          </rPr>
          <t>végez, akkor is csakebben a bal oldali oszlopban
tüntesse fel!</t>
        </r>
        <r>
          <rPr>
            <sz val="12"/>
            <color indexed="81"/>
            <rFont val="Tahoma"/>
            <family val="2"/>
            <charset val="238"/>
          </rPr>
          <t xml:space="preserve">
Taxi, telekocsiként üzemeltetett jármű, benzin és dízel szállítás, Bérgépjármű, oktatással foglalkozó, értékszállító, megkülönböztetett jelzésű,</t>
        </r>
        <r>
          <rPr>
            <sz val="12"/>
            <color indexed="10"/>
            <rFont val="Tahoma"/>
            <family val="2"/>
            <charset val="238"/>
          </rPr>
          <t>figyelmeztető jelzést használó jármű</t>
        </r>
        <r>
          <rPr>
            <sz val="12"/>
            <color indexed="81"/>
            <rFont val="Tahoma"/>
            <family val="2"/>
            <charset val="238"/>
          </rPr>
          <t xml:space="preserve">,  versenyautó.
</t>
        </r>
      </text>
    </comment>
    <comment ref="M3" authorId="0" shapeId="0" xr:uid="{00000000-0006-0000-0400-000003000000}">
      <text>
        <r>
          <rPr>
            <b/>
            <sz val="12"/>
            <color indexed="81"/>
            <rFont val="Tahoma"/>
            <family val="2"/>
            <charset val="238"/>
          </rPr>
          <t xml:space="preserve">Ha speciális tevékenységet IS végez a jármű, akkor nem ebben, hanem a bal oldali oszlopban kell feltüntetni! </t>
        </r>
        <r>
          <rPr>
            <sz val="12"/>
            <color indexed="81"/>
            <rFont val="Tahoma"/>
            <family val="2"/>
            <charset val="238"/>
          </rPr>
          <t>Speciális tevékenységek:Taxi, benzin vagy dízel szállítás, Bérgépjármű, oktatással foglalkozó, értékszállító, megkülönböztetett jelzésű,</t>
        </r>
        <r>
          <rPr>
            <sz val="12"/>
            <color indexed="10"/>
            <rFont val="Tahoma"/>
            <family val="2"/>
            <charset val="238"/>
          </rPr>
          <t>figyelmeztető jelzést használó</t>
        </r>
        <r>
          <rPr>
            <sz val="12"/>
            <color indexed="81"/>
            <rFont val="Tahoma"/>
            <family val="2"/>
            <charset val="238"/>
          </rPr>
          <t xml:space="preserve">,  versenyautó.
</t>
        </r>
        <r>
          <rPr>
            <b/>
            <sz val="12"/>
            <color indexed="81"/>
            <rFont val="Tahoma"/>
            <family val="2"/>
            <charset val="238"/>
          </rPr>
          <t>Nemzetközi pótdíj csak TGK-ra, &gt;10t Pótkocsira, Vontatóra és Buszra van, ezért itt is csak a fehér mezők töltendők!</t>
        </r>
        <r>
          <rPr>
            <sz val="12"/>
            <color indexed="81"/>
            <rFont val="Tahoma"/>
            <family val="2"/>
            <charset val="238"/>
          </rPr>
          <t xml:space="preserve">
</t>
        </r>
      </text>
    </comment>
    <comment ref="CL4" authorId="1" shapeId="0" xr:uid="{00000000-0006-0000-0400-000004000000}">
      <text>
        <r>
          <rPr>
            <sz val="8"/>
            <color indexed="81"/>
            <rFont val="Tahoma"/>
            <family val="2"/>
            <charset val="238"/>
          </rPr>
          <t xml:space="preserve">
KITÖLTENDŐ!
</t>
        </r>
      </text>
    </comment>
    <comment ref="AI40" authorId="2" shapeId="0" xr:uid="{00000000-0006-0000-0400-000005000000}">
      <text>
        <r>
          <rPr>
            <b/>
            <sz val="9"/>
            <color indexed="81"/>
            <rFont val="Tahoma"/>
            <family val="2"/>
            <charset val="238"/>
          </rPr>
          <t>2016 óta Aegon nem hirdetett flotta díjat SMK-ra és 4 kerekű SMK-ra, így a program ezekre nulla díjat számol akkor is, ha Ön adott meg smk járműszámot!</t>
        </r>
      </text>
    </comment>
    <comment ref="AJ40" authorId="2" shapeId="0" xr:uid="{00000000-0006-0000-0400-000006000000}">
      <text>
        <r>
          <rPr>
            <b/>
            <sz val="9"/>
            <color indexed="81"/>
            <rFont val="Tahoma"/>
            <family val="2"/>
            <charset val="238"/>
          </rPr>
          <t xml:space="preserve">2016-ra Aegon nem hirdetett flotta díjat SMK-ra és 4 kerekű SMK-ra, így a program ezekre nulla díjat számol akkor is, ha Ön adott meg smk járműszámot!
</t>
        </r>
      </text>
    </comment>
    <comment ref="A41" authorId="0" shapeId="0" xr:uid="{00000000-0006-0000-0400-000007000000}">
      <text>
        <r>
          <rPr>
            <sz val="12"/>
            <color indexed="81"/>
            <rFont val="Tahoma"/>
            <family val="2"/>
            <charset val="238"/>
          </rPr>
          <t>Grouapama biztosítónál a 3 kerekű SMK is ide tartozik!!!</t>
        </r>
      </text>
    </comment>
    <comment ref="AI41" authorId="2" shapeId="0" xr:uid="{00000000-0006-0000-0400-000008000000}">
      <text>
        <r>
          <rPr>
            <b/>
            <sz val="9"/>
            <color indexed="81"/>
            <rFont val="Tahoma"/>
            <family val="2"/>
            <charset val="238"/>
          </rPr>
          <t>2016 óta Aegon nem hirdetett flotta díjat SMK-ra és 4 kerekű SMK-ra, így a program ezekre nulla díjat számol akkor is, ha Ön adott meg smk járműszámot!</t>
        </r>
      </text>
    </comment>
    <comment ref="AN41" authorId="2" shapeId="0" xr:uid="{00000000-0006-0000-0400-000009000000}">
      <text>
        <r>
          <rPr>
            <b/>
            <sz val="9"/>
            <color indexed="81"/>
            <rFont val="Tahoma"/>
            <family val="2"/>
            <charset val="238"/>
          </rPr>
          <t>2016 óta nincs hirdetbe 4 kerekű SMK-ra díj, így erre nulla díjat számol a program akkor is, ha adtunk meg járműszámot!!!</t>
        </r>
      </text>
    </comment>
    <comment ref="AC49" authorId="0" shapeId="0" xr:uid="{00000000-0006-0000-0400-00000A000000}">
      <text>
        <r>
          <rPr>
            <sz val="12"/>
            <color indexed="81"/>
            <rFont val="Tahoma"/>
            <family val="2"/>
            <charset val="238"/>
          </rPr>
          <t>Wáberer sem hirdetett flottás troli díjat.</t>
        </r>
      </text>
    </comment>
    <comment ref="AI49" authorId="2" shapeId="0" xr:uid="{00000000-0006-0000-0400-00000B000000}">
      <text>
        <r>
          <rPr>
            <b/>
            <sz val="9"/>
            <color indexed="81"/>
            <rFont val="Tahoma"/>
            <family val="2"/>
            <charset val="238"/>
          </rPr>
          <t>2016 óta Aegon nem hirdetett flotta díjatTROLI-ra, így a program nulla díjat számol akkor is, ha Ön adott meg TROLI járműszámot!</t>
        </r>
      </text>
    </comment>
    <comment ref="AM49" authorId="3" shapeId="0" xr:uid="{00000000-0006-0000-0400-00000C000000}">
      <text>
        <r>
          <rPr>
            <sz val="9"/>
            <color indexed="81"/>
            <rFont val="Tahoma"/>
            <family val="2"/>
            <charset val="238"/>
          </rPr>
          <t>Nincs hirdetve Troli díj, így ha megadott troli számot, a troli díj akkor is nulla.</t>
        </r>
        <r>
          <rPr>
            <b/>
            <sz val="9"/>
            <color indexed="81"/>
            <rFont val="Tahoma"/>
            <family val="2"/>
            <charset val="238"/>
          </rPr>
          <t xml:space="preserve">
</t>
        </r>
      </text>
    </comment>
    <comment ref="AN49" authorId="2" shapeId="0" xr:uid="{00000000-0006-0000-0400-00000D000000}">
      <text>
        <r>
          <rPr>
            <b/>
            <sz val="9"/>
            <color indexed="81"/>
            <rFont val="Tahoma"/>
            <family val="2"/>
            <charset val="238"/>
          </rPr>
          <t>2016 óta troli díj nincs hirdetve, ezért a program sem számol rá díjat, akkor sem, ha adtunk meg troli jármű számot!!!</t>
        </r>
      </text>
    </comment>
    <comment ref="BA49" authorId="3" shapeId="0" xr:uid="{00000000-0006-0000-0400-00000E000000}">
      <text>
        <r>
          <rPr>
            <b/>
            <sz val="9"/>
            <color indexed="81"/>
            <rFont val="Tahoma"/>
            <family val="2"/>
            <charset val="238"/>
          </rPr>
          <t>Troli díj nincs hirdetve, ezért trolira nulla díj számítódik akkor is ha Ön adott meg troli jmű számot!</t>
        </r>
      </text>
    </comment>
    <comment ref="AX140" authorId="0" shapeId="0" xr:uid="{00000000-0006-0000-0400-00000F000000}">
      <text>
        <r>
          <rPr>
            <sz val="10"/>
            <color indexed="81"/>
            <rFont val="Tahoma"/>
            <family val="2"/>
            <charset val="238"/>
          </rPr>
          <t>3 vagy többkerekű SMK, QUAD, forgalmi rendszámra kötelezett négykerekű is ide tartozik!</t>
        </r>
      </text>
    </comment>
    <comment ref="AX187" authorId="0" shapeId="0" xr:uid="{00000000-0006-0000-0400-000010000000}">
      <text>
        <r>
          <rPr>
            <sz val="10"/>
            <color indexed="81"/>
            <rFont val="Tahoma"/>
            <family val="2"/>
            <charset val="238"/>
          </rPr>
          <t>3 vagy többkerekű SMK, QUAD, forgalmi rendszámra kötelezett négykerekű is ide tartozik!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Menios</author>
    <author>CH</author>
    <author>MENYUS</author>
  </authors>
  <commentList>
    <comment ref="B20" authorId="0" shapeId="0" xr:uid="{00000000-0006-0000-0500-000001000000}">
      <text>
        <r>
          <rPr>
            <sz val="9"/>
            <color indexed="81"/>
            <rFont val="Tahoma"/>
            <family val="2"/>
            <charset val="238"/>
          </rPr>
          <t>"más általi használatra bérbe adnak legfeljebb 12 hónapos határozott időre (ellenérték fejében, vagy akár ellenérték nélkül ). Ide tartoznak közösségi autózás (car sharing) céljából üzemeltetett gépjárművek, illetve személytaxiként vagy személyszállításra vonatkozó megállapodás alapján (ideértve a költség megosztáson alapuló személyszállítást is) használt járművek.</t>
        </r>
      </text>
    </comment>
    <comment ref="B27" authorId="1" shapeId="0" xr:uid="{00000000-0006-0000-0500-000002000000}">
      <text>
        <r>
          <rPr>
            <sz val="10"/>
            <color indexed="81"/>
            <rFont val="Tahoma"/>
            <family val="2"/>
            <charset val="238"/>
          </rPr>
          <t>2015-től nem csak a főtevékenységű fuvarozásra jár a pótdíj!</t>
        </r>
      </text>
    </comment>
    <comment ref="B29" authorId="0" shapeId="0" xr:uid="{00000000-0006-0000-0500-000003000000}">
      <text>
        <r>
          <rPr>
            <sz val="9"/>
            <color indexed="81"/>
            <rFont val="Tahoma"/>
            <family val="2"/>
            <charset val="238"/>
          </rPr>
          <t xml:space="preserve">A díjszámítás során a Nemzetközi használat szorzót akkor kell alkalmazni, ha  a szerződő nemzetközi közúti árutovábbítással (árufuvarozással), bérfuvarozással, áruszállítással vagy nemzetközi
személyszállítással foglalkozik.
</t>
        </r>
      </text>
    </comment>
    <comment ref="B37" authorId="1" shapeId="0" xr:uid="{00000000-0006-0000-0500-000004000000}">
      <text>
        <r>
          <rPr>
            <sz val="11"/>
            <color indexed="81"/>
            <rFont val="Tahoma"/>
            <family val="2"/>
            <charset val="238"/>
          </rPr>
          <t>"Az előző évforduló óta eltelt időszaktól az ajánlattételig (legalább 9 hónap alatt) a gépjárműflottába tartozó járművek által okozott károk száma és az ajánlatkérésben szereplő járművek számának hányadosa."</t>
        </r>
      </text>
    </comment>
    <comment ref="B46" authorId="0" shapeId="0" xr:uid="{00000000-0006-0000-0500-000005000000}">
      <text>
        <r>
          <rPr>
            <sz val="9"/>
            <color indexed="81"/>
            <rFont val="Tahoma"/>
            <family val="2"/>
            <charset val="238"/>
          </rPr>
          <t>A megkülönböztető és figyelmeztető jelzést adó készülékek felszerelésének és használatának
szabályairól szóló 12/2007. (III. 13.) IRM rendeletben meghatározott azon szervek, amelyek megkülönböztető jelzés használatára jogosultak, valamint a tűz elleni védekezésről, a műszaki mentésről és a tűzoltóságról szóló 1996. évi XXXI. törvény 4.§. n), o), p), q), r) pontok szerinti szervezetek.</t>
        </r>
        <r>
          <rPr>
            <b/>
            <sz val="9"/>
            <color indexed="81"/>
            <rFont val="Tahoma"/>
            <family val="2"/>
            <charset val="238"/>
          </rPr>
          <t xml:space="preserve">
</t>
        </r>
      </text>
    </comment>
    <comment ref="B83" authorId="2" shapeId="0" xr:uid="{00000000-0006-0000-0500-000006000000}">
      <text>
        <r>
          <rPr>
            <sz val="12"/>
            <color indexed="81"/>
            <rFont val="Tahoma"/>
            <family val="2"/>
            <charset val="238"/>
          </rPr>
          <t>"A Waberer's International Zrt, továbbá az általa közvetlen vagy közvetetten irányított vagy közvetlen vagy közvetett irányítása irányítása alá tartozó jogi személy, vállalatcsoport, gazdasági társaság flotta díjszámítása során 100% pótdíj alkalmazandó."</t>
        </r>
      </text>
    </comment>
    <comment ref="B85" authorId="1" shapeId="0" xr:uid="{00000000-0006-0000-0500-000007000000}">
      <text>
        <r>
          <rPr>
            <sz val="10"/>
            <color indexed="81"/>
            <rFont val="Tahoma"/>
            <family val="2"/>
            <charset val="238"/>
          </rPr>
          <t>2016-tól: Ha a kockázatviselés kezdetét megelőző évben nem rendelkezett a járművekre GFB  szerződéssel, akkor kedvezmény/pótdíj nem kerül alkalmazásra.</t>
        </r>
      </text>
    </comment>
    <comment ref="B103" authorId="1" shapeId="0" xr:uid="{00000000-0006-0000-0500-000008000000}">
      <text>
        <r>
          <rPr>
            <sz val="12"/>
            <color indexed="81"/>
            <rFont val="Tahoma"/>
            <family val="2"/>
            <charset val="238"/>
          </rPr>
          <t xml:space="preserve">Union a flotta tényleges nagyságára kérdez rá, és nem csak az Unionnál biztosítandó járműveket kérdezik.
</t>
        </r>
      </text>
    </comment>
    <comment ref="B108" authorId="1" shapeId="0" xr:uid="{00000000-0006-0000-0500-000009000000}">
      <text>
        <r>
          <rPr>
            <sz val="10"/>
            <color indexed="81"/>
            <rFont val="Tahoma"/>
            <family val="2"/>
            <charset val="238"/>
          </rPr>
          <t>Tényleges tevékenységet kell figyelembe venni, függetlenül a cégnyilvántartásba bejegyzett tevékenységtől.</t>
        </r>
      </text>
    </comment>
    <comment ref="B142" authorId="0" shapeId="0" xr:uid="{00000000-0006-0000-0500-00000A000000}">
      <text>
        <r>
          <rPr>
            <b/>
            <sz val="9"/>
            <color indexed="81"/>
            <rFont val="Tahoma"/>
            <family val="2"/>
            <charset val="238"/>
          </rPr>
          <t>100% pótdíj, ha a cég alapítás éve és a kockázavieselés éve megegyezik, vagy az alapítástól a flotta indulásig 100 nap még nem telt el.</t>
        </r>
      </text>
    </comment>
    <comment ref="B152" authorId="1" shapeId="0" xr:uid="{00000000-0006-0000-0500-00000B000000}">
      <text>
        <r>
          <rPr>
            <sz val="12"/>
            <color indexed="81"/>
            <rFont val="Tahoma"/>
            <family val="2"/>
            <charset val="238"/>
          </rPr>
          <t>Szerződő  flottája kizárólag nemzetközi üzemeltetésű vontatóból, &gt;10t pótkocsiból (félpótból), &gt;12t TGK-ból áll. EUR árfolyam fix. 330Ft.</t>
        </r>
        <r>
          <rPr>
            <sz val="8"/>
            <color indexed="81"/>
            <rFont val="Tahoma"/>
            <family val="2"/>
            <charset val="238"/>
          </rPr>
          <t xml:space="preserve">
</t>
        </r>
      </text>
    </comment>
    <comment ref="B161" authorId="1" shapeId="0" xr:uid="{00000000-0006-0000-0500-00000C000000}">
      <text>
        <r>
          <rPr>
            <b/>
            <sz val="8"/>
            <color indexed="81"/>
            <rFont val="Tahoma"/>
            <family val="2"/>
            <charset val="238"/>
          </rPr>
          <t>"</t>
        </r>
        <r>
          <rPr>
            <sz val="12"/>
            <color indexed="81"/>
            <rFont val="Tahoma"/>
            <family val="2"/>
            <charset val="238"/>
          </rPr>
          <t xml:space="preserve">A cég díj ellenében végzett közúti árutovábbítási, saját számlás áruszállítási, valamint autóbusszal díj ellenében végzett személyszállítási és a saját számlás személyszállítási tevékenységről, továbbá az ezekkel összefüggő jogszabályok módosításáról szóló 261/2011. (XII.7.) Korm. rendelet alapján a Nemzeti Közlekedési Hatóság (NKH) által kiadott közúti árutovábbítási (árufuvarozói) engedéllyel rendelkezik."
</t>
        </r>
      </text>
    </comment>
    <comment ref="B162" authorId="1" shapeId="0" xr:uid="{00000000-0006-0000-0500-00000D000000}">
      <text>
        <r>
          <rPr>
            <sz val="10"/>
            <color indexed="81"/>
            <rFont val="Tahoma"/>
            <family val="2"/>
            <charset val="238"/>
          </rPr>
          <t>Wáberer az 50-nél nagyobb flottáknál a járművekre 2-es szorzót alkalmaz. Ugyanakkor ennél a szorzónál, ha van NKH-s jármű, akkor flottaszámként csak a hivatalosan bejelentett fuvarozásban részt vevő járműszámot veszi figyelembe. Ezért lehet érdekes megadni, hogy mennyi a hivatalos nyilvántartásban részt vevő járművek száma. Ha itt nem ad meg adatot, akkor az NDK a teljes flotta járműszámot veszi figyelembe.</t>
        </r>
      </text>
    </comment>
    <comment ref="B246" authorId="0" shapeId="0" xr:uid="{00000000-0006-0000-0500-00000E000000}">
      <text>
        <r>
          <rPr>
            <sz val="9"/>
            <color indexed="81"/>
            <rFont val="Tahoma"/>
            <family val="2"/>
            <charset val="238"/>
          </rPr>
          <t>Ha bejelöljük, akkor NDK minden SZGK-ra tesz pótdíjat!
"Bérbeadás, taxi és személyszállítási tevékenység pótdíj: A személygépjármű új járműkategóriák esetén alkalmazandó a flottában biztosított azon járművekre, amelyeket más általi (ellenérték fejében, vagy ellenérték nélkül történő) használatra legfeljebb 12 hónapos határozott időre bérbe adnak, továbbá a közösségi autózás (car sharing) céljából üzemeltetnek, illetve személytaxiként vagy személyszállításra vonatkozó megállapodás alapján (ideértve a költség megosztáson alapuló személyszállítást is) hasznosítanak, a pótdíj mértéke 150%."</t>
        </r>
      </text>
    </comment>
    <comment ref="B247" authorId="0" shapeId="0" xr:uid="{00000000-0006-0000-0500-00000F000000}">
      <text>
        <r>
          <rPr>
            <sz val="9"/>
            <color indexed="81"/>
            <rFont val="Tahoma"/>
            <family val="2"/>
            <charset val="238"/>
          </rPr>
          <t xml:space="preserve">
Nemzetközi árufuvarozás és személyszállítás esetén TEÁOR kódtól függetlenül, ha a járműkategória Közúti vontató, 3500 kg össztömeg feletti tehergépkocsi vagy Nem lassú jármű vontatta, 10000 kg össztömeg feletti pótkocsi, félpótkocsi, akkor ezekre a Teáor szorzó 5,8927.
"Nemzetközi árufuvarozás és személyszállítás: Magyarország területén kívül nemzetközi forgalomban végzett közúti közlekedési szolgáltatás nyújtása, melyet a szerződő (ide értve a szerződő személyétől eltérő engedélyest is, aki a szerződő által üzemben tartott járművet használja) nemzetközi közúti árutovábbítás (árufuvarozás), bérfuvarozás, áruszállítás vagy nemzetközi személyszállítás tevékenységként folytat."</t>
        </r>
      </text>
    </comment>
    <comment ref="B260" authorId="0" shapeId="0" xr:uid="{00000000-0006-0000-0500-000010000000}">
      <text>
        <r>
          <rPr>
            <sz val="9"/>
            <color indexed="81"/>
            <rFont val="Tahoma"/>
            <family val="2"/>
            <charset val="238"/>
          </rPr>
          <t>2018-tól az MNV I, II, és MFB -hez tartozó cégeknek lehet külön ügyfélszáma. Ha van, akkor az ahhoz tartozó ügyfélszámot kell kiválasztani!</t>
        </r>
      </text>
    </comment>
    <comment ref="B262" authorId="1" shapeId="0" xr:uid="{00000000-0006-0000-0500-000011000000}">
      <text>
        <r>
          <rPr>
            <sz val="12"/>
            <color indexed="81"/>
            <rFont val="Tahoma"/>
            <family val="2"/>
            <charset val="238"/>
          </rPr>
          <t>Vigyázat, ez nem azonos az "</t>
        </r>
        <r>
          <rPr>
            <b/>
            <sz val="12"/>
            <color indexed="81"/>
            <rFont val="Tahoma"/>
            <family val="2"/>
            <charset val="238"/>
          </rPr>
          <t>Eltérő flotta díjtáblá</t>
        </r>
        <r>
          <rPr>
            <sz val="12"/>
            <color indexed="81"/>
            <rFont val="Tahoma"/>
            <family val="2"/>
            <charset val="238"/>
          </rPr>
          <t>"-val!</t>
        </r>
      </text>
    </comment>
    <comment ref="B271" authorId="1" shapeId="0" xr:uid="{00000000-0006-0000-0500-000012000000}">
      <text>
        <r>
          <rPr>
            <sz val="10"/>
            <color indexed="81"/>
            <rFont val="Tahoma"/>
            <family val="2"/>
            <charset val="238"/>
          </rPr>
          <t xml:space="preserve">2016-tól  Nemz. fuvarozás már nem pótdíjas. 
A pótdíj 2018-től 200% lett a korábbi 100% helyett.
2018-tól a veszélyes áru szállításnál (ADR) visszakerült, hogy ha engedéllyel rendelkezik, az már pótdíjas.
(2019-től bérgépjármű használat is pótdíjas,de 2021-től a pótdíja csak 100%)
NDK teljes flottára teszi a pótdíjat.
</t>
        </r>
      </text>
    </comment>
    <comment ref="B272" authorId="0" shapeId="0" xr:uid="{00000000-0006-0000-0500-000013000000}">
      <text>
        <r>
          <rPr>
            <sz val="9"/>
            <color indexed="81"/>
            <rFont val="Tahoma"/>
            <family val="2"/>
            <charset val="238"/>
          </rPr>
          <t>Pótdíj 100%</t>
        </r>
      </text>
    </comment>
    <comment ref="B273" authorId="1" shapeId="0" xr:uid="{00000000-0006-0000-0500-000014000000}">
      <text>
        <r>
          <rPr>
            <sz val="10"/>
            <color indexed="81"/>
            <rFont val="Tahoma"/>
            <family val="2"/>
            <charset val="238"/>
          </rPr>
          <t xml:space="preserve">Ha 10t feletti pótok és félpótok  aránya &gt;60%, akkor 800% pótdíj a teljes flottára!
</t>
        </r>
      </text>
    </comment>
    <comment ref="B277" authorId="0" shapeId="0" xr:uid="{00000000-0006-0000-0500-000015000000}">
      <text>
        <r>
          <rPr>
            <sz val="9"/>
            <color indexed="81"/>
            <rFont val="Tahoma"/>
            <family val="2"/>
            <charset val="238"/>
          </rPr>
          <t>10% Partner ügyfél kedvezményt alkalmaz társaságunk,
amennyiben a biztosító a szerződő 
– biztosítónál nyilvántartott– ügyfélszámát a Partner ügyfél táblában meghirdeti és a szerződő a flottaszerződés aláírásának napjáig, vagy jelen díjtarifa hatálybalépését megelőző kockázatviselési kezdet
esetén a következő biztosítási időszak első napját megelőző
napig keresztértékesítésre vonatkozó Partneri megállapodást
köt a biztosítóval.
A díjfaktor mértéke: 0,9.</t>
        </r>
      </text>
    </comment>
    <comment ref="B278" authorId="1" shapeId="0" xr:uid="{00000000-0006-0000-0500-000016000000}">
      <text>
        <r>
          <rPr>
            <sz val="10"/>
            <color indexed="81"/>
            <rFont val="Tahoma"/>
            <family val="2"/>
            <charset val="238"/>
          </rPr>
          <t>Amennyiben a végleges (kedvezményekkel csökkentett) flottadíjhoz képest az ügyfél több, mint 200%-nyi díjat fizet az aláírás időpontjában a Generalinak egyéb vagyon szerződésekre (pl. casco, telephelyi, épszer, stb.) és/vagy  kollektív kockázati élet-, baleset-, egészségbiztosítási szerződésre, akkor 10% kedvezmény jár. 
100%-200% közt 5% kedvezmény jár.</t>
        </r>
      </text>
    </comment>
    <comment ref="B307" authorId="1" shapeId="0" xr:uid="{00000000-0006-0000-0500-000017000000}">
      <text>
        <r>
          <rPr>
            <sz val="10"/>
            <color indexed="81"/>
            <rFont val="Tahoma"/>
            <family val="2"/>
            <charset val="238"/>
          </rPr>
          <t xml:space="preserve">50% kedvezmény jár azon vállalatok magyarországi közvetlen vagy közvetett többségi tulajdonú gazdasági társaságai vagy fióktelepei által üzemben tartott gépjárművek flottadíjából, mely vállalatok a Talanx Csoportba tartozó, valamely az Európai Unión belüli, de Magyarországon kívüli székhelyű biztosító társaságnál már rendlekeznek csoportos kötelező gépjármű felelősség vagy casco biztosítási szerződésel. </t>
        </r>
      </text>
    </comment>
    <comment ref="B313" authorId="1" shapeId="0" xr:uid="{00000000-0006-0000-0500-000018000000}">
      <text>
        <r>
          <rPr>
            <sz val="10"/>
            <color indexed="81"/>
            <rFont val="Tahoma"/>
            <family val="2"/>
            <charset val="238"/>
          </rPr>
          <t>Ha a szerződő a Magyar Posta Zrt. Vagy annak kapcsolt  vállalkozása (részletesen a hirdtmény tartalmazza ezeket), akkor kizárólag a flotta alapdíjat kell alkalmazni , 37% engedmény mellett. (Nincs kárhányad miatti pótdíj.)</t>
        </r>
      </text>
    </comment>
    <comment ref="B315" authorId="1" shapeId="0" xr:uid="{00000000-0006-0000-0500-000019000000}">
      <text>
        <r>
          <rPr>
            <sz val="10"/>
            <color indexed="81"/>
            <rFont val="Tahoma"/>
            <family val="2"/>
            <charset val="238"/>
          </rPr>
          <t xml:space="preserve">30% kedvezmény jár azon járművekre kötött flottaszerződés díjából, melyek szerződője és a flottába tartozó járművek üzembentartója központi költségvetési szerve, társadalom biztosítási költségvetési szerv, vagy közvetlenül magyar állami vagy önkormányzati többségi tulajdonban lévő gazdasági társaság. </t>
        </r>
        <r>
          <rPr>
            <b/>
            <sz val="10"/>
            <color indexed="81"/>
            <rFont val="Tahoma"/>
            <family val="2"/>
            <charset val="238"/>
          </rPr>
          <t>A kedvezmény 2021-ben is csak casco szerződés együttes kötése esestén jár (PostaCasco termékkód: 13503).</t>
        </r>
      </text>
    </comment>
    <comment ref="B348" authorId="1" shapeId="0" xr:uid="{00000000-0006-0000-0500-00001A000000}">
      <text>
        <r>
          <rPr>
            <sz val="11"/>
            <color indexed="81"/>
            <rFont val="Tahoma"/>
            <family val="2"/>
            <charset val="238"/>
          </rPr>
          <t xml:space="preserve">Az elmúlt biztosítási évforduló óta eltelt időszak (legalább 9 hónap) alatt a szerződő járművei által okozott első kárkifizetéssel járó károk számának és a szerződő járművei átlagos számának hányadosa, százalékban kifejezve.
</t>
        </r>
      </text>
    </comment>
    <comment ref="B350" authorId="1" shapeId="0" xr:uid="{00000000-0006-0000-0500-00001B000000}">
      <text>
        <r>
          <rPr>
            <sz val="11"/>
            <color indexed="81"/>
            <rFont val="Tahoma"/>
            <family val="2"/>
            <charset val="238"/>
          </rPr>
          <t>Ha több flottát is biztosít a CIG-nél, akkor a flották összesített darabszámát írja be!</t>
        </r>
      </text>
    </comment>
    <comment ref="B386" authorId="1" shapeId="0" xr:uid="{00000000-0006-0000-0500-00001C000000}">
      <text>
        <r>
          <rPr>
            <sz val="10"/>
            <color indexed="81"/>
            <rFont val="Arial"/>
            <family val="2"/>
            <charset val="238"/>
          </rPr>
          <t>Szerződő a flottaszerződés létrejöttének időpontjában rendelkezik élő KÖBE
 Baleseti halál és baleseti rokkantság biztosítással.</t>
        </r>
      </text>
    </comment>
    <comment ref="B388" authorId="0" shapeId="0" xr:uid="{00000000-0006-0000-0500-00001D000000}">
      <text>
        <r>
          <rPr>
            <b/>
            <sz val="9"/>
            <color indexed="81"/>
            <rFont val="Tahoma"/>
            <family val="2"/>
            <charset val="238"/>
          </rPr>
          <t xml:space="preserve">Kármegelőzési kedvezmény: </t>
        </r>
        <r>
          <rPr>
            <sz val="9"/>
            <color indexed="81"/>
            <rFont val="Tahoma"/>
            <family val="2"/>
            <charset val="238"/>
          </rPr>
          <t xml:space="preserve">A szerződő vállalja, hogy a flottában lévő járművek legalább 70%-át felszereli balaesetmegelőző rendszerrel, úgymint fedélzeti kamera, sávtartó automatika, távolságtartó tempomat. Kedvezmény díjszorzó: 0,95. </t>
        </r>
      </text>
    </comment>
    <comment ref="B389" authorId="1" shapeId="0" xr:uid="{00000000-0006-0000-0500-00001E000000}">
      <text>
        <r>
          <rPr>
            <sz val="10"/>
            <color indexed="81"/>
            <rFont val="Arial"/>
            <family val="2"/>
            <charset val="238"/>
          </rPr>
          <t>KÖBE partner kedvezményere jogosult, aki a flotta szerződés létrejöttének időpontjában rendelkezik érvényes Defekt biztosítással.</t>
        </r>
      </text>
    </comment>
    <comment ref="B390" authorId="1" shapeId="0" xr:uid="{00000000-0006-0000-0500-00001F000000}">
      <text>
        <r>
          <rPr>
            <sz val="10"/>
            <color indexed="81"/>
            <rFont val="Arial"/>
            <family val="2"/>
            <charset val="238"/>
          </rPr>
          <t>A flottaszerződés létrejöttének időpontjában rendelkezett érvényes Csoportos személybiztosítással a KÖBE-nél?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uthor>
  </authors>
  <commentList>
    <comment ref="G28" authorId="0" shapeId="0" xr:uid="{00000000-0006-0000-0900-000001000000}">
      <text>
        <r>
          <rPr>
            <sz val="12"/>
            <color indexed="81"/>
            <rFont val="Tahoma"/>
            <family val="2"/>
            <charset val="238"/>
          </rPr>
          <t>Ha TEÁOR alapján jogosult az 1 es szorzóra ÉS nem végez áru-bér-személy fuvarozást, akkor 1, egyébként a flottanagyság szorzó.</t>
        </r>
      </text>
    </comment>
    <comment ref="T49" authorId="0" shapeId="0" xr:uid="{00000000-0006-0000-0900-000002000000}">
      <text>
        <r>
          <rPr>
            <sz val="12"/>
            <color indexed="81"/>
            <rFont val="Tahoma"/>
            <family val="2"/>
            <charset val="238"/>
          </rPr>
          <t xml:space="preserve">Grouapama biztosítónál a 3 kerekű SMK is ide tartozik!!!
</t>
        </r>
      </text>
    </comment>
    <comment ref="A50" authorId="0" shapeId="0" xr:uid="{00000000-0006-0000-0900-000003000000}">
      <text>
        <r>
          <rPr>
            <sz val="10"/>
            <color indexed="81"/>
            <rFont val="Tahoma"/>
            <family val="2"/>
            <charset val="238"/>
          </rPr>
          <t>Tényleges tevékenységet kell figyelembe venni, függetlenül a cégnyilvántartásba bejegyzett tevékenységtől.</t>
        </r>
      </text>
    </comment>
    <comment ref="A73" authorId="0" shapeId="0" xr:uid="{00000000-0006-0000-0900-000004000000}">
      <text>
        <r>
          <rPr>
            <sz val="10"/>
            <color indexed="81"/>
            <rFont val="Tahoma"/>
            <family val="2"/>
            <charset val="238"/>
          </rPr>
          <t>Tényleges tevékenységet kell figyelembe venni, függetlenül a cégnyilvántartásba bejegyzett tevékenységtől.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uthor>
  </authors>
  <commentList>
    <comment ref="A38" authorId="0" shapeId="0" xr:uid="{00000000-0006-0000-0A00-000001000000}">
      <text>
        <r>
          <rPr>
            <sz val="12"/>
            <color indexed="81"/>
            <rFont val="Tahoma"/>
            <family val="2"/>
            <charset val="238"/>
          </rPr>
          <t xml:space="preserve">Grouapama Garancia biztosítónál a 3 kerekű SMK is ide tartozik!!!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Menios</author>
  </authors>
  <commentList>
    <comment ref="W76" authorId="0" shapeId="0" xr:uid="{00000000-0006-0000-0C00-000001000000}">
      <text>
        <r>
          <rPr>
            <b/>
            <sz val="9"/>
            <color indexed="81"/>
            <rFont val="Tahoma"/>
            <family val="2"/>
            <charset val="238"/>
          </rPr>
          <t>Menios:</t>
        </r>
        <r>
          <rPr>
            <sz val="9"/>
            <color indexed="81"/>
            <rFont val="Tahoma"/>
            <family val="2"/>
            <charset val="238"/>
          </rPr>
          <t xml:space="preserve">
W24</t>
        </r>
      </text>
    </comment>
    <comment ref="X76" authorId="0" shapeId="0" xr:uid="{00000000-0006-0000-0C00-000002000000}">
      <text>
        <r>
          <rPr>
            <b/>
            <sz val="9"/>
            <color indexed="81"/>
            <rFont val="Tahoma"/>
            <family val="2"/>
            <charset val="238"/>
          </rPr>
          <t>Menios:</t>
        </r>
        <r>
          <rPr>
            <sz val="9"/>
            <color indexed="81"/>
            <rFont val="Tahoma"/>
            <family val="2"/>
            <charset val="238"/>
          </rPr>
          <t xml:space="preserve">
W30</t>
        </r>
      </text>
    </comment>
    <comment ref="AG76" authorId="0" shapeId="0" xr:uid="{00000000-0006-0000-0C00-000003000000}">
      <text>
        <r>
          <rPr>
            <b/>
            <sz val="9"/>
            <color indexed="81"/>
            <rFont val="Tahoma"/>
            <family val="2"/>
            <charset val="238"/>
          </rPr>
          <t>Menios:</t>
        </r>
        <r>
          <rPr>
            <sz val="9"/>
            <color indexed="81"/>
            <rFont val="Tahoma"/>
            <family val="2"/>
            <charset val="238"/>
          </rPr>
          <t xml:space="preserve">
W36</t>
        </r>
      </text>
    </comment>
  </commentList>
</comments>
</file>

<file path=xl/sharedStrings.xml><?xml version="1.0" encoding="utf-8"?>
<sst xmlns="http://schemas.openxmlformats.org/spreadsheetml/2006/main" count="27404" uniqueCount="5538">
  <si>
    <t>Normál használatú SZGK 100kW felett szorzója:</t>
  </si>
  <si>
    <t>Nemz. fuv. résztvevő Vontató, &gt;12t TGK, &gt;10t pót, Busz szorzója:</t>
  </si>
  <si>
    <t>Speciális használatú járművek, minden ami nem SZGK vagy &lt;3,5t TGK szorzója:</t>
  </si>
  <si>
    <t>Normál használatú járművek, minden ami nem SZGK vagy &lt;3,5t TGK szorzója:</t>
  </si>
  <si>
    <t>Speciális használatú  &lt;3,5 TGK szorzója:</t>
  </si>
  <si>
    <t>Normál használatú &lt;3,5 TGK szorzója:</t>
  </si>
  <si>
    <t>Dunaremete</t>
  </si>
  <si>
    <t xml:space="preserve">Jánossomorja-Mosonszentjános    </t>
  </si>
  <si>
    <t xml:space="preserve">Jánossomorja-Pusztasomorja    </t>
  </si>
  <si>
    <t>Csorna</t>
  </si>
  <si>
    <t>Bogyoszló</t>
  </si>
  <si>
    <t>Rábasebes</t>
  </si>
  <si>
    <t>Kapuvár-Öntésmajor</t>
  </si>
  <si>
    <t>Beled</t>
  </si>
  <si>
    <t>Edve</t>
  </si>
  <si>
    <t>Vásárosfalu</t>
  </si>
  <si>
    <t>Magyarkeresztúr</t>
  </si>
  <si>
    <t>Vadosfa</t>
  </si>
  <si>
    <t>71-100kW</t>
  </si>
  <si>
    <t>Teáor sávok:</t>
  </si>
  <si>
    <t>Alkalmazott</t>
  </si>
  <si>
    <t>Az NDK főlap és a "KÉRDÉSEK" űrlap tartalmazza azokat a további adatokat, amelyeket ezen számítás során figyelembe vettek. Tehergépjárműveknél a tömegadatok össztömeget jelentenek.</t>
  </si>
  <si>
    <t>Fűzfőgyártelep</t>
  </si>
  <si>
    <t>Őskü</t>
  </si>
  <si>
    <t>Hajmáskér</t>
  </si>
  <si>
    <t>Sóly</t>
  </si>
  <si>
    <t>Vilonya</t>
  </si>
  <si>
    <t>Királyszentistván</t>
  </si>
  <si>
    <t>Litér</t>
  </si>
  <si>
    <t>Balatonalmádi</t>
  </si>
  <si>
    <t>Káptalanfüred</t>
  </si>
  <si>
    <t>Paloznak camping</t>
  </si>
  <si>
    <t>Szentkirályszabadja</t>
  </si>
  <si>
    <t xml:space="preserve">Nyergesújfalu-Viscosa </t>
  </si>
  <si>
    <t xml:space="preserve">Lábatlan </t>
  </si>
  <si>
    <t>Ősagárd</t>
  </si>
  <si>
    <t>Keszeg</t>
  </si>
  <si>
    <t>Verőce</t>
  </si>
  <si>
    <t>Vámosmikola</t>
  </si>
  <si>
    <t>Kétbodony</t>
  </si>
  <si>
    <t>Kisecset</t>
  </si>
  <si>
    <t>Szente</t>
  </si>
  <si>
    <t>Horpács</t>
  </si>
  <si>
    <t>Pusztaberki</t>
  </si>
  <si>
    <t>Balassagyarmat</t>
  </si>
  <si>
    <t>Ipolyszög</t>
  </si>
  <si>
    <t>Csitár</t>
  </si>
  <si>
    <t>Iliny</t>
  </si>
  <si>
    <t>Nógrádmarcal</t>
  </si>
  <si>
    <t>Cserháthaláp</t>
  </si>
  <si>
    <t>Debercsény</t>
  </si>
  <si>
    <t>Magyarnándor</t>
  </si>
  <si>
    <t>Szanda</t>
  </si>
  <si>
    <t>Cegléd-Budai út</t>
  </si>
  <si>
    <t>Kőröstetétlen</t>
  </si>
  <si>
    <t>Jász Nagykun Szolnok megye</t>
  </si>
  <si>
    <t>Komárom Esztergom megye</t>
  </si>
  <si>
    <t>Nógrád megye</t>
  </si>
  <si>
    <t>Somogy megye</t>
  </si>
  <si>
    <t>Szabolcs Szatmár Bereg megye</t>
  </si>
  <si>
    <t>Tolna megye</t>
  </si>
  <si>
    <t>Vas megye</t>
  </si>
  <si>
    <t>Veszprém megye</t>
  </si>
  <si>
    <t>Zala megye</t>
  </si>
  <si>
    <t>Zalaegerszeg, Nagykanizsa</t>
  </si>
  <si>
    <t>2000-től</t>
  </si>
  <si>
    <t>Szgk.&lt;37kW</t>
  </si>
  <si>
    <t>Szgk. 38-50 kW</t>
  </si>
  <si>
    <t>Szgk. 51-70 kW</t>
  </si>
  <si>
    <t>Szgk. 71-100 kW</t>
  </si>
  <si>
    <t>Szgk. 101-180 kW</t>
  </si>
  <si>
    <t>Szgk. &gt;180 kW</t>
  </si>
  <si>
    <t>Tgk. &lt;= 3,5t össztöm.</t>
  </si>
  <si>
    <t>Tgk. 3,5-12t összt.</t>
  </si>
  <si>
    <t>Tgk.&gt; 12t összt.</t>
  </si>
  <si>
    <t>Kedvezmény faktor flottanagyság alapján</t>
  </si>
  <si>
    <t>Ha nem visszakötés, akkor az alkalmazott kedvezmény:</t>
  </si>
  <si>
    <t>Most is flotta (eddig is flottába voltak az autók) válasz:</t>
  </si>
  <si>
    <t>végső kedvezmény tábla</t>
  </si>
  <si>
    <t xml:space="preserve">végső kedv faktor táblában keresi a területnek megfelelő </t>
  </si>
  <si>
    <t>összesített kedv faktor tábla</t>
  </si>
  <si>
    <t>A=1, B=2, stb.</t>
  </si>
  <si>
    <t>Kártapasztalat faktor:</t>
  </si>
  <si>
    <t>Felkerekítettem, mert az eredeti progi egész számokat figyelt csak (lásd CM118 és környéke..)</t>
  </si>
  <si>
    <t>Wabererstől függő cég a szerződő?</t>
  </si>
  <si>
    <t>100% pótdíj</t>
  </si>
  <si>
    <t>Waberers pótdíj válasz:</t>
  </si>
  <si>
    <t>Wáberers pótdíj szorzó:</t>
  </si>
  <si>
    <t>Ha volt már flottája, akkor kedvezményes/pótdíjas. Ha nem volt, akkor alapdíj.</t>
  </si>
  <si>
    <t>Fülöpháza</t>
  </si>
  <si>
    <t>Kunbaracs</t>
  </si>
  <si>
    <t>Hetényegyháza</t>
  </si>
  <si>
    <t>Ladánybene</t>
  </si>
  <si>
    <t>Alsólajos</t>
  </si>
  <si>
    <t>Felsőlajos</t>
  </si>
  <si>
    <t>Tiszakécske</t>
  </si>
  <si>
    <t>Tiszabög</t>
  </si>
  <si>
    <t>Tiszaug</t>
  </si>
  <si>
    <t>Lakitelek</t>
  </si>
  <si>
    <t>Tiszaalpár</t>
  </si>
  <si>
    <t>Tiszaalpár (Tiszaújfalu)</t>
  </si>
  <si>
    <t>Izsák</t>
  </si>
  <si>
    <t>Páhi</t>
  </si>
  <si>
    <t>Ágasegyháza</t>
  </si>
  <si>
    <t>Orgovány</t>
  </si>
  <si>
    <t>Jakabszállás</t>
  </si>
  <si>
    <t>Ha a program nem ad ki díjat, nem kell megijedni. Ellenőrizzük, hogy kitöltöttünk-e minden kitöltendő rovatot, kérdést. 
A programban van néhány ellenőrző funkció. Ezek pl.:
—Amennyiben a TEÁOR szám nem 0-9999 közt van, a flottadíj 0 Ft.
—Ha nem adunk meg TEÁOR számot, akkor azok a biztosítók, ahol kell a TEÁOR, nem adnak ki díjat.
—Amennyiben az irányítószám nem 1000-9999, a flottadíj 0 Ft.</t>
  </si>
  <si>
    <t>Kispáli</t>
  </si>
  <si>
    <t>Egervár</t>
  </si>
  <si>
    <t>Gősfa</t>
  </si>
  <si>
    <t>Milejszeg</t>
  </si>
  <si>
    <t>Csonkahegyhát</t>
  </si>
  <si>
    <t>Alibánfa</t>
  </si>
  <si>
    <t>Pethőhenye</t>
  </si>
  <si>
    <t>Zalaszentiván</t>
  </si>
  <si>
    <t>Zalaszentlőrinc</t>
  </si>
  <si>
    <t>Búcsúszentlászló</t>
  </si>
  <si>
    <t>Nemessándorháza</t>
  </si>
  <si>
    <t>Kemendollár</t>
  </si>
  <si>
    <t>Gyűrűs</t>
  </si>
  <si>
    <t>Almásháza</t>
  </si>
  <si>
    <t>Misefa</t>
  </si>
  <si>
    <t>Nagykapornak</t>
  </si>
  <si>
    <t>Orbányosfa</t>
  </si>
  <si>
    <t>Baktüttös</t>
  </si>
  <si>
    <t>Pusztaederics</t>
  </si>
  <si>
    <t>Szentkozmadombja</t>
  </si>
  <si>
    <t>Barlahida</t>
  </si>
  <si>
    <t>Csertalakos</t>
  </si>
  <si>
    <t>Kányavár</t>
  </si>
  <si>
    <t>Páka</t>
  </si>
  <si>
    <t>Csömödér</t>
  </si>
  <si>
    <t>Hernyék</t>
  </si>
  <si>
    <t>Kissziget</t>
  </si>
  <si>
    <t>Lenti-Lentikápolna</t>
  </si>
  <si>
    <t>Bödeháza</t>
  </si>
  <si>
    <t>Gáborjánháza</t>
  </si>
  <si>
    <t>Szijártóháza</t>
  </si>
  <si>
    <t>Kerkabarabás</t>
  </si>
  <si>
    <t>Csesztreg</t>
  </si>
  <si>
    <t>Felsőszenterzsébet</t>
  </si>
  <si>
    <t>Kerkafalva</t>
  </si>
  <si>
    <t>Kerkakutas</t>
  </si>
  <si>
    <t>Magyarföld</t>
  </si>
  <si>
    <t>Márokföld</t>
  </si>
  <si>
    <t>Választott flottanagyság:</t>
  </si>
  <si>
    <t>Válaszott flottanagyság Kérdéseken:</t>
  </si>
  <si>
    <t>Tevékenység 4
szorzó terület szerint</t>
  </si>
  <si>
    <t>Pótkocsi ismeretlen kategória (Allianz)</t>
  </si>
  <si>
    <t>TGK ismeretlen kategória (Allianz)</t>
  </si>
  <si>
    <t>Szgk ismeretlen kategória (Allianz)</t>
  </si>
  <si>
    <t>Alábbi lista harmadik oszlopa KÖBE terület:</t>
  </si>
  <si>
    <t>Pest Megye I.</t>
  </si>
  <si>
    <t>Pest Megye II.</t>
  </si>
  <si>
    <t>Irányító NDK-n:</t>
  </si>
  <si>
    <t>Helység:</t>
  </si>
  <si>
    <t>KÖBE TERÜLET NÉVSOR:</t>
  </si>
  <si>
    <t>SOR SZÁMA</t>
  </si>
  <si>
    <t>Veszprém város</t>
  </si>
  <si>
    <t>MAX</t>
  </si>
  <si>
    <t>KÖBE: 71-85 kW</t>
  </si>
  <si>
    <t>KÖBE: 101-115 kW</t>
  </si>
  <si>
    <t>KÖBE: 116-150 kW</t>
  </si>
  <si>
    <t>Terület sor szám:</t>
  </si>
  <si>
    <t>OSZLOP SORSZÁMA:</t>
  </si>
  <si>
    <t>71-100 MAX</t>
  </si>
  <si>
    <t>101-180
MAX</t>
  </si>
  <si>
    <t>Összeg:</t>
  </si>
  <si>
    <t>SZGK Kat szorzó:</t>
  </si>
  <si>
    <t>KÖBE flotta szorzó:</t>
  </si>
  <si>
    <t>Összdíj ker nélkül:</t>
  </si>
  <si>
    <t>SZGK
MAX alapdíj</t>
  </si>
  <si>
    <t>SZGK
MAX össz kat díj:</t>
  </si>
  <si>
    <t>MAX-hoz képesti díjkülönbségek:</t>
  </si>
  <si>
    <t>Díjcsökkentők:</t>
  </si>
  <si>
    <t>Teresztenye</t>
  </si>
  <si>
    <t>Szin</t>
  </si>
  <si>
    <t>Szinpetri</t>
  </si>
  <si>
    <t>Tornakápolna</t>
  </si>
  <si>
    <t>Komjáti</t>
  </si>
  <si>
    <t>Tornabarakony</t>
  </si>
  <si>
    <t>Tornaszentandrás</t>
  </si>
  <si>
    <t>Becskeháza</t>
  </si>
  <si>
    <t>Bódvalenke</t>
  </si>
  <si>
    <t>Hidvégardó</t>
  </si>
  <si>
    <t>Sajókápolna</t>
  </si>
  <si>
    <t>Sajólászlófalva</t>
  </si>
  <si>
    <t>Balajt</t>
  </si>
  <si>
    <t>Damak</t>
  </si>
  <si>
    <t xml:space="preserve">Edelény </t>
  </si>
  <si>
    <t>Ládbesenyő</t>
  </si>
  <si>
    <t>Edelény-Finke</t>
  </si>
  <si>
    <t>Hegymeg</t>
  </si>
  <si>
    <t>Irota</t>
  </si>
  <si>
    <t>Lak</t>
  </si>
  <si>
    <t>Szakácsi</t>
  </si>
  <si>
    <t>Boldva</t>
  </si>
  <si>
    <t>Ziliz</t>
  </si>
  <si>
    <t>Hangács</t>
  </si>
  <si>
    <t>Nyomár</t>
  </si>
  <si>
    <t>Abaújszolnok</t>
  </si>
  <si>
    <r>
      <t xml:space="preserve">Szgk 0-5 kW POSTA </t>
    </r>
    <r>
      <rPr>
        <i/>
        <sz val="10"/>
        <color indexed="10"/>
        <rFont val="Arial"/>
        <family val="2"/>
        <charset val="238"/>
      </rPr>
      <t>Kötelező kitölteni!</t>
    </r>
    <r>
      <rPr>
        <sz val="10"/>
        <rFont val="Arial"/>
        <family val="2"/>
        <charset val="238"/>
      </rPr>
      <t xml:space="preserve">
Pl. ez alkategória. Ha kitölti, pontosabb lesz a díj.</t>
    </r>
  </si>
  <si>
    <t>31-60 DB</t>
  </si>
  <si>
    <t>61-100 DB</t>
  </si>
  <si>
    <r>
      <t>TEÁOR</t>
    </r>
    <r>
      <rPr>
        <sz val="10"/>
        <color indexed="60"/>
        <rFont val="Arial"/>
        <family val="2"/>
        <charset val="238"/>
      </rPr>
      <t xml:space="preserve"> (fő tevékenység):
</t>
    </r>
    <r>
      <rPr>
        <b/>
        <sz val="12"/>
        <color indexed="60"/>
        <rFont val="Arial"/>
        <family val="2"/>
        <charset val="238"/>
      </rPr>
      <t xml:space="preserve">(négyjegyű számsor)
</t>
    </r>
    <r>
      <rPr>
        <b/>
        <sz val="12"/>
        <color indexed="10"/>
        <rFont val="Arial"/>
        <family val="2"/>
        <charset val="238"/>
      </rPr>
      <t>Ha nincs, írjon nullát!</t>
    </r>
  </si>
  <si>
    <t>Fizetési gyakoriság:</t>
  </si>
  <si>
    <t>Fiz gyak válasz:</t>
  </si>
  <si>
    <t>2012-ben szerződő rendelkezik UNION-Pillér biztosítással?</t>
  </si>
  <si>
    <t>2012-ben szerződő rendelkezik UNION-Business Class biztosítással?</t>
  </si>
  <si>
    <t>2012-ben szerződő rendelkezik UNION-GAP (Vételár és Jelenérték) biztosítással?</t>
  </si>
  <si>
    <t>2012-ben szerződő rendelkezik UNION-Flotta Casco biztosítással?</t>
  </si>
  <si>
    <t>Együtt bizt válaszok:</t>
  </si>
  <si>
    <t>Együtt szorzó:</t>
  </si>
  <si>
    <t>De min. 0,92:</t>
  </si>
  <si>
    <t>Ha Bp. akkor 1, egyébként a választott.</t>
  </si>
  <si>
    <t>TEÁOR tartományok:</t>
  </si>
  <si>
    <t>Kárgyakoriság válasz:</t>
  </si>
  <si>
    <t>Járműszámok NDK-n:</t>
  </si>
  <si>
    <t>TGK 0-3500 kg-össztömegig:</t>
  </si>
  <si>
    <t>Ebből:</t>
  </si>
  <si>
    <t>1-1849Kg-ig:</t>
  </si>
  <si>
    <t>1850-2549Kg-ig</t>
  </si>
  <si>
    <t>2550-3349Kg-ig:</t>
  </si>
  <si>
    <t>3350-3500Kg-ig:</t>
  </si>
  <si>
    <t>Díjkülönbség legnagyobbhoz mérve:</t>
  </si>
  <si>
    <t>Allianz nem flotta szorzós flotta, 
C tábla mellett.
Kis TGK korrekció:</t>
  </si>
  <si>
    <r>
      <t>Összesített szorzó</t>
    </r>
    <r>
      <rPr>
        <sz val="10"/>
        <rFont val="Arial"/>
        <family val="2"/>
        <charset val="238"/>
      </rPr>
      <t xml:space="preserve"> (megye*Teáor*Vállalatirányítás*Kedvezmények)</t>
    </r>
    <r>
      <rPr>
        <b/>
        <sz val="10"/>
        <rFont val="Arial"/>
        <family val="2"/>
        <charset val="238"/>
      </rPr>
      <t>:</t>
    </r>
  </si>
  <si>
    <t>"F" díjszorzó</t>
  </si>
  <si>
    <t>F flottaszorzó (ha flottaszorzós, akkor a megadott szorzó, egyébként 1)</t>
  </si>
  <si>
    <t xml:space="preserve">Irányítás szorzó:
</t>
  </si>
  <si>
    <t>Szorzókkal, kedvezményekkel csökkentett alapjdíj:</t>
  </si>
  <si>
    <t>120-ra kerekített díj:</t>
  </si>
  <si>
    <t>Kettő közül a nagyobb:</t>
  </si>
  <si>
    <t>Darabszámokkal beszrozva:</t>
  </si>
  <si>
    <t xml:space="preserve">Kőröshegy </t>
  </si>
  <si>
    <t>Balatonboglár</t>
  </si>
  <si>
    <t xml:space="preserve">Balatonkeresztúr </t>
  </si>
  <si>
    <t>Lulla</t>
  </si>
  <si>
    <t>Sérsekszőlős</t>
  </si>
  <si>
    <t>Miskolc-Görömböly</t>
  </si>
  <si>
    <t>Miskolc-Lillafüred</t>
  </si>
  <si>
    <t>Miskolc-Miskolctapolca</t>
  </si>
  <si>
    <t>Miskolc-Szirma</t>
  </si>
  <si>
    <t>Sajóhídvég</t>
  </si>
  <si>
    <t>Girincs</t>
  </si>
  <si>
    <t>Kiscsécs</t>
  </si>
  <si>
    <t>Tiszaújváros-Óváros</t>
  </si>
  <si>
    <t>Ter 1-2</t>
  </si>
  <si>
    <t>Ter 3-5</t>
  </si>
  <si>
    <t>Alapdíj terület szerint:</t>
  </si>
  <si>
    <t>SIGNAL</t>
  </si>
  <si>
    <t>SIGNAL KÉRDÉSEK:</t>
  </si>
  <si>
    <t>Korrekciós flotta azonosítóval rendelkezik?</t>
  </si>
  <si>
    <t>Korrekciós szorzó alapján számolja a díjat.</t>
  </si>
  <si>
    <t>Kérjük adja meg a korrekciós szorzót!</t>
  </si>
  <si>
    <t>Jelenleg NDK főlapon megadott járműszám erre a flottára:</t>
  </si>
  <si>
    <t>Kárgyakoriság 6%-nál kisebb?</t>
  </si>
  <si>
    <t>25nél kisebb flották kedvezményszorzója:</t>
  </si>
  <si>
    <t>24 nél nagyobb 100nál kisebb flották kedvezményszorzója:</t>
  </si>
  <si>
    <t>Flottaszorzó &lt;25 vagy &lt;100 vagy &gt;100 esetére:</t>
  </si>
  <si>
    <t>Jelenleg ebben a flottában biztosított buszok száma:</t>
  </si>
  <si>
    <t>Jelenleg ebben a flottában biztosított vontatók száma:</t>
  </si>
  <si>
    <t>OK</t>
  </si>
  <si>
    <t>Kis db szám!</t>
  </si>
  <si>
    <t>Teáor szorzók:</t>
  </si>
  <si>
    <t>Összesített Teáor szorzó:</t>
  </si>
  <si>
    <t>Teáor szorzók szorzata:</t>
  </si>
  <si>
    <t>Szerződő összes flotta járműszáma:</t>
  </si>
  <si>
    <t>SIGNAL díjszorzó:</t>
  </si>
  <si>
    <t>SIGNAL BIZTOSÍTÓ</t>
  </si>
  <si>
    <t>Szigetszentmiklós</t>
  </si>
  <si>
    <t>Gyál</t>
  </si>
  <si>
    <t>Dabas-Sári</t>
  </si>
  <si>
    <t>Dabas-Gyón</t>
  </si>
  <si>
    <t xml:space="preserve">Táborfalva </t>
  </si>
  <si>
    <t>Dunaújváros-Pálhalma</t>
  </si>
  <si>
    <t>Daruszentmiklós</t>
  </si>
  <si>
    <t xml:space="preserve">Baracs </t>
  </si>
  <si>
    <t>Baracs-Apátszállás</t>
  </si>
  <si>
    <t xml:space="preserve">Ercsi </t>
  </si>
  <si>
    <t>Ercsi-Sinatelep</t>
  </si>
  <si>
    <t>Beloiannisz</t>
  </si>
  <si>
    <t xml:space="preserve">Velence </t>
  </si>
  <si>
    <t xml:space="preserve">Gárdony </t>
  </si>
  <si>
    <t>Gárdony-Agárd</t>
  </si>
  <si>
    <t>Gárdony-Dinnyés</t>
  </si>
  <si>
    <t>Szabadhídvég</t>
  </si>
  <si>
    <t>Úrhida</t>
  </si>
  <si>
    <t>Sárszentmihály-Sárpentele</t>
  </si>
  <si>
    <t>Nádasdladány</t>
  </si>
  <si>
    <t>Balatonaliga</t>
  </si>
  <si>
    <t>Balatonaliga-Balatonvilágos</t>
  </si>
  <si>
    <t>Balatonkenese-Balatonakarattya</t>
  </si>
  <si>
    <t>Balatonkenese-Üdülőtelep</t>
  </si>
  <si>
    <t>Berhida-Peremartongyártelep</t>
  </si>
  <si>
    <t>Balatonfűzfő-Fűzfőgyártelep</t>
  </si>
  <si>
    <t>Öskü</t>
  </si>
  <si>
    <t>Balatonalmádi és Káptalanfüred és Vörösberény</t>
  </si>
  <si>
    <t>Lovas</t>
  </si>
  <si>
    <t>Csopak</t>
  </si>
  <si>
    <t>Balatonfüred-Balatonarács</t>
  </si>
  <si>
    <t>KÁRHÁNYAD 80% - 89%</t>
  </si>
  <si>
    <t>KÁRHÁNYAD 70% - 79%</t>
  </si>
  <si>
    <t>KÁRHÁNYAD &lt;70%</t>
  </si>
  <si>
    <t>Pótdíj</t>
  </si>
  <si>
    <t>Tardos</t>
  </si>
  <si>
    <t>Tata-Agostyán</t>
  </si>
  <si>
    <t>Szákszend</t>
  </si>
  <si>
    <t>Kisbér-Hánta</t>
  </si>
  <si>
    <t>Komárom-Koppánymonostor</t>
  </si>
  <si>
    <t>Komárom-Szőny</t>
  </si>
  <si>
    <t xml:space="preserve">Almásfüzitő </t>
  </si>
  <si>
    <t>Hatvan</t>
  </si>
  <si>
    <t xml:space="preserve">Lőrinci </t>
  </si>
  <si>
    <t>Lőrinci-Mátravidéki erőmű</t>
  </si>
  <si>
    <t>Lőrinci-Selyp</t>
  </si>
  <si>
    <t>Szűcsi</t>
  </si>
  <si>
    <t>Ecseg</t>
  </si>
  <si>
    <t>Kozárd</t>
  </si>
  <si>
    <t>Pásztó-Hasznos</t>
  </si>
  <si>
    <t>Bokor</t>
  </si>
  <si>
    <t>Cserhátszentiván</t>
  </si>
  <si>
    <t>Kutasó</t>
  </si>
  <si>
    <t>Felsőtold</t>
  </si>
  <si>
    <t>Garáb</t>
  </si>
  <si>
    <t>Kisbárkány</t>
  </si>
  <si>
    <t>Márkháza</t>
  </si>
  <si>
    <t>Település:</t>
  </si>
  <si>
    <r>
      <t>KÖBE</t>
    </r>
    <r>
      <rPr>
        <sz val="10"/>
        <color indexed="59"/>
        <rFont val="Arial"/>
        <family val="2"/>
        <charset val="238"/>
      </rPr>
      <t xml:space="preserve"> flottadíj jelenleg:</t>
    </r>
  </si>
  <si>
    <t>KÖBE tlejes flottadíj:</t>
  </si>
  <si>
    <t>SZGK:</t>
  </si>
  <si>
    <t>TGK:</t>
  </si>
  <si>
    <t>Többi:</t>
  </si>
  <si>
    <t>Berzence</t>
  </si>
  <si>
    <t>Bolhás</t>
  </si>
  <si>
    <t>Kaposmérő</t>
  </si>
  <si>
    <t>Kaposújlak</t>
  </si>
  <si>
    <t>Kisasszond</t>
  </si>
  <si>
    <t>Kiskorpád</t>
  </si>
  <si>
    <t>Jákó</t>
  </si>
  <si>
    <t>Csököly</t>
  </si>
  <si>
    <t>Rinyakovácsi</t>
  </si>
  <si>
    <t>Kadarkút</t>
  </si>
  <si>
    <t>Kőkút</t>
  </si>
  <si>
    <t>Hencse</t>
  </si>
  <si>
    <t>Hedrehely</t>
  </si>
  <si>
    <t>Visnye</t>
  </si>
  <si>
    <t>Lad</t>
  </si>
  <si>
    <t>Patosfa</t>
  </si>
  <si>
    <t>Homokszentgyörgy</t>
  </si>
  <si>
    <t>Kálmáncsa</t>
  </si>
  <si>
    <t>Szulok</t>
  </si>
  <si>
    <t>Kutas</t>
  </si>
  <si>
    <t>Kisbajom</t>
  </si>
  <si>
    <t>Beleg</t>
  </si>
  <si>
    <t>Szabás</t>
  </si>
  <si>
    <t>Nagykorpád</t>
  </si>
  <si>
    <t>Lábod</t>
  </si>
  <si>
    <t>Rinyabesenyő</t>
  </si>
  <si>
    <t>Görgeteg</t>
  </si>
  <si>
    <t>Csokonyavisonta</t>
  </si>
  <si>
    <t>Rinyaújlak</t>
  </si>
  <si>
    <t>Barcs</t>
  </si>
  <si>
    <t>Pálmajor</t>
  </si>
  <si>
    <t>Segesd</t>
  </si>
  <si>
    <t>Somogyszob</t>
  </si>
  <si>
    <t>Kaszó</t>
  </si>
  <si>
    <t>Barcs-Középrigóc</t>
  </si>
  <si>
    <t>Drávaszentes</t>
  </si>
  <si>
    <t>Péterhida</t>
  </si>
  <si>
    <t>Somogyaracs</t>
  </si>
  <si>
    <t>Háromfa</t>
  </si>
  <si>
    <t>Bolhó</t>
  </si>
  <si>
    <t>Heresznye</t>
  </si>
  <si>
    <t>Vízvár</t>
  </si>
  <si>
    <t>Bélavár</t>
  </si>
  <si>
    <t>Pécs-Somogy</t>
  </si>
  <si>
    <t>Pécs</t>
  </si>
  <si>
    <t>Kökény</t>
  </si>
  <si>
    <t>Szellő</t>
  </si>
  <si>
    <t>Máriakéménd</t>
  </si>
  <si>
    <t>Szilágy</t>
  </si>
  <si>
    <t>43-79 férőhely</t>
  </si>
  <si>
    <t>&gt;80 férőhely</t>
  </si>
  <si>
    <t>Motorkerékpár</t>
  </si>
  <si>
    <t>&lt;  12 kw</t>
  </si>
  <si>
    <t>13-35 kw</t>
  </si>
  <si>
    <t>36-70 kw</t>
  </si>
  <si>
    <t>&gt; 70 kw</t>
  </si>
  <si>
    <t>Vontató</t>
  </si>
  <si>
    <t>Mezőg-i vontató</t>
  </si>
  <si>
    <t>Pótkocsi, félpótkocsi</t>
  </si>
  <si>
    <t>&lt; 0,75 t össztömegű</t>
  </si>
  <si>
    <t>0.75 - 10 t össztömegű</t>
  </si>
  <si>
    <t>&gt; 10 t össztömegű</t>
  </si>
  <si>
    <t>Smkp.</t>
  </si>
  <si>
    <t>Négykerekű smkp.</t>
  </si>
  <si>
    <t>Összesen</t>
  </si>
  <si>
    <t>Aláírás:</t>
  </si>
  <si>
    <t>Tájékoztató jellegű díjadatok, a kalkuláció idején rendelkezésre álló adatok alapján. A díjkedvezmény mértéke nem, de a díj a forgalmi engedély szerinti gépjármű adatok alapján változhat!</t>
  </si>
  <si>
    <t>Szgk.&lt;850 ccm</t>
  </si>
  <si>
    <t>Budapest</t>
  </si>
  <si>
    <t>Fejér</t>
  </si>
  <si>
    <t>Szgk. 851-1150 ccm</t>
  </si>
  <si>
    <t>Jász-Nagykun-Szolnok</t>
  </si>
  <si>
    <t>Szgk. 1151-1500 ccm</t>
  </si>
  <si>
    <t>Baranya</t>
  </si>
  <si>
    <t>Szgk. 1501-2000 ccm</t>
  </si>
  <si>
    <t xml:space="preserve">Terület </t>
  </si>
  <si>
    <t>.</t>
  </si>
  <si>
    <t>Heves</t>
  </si>
  <si>
    <t>Szgk. 2001-3000 ccm</t>
  </si>
  <si>
    <t>Borsod-Abaúj-Zemplén</t>
  </si>
  <si>
    <t>Szgk. &gt;3000 ccm</t>
  </si>
  <si>
    <t>Tgk. &lt; 2t.</t>
  </si>
  <si>
    <t>Tgk. 2-6t.</t>
  </si>
  <si>
    <t>Tgk.&gt; 6t.</t>
  </si>
  <si>
    <t>Győr-Sopron-Moson</t>
  </si>
  <si>
    <t>Pest</t>
  </si>
  <si>
    <t>Veszprém</t>
  </si>
  <si>
    <t>Komárom-Esztergom</t>
  </si>
  <si>
    <t>Vas</t>
  </si>
  <si>
    <t>Mg.vontató</t>
  </si>
  <si>
    <t>Somogy</t>
  </si>
  <si>
    <t>Lassú jmű</t>
  </si>
  <si>
    <t>Segédmkp.</t>
  </si>
  <si>
    <t>Négykerekű</t>
  </si>
  <si>
    <t>Bács-Kiskun</t>
  </si>
  <si>
    <t>Szabolcs-Szatmár-Bereg</t>
  </si>
  <si>
    <t>igen</t>
  </si>
  <si>
    <t xml:space="preserve"> </t>
  </si>
  <si>
    <t>Csongrád</t>
  </si>
  <si>
    <t>Zala</t>
  </si>
  <si>
    <t>Békés</t>
  </si>
  <si>
    <t>Hajdú-Bihar</t>
  </si>
  <si>
    <t>Tolna</t>
  </si>
  <si>
    <t>Szentlőrinckáta</t>
  </si>
  <si>
    <t>Ráckeve</t>
  </si>
  <si>
    <t>Lórév</t>
  </si>
  <si>
    <t>Szigetszentmiklós,-Lakihegy</t>
  </si>
  <si>
    <t>Halásztelek</t>
  </si>
  <si>
    <t>Szigethalom</t>
  </si>
  <si>
    <t>Tököl</t>
  </si>
  <si>
    <t>Szigetcsép</t>
  </si>
  <si>
    <t>Szigetszentmárton</t>
  </si>
  <si>
    <t>Szigetújfalu</t>
  </si>
  <si>
    <t>Szigetbecse</t>
  </si>
  <si>
    <t>Makád</t>
  </si>
  <si>
    <t>Dunaharaszti</t>
  </si>
  <si>
    <t>Taksony</t>
  </si>
  <si>
    <t>Dunavarsány</t>
  </si>
  <si>
    <t>Délegyháza</t>
  </si>
  <si>
    <t>Áporka</t>
  </si>
  <si>
    <t>Majosháza</t>
  </si>
  <si>
    <t>Kiskunlacháza</t>
  </si>
  <si>
    <t>Dömsöd</t>
  </si>
  <si>
    <t>Apaj</t>
  </si>
  <si>
    <t>Bugyi</t>
  </si>
  <si>
    <t>Alsónémedi</t>
  </si>
  <si>
    <t>Gyál-Némedi</t>
  </si>
  <si>
    <t>Felsőpakony</t>
  </si>
  <si>
    <t>Ócsa</t>
  </si>
  <si>
    <t>Inárcs</t>
  </si>
  <si>
    <t>Kakucs</t>
  </si>
  <si>
    <t>Újhartyán</t>
  </si>
  <si>
    <t>Dabas</t>
  </si>
  <si>
    <t>Dabas-Sári, -Besnyő</t>
  </si>
  <si>
    <t>Tatárszentgyörgy</t>
  </si>
  <si>
    <t>Hernád</t>
  </si>
  <si>
    <t>Örkény</t>
  </si>
  <si>
    <t>Pusztavacs</t>
  </si>
  <si>
    <t>Táborfalva</t>
  </si>
  <si>
    <t>Dunaújváros</t>
  </si>
  <si>
    <t>Pálhalma</t>
  </si>
  <si>
    <t>Nagyvenyim</t>
  </si>
  <si>
    <t>Mezőfalva</t>
  </si>
  <si>
    <t>Daruszentmiklós, Előszállás-Kisszentmiklós</t>
  </si>
  <si>
    <t>Előszállás</t>
  </si>
  <si>
    <t>Nagykarácsony</t>
  </si>
  <si>
    <t>Parasznya</t>
  </si>
  <si>
    <t>Varbó</t>
  </si>
  <si>
    <t>Alacska</t>
  </si>
  <si>
    <t>Ládbesenyő, Balajt, Damak</t>
  </si>
  <si>
    <t>Finke</t>
  </si>
  <si>
    <t xml:space="preserve">Szakácsi, Irota, Lak, </t>
  </si>
  <si>
    <t>Tomor</t>
  </si>
  <si>
    <t>Sajókeresztúr</t>
  </si>
  <si>
    <t>Sajóbábony</t>
  </si>
  <si>
    <t>Sajóecseg</t>
  </si>
  <si>
    <t>Boldva, Ziliz</t>
  </si>
  <si>
    <t>Autóbusz ismeretlen kat.</t>
  </si>
  <si>
    <t>Vontató 12000 ccm alatt</t>
  </si>
  <si>
    <t>Vontató 11999 ccm felett</t>
  </si>
  <si>
    <t>Lassú jármű</t>
  </si>
  <si>
    <t>Munkagép</t>
  </si>
  <si>
    <r>
      <t xml:space="preserve">AEGON
</t>
    </r>
    <r>
      <rPr>
        <sz val="10"/>
        <color indexed="9"/>
        <rFont val="Arial"/>
        <family val="2"/>
        <charset val="238"/>
      </rPr>
      <t>Budapest és kiemelt agglomeráció
(Ter. 1-2)</t>
    </r>
  </si>
  <si>
    <r>
      <t xml:space="preserve">AEGON
</t>
    </r>
    <r>
      <rPr>
        <sz val="10"/>
        <color indexed="9"/>
        <rFont val="Arial"/>
        <family val="2"/>
        <charset val="238"/>
      </rPr>
      <t>Minden más helység
(Ter. 3-5)</t>
    </r>
  </si>
  <si>
    <t>Négykerekű SMK</t>
  </si>
  <si>
    <t>Flotta díj:</t>
  </si>
  <si>
    <t>Járművek száma összesen:</t>
  </si>
  <si>
    <t>Szerződő cég neve:</t>
  </si>
  <si>
    <t>Kárgyakoriság:</t>
  </si>
  <si>
    <t>Szerződő székhelye/telephelye</t>
  </si>
  <si>
    <t>Cím</t>
  </si>
  <si>
    <t>Élő biztosítások összdíja és kárhányada:</t>
  </si>
  <si>
    <t>Földrajzi terület</t>
  </si>
  <si>
    <t>Díjkedvezmény (%)</t>
  </si>
  <si>
    <t>AO</t>
  </si>
  <si>
    <t>Normál díj összesen</t>
  </si>
  <si>
    <t>Kedvezményes díj összesen</t>
  </si>
  <si>
    <t>Személygépkocsi</t>
  </si>
  <si>
    <t>Éves díj  2011 / A0</t>
  </si>
  <si>
    <t>db.</t>
  </si>
  <si>
    <t>&lt;37 kw</t>
  </si>
  <si>
    <t>38-50 kw</t>
  </si>
  <si>
    <t>51-70 kw</t>
  </si>
  <si>
    <t>71-100 kw</t>
  </si>
  <si>
    <t>101-180 kw</t>
  </si>
  <si>
    <t>&gt;180 kw</t>
  </si>
  <si>
    <t>Tehergépkocsi</t>
  </si>
  <si>
    <t>&lt; = 3,5 t össztömegű</t>
  </si>
  <si>
    <t>3,5–12 t össztömegű</t>
  </si>
  <si>
    <t>&gt;  12 t ösztömegű</t>
  </si>
  <si>
    <t>Autóbusz</t>
  </si>
  <si>
    <t>10–19 férőhely</t>
  </si>
  <si>
    <t>20–42 férőhely</t>
  </si>
  <si>
    <t>Ózd-Sajóvárkony</t>
  </si>
  <si>
    <t>Sikeres üzletszerzést kívánunk!</t>
  </si>
  <si>
    <t>GROUPAMA</t>
  </si>
  <si>
    <t>Flottára jellemző "Faktor szorzó":</t>
  </si>
  <si>
    <r>
      <t>W</t>
    </r>
    <r>
      <rPr>
        <b/>
        <sz val="10"/>
        <color indexed="51"/>
        <rFont val="Arial"/>
        <family val="2"/>
        <charset val="238"/>
      </rPr>
      <t>ÁBERE</t>
    </r>
    <r>
      <rPr>
        <b/>
        <sz val="12"/>
        <color indexed="51"/>
        <rFont val="Arial"/>
        <family val="2"/>
        <charset val="238"/>
      </rPr>
      <t>R</t>
    </r>
    <r>
      <rPr>
        <b/>
        <sz val="10"/>
        <color indexed="51"/>
        <rFont val="Arial"/>
        <family val="2"/>
        <charset val="238"/>
      </rPr>
      <t xml:space="preserve">
Pótdíjas járművek megadása: az A0 oszlopban megadottak közül mennyi legyen pótdíjas.</t>
    </r>
  </si>
  <si>
    <t>A járműszámokat az 
A0 
oszlopba írja be.
A szürke cellákba ne írjon adatot!</t>
  </si>
  <si>
    <t>Nagybárkány</t>
  </si>
  <si>
    <t>Pásztó-Mátrakeresztes</t>
  </si>
  <si>
    <t>Salgótarján-Baglyasalja</t>
  </si>
  <si>
    <t>Salgótarján-Zagyvapálfalva</t>
  </si>
  <si>
    <t>Salgótarján-Salgóbánya</t>
  </si>
  <si>
    <t>Lucfalva</t>
  </si>
  <si>
    <t>Herceghalom</t>
  </si>
  <si>
    <t>Bicske</t>
  </si>
  <si>
    <t>Óbarok</t>
  </si>
  <si>
    <t>Csapdi</t>
  </si>
  <si>
    <t>Mány</t>
  </si>
  <si>
    <t>Szár, Újbarok</t>
  </si>
  <si>
    <t>Szárliget, Nagyegyháza</t>
  </si>
  <si>
    <t>Bodolyabér</t>
  </si>
  <si>
    <t>Orci</t>
  </si>
  <si>
    <t>Zselickislak</t>
  </si>
  <si>
    <t>Csombárd</t>
  </si>
  <si>
    <t>Alsóbogát</t>
  </si>
  <si>
    <t>Edde</t>
  </si>
  <si>
    <t>Kaposvár-Kaposfüred</t>
  </si>
  <si>
    <t>Felsőmocsolád</t>
  </si>
  <si>
    <t>Kaposvár-Toponár</t>
  </si>
  <si>
    <t>Magyaratád</t>
  </si>
  <si>
    <t>Cserénfa</t>
  </si>
  <si>
    <t>Gálosfa</t>
  </si>
  <si>
    <t>Hajmás</t>
  </si>
  <si>
    <t>Simonfa</t>
  </si>
  <si>
    <t>Patca</t>
  </si>
  <si>
    <t>Szenna</t>
  </si>
  <si>
    <t>Szilvásszentmárton</t>
  </si>
  <si>
    <t>Kaposfő</t>
  </si>
  <si>
    <t>Gige</t>
  </si>
  <si>
    <t>Barcs-Somogytarnóca</t>
  </si>
  <si>
    <t>Nagybajom</t>
  </si>
  <si>
    <t>Komlósd</t>
  </si>
  <si>
    <t>Babócsa</t>
  </si>
  <si>
    <t>Rinyaújnép</t>
  </si>
  <si>
    <t>Bakháza</t>
  </si>
  <si>
    <t>Erzsébet</t>
  </si>
  <si>
    <t>Kátoly</t>
  </si>
  <si>
    <t>Kékesd</t>
  </si>
  <si>
    <t>Berkesd</t>
  </si>
  <si>
    <t>Pereked</t>
  </si>
  <si>
    <t>Pogány</t>
  </si>
  <si>
    <t>Gyód</t>
  </si>
  <si>
    <t>Aranyosgadány</t>
  </si>
  <si>
    <t>Zók</t>
  </si>
  <si>
    <t>Cserkút</t>
  </si>
  <si>
    <t>Bakonya</t>
  </si>
  <si>
    <t>Kővágótöttös</t>
  </si>
  <si>
    <t xml:space="preserve">Orfű </t>
  </si>
  <si>
    <t>Abaliget</t>
  </si>
  <si>
    <t>Husztót</t>
  </si>
  <si>
    <t>Hetvehely</t>
  </si>
  <si>
    <t>Okorvölgy</t>
  </si>
  <si>
    <t>Cserdi</t>
  </si>
  <si>
    <t>Dinnyeberki</t>
  </si>
  <si>
    <t>Hosszúhetény</t>
  </si>
  <si>
    <t>Mecseknádasd</t>
  </si>
  <si>
    <t>Hidas</t>
  </si>
  <si>
    <t>Mohács-Újmohács</t>
  </si>
  <si>
    <t>Mohács-Sárhát</t>
  </si>
  <si>
    <t>Apátvarasd</t>
  </si>
  <si>
    <t>Lovászhetény</t>
  </si>
  <si>
    <t>Martonfa</t>
  </si>
  <si>
    <t>Pécsvárad és Üszögpuszta</t>
  </si>
  <si>
    <t>Geresdlak</t>
  </si>
  <si>
    <t>Erdősmárok</t>
  </si>
  <si>
    <t>Himesháza</t>
  </si>
  <si>
    <t>Nagykozár</t>
  </si>
  <si>
    <t>Hásságy</t>
  </si>
  <si>
    <t>Belvárdgyula</t>
  </si>
  <si>
    <t>Monyoród</t>
  </si>
  <si>
    <t>Borjád</t>
  </si>
  <si>
    <t>Kisbudmér</t>
  </si>
  <si>
    <t>Nagybudmér</t>
  </si>
  <si>
    <t>Pócsa</t>
  </si>
  <si>
    <t>Kisnyárád</t>
  </si>
  <si>
    <t>SZGK0-100kw és TGK &lt;3,5t</t>
  </si>
  <si>
    <t>SZGK&gt;100kW</t>
  </si>
  <si>
    <t>Karancsság</t>
  </si>
  <si>
    <t>Szalmatercs</t>
  </si>
  <si>
    <t>Gyöngyös-Kékestető</t>
  </si>
  <si>
    <t>Gyöngyössolymos</t>
  </si>
  <si>
    <t>Gyöngyös-Mátrafüred</t>
  </si>
  <si>
    <t>Gyöngyös-Mátraháza</t>
  </si>
  <si>
    <t>Mátraszentimre-Galyatető</t>
  </si>
  <si>
    <t>Mátraszentimre</t>
  </si>
  <si>
    <t>Parád-Parádfürdő</t>
  </si>
  <si>
    <t>Pálosvörösmart</t>
  </si>
  <si>
    <t xml:space="preserve">Visonta </t>
  </si>
  <si>
    <t>Visonta-Mátrai Erőmű</t>
  </si>
  <si>
    <t>Eger-Felnémet</t>
  </si>
  <si>
    <t>Szarvaskő</t>
  </si>
  <si>
    <t>Bélapátfalva</t>
  </si>
  <si>
    <t>Bükkszentmárton</t>
  </si>
  <si>
    <t xml:space="preserve">Füzesabony </t>
  </si>
  <si>
    <t xml:space="preserve">Nyékládháza </t>
  </si>
  <si>
    <t xml:space="preserve">Mezőkeresztes </t>
  </si>
  <si>
    <t>Miskolc és Tapolcafürdő</t>
  </si>
  <si>
    <t>Miskolc-Hejőcsaba</t>
  </si>
  <si>
    <t>Miskolc-Újdiósgyőr</t>
  </si>
  <si>
    <t>Miskolc-Bükkszentlászló</t>
  </si>
  <si>
    <t>Miskolc-Diósgyőr</t>
  </si>
  <si>
    <t>Miskolc-Egyetemváros</t>
  </si>
  <si>
    <t>Bükkzsérc</t>
  </si>
  <si>
    <t>Tard</t>
  </si>
  <si>
    <t>Cserépváralja</t>
  </si>
  <si>
    <t>Szentistván</t>
  </si>
  <si>
    <t>Mezőnyárád</t>
  </si>
  <si>
    <t>Bükkábrány</t>
  </si>
  <si>
    <t>Kunhegyes</t>
  </si>
  <si>
    <t>Bánhalma</t>
  </si>
  <si>
    <t>Tiszafüred</t>
  </si>
  <si>
    <t>Tiszafüred (Tiszaörvény)</t>
  </si>
  <si>
    <t>Tiszafüred (Kócsújfalu)</t>
  </si>
  <si>
    <t>Tiszaigar</t>
  </si>
  <si>
    <t>Tiszaörs</t>
  </si>
  <si>
    <t>Nagyiván</t>
  </si>
  <si>
    <t>Mezőtúr</t>
  </si>
  <si>
    <t>Kétpó</t>
  </si>
  <si>
    <t>Kuncsorba</t>
  </si>
  <si>
    <t>Túrkeve</t>
  </si>
  <si>
    <t>Tiszaföldvár</t>
  </si>
  <si>
    <t>Martfű</t>
  </si>
  <si>
    <t>Kunszentmárton</t>
  </si>
  <si>
    <t>TÖBBI JÁRMŰ:</t>
  </si>
  <si>
    <t>KÖBE KÉRDÉSEK:</t>
  </si>
  <si>
    <t>Szerződő egyéni vállalkozó / egyéni cég?</t>
  </si>
  <si>
    <t>EV</t>
  </si>
  <si>
    <t>BAH-BAR</t>
  </si>
  <si>
    <t>FUVOSZ</t>
  </si>
  <si>
    <t>Defekt</t>
  </si>
  <si>
    <r>
      <t>BAH-BAR kedvezményre jogosult?</t>
    </r>
    <r>
      <rPr>
        <sz val="8"/>
        <rFont val="Arial"/>
        <family val="2"/>
        <charset val="238"/>
      </rPr>
      <t xml:space="preserve"> </t>
    </r>
    <r>
      <rPr>
        <i/>
        <sz val="8"/>
        <color indexed="60"/>
        <rFont val="Arial"/>
        <family val="2"/>
        <charset val="238"/>
      </rPr>
      <t>(Ha gyorsan köt 1db BAH-BAR-t, 30% kedvezmény!)</t>
    </r>
  </si>
  <si>
    <t>Üzemeltetés jellege:</t>
  </si>
  <si>
    <t>ÁLTALÁNOS</t>
  </si>
  <si>
    <t>BÉRGÉPKOCSI</t>
  </si>
  <si>
    <t>OKTATÓ GÉPKOCSI</t>
  </si>
  <si>
    <t>VESZÉLYES ANYAG SZÁLL.</t>
  </si>
  <si>
    <t>TAXI</t>
  </si>
  <si>
    <t>Flotta nagyság szorzó:</t>
  </si>
  <si>
    <t>db</t>
  </si>
  <si>
    <t>5-50 db</t>
  </si>
  <si>
    <t>51-200 db</t>
  </si>
  <si>
    <t>201-300 db</t>
  </si>
  <si>
    <t>301 db-tól</t>
  </si>
  <si>
    <t>Kungyalu</t>
  </si>
  <si>
    <t>Öcsöd</t>
  </si>
  <si>
    <t>Mesterszállás</t>
  </si>
  <si>
    <t>Mezőhék</t>
  </si>
  <si>
    <t>Homok</t>
  </si>
  <si>
    <t>Cibakháza</t>
  </si>
  <si>
    <t>Nagyrév</t>
  </si>
  <si>
    <t>Tiszainoka</t>
  </si>
  <si>
    <t>Cserkeszőlő</t>
  </si>
  <si>
    <t>Cserkeszölö fürdö</t>
  </si>
  <si>
    <t>Tiszakürt</t>
  </si>
  <si>
    <t>Tiszakürt-Bogaras</t>
  </si>
  <si>
    <t>Tiszasas</t>
  </si>
  <si>
    <t>Csépa</t>
  </si>
  <si>
    <t>Pálóczi major</t>
  </si>
  <si>
    <t>Gyomaendrőd</t>
  </si>
  <si>
    <t>Uniqa által felmondott</t>
  </si>
  <si>
    <t>Endrőd</t>
  </si>
  <si>
    <t>Dévaványa</t>
  </si>
  <si>
    <t>Ecsegfalva</t>
  </si>
  <si>
    <t>Körösladány</t>
  </si>
  <si>
    <t>Szeghalom</t>
  </si>
  <si>
    <t>Füzesgyarmat</t>
  </si>
  <si>
    <t>Kertészsziget</t>
  </si>
  <si>
    <t>Bucsa</t>
  </si>
  <si>
    <t>Vésztö</t>
  </si>
  <si>
    <t>Okány</t>
  </si>
  <si>
    <t>Kótpuszta</t>
  </si>
  <si>
    <t>Zsadány</t>
  </si>
  <si>
    <t>Biharugra</t>
  </si>
  <si>
    <t>Kőrösnagyharsány</t>
  </si>
  <si>
    <t>Szarvas</t>
  </si>
  <si>
    <t>Csabacsüd</t>
  </si>
  <si>
    <t>Kardos</t>
  </si>
  <si>
    <t>Kondoros</t>
  </si>
  <si>
    <t>Hunya</t>
  </si>
  <si>
    <t>Örménykút</t>
  </si>
  <si>
    <t>Békésszentandrás</t>
  </si>
  <si>
    <t>Békéscsaba</t>
  </si>
  <si>
    <t>Csabaszabadi</t>
  </si>
  <si>
    <t>Csárdaszállás</t>
  </si>
  <si>
    <t>Köröstarcsa</t>
  </si>
  <si>
    <t>Gerla</t>
  </si>
  <si>
    <t>Doboz</t>
  </si>
  <si>
    <t>Tarhos</t>
  </si>
  <si>
    <t>Bélmegyer</t>
  </si>
  <si>
    <t>Mezőberény</t>
  </si>
  <si>
    <t>Újkígyós</t>
  </si>
  <si>
    <t>Csanádapáca</t>
  </si>
  <si>
    <t>Medgyesbodzás</t>
  </si>
  <si>
    <t>Gábortelep</t>
  </si>
  <si>
    <t>Pusztaottlaka</t>
  </si>
  <si>
    <t>Medgyesegyháza</t>
  </si>
  <si>
    <t>Magyarbánhegyes</t>
  </si>
  <si>
    <t>Nagybánhegyes</t>
  </si>
  <si>
    <t>Mezőmegyer</t>
  </si>
  <si>
    <t>Murony</t>
  </si>
  <si>
    <t>Kamut</t>
  </si>
  <si>
    <t>Kétsoprony</t>
  </si>
  <si>
    <t>Telekgerendás</t>
  </si>
  <si>
    <t>Gyula</t>
  </si>
  <si>
    <t>Gyula-j.a.szan.fp</t>
  </si>
  <si>
    <t>Gyulavári</t>
  </si>
  <si>
    <t>Szabadkígyós</t>
  </si>
  <si>
    <t>Sarkad</t>
  </si>
  <si>
    <t>Kötegyán</t>
  </si>
  <si>
    <t>Méhkerék</t>
  </si>
  <si>
    <t>Újszalonta</t>
  </si>
  <si>
    <t>Sarkadkeresztúr</t>
  </si>
  <si>
    <t>Mezőgyán</t>
  </si>
  <si>
    <t>Geszt</t>
  </si>
  <si>
    <t>Kétegyháza</t>
  </si>
  <si>
    <t>Elek</t>
  </si>
  <si>
    <t>Lökösháza</t>
  </si>
  <si>
    <t>Kevermes</t>
  </si>
  <si>
    <t>Dombiratos</t>
  </si>
  <si>
    <t>Kunágota</t>
  </si>
  <si>
    <t>Almáskamarás</t>
  </si>
  <si>
    <t>Nagykamarás</t>
  </si>
  <si>
    <t>Bánkút</t>
  </si>
  <si>
    <t>Mezőkovácsháza</t>
  </si>
  <si>
    <t>Végegyháza</t>
  </si>
  <si>
    <t>Mezőhegyes</t>
  </si>
  <si>
    <t>Battonya</t>
  </si>
  <si>
    <t>Dombegyház</t>
  </si>
  <si>
    <t>Kisdombegyház</t>
  </si>
  <si>
    <t>Magyardombegyház</t>
  </si>
  <si>
    <t>Orosháza</t>
  </si>
  <si>
    <t>Orosháza Rákóczitelep</t>
  </si>
  <si>
    <t>Orosháza Gyopárosfürdö</t>
  </si>
  <si>
    <t>Orosháza Szentetornya</t>
  </si>
  <si>
    <t>Orosháza Tatársánc</t>
  </si>
  <si>
    <t>Pusztaföldvár</t>
  </si>
  <si>
    <t>Csorvás</t>
  </si>
  <si>
    <t>Gerendás</t>
  </si>
  <si>
    <t>Nagyszénás</t>
  </si>
  <si>
    <t>10t feletti pótkocsikat lassú jármű vontatja?</t>
  </si>
  <si>
    <t>Alkalmazandó min díj:</t>
  </si>
  <si>
    <t>B2-B7 db szám</t>
  </si>
  <si>
    <t>Szorzó B2-B7 nálkül</t>
  </si>
  <si>
    <t>B2-B7 szorzó tényező:</t>
  </si>
  <si>
    <t>B2-B7 összorzós alapdíj</t>
  </si>
  <si>
    <t>120-ra kerekítve</t>
  </si>
  <si>
    <t>B2-B7 db számmal beszorozva:</t>
  </si>
  <si>
    <t>B8-B10 db szám</t>
  </si>
  <si>
    <t>Szorzó B8-B10 nálkül</t>
  </si>
  <si>
    <t>B8-B10 szorzó tényező:</t>
  </si>
  <si>
    <t>B8-B10 összorzós alapdíj</t>
  </si>
  <si>
    <t>B8-B10 db számmal beszorozva:</t>
  </si>
  <si>
    <t>b2-b7 ÖSSZDÍJ:</t>
  </si>
  <si>
    <t>Nem bónuszos db szám</t>
  </si>
  <si>
    <t>db számmal besz</t>
  </si>
  <si>
    <t>B8-B10 összdíj:</t>
  </si>
  <si>
    <t>Nem bónuszos összdíj:</t>
  </si>
  <si>
    <t>BM alá nem esők összdíja:</t>
  </si>
  <si>
    <t>BM kedvezmény miatt számított flotta díjrészek:</t>
  </si>
  <si>
    <t>BM alá nem esők:</t>
  </si>
  <si>
    <t>B2-B7:</t>
  </si>
  <si>
    <t>B8-B10:</t>
  </si>
  <si>
    <t>Bónusszal nem rend.ők:</t>
  </si>
  <si>
    <t>Összesen:</t>
  </si>
  <si>
    <t>Becsvölgye</t>
  </si>
  <si>
    <t>Szilvágy</t>
  </si>
  <si>
    <t>Kozmadombja</t>
  </si>
  <si>
    <t>Dobronhegy</t>
  </si>
  <si>
    <t>Teskánd</t>
  </si>
  <si>
    <t>Zalaboldogfa</t>
  </si>
  <si>
    <t>Zalaszentgyörgy</t>
  </si>
  <si>
    <t>Salomvár</t>
  </si>
  <si>
    <t>Zalacséb</t>
  </si>
  <si>
    <t>Zalaháshágy</t>
  </si>
  <si>
    <t>Vaspör</t>
  </si>
  <si>
    <t>Zalalövő</t>
  </si>
  <si>
    <t>Győr</t>
  </si>
  <si>
    <t>Bácsa</t>
  </si>
  <si>
    <t>Győr-Szentiván</t>
  </si>
  <si>
    <t>Ménfőcsanak</t>
  </si>
  <si>
    <t>Györ-gyirmót</t>
  </si>
  <si>
    <t>Györ pfü</t>
  </si>
  <si>
    <t>Vámosszabadi</t>
  </si>
  <si>
    <t>Vének</t>
  </si>
  <si>
    <t>Nagybajcs</t>
  </si>
  <si>
    <t>Postai flotta kedvezményre jogosult a szerződő?</t>
  </si>
  <si>
    <t>Költségvetési szervek és állami vállalatok kedvezményére jogosult?</t>
  </si>
  <si>
    <t>CASCO flotta szerződést is köt a Postával?</t>
  </si>
  <si>
    <t>Költségvetési válasz:</t>
  </si>
  <si>
    <t>Tiszaeszlár-Bashalom</t>
  </si>
  <si>
    <t>Tiszalök-Kisfástanya</t>
  </si>
  <si>
    <t xml:space="preserve">Tiszaeszlár    </t>
  </si>
  <si>
    <t>Timár</t>
  </si>
  <si>
    <t>Gávavencsellő-Gáva</t>
  </si>
  <si>
    <t xml:space="preserve">Gávavencsellő-Vencsellő   </t>
  </si>
  <si>
    <t>Nyíregyháza-Sóstóhegy</t>
  </si>
  <si>
    <t>Buj</t>
  </si>
  <si>
    <t>Tiszatelek-Kétérköz</t>
  </si>
  <si>
    <t xml:space="preserve">Nyírbogdány </t>
  </si>
  <si>
    <t xml:space="preserve">Berkesz </t>
  </si>
  <si>
    <t>Nyíregyháza-Oros</t>
  </si>
  <si>
    <t>Győröcske</t>
  </si>
  <si>
    <t>Hermánszeg</t>
  </si>
  <si>
    <t>Darnó</t>
  </si>
  <si>
    <t>Komlódtótfalu</t>
  </si>
  <si>
    <t>Vásárosnamény-Gergelyiugornya</t>
  </si>
  <si>
    <t xml:space="preserve">Gyüre </t>
  </si>
  <si>
    <t>Tivadar</t>
  </si>
  <si>
    <t>Beregdaróc</t>
  </si>
  <si>
    <t>Nemesborzova</t>
  </si>
  <si>
    <t>Túrricse</t>
  </si>
  <si>
    <t>Nagyhódos</t>
  </si>
  <si>
    <t>Szolnok-Szandaszőllős</t>
  </si>
  <si>
    <t>Kőtelek</t>
  </si>
  <si>
    <t>Tiszavárkony-Tiszavárkonyi-Szőlők</t>
  </si>
  <si>
    <t>Jászberény-Portelek</t>
  </si>
  <si>
    <t>Törökszentmiklós-Surjány</t>
  </si>
  <si>
    <t>Fegyvernek-Szapárfalu</t>
  </si>
  <si>
    <t>Tiszabura</t>
  </si>
  <si>
    <t>Vésztő</t>
  </si>
  <si>
    <t>Hajdúnánás-Tedej</t>
  </si>
  <si>
    <t>Hajdúböszörmény-Hajdúvid</t>
  </si>
  <si>
    <t>Nemzetközi áru és személyfuvarozásban részt vesznek a vontatók?</t>
  </si>
  <si>
    <t>Nemzetközi áru és személyfuvarozásban részt vesznek a 12t össztömeget meghaladó tehergépjárművek?</t>
  </si>
  <si>
    <t>buszok fuvarozás</t>
  </si>
  <si>
    <t>Taxi, veszélyes árut szállító, tűz- és robbanásveszélyes anyagot szállító jármű pótdíjat alkalmazzunk az SZGK-knál?</t>
  </si>
  <si>
    <t>SZGK Üzemeltetési pótdíj:</t>
  </si>
  <si>
    <t>Bérgépjármű, oktatással foglalkozó, értékszállító, megkülönböztetett jelzésű, versenyautó, reptéri kiszolgáló pótdíjat alkalmazzunk SZGK-knál?</t>
  </si>
  <si>
    <t>Nemzetközi áru és személyfuvarozásban részt vesznek a 10t össztömeg feletti pótkocsik?</t>
  </si>
  <si>
    <t>Nemzetközi áru és személyfuvarozásban részt vesznek a buszok?</t>
  </si>
  <si>
    <t>2013-ra aktualizált:</t>
  </si>
  <si>
    <t>Flotta darabszám szorzó
(11. tábla)</t>
  </si>
  <si>
    <t>5-20 db</t>
  </si>
  <si>
    <t>21-50</t>
  </si>
  <si>
    <t>50 db felett</t>
  </si>
  <si>
    <t>Flotta jmű darabszám NDK-n jelenleg:</t>
  </si>
  <si>
    <t>Aktuális flotta db szám szorzó:</t>
  </si>
  <si>
    <t>Teár NDK-n:</t>
  </si>
  <si>
    <t>Teáor kedvezmény:</t>
  </si>
  <si>
    <t>Tófalu</t>
  </si>
  <si>
    <t>Kápolna</t>
  </si>
  <si>
    <t>Kompolt</t>
  </si>
  <si>
    <t>Nagyút</t>
  </si>
  <si>
    <t>Erdőtelek</t>
  </si>
  <si>
    <t>Tenk</t>
  </si>
  <si>
    <t>Boconád</t>
  </si>
  <si>
    <t>Tarnabod</t>
  </si>
  <si>
    <t>Átány</t>
  </si>
  <si>
    <t>Kömlő</t>
  </si>
  <si>
    <t>Besenyőtelek</t>
  </si>
  <si>
    <t>Dormánd</t>
  </si>
  <si>
    <t>Mezőtárkány</t>
  </si>
  <si>
    <t>Szihalom</t>
  </si>
  <si>
    <t>Mezőszemere</t>
  </si>
  <si>
    <t>Egerfarmos</t>
  </si>
  <si>
    <t>Pély</t>
  </si>
  <si>
    <t>Tarnaszentmiklós</t>
  </si>
  <si>
    <t>Hevesvezekény</t>
  </si>
  <si>
    <t>Kisköre</t>
  </si>
  <si>
    <t>Tiszanána</t>
  </si>
  <si>
    <t>Sarud</t>
  </si>
  <si>
    <t>Újlőrincfalva</t>
  </si>
  <si>
    <t>Poroszló</t>
  </si>
  <si>
    <t>Füzesabony</t>
  </si>
  <si>
    <t>Egerszalók</t>
  </si>
  <si>
    <t>Demjén</t>
  </si>
  <si>
    <t>Kerecsend</t>
  </si>
  <si>
    <t>Maklár</t>
  </si>
  <si>
    <t>Nagytálya</t>
  </si>
  <si>
    <t>Andornaktálya</t>
  </si>
  <si>
    <t>Mezőkövesd</t>
  </si>
  <si>
    <t>Szomolya</t>
  </si>
  <si>
    <t>Bogács</t>
  </si>
  <si>
    <t>Cserépfalu</t>
  </si>
  <si>
    <t>Szirmabesenyő</t>
  </si>
  <si>
    <t>Sajósenye, Sajóvámos</t>
  </si>
  <si>
    <t>Arnót</t>
  </si>
  <si>
    <t>Sajópálfalva</t>
  </si>
  <si>
    <t>Gesztely</t>
  </si>
  <si>
    <t>Sóstófalva, Újcsanálos</t>
  </si>
  <si>
    <t>Alsódobsza</t>
  </si>
  <si>
    <t>Megyaszó</t>
  </si>
  <si>
    <t>Sajóivánka, Sajókaza</t>
  </si>
  <si>
    <t>Jákfalva, Dövény, Felsőnyárád</t>
  </si>
  <si>
    <t>Mosonszentmiklós</t>
  </si>
  <si>
    <t>Lébény</t>
  </si>
  <si>
    <t>Győrsövényház</t>
  </si>
  <si>
    <t>Bezi</t>
  </si>
  <si>
    <t>Fehértó</t>
  </si>
  <si>
    <t>Markotabödöge</t>
  </si>
  <si>
    <t>Ózd-Bánszállás</t>
  </si>
  <si>
    <t>Ózd-Szentsimon</t>
  </si>
  <si>
    <t>Domaháza</t>
  </si>
  <si>
    <t>Kissikátor</t>
  </si>
  <si>
    <t>Sajógalgóc</t>
  </si>
  <si>
    <t>Vadna</t>
  </si>
  <si>
    <t>Bükkmogyorósd</t>
  </si>
  <si>
    <t>Csernely</t>
  </si>
  <si>
    <t>Lénárddaróc</t>
  </si>
  <si>
    <t>Sajómercse</t>
  </si>
  <si>
    <t>Sajóvelezd</t>
  </si>
  <si>
    <t>Ózd-Somsálybánya</t>
  </si>
  <si>
    <t xml:space="preserve">Borsodnádasd </t>
  </si>
  <si>
    <t>Borsodnádasd-Lemezgyár</t>
  </si>
  <si>
    <t>Berente</t>
  </si>
  <si>
    <t>Sajósenye</t>
  </si>
  <si>
    <t>Sajóvámos</t>
  </si>
  <si>
    <t>Sajópálfala</t>
  </si>
  <si>
    <t>Sóstófalva</t>
  </si>
  <si>
    <t>Újcsanálos</t>
  </si>
  <si>
    <t>Sajóivánka</t>
  </si>
  <si>
    <t>Sajókaza</t>
  </si>
  <si>
    <t>Dövény</t>
  </si>
  <si>
    <t>Felsőnyárád</t>
  </si>
  <si>
    <t>Jákfalva</t>
  </si>
  <si>
    <t>Imola</t>
  </si>
  <si>
    <t>Ragály</t>
  </si>
  <si>
    <t>Trizs</t>
  </si>
  <si>
    <t>Szuhafő</t>
  </si>
  <si>
    <t>Zádorfalva</t>
  </si>
  <si>
    <t>Gömörszőlős</t>
  </si>
  <si>
    <t>Kelemér</t>
  </si>
  <si>
    <t>Szuhakálló</t>
  </si>
  <si>
    <t>Alsótelekes</t>
  </si>
  <si>
    <t>Felsőtelekes</t>
  </si>
  <si>
    <t>Kánó</t>
  </si>
  <si>
    <t>Galvács</t>
  </si>
  <si>
    <t>Szendrő</t>
  </si>
  <si>
    <t>Abod</t>
  </si>
  <si>
    <t>Meszes</t>
  </si>
  <si>
    <t>Szalonna</t>
  </si>
  <si>
    <t>Perkupa</t>
  </si>
  <si>
    <t>Varbóc</t>
  </si>
  <si>
    <t>Égerszög</t>
  </si>
  <si>
    <t>Szőlősardó</t>
  </si>
  <si>
    <t>Selyp</t>
  </si>
  <si>
    <t>Zagyvaszántó</t>
  </si>
  <si>
    <t>Apc</t>
  </si>
  <si>
    <t>Rózsaszentmárton</t>
  </si>
  <si>
    <t>Szücsi</t>
  </si>
  <si>
    <t>Gyöngyöspata</t>
  </si>
  <si>
    <t>Gyöngyöstarján</t>
  </si>
  <si>
    <t>Héhalom</t>
  </si>
  <si>
    <t>Palotás</t>
  </si>
  <si>
    <t>Egyházasdengeleg</t>
  </si>
  <si>
    <t>Szirák</t>
  </si>
  <si>
    <t>Bér</t>
  </si>
  <si>
    <t>Kisbágyon</t>
  </si>
  <si>
    <t>Buják</t>
  </si>
  <si>
    <t>Nyíregyháza Jósaváros</t>
  </si>
  <si>
    <t>Szarvasgede</t>
  </si>
  <si>
    <t>Csécse</t>
  </si>
  <si>
    <t>Ecseg, Kozárd</t>
  </si>
  <si>
    <t>Pásztó</t>
  </si>
  <si>
    <t>Jobbágyi</t>
  </si>
  <si>
    <t>Szurdokpüspöki</t>
  </si>
  <si>
    <t>Hasznos, Mátrakeresztes</t>
  </si>
  <si>
    <t>Ahol nincs nemz fuv pótdíj, ott a normál járműszámot nem csökkenti a beírt nemz fuv járműszám.</t>
  </si>
  <si>
    <t>Többi jármű díja összesen:</t>
  </si>
  <si>
    <t>Kékestetö</t>
  </si>
  <si>
    <t>Gyöngyössolymos, Pálosvörösmart</t>
  </si>
  <si>
    <t>Mátrafüred</t>
  </si>
  <si>
    <t>Mátraháza</t>
  </si>
  <si>
    <t>Galyatető</t>
  </si>
  <si>
    <t>Mátraszentimre, Mátraszentlászló</t>
  </si>
  <si>
    <t>Parád</t>
  </si>
  <si>
    <t>Parádsasvár</t>
  </si>
  <si>
    <t>Bodony</t>
  </si>
  <si>
    <t>Parádfürdő</t>
  </si>
  <si>
    <t>Recsk</t>
  </si>
  <si>
    <t>Mátraderecske</t>
  </si>
  <si>
    <t>Mátraballa</t>
  </si>
  <si>
    <t>Ivád</t>
  </si>
  <si>
    <t>Pétervására</t>
  </si>
  <si>
    <t>Erdőkövesd</t>
  </si>
  <si>
    <t>Istenmezeje</t>
  </si>
  <si>
    <t>Váraszó</t>
  </si>
  <si>
    <t>Fedémes</t>
  </si>
  <si>
    <t>Kisfüzes</t>
  </si>
  <si>
    <t>Bükkszenterzsébet</t>
  </si>
  <si>
    <t>Tarnalelesz</t>
  </si>
  <si>
    <t>Szentdomonkos</t>
  </si>
  <si>
    <t>Abasár</t>
  </si>
  <si>
    <t>Markaz</t>
  </si>
  <si>
    <t>Domoszló</t>
  </si>
  <si>
    <t>Kisnána</t>
  </si>
  <si>
    <t>Vécs</t>
  </si>
  <si>
    <t>Visonta</t>
  </si>
  <si>
    <t>Halmajugra</t>
  </si>
  <si>
    <t>Ludas</t>
  </si>
  <si>
    <t>Detk</t>
  </si>
  <si>
    <t>Karácsond</t>
  </si>
  <si>
    <t>Nagyfüged</t>
  </si>
  <si>
    <t>Tarnazsadány</t>
  </si>
  <si>
    <t>Tarnaméra</t>
  </si>
  <si>
    <t>Vámosgyörk</t>
  </si>
  <si>
    <t>Adács</t>
  </si>
  <si>
    <t>Visznek</t>
  </si>
  <si>
    <t>Tarnaörs</t>
  </si>
  <si>
    <t>Erk</t>
  </si>
  <si>
    <t>Zaránk</t>
  </si>
  <si>
    <t>Eger</t>
  </si>
  <si>
    <t>Eger Felnémet</t>
  </si>
  <si>
    <t>Egerbakta</t>
  </si>
  <si>
    <t>Hevesaranyos</t>
  </si>
  <si>
    <t>Eger-Szarvaskö</t>
  </si>
  <si>
    <t>Felsőtárkány</t>
  </si>
  <si>
    <t>Noszvaj</t>
  </si>
  <si>
    <t>Ostoros</t>
  </si>
  <si>
    <t>Novaj</t>
  </si>
  <si>
    <t>Egerszólát</t>
  </si>
  <si>
    <t>Tarnaszentmária</t>
  </si>
  <si>
    <t>Sirok</t>
  </si>
  <si>
    <t>Terpes</t>
  </si>
  <si>
    <t>Szajla</t>
  </si>
  <si>
    <t>Bükkszék</t>
  </si>
  <si>
    <t>Bátor</t>
  </si>
  <si>
    <t>Egerbocs</t>
  </si>
  <si>
    <t>Szúcs</t>
  </si>
  <si>
    <t>Egercsehi</t>
  </si>
  <si>
    <t>Bekölce</t>
  </si>
  <si>
    <t>Mikófalva</t>
  </si>
  <si>
    <t>Mónosbél</t>
  </si>
  <si>
    <t>Bélapátfalva, Bükkszentmárton</t>
  </si>
  <si>
    <t>Balaton</t>
  </si>
  <si>
    <t>Szilvásvárad</t>
  </si>
  <si>
    <t>Nagyvisnyó</t>
  </si>
  <si>
    <t>Kál</t>
  </si>
  <si>
    <t>Verpelét</t>
  </si>
  <si>
    <t>Feldebrő</t>
  </si>
  <si>
    <t>Aldebrő</t>
  </si>
  <si>
    <t>NORMÁL FLOTTA</t>
  </si>
  <si>
    <t>Nemz fuv &gt;10 Nehézpótok díjkorrekciója NEMSZORZÓS flottánál:</t>
  </si>
  <si>
    <t>Specilális, de Nemzetközi fuvart NEM végző 10t feletti pótkocsik száma?</t>
  </si>
  <si>
    <t>Tehát:</t>
  </si>
  <si>
    <t>db &gt;10t pót van összesen, ebből</t>
  </si>
  <si>
    <t>db csak speciális használatú,</t>
  </si>
  <si>
    <t>db csak nemzetközi fuvarozós,</t>
  </si>
  <si>
    <t>12. tábla kedv.Összesen:</t>
  </si>
  <si>
    <t>aktuális szorzó:</t>
  </si>
  <si>
    <t>Alkalmazott ter szorzó:</t>
  </si>
  <si>
    <t>SZGK díjak összesen:</t>
  </si>
  <si>
    <t>SZGK díjak:</t>
  </si>
  <si>
    <t>SZGK és &lt;3,5t TGK, egyéb:</t>
  </si>
  <si>
    <t>Csabdi</t>
  </si>
  <si>
    <t>Szár</t>
  </si>
  <si>
    <t>Újbarok</t>
  </si>
  <si>
    <t>Szárliget</t>
  </si>
  <si>
    <t xml:space="preserve">Pilisjászfalu </t>
  </si>
  <si>
    <t xml:space="preserve">Piliscsaba </t>
  </si>
  <si>
    <t>Piliscsaba-Klotildliget</t>
  </si>
  <si>
    <t xml:space="preserve">Telki </t>
  </si>
  <si>
    <t>Nagykovácsi</t>
  </si>
  <si>
    <t>Pilisszentkereszt-Dobogókő</t>
  </si>
  <si>
    <t>Gödöllő-Máriabesnyő</t>
  </si>
  <si>
    <t>Göd-Alsógöd</t>
  </si>
  <si>
    <t>Göd-Felsőgöd</t>
  </si>
  <si>
    <t>Sződliget</t>
  </si>
  <si>
    <t>Kistarcsa</t>
  </si>
  <si>
    <t xml:space="preserve">Kerepes </t>
  </si>
  <si>
    <t>Kerepes-Szilasliget</t>
  </si>
  <si>
    <t>Fót</t>
  </si>
  <si>
    <t xml:space="preserve">Sülysáp-Tápiósüly </t>
  </si>
  <si>
    <t>Sülysáp-Tápiósáp</t>
  </si>
  <si>
    <t>Terület 6</t>
  </si>
  <si>
    <t>Részek:</t>
  </si>
  <si>
    <t>Felsőkelecsény</t>
  </si>
  <si>
    <t>Zubogy</t>
  </si>
  <si>
    <t>Ragály, Trizs</t>
  </si>
  <si>
    <t>Imola, Kánó</t>
  </si>
  <si>
    <t>Zádorfalva, Szuhafő</t>
  </si>
  <si>
    <t>Alsószuha</t>
  </si>
  <si>
    <t>Gömörszőlős, Kelemér</t>
  </si>
  <si>
    <t>Serényfalva</t>
  </si>
  <si>
    <t xml:space="preserve">Mucsony, Szuhakálló, Mucsony-Alberttelep </t>
  </si>
  <si>
    <t>Kurityán</t>
  </si>
  <si>
    <t>Rudabánya</t>
  </si>
  <si>
    <t>Szuhogy</t>
  </si>
  <si>
    <t>Alsótelekes, Felsőtelekes</t>
  </si>
  <si>
    <t>Izsófalva</t>
  </si>
  <si>
    <t>Rudolftelep</t>
  </si>
  <si>
    <t>Ormosbánya</t>
  </si>
  <si>
    <t>Múcsony</t>
  </si>
  <si>
    <t>Szendrőlád</t>
  </si>
  <si>
    <t>Galvács, Szendrő</t>
  </si>
  <si>
    <t>Edelény</t>
  </si>
  <si>
    <t>Szalonna, Meszes</t>
  </si>
  <si>
    <t>Martonyi</t>
  </si>
  <si>
    <t>Perkupa, Martonyi, Varbóc</t>
  </si>
  <si>
    <t>Égerszög, Szőlősardó, Teresztenye, Tornakápolna</t>
  </si>
  <si>
    <t>Jósvafő</t>
  </si>
  <si>
    <t>Aggtelek</t>
  </si>
  <si>
    <t>Szin, Szinpetri</t>
  </si>
  <si>
    <t>Szögliget</t>
  </si>
  <si>
    <t>Bódvaszilas</t>
  </si>
  <si>
    <t>Bódvarákó</t>
  </si>
  <si>
    <t>Komjáti, Tornabarakony, Tornaszentandrás</t>
  </si>
  <si>
    <t>Szentgotthárd-r.füzes</t>
  </si>
  <si>
    <t>Rábagyarmat</t>
  </si>
  <si>
    <t>Magyarlak</t>
  </si>
  <si>
    <t>Szentgotthárd</t>
  </si>
  <si>
    <t>Szentgotthárd-farkasfa</t>
  </si>
  <si>
    <t>Orfalu</t>
  </si>
  <si>
    <t>Szakonyfalu</t>
  </si>
  <si>
    <t>Felsőszölnök</t>
  </si>
  <si>
    <t>Irányítószám:</t>
  </si>
  <si>
    <t>UNIQA KÉRDÉSEK:</t>
  </si>
  <si>
    <t>Kárgyakoriság (%):</t>
  </si>
  <si>
    <t>5 MFt felett, összesített kárhányad 70% alatt</t>
  </si>
  <si>
    <t>5 MFt alatt, összesített kárhányad 70% felett</t>
  </si>
  <si>
    <t>5 MFt felett, összesített kárhányad 70% felett</t>
  </si>
  <si>
    <t>GROUPAMA-GARANCIA KÉRDÉSEK:</t>
  </si>
  <si>
    <t>5 MFt alatt, összesített kárhányad 70% alatt</t>
  </si>
  <si>
    <t>Uniqa</t>
  </si>
  <si>
    <t>5 m Ft alatt, összesített kárhányad 70 % alatt</t>
  </si>
  <si>
    <t>Kedvezmény faktor</t>
  </si>
  <si>
    <t>vízszint:</t>
  </si>
  <si>
    <t>függő:</t>
  </si>
  <si>
    <t>Allianz</t>
  </si>
  <si>
    <t>Aegon</t>
  </si>
  <si>
    <t>Genertel</t>
  </si>
  <si>
    <t>Generali</t>
  </si>
  <si>
    <t>GroupamaGar</t>
  </si>
  <si>
    <t>K&amp;H</t>
  </si>
  <si>
    <t>KÖBE</t>
  </si>
  <si>
    <t>MKB</t>
  </si>
  <si>
    <t>Signal</t>
  </si>
  <si>
    <t>Posta</t>
  </si>
  <si>
    <t>Union</t>
  </si>
  <si>
    <t>Wabard</t>
  </si>
  <si>
    <t>Területi szorzó Bp. V. ker.</t>
  </si>
  <si>
    <t>Kor szorzó cég</t>
  </si>
  <si>
    <t>Posta díj szorzókkal</t>
  </si>
  <si>
    <t>Posta
Alapdíj I.</t>
  </si>
  <si>
    <t>Szgk 1501-2000</t>
  </si>
  <si>
    <t>Szgk 2001-3000</t>
  </si>
  <si>
    <t>Szgk &gt;3000</t>
  </si>
  <si>
    <t>TGK 2-6t</t>
  </si>
  <si>
    <t>TGK &lt;2t</t>
  </si>
  <si>
    <t>TGK &gt;6t</t>
  </si>
  <si>
    <t>Szgk 0-850</t>
  </si>
  <si>
    <t>Szgk 851-1150</t>
  </si>
  <si>
    <t>Szgk 1151-1500</t>
  </si>
  <si>
    <t>Autóbusz 19 főig</t>
  </si>
  <si>
    <t>Mezőgazdasági vontató</t>
  </si>
  <si>
    <t>TGK&gt;12t maximuma:</t>
  </si>
  <si>
    <t>Bérgép
Minimumdíjjal összevetett díj</t>
  </si>
  <si>
    <t>NOrmál
Minimumdíjjal összevetett díj</t>
  </si>
  <si>
    <t>NOrmál
Minimum ndíjjal összevetett díj</t>
  </si>
  <si>
    <t>Nemz fuv
Minimumdíjjal összevetett díj</t>
  </si>
  <si>
    <t>Minimum díj</t>
  </si>
  <si>
    <t>Nemz. Fuv. Vontató</t>
  </si>
  <si>
    <r>
      <t xml:space="preserve">Napfény </t>
    </r>
    <r>
      <rPr>
        <sz val="8"/>
        <rFont val="Arial"/>
        <family val="2"/>
        <charset val="238"/>
      </rPr>
      <t>(Szerződőben a Waberer's Holding Zrt, vagy Waberer's International Zrt. többségi vagy meghatározó részesedéssel rendelkezik)</t>
    </r>
  </si>
  <si>
    <t>Szerződő NKH tevékenységi engedéllyel rendelkezik?</t>
  </si>
  <si>
    <t>Wáberer</t>
  </si>
  <si>
    <r>
      <t>W</t>
    </r>
    <r>
      <rPr>
        <b/>
        <sz val="10"/>
        <color indexed="51"/>
        <rFont val="Verdana"/>
        <family val="2"/>
        <charset val="238"/>
      </rPr>
      <t>ÁBERE</t>
    </r>
    <r>
      <rPr>
        <b/>
        <sz val="12"/>
        <color indexed="51"/>
        <rFont val="Verdana"/>
        <family val="2"/>
        <charset val="238"/>
      </rPr>
      <t>R</t>
    </r>
  </si>
  <si>
    <r>
      <t>W</t>
    </r>
    <r>
      <rPr>
        <sz val="14"/>
        <color indexed="51"/>
        <rFont val="Verdana"/>
        <family val="2"/>
        <charset val="238"/>
      </rPr>
      <t>ÁBERE</t>
    </r>
    <r>
      <rPr>
        <sz val="16"/>
        <color indexed="51"/>
        <rFont val="Verdana"/>
        <family val="2"/>
        <charset val="238"/>
      </rPr>
      <t>R</t>
    </r>
  </si>
  <si>
    <r>
      <t xml:space="preserve">Új cég kedvezmény </t>
    </r>
    <r>
      <rPr>
        <sz val="8"/>
        <color indexed="17"/>
        <rFont val="Arial"/>
        <family val="2"/>
        <charset val="238"/>
      </rPr>
      <t xml:space="preserve">(A "közúti áruszállítás", mint főtevékenység </t>
    </r>
    <r>
      <rPr>
        <b/>
        <sz val="8"/>
        <color indexed="17"/>
        <rFont val="Arial"/>
        <family val="2"/>
        <charset val="238"/>
      </rPr>
      <t xml:space="preserve">2011 </t>
    </r>
    <r>
      <rPr>
        <sz val="8"/>
        <color indexed="17"/>
        <rFont val="Arial"/>
        <family val="2"/>
        <charset val="238"/>
      </rPr>
      <t>január 1-jét követően került a cégjegyzékbe bejegyzésre.) (20,45%)</t>
    </r>
  </si>
  <si>
    <t>Ha van NHK-s, akkor NHK és teljes jmű db szám minimuma:</t>
  </si>
  <si>
    <r>
      <t xml:space="preserve">Tartam </t>
    </r>
    <r>
      <rPr>
        <sz val="8"/>
        <rFont val="Arial"/>
        <family val="2"/>
        <charset val="238"/>
      </rPr>
      <t>(3 évig nem mondja fel)</t>
    </r>
  </si>
  <si>
    <t>Alsónána</t>
  </si>
  <si>
    <t>Alsónyék</t>
  </si>
  <si>
    <t>Báta</t>
  </si>
  <si>
    <t>Bonyhád</t>
  </si>
  <si>
    <t>Bonyhádvarasd</t>
  </si>
  <si>
    <t>Kisdorog</t>
  </si>
  <si>
    <t>Cikó</t>
  </si>
  <si>
    <t>Gráboc</t>
  </si>
  <si>
    <t>Mőcsény</t>
  </si>
  <si>
    <t>Bátaapáti</t>
  </si>
  <si>
    <t>Mórágy</t>
  </si>
  <si>
    <t>Sióagárd</t>
  </si>
  <si>
    <t>Harc</t>
  </si>
  <si>
    <t>Felsőnána</t>
  </si>
  <si>
    <t>Kéty</t>
  </si>
  <si>
    <t>Felsönána</t>
  </si>
  <si>
    <t>Murga</t>
  </si>
  <si>
    <t>Tevel</t>
  </si>
  <si>
    <t>Závod</t>
  </si>
  <si>
    <t>Kisvejke</t>
  </si>
  <si>
    <t>Szárász</t>
  </si>
  <si>
    <t>Mucsfa</t>
  </si>
  <si>
    <t>Nagyvejke</t>
  </si>
  <si>
    <t>Majos</t>
  </si>
  <si>
    <t>Hőgyész</t>
  </si>
  <si>
    <t>Szakály</t>
  </si>
  <si>
    <t>Regöly</t>
  </si>
  <si>
    <t>Kalaznó</t>
  </si>
  <si>
    <t>Mucsi</t>
  </si>
  <si>
    <t>Dombóvár</t>
  </si>
  <si>
    <t>Kővágótőttős</t>
  </si>
  <si>
    <t>Orfű-Tekeres</t>
  </si>
  <si>
    <t>Kovácsszénája</t>
  </si>
  <si>
    <t>Szentkatalin</t>
  </si>
  <si>
    <t>Bükkösd</t>
  </si>
  <si>
    <t>Helesfa</t>
  </si>
  <si>
    <t>Pécs-Vasas</t>
  </si>
  <si>
    <t>Pécs-Hird</t>
  </si>
  <si>
    <t>Kisújbánya</t>
  </si>
  <si>
    <t>MKP 13-35 kW</t>
  </si>
  <si>
    <t>MKP 36-70 kW</t>
  </si>
  <si>
    <t>MKP 70 kW felett</t>
  </si>
  <si>
    <t>MKP ismeretlen kat.</t>
  </si>
  <si>
    <t>SMK</t>
  </si>
  <si>
    <t>Autóbusz 20-42 főig</t>
  </si>
  <si>
    <t>Autóbusz 43-79 főig</t>
  </si>
  <si>
    <t>Balatonhenye</t>
  </si>
  <si>
    <t>Szentbékkálla</t>
  </si>
  <si>
    <t>Mindszentkálla</t>
  </si>
  <si>
    <t>Káptalantóti</t>
  </si>
  <si>
    <t>Nemesgulács</t>
  </si>
  <si>
    <t>Kisapáti</t>
  </si>
  <si>
    <t>Gyulakeszi</t>
  </si>
  <si>
    <t>Vöröstó</t>
  </si>
  <si>
    <t>Öcs</t>
  </si>
  <si>
    <t>Vigántpetend</t>
  </si>
  <si>
    <t>Kapolcs</t>
  </si>
  <si>
    <t>Taliándörögd</t>
  </si>
  <si>
    <t>Monostorapáti</t>
  </si>
  <si>
    <t>Tapolca-Diszel</t>
  </si>
  <si>
    <t>Raposka</t>
  </si>
  <si>
    <t>Zalahaláp</t>
  </si>
  <si>
    <t>Nemesvita</t>
  </si>
  <si>
    <t>Balatonederics</t>
  </si>
  <si>
    <t>Balatongyörök</t>
  </si>
  <si>
    <t>Vonyarcvashegy</t>
  </si>
  <si>
    <t>Gyenesdiás</t>
  </si>
  <si>
    <t>Várvölgy</t>
  </si>
  <si>
    <t>Lesencefalu</t>
  </si>
  <si>
    <t>Lesencetomaj</t>
  </si>
  <si>
    <t>Lesenceistvánd</t>
  </si>
  <si>
    <t>Uzsa</t>
  </si>
  <si>
    <t>Sümeg</t>
  </si>
  <si>
    <t>Szalapa</t>
  </si>
  <si>
    <t>Óhíd</t>
  </si>
  <si>
    <t>Hetyefő</t>
  </si>
  <si>
    <t>Dabronc</t>
  </si>
  <si>
    <t>Gógánfa</t>
  </si>
  <si>
    <t>Ukk</t>
  </si>
  <si>
    <t>Zalameggyes</t>
  </si>
  <si>
    <t>Zalagyömörő</t>
  </si>
  <si>
    <t>Sümegprága</t>
  </si>
  <si>
    <t>Bazsi</t>
  </si>
  <si>
    <t>Zalaszántó</t>
  </si>
  <si>
    <t>Zalaköveskút</t>
  </si>
  <si>
    <t>Vindornyaszőlős</t>
  </si>
  <si>
    <t>Nagygörbő</t>
  </si>
  <si>
    <t>Sümegcsehi</t>
  </si>
  <si>
    <t>Keszthely</t>
  </si>
  <si>
    <t>Nemesbük</t>
  </si>
  <si>
    <t>Cserszegtomaj</t>
  </si>
  <si>
    <t>Rezi</t>
  </si>
  <si>
    <t>Hévíz</t>
  </si>
  <si>
    <t>Sármellék</t>
  </si>
  <si>
    <t>Zalavár</t>
  </si>
  <si>
    <t>Szentgyörgyvár</t>
  </si>
  <si>
    <t>Alsópáhok</t>
  </si>
  <si>
    <t>Felsőpáhok</t>
  </si>
  <si>
    <t>Ajka</t>
  </si>
  <si>
    <t>Úrkút</t>
  </si>
  <si>
    <t>Veszprém-Kádárta</t>
  </si>
  <si>
    <t>Gyulafirátót</t>
  </si>
  <si>
    <t>Eplény</t>
  </si>
  <si>
    <t>Zirc</t>
  </si>
  <si>
    <t>Nagyesztergár</t>
  </si>
  <si>
    <t>Dudar</t>
  </si>
  <si>
    <t>Csetény</t>
  </si>
  <si>
    <t>Bakonyoszlop</t>
  </si>
  <si>
    <t>Csesznek</t>
  </si>
  <si>
    <t>Bakonynána</t>
  </si>
  <si>
    <t>Szápár</t>
  </si>
  <si>
    <t>Jásd</t>
  </si>
  <si>
    <t>Zirc-Lókút</t>
  </si>
  <si>
    <t>Pénzesgyőr</t>
  </si>
  <si>
    <t>Bakonybél</t>
  </si>
  <si>
    <t>Borzavár</t>
  </si>
  <si>
    <t>Porva</t>
  </si>
  <si>
    <t>Bakonyszentkirály</t>
  </si>
  <si>
    <t>Bakonyszentlászló</t>
  </si>
  <si>
    <t>Fenyőfő</t>
  </si>
  <si>
    <t>Bakonygyirót</t>
  </si>
  <si>
    <t>Románd</t>
  </si>
  <si>
    <t>Gic</t>
  </si>
  <si>
    <t>Bakonypéterd</t>
  </si>
  <si>
    <t>Lázi</t>
  </si>
  <si>
    <t>Veszprémvarsány</t>
  </si>
  <si>
    <t>Sikátor</t>
  </si>
  <si>
    <t>Herend</t>
  </si>
  <si>
    <r>
      <t xml:space="preserve">Nemzetközi pótdíj legyen a flottán? </t>
    </r>
    <r>
      <rPr>
        <i/>
        <sz val="8"/>
        <color indexed="16"/>
        <rFont val="Arial"/>
        <family val="2"/>
        <charset val="238"/>
      </rPr>
      <t>(A járművek külföldön is közlekednek?)</t>
    </r>
  </si>
  <si>
    <r>
      <t xml:space="preserve">Van, vagy köt gyorsan egy Defekt (kátyúkár és fényszóró) biztosítást? </t>
    </r>
    <r>
      <rPr>
        <i/>
        <sz val="8"/>
        <color indexed="16"/>
        <rFont val="Arial"/>
        <family val="2"/>
        <charset val="238"/>
      </rPr>
      <t>(10% kedvezmény)</t>
    </r>
  </si>
  <si>
    <r>
      <t xml:space="preserve">Csoportos személybiztosítási kedvezményre jogosult? </t>
    </r>
    <r>
      <rPr>
        <i/>
        <sz val="8"/>
        <color indexed="16"/>
        <rFont val="Arial"/>
        <family val="2"/>
        <charset val="238"/>
      </rPr>
      <t>(15% kedvezmény)</t>
    </r>
  </si>
  <si>
    <r>
      <t>Flottaszorzóval</t>
    </r>
    <r>
      <rPr>
        <sz val="10"/>
        <rFont val="Arial"/>
        <family val="2"/>
        <charset val="238"/>
      </rPr>
      <t xml:space="preserve"> rendelkezik?</t>
    </r>
  </si>
  <si>
    <t>KÖBE szorzó (kategória szorzó nélkül és flotta szorzó nélkül):</t>
  </si>
  <si>
    <t>KÖBE teljes flottadíj (nem flottaszorzós:)</t>
  </si>
  <si>
    <t>Flottaszorzó:</t>
  </si>
  <si>
    <r>
      <t>Nemzetközi</t>
    </r>
    <r>
      <rPr>
        <sz val="10"/>
        <color indexed="8"/>
        <rFont val="Arial CE"/>
        <family val="2"/>
        <charset val="238"/>
      </rPr>
      <t xml:space="preserve"> közúti árufuvarozást vagy bérfuvarozást végez?</t>
    </r>
    <r>
      <rPr>
        <sz val="8"/>
        <color indexed="8"/>
        <rFont val="Arial CE"/>
        <charset val="238"/>
      </rPr>
      <t xml:space="preserve"> (Ide nem értve saját áru szállítását.)</t>
    </r>
  </si>
  <si>
    <t>Tiszaalpár-Tiszaújfalú</t>
  </si>
  <si>
    <t xml:space="preserve">Kunszentmiklós </t>
  </si>
  <si>
    <t>Bugacpusztaháza</t>
  </si>
  <si>
    <t xml:space="preserve">Fülöpjakab </t>
  </si>
  <si>
    <t xml:space="preserve">Móricgát </t>
  </si>
  <si>
    <t>Jászszentlászló</t>
  </si>
  <si>
    <t xml:space="preserve">Harta </t>
  </si>
  <si>
    <t>Harta-Állampuszta</t>
  </si>
  <si>
    <t xml:space="preserve">Kéleshalom </t>
  </si>
  <si>
    <t>Bácsborsód</t>
  </si>
  <si>
    <t>Baja-Bajaszentistván</t>
  </si>
  <si>
    <t>Szeged-Szentmihály</t>
  </si>
  <si>
    <t>Szeged-Tápé</t>
  </si>
  <si>
    <t>Szeged-Szőreg</t>
  </si>
  <si>
    <t>Hódmezővásárhely-Szikáncs</t>
  </si>
  <si>
    <t>Makó-Rákos</t>
  </si>
  <si>
    <t>Sárbogárd-Sárszentmiklós</t>
  </si>
  <si>
    <t>Sárbogárd-Pusztaegres</t>
  </si>
  <si>
    <t>Sárbogárd-Sárhatvan</t>
  </si>
  <si>
    <t>Paks-Dunakömlőd</t>
  </si>
  <si>
    <t>Pári</t>
  </si>
  <si>
    <t>Iregszemcse</t>
  </si>
  <si>
    <t>Tolna-Mözs</t>
  </si>
  <si>
    <t>Fadd</t>
  </si>
  <si>
    <t>Grábóc</t>
  </si>
  <si>
    <t>Zomba</t>
  </si>
  <si>
    <t>Lengyel</t>
  </si>
  <si>
    <t>Aparhant</t>
  </si>
  <si>
    <t>Bonyhád-Majos</t>
  </si>
  <si>
    <t>Lápafő</t>
  </si>
  <si>
    <t>Csoma</t>
  </si>
  <si>
    <t>Kaposhomok</t>
  </si>
  <si>
    <t>Gölle</t>
  </si>
  <si>
    <t>Bonnya</t>
  </si>
  <si>
    <t>Kára</t>
  </si>
  <si>
    <t>Szorosad</t>
  </si>
  <si>
    <t>Komló és Gesztenyés</t>
  </si>
  <si>
    <t>Komló-Mecsekjánosi</t>
  </si>
  <si>
    <t xml:space="preserve">Mánfa </t>
  </si>
  <si>
    <t>Kárász</t>
  </si>
  <si>
    <t>Köblény</t>
  </si>
  <si>
    <t>Hegyhátmaróc</t>
  </si>
  <si>
    <t>Máza</t>
  </si>
  <si>
    <t>Gerényes</t>
  </si>
  <si>
    <t>Tarrós</t>
  </si>
  <si>
    <t>Felsőegerszeg</t>
  </si>
  <si>
    <t>Meződ</t>
  </si>
  <si>
    <t>Oroszló</t>
  </si>
  <si>
    <t>Palé</t>
  </si>
  <si>
    <t>Sásd</t>
  </si>
  <si>
    <t>Varga</t>
  </si>
  <si>
    <t>Ág</t>
  </si>
  <si>
    <t>Kisvaszar</t>
  </si>
  <si>
    <t>Baranyaszentgyörgy</t>
  </si>
  <si>
    <t>Szágy</t>
  </si>
  <si>
    <t>Gödre-Gödreszentmárton</t>
  </si>
  <si>
    <t>Gödre-Gödrekeresztúr</t>
  </si>
  <si>
    <t>Kisbeszterce</t>
  </si>
  <si>
    <t>Kishajmás</t>
  </si>
  <si>
    <t>Flotta nem köthető (0), ha Talanxra nem jogosult és Spéci üzem van:</t>
  </si>
  <si>
    <t xml:space="preserve">Posta
</t>
  </si>
  <si>
    <t>Posta bonuszos</t>
  </si>
  <si>
    <t>MKP ismeretlen kat. (Allianz)</t>
  </si>
  <si>
    <t>Autóbusz ismeretlen kat. (Allianz)</t>
  </si>
  <si>
    <t>Egyedi díhoz flottaazonosítók:</t>
  </si>
  <si>
    <t>Egyedi flottadíjhoz ha rendelkezik Flotta azonosítóval, válassza ki:</t>
  </si>
  <si>
    <t>Darabszám NDK-ról:</t>
  </si>
  <si>
    <t>Díj kategóriánként:</t>
  </si>
  <si>
    <t>Egyedi flottadíj összesen:</t>
  </si>
  <si>
    <t>Válasz::</t>
  </si>
  <si>
    <t>Egyedi flotta azonosítóval rendelkezik? Válasz  KÉRDÉSEKRŐL:</t>
  </si>
  <si>
    <t>Alkalmazandó alapdíjak:</t>
  </si>
  <si>
    <r>
      <t>CIG</t>
    </r>
    <r>
      <rPr>
        <sz val="16"/>
        <color indexed="9"/>
        <rFont val="Tahoma"/>
        <family val="2"/>
        <charset val="238"/>
      </rPr>
      <t xml:space="preserve">
</t>
    </r>
    <r>
      <rPr>
        <b/>
        <sz val="16"/>
        <color indexed="9"/>
        <rFont val="Tahoma"/>
        <family val="2"/>
        <charset val="238"/>
      </rPr>
      <t xml:space="preserve">pannónia
</t>
    </r>
    <r>
      <rPr>
        <sz val="10"/>
        <color indexed="9"/>
        <rFont val="Tahoma"/>
        <family val="2"/>
        <charset val="238"/>
      </rPr>
      <t>(oszlopban az alap díjtábla)</t>
    </r>
  </si>
  <si>
    <t>Általános flottadíj</t>
  </si>
  <si>
    <t>Egyedi flotta díj!</t>
  </si>
  <si>
    <t>Bükkmogyorósd, Csernely, Lénárddaróc</t>
  </si>
  <si>
    <t>Ózd-Center</t>
  </si>
  <si>
    <t>Sajónémeti</t>
  </si>
  <si>
    <t>Sajópüspöki</t>
  </si>
  <si>
    <t>Bánréve</t>
  </si>
  <si>
    <t>Hét</t>
  </si>
  <si>
    <t>Sajómercse, Sajóvelezd</t>
  </si>
  <si>
    <t>Királd</t>
  </si>
  <si>
    <t>Borsodbóta</t>
  </si>
  <si>
    <t>Sáta</t>
  </si>
  <si>
    <t>Ózd-Hódoscsépány</t>
  </si>
  <si>
    <t>Somsálybánya</t>
  </si>
  <si>
    <t>Arló</t>
  </si>
  <si>
    <t>Járdánháza</t>
  </si>
  <si>
    <t>Borsodnádasd</t>
  </si>
  <si>
    <t>Kazincbarcika</t>
  </si>
  <si>
    <t>Kazincbarcika-Berente</t>
  </si>
  <si>
    <t>Sárhatvan</t>
  </si>
  <si>
    <t>Dunaföldvár</t>
  </si>
  <si>
    <t>Bölcske</t>
  </si>
  <si>
    <t>Madocsa</t>
  </si>
  <si>
    <t>Paks</t>
  </si>
  <si>
    <t>Pusztahencse</t>
  </si>
  <si>
    <t>Németkér</t>
  </si>
  <si>
    <t>Vajta</t>
  </si>
  <si>
    <t>Pálfa</t>
  </si>
  <si>
    <t>Bikács</t>
  </si>
  <si>
    <t>Nagydorog</t>
  </si>
  <si>
    <t>Györköny</t>
  </si>
  <si>
    <t>Sárszentlőrinc</t>
  </si>
  <si>
    <t>Kajdacs</t>
  </si>
  <si>
    <t>Kölesd</t>
  </si>
  <si>
    <t>Tengelic</t>
  </si>
  <si>
    <t>Tengelic-Szőlőhegy</t>
  </si>
  <si>
    <t>Szedres</t>
  </si>
  <si>
    <t>Medina</t>
  </si>
  <si>
    <t>Belecska</t>
  </si>
  <si>
    <t>Keszőhidegkút</t>
  </si>
  <si>
    <t>Szárazd</t>
  </si>
  <si>
    <t>Gyönk</t>
  </si>
  <si>
    <t>Miszla</t>
  </si>
  <si>
    <t>Udvari</t>
  </si>
  <si>
    <t>Varsád</t>
  </si>
  <si>
    <t>Kistormás</t>
  </si>
  <si>
    <t>Szakadát</t>
  </si>
  <si>
    <t>Diósberény</t>
  </si>
  <si>
    <t>Simontornya</t>
  </si>
  <si>
    <t>Kisszékely</t>
  </si>
  <si>
    <t>Tolnanémedi</t>
  </si>
  <si>
    <t>Pincehely</t>
  </si>
  <si>
    <t>Nagyszékely</t>
  </si>
  <si>
    <t>Ozora</t>
  </si>
  <si>
    <t>Fürged</t>
  </si>
  <si>
    <t>Tamási</t>
  </si>
  <si>
    <t>Tamási-Pári</t>
  </si>
  <si>
    <t>Nagykónyi</t>
  </si>
  <si>
    <t>Értény</t>
  </si>
  <si>
    <t>Koppányszántó</t>
  </si>
  <si>
    <t>Újireg</t>
  </si>
  <si>
    <t>Nagyszokoly</t>
  </si>
  <si>
    <t>Magyarkeszi</t>
  </si>
  <si>
    <t>Felsőnyék</t>
  </si>
  <si>
    <t>Szekszárd</t>
  </si>
  <si>
    <t>Szálka</t>
  </si>
  <si>
    <t>Kakasd</t>
  </si>
  <si>
    <t>Tolna Mőzs</t>
  </si>
  <si>
    <t>Bogyiszló</t>
  </si>
  <si>
    <t>Faddombori</t>
  </si>
  <si>
    <t>Gerjen</t>
  </si>
  <si>
    <t>Dunaszentgyörgy</t>
  </si>
  <si>
    <t>Fácánkert</t>
  </si>
  <si>
    <t>Fadd-dombori</t>
  </si>
  <si>
    <t>Bátaszék</t>
  </si>
  <si>
    <t>Pörböly</t>
  </si>
  <si>
    <t>Őcsény</t>
  </si>
  <si>
    <t>Decs</t>
  </si>
  <si>
    <t>Sárpilis</t>
  </si>
  <si>
    <t>Várdomb</t>
  </si>
  <si>
    <r>
      <t xml:space="preserve">Szgk 0-5 kW POSTA </t>
    </r>
    <r>
      <rPr>
        <i/>
        <sz val="8"/>
        <color indexed="10"/>
        <rFont val="Arial"/>
        <family val="2"/>
        <charset val="238"/>
      </rPr>
      <t>Kötelező kitölteni!</t>
    </r>
    <r>
      <rPr>
        <sz val="8"/>
        <rFont val="Arial"/>
        <family val="2"/>
        <charset val="238"/>
      </rPr>
      <t xml:space="preserve">
Pl. ez alkategória. Ha kitölti, pontosabb lesz a díj.</t>
    </r>
  </si>
  <si>
    <r>
      <t xml:space="preserve">0-1450 kg-ig UNION 
</t>
    </r>
    <r>
      <rPr>
        <sz val="8"/>
        <color indexed="10"/>
        <rFont val="Arial"/>
        <family val="2"/>
        <charset val="238"/>
      </rPr>
      <t>Kötelező megadni!</t>
    </r>
  </si>
  <si>
    <r>
      <t xml:space="preserve">3501-7500 kg UNION
</t>
    </r>
    <r>
      <rPr>
        <sz val="8"/>
        <color indexed="10"/>
        <rFont val="Arial"/>
        <family val="2"/>
        <charset val="238"/>
      </rPr>
      <t>Ez alkategória, ha kitölti, pontosabb díj!</t>
    </r>
  </si>
  <si>
    <r>
      <t xml:space="preserve">3501-4500 kg POSTA </t>
    </r>
    <r>
      <rPr>
        <sz val="8"/>
        <color indexed="10"/>
        <rFont val="Arial"/>
        <family val="2"/>
        <charset val="238"/>
      </rPr>
      <t>Célszerű megadni..</t>
    </r>
  </si>
  <si>
    <t>Irányító most NDK-n:</t>
  </si>
  <si>
    <t>3000 felett</t>
  </si>
  <si>
    <t>Szgk 51-70 kW</t>
  </si>
  <si>
    <t>GENERALI: 51-63 kW</t>
  </si>
  <si>
    <t>Szgk 71-100 kW</t>
  </si>
  <si>
    <t>GENERALI: 71-79 kW</t>
  </si>
  <si>
    <t>Pótkocsi 0- 0,75t-ig</t>
  </si>
  <si>
    <t>ALLIANZ KÉRDÉSEK:</t>
  </si>
  <si>
    <t>Amennyiben igen, kérjük adja meg a díjszorzót!</t>
  </si>
  <si>
    <t>HIBA!</t>
  </si>
  <si>
    <t>F szorzó:</t>
  </si>
  <si>
    <t>GENERALI KÉRDÉSEK:</t>
  </si>
  <si>
    <t>Amennyiben szerepel, kérjük adja meg a díjszorzót!</t>
  </si>
  <si>
    <t>Szorzók</t>
  </si>
  <si>
    <t>"B" táblás flotta díjfaktort nem érvényesít.</t>
  </si>
  <si>
    <t>EBBEN AZ ESETBEN TEÁOR SZORZÓ HELYETT 0,35-ÖS SZORZÓ LÉP ÉLETBE!</t>
  </si>
  <si>
    <t>B tábla válasz</t>
  </si>
  <si>
    <t>Éves:</t>
  </si>
  <si>
    <t>Nagyügyfél:</t>
  </si>
  <si>
    <t>Együtt:</t>
  </si>
  <si>
    <t>EZ ESETBEN TEÁOR SZORZÓ HELYETT A DÍJFAKTOR LÉP ÉLETBE!</t>
  </si>
  <si>
    <t>Irányító NDK-ról:</t>
  </si>
  <si>
    <t>Terület szorzók:</t>
  </si>
  <si>
    <t>Területi szorzó irányító alapján:</t>
  </si>
  <si>
    <t>Flottakezeléssel foglalkoznak?</t>
  </si>
  <si>
    <t>Teáor 01,02 vagy 03 kezdetű?</t>
  </si>
  <si>
    <t>TEÁOR NDK-n:</t>
  </si>
  <si>
    <t>Alkalmazandó Területi szorzó:</t>
  </si>
  <si>
    <t>Tornanádaska</t>
  </si>
  <si>
    <t xml:space="preserve">Becskeháza, Bódvalenke, Hidvégardó </t>
  </si>
  <si>
    <t>Tornaszentjakab</t>
  </si>
  <si>
    <t>Sajószentpéter</t>
  </si>
  <si>
    <t>Sajókápolna, Sajólászlófalva</t>
  </si>
  <si>
    <t>Kondó</t>
  </si>
  <si>
    <t>Radostyán</t>
  </si>
  <si>
    <t>SZGK</t>
  </si>
  <si>
    <t>0-37</t>
  </si>
  <si>
    <t>38-50</t>
  </si>
  <si>
    <t>51-70</t>
  </si>
  <si>
    <t>71-100</t>
  </si>
  <si>
    <t>101-180</t>
  </si>
  <si>
    <t>180-</t>
  </si>
  <si>
    <t>MKP</t>
  </si>
  <si>
    <t>0-12</t>
  </si>
  <si>
    <t>13-35</t>
  </si>
  <si>
    <t>36-70</t>
  </si>
  <si>
    <t>70 felett</t>
  </si>
  <si>
    <t>BUSZ</t>
  </si>
  <si>
    <t>10+19</t>
  </si>
  <si>
    <t>20-42,</t>
  </si>
  <si>
    <t>43-79</t>
  </si>
  <si>
    <t>80 felett</t>
  </si>
  <si>
    <t>Troli</t>
  </si>
  <si>
    <t>troli</t>
  </si>
  <si>
    <t>&lt;=3,5</t>
  </si>
  <si>
    <t>3,5-12</t>
  </si>
  <si>
    <t>Vont</t>
  </si>
  <si>
    <t>vont</t>
  </si>
  <si>
    <t>PÓT</t>
  </si>
  <si>
    <t>&lt;75</t>
  </si>
  <si>
    <t>75-10t</t>
  </si>
  <si>
    <t>&gt;10t</t>
  </si>
  <si>
    <t>MG vont</t>
  </si>
  <si>
    <t>lassú</t>
  </si>
  <si>
    <t>munkag</t>
  </si>
  <si>
    <t>smk</t>
  </si>
  <si>
    <t>M rendsz</t>
  </si>
  <si>
    <t>MFB</t>
  </si>
  <si>
    <t>Oszlop kód</t>
  </si>
  <si>
    <r>
      <t>"</t>
    </r>
    <r>
      <rPr>
        <b/>
        <sz val="10"/>
        <color indexed="60"/>
        <rFont val="Arial"/>
        <family val="2"/>
        <charset val="238"/>
      </rPr>
      <t>Eltérő flotta díj</t>
    </r>
    <r>
      <rPr>
        <sz val="10"/>
        <rFont val="Arial"/>
        <family val="2"/>
        <charset val="238"/>
      </rPr>
      <t>"-as flottát kíván számolni?</t>
    </r>
  </si>
  <si>
    <r>
      <t xml:space="preserve">Ha igen, akkor válassza ki az </t>
    </r>
    <r>
      <rPr>
        <b/>
        <sz val="10"/>
        <color indexed="60"/>
        <rFont val="Arial"/>
        <family val="2"/>
        <charset val="238"/>
      </rPr>
      <t>Eltérő flotta díja</t>
    </r>
    <r>
      <rPr>
        <sz val="10"/>
        <rFont val="Arial"/>
        <family val="2"/>
        <charset val="238"/>
      </rPr>
      <t>s flotta ügyfélszámát:</t>
    </r>
  </si>
  <si>
    <t>Választott ügyfélszám:</t>
  </si>
  <si>
    <t>választott üfszám oszlop kódja:</t>
  </si>
  <si>
    <t>Választott díjoszlop:</t>
  </si>
  <si>
    <t>Sor száma</t>
  </si>
  <si>
    <t>Darabszámok NDK-N:</t>
  </si>
  <si>
    <t>smk 4 kerekű is!</t>
  </si>
  <si>
    <t>Db*díj</t>
  </si>
  <si>
    <t>GP Eltérő flotta díj:</t>
  </si>
  <si>
    <t>GP Flotta díj:</t>
  </si>
  <si>
    <t>Aktuális eltérő flotta ALAP díj</t>
  </si>
  <si>
    <t>Ha KÉRDÉSEKEN úgy nyilatkozott, hogy flotta azonosítós, akkor az, egyébként a nem azonosítós:</t>
  </si>
  <si>
    <t>F táblás? Válasz:</t>
  </si>
  <si>
    <t>F táblás válasz KÉRDÉSEKRŐL:</t>
  </si>
  <si>
    <t>Melyiket tüntessük fel az NDK-n?</t>
  </si>
  <si>
    <t>ALLIANZ</t>
  </si>
  <si>
    <t>MKP 71kW felett, de 95kW alatt UNION Ez alkategória, ha kitölti, pontosabb díj!</t>
  </si>
  <si>
    <t>1451-2300ig UNION</t>
  </si>
  <si>
    <t>3501-7500 UNION</t>
  </si>
  <si>
    <t>0,751-3,5t</t>
  </si>
  <si>
    <t>Vál</t>
  </si>
  <si>
    <t>Kápolnásnyék</t>
  </si>
  <si>
    <t>Pázmánd</t>
  </si>
  <si>
    <t>Vereb</t>
  </si>
  <si>
    <t>Velence</t>
  </si>
  <si>
    <t>Velencefürdő</t>
  </si>
  <si>
    <t>Gárdony, Agárd</t>
  </si>
  <si>
    <t>Gárdony</t>
  </si>
  <si>
    <t>Dinnyés</t>
  </si>
  <si>
    <t>Pusztaszabolcs</t>
  </si>
  <si>
    <t>Esztergom, Esztergom-Kertváros</t>
  </si>
  <si>
    <t>Esztergom</t>
  </si>
  <si>
    <t>Dorog</t>
  </si>
  <si>
    <t>Kesztölc</t>
  </si>
  <si>
    <t>Kozármisleny</t>
  </si>
  <si>
    <t>Lothárd</t>
  </si>
  <si>
    <t>Magyarsarlós</t>
  </si>
  <si>
    <t>Egerág</t>
  </si>
  <si>
    <t>Tiszaszentimre-Újszentgyörgy</t>
  </si>
  <si>
    <t>Kenderes-Bánhalma</t>
  </si>
  <si>
    <t>Tiszafüred-Tiszaörvény</t>
  </si>
  <si>
    <t>Tiszafüred-Kócsújfalu</t>
  </si>
  <si>
    <t>Kunszentmárton-Kungyalu</t>
  </si>
  <si>
    <t>Tiszaföldvár-Homok</t>
  </si>
  <si>
    <t>Szelevény</t>
  </si>
  <si>
    <t xml:space="preserve">Gyomaendrőd    </t>
  </si>
  <si>
    <t xml:space="preserve">Gyomaendrőd-Gyoma    </t>
  </si>
  <si>
    <t xml:space="preserve">Gyomaendrőd-Endrőd </t>
  </si>
  <si>
    <t>Kisherend</t>
  </si>
  <si>
    <t>Szőkéd</t>
  </si>
  <si>
    <t>Pécsdevecser</t>
  </si>
  <si>
    <t>Peterd</t>
  </si>
  <si>
    <t>Kistótfalu</t>
  </si>
  <si>
    <t>Ivánbattyán</t>
  </si>
  <si>
    <t>Kisjakabfalva</t>
  </si>
  <si>
    <t>Illocska</t>
  </si>
  <si>
    <t>Kislippó</t>
  </si>
  <si>
    <t>Lapáncsa</t>
  </si>
  <si>
    <t>Ivándárda</t>
  </si>
  <si>
    <t>Bezedek</t>
  </si>
  <si>
    <t>Nagytótfalu</t>
  </si>
  <si>
    <t>Bisse</t>
  </si>
  <si>
    <t>Bosta</t>
  </si>
  <si>
    <t>Csarnóta</t>
  </si>
  <si>
    <t>Szalánta</t>
  </si>
  <si>
    <t>Szilvás</t>
  </si>
  <si>
    <t>Babarcszőlős</t>
  </si>
  <si>
    <t>Kisdér</t>
  </si>
  <si>
    <t>Ócsárd</t>
  </si>
  <si>
    <t>Diósviszló</t>
  </si>
  <si>
    <t>Kistapolca</t>
  </si>
  <si>
    <t>Beremend</t>
  </si>
  <si>
    <t>Görcsöny</t>
  </si>
  <si>
    <t>Regenye</t>
  </si>
  <si>
    <t>Baksa</t>
  </si>
  <si>
    <t>Bogádmindszent</t>
  </si>
  <si>
    <t>Besence</t>
  </si>
  <si>
    <t>Hirics</t>
  </si>
  <si>
    <t>Lúzsok</t>
  </si>
  <si>
    <t>Páprád</t>
  </si>
  <si>
    <t>Piskó</t>
  </si>
  <si>
    <t>Vajszló</t>
  </si>
  <si>
    <t>Kemse</t>
  </si>
  <si>
    <t>Adorjás</t>
  </si>
  <si>
    <t>Balatonudvari</t>
  </si>
  <si>
    <t>Pécsely</t>
  </si>
  <si>
    <t>Nemesvámos</t>
  </si>
  <si>
    <t>Veszprémfajsz</t>
  </si>
  <si>
    <t xml:space="preserve">Zánka </t>
  </si>
  <si>
    <t>Kékkút</t>
  </si>
  <si>
    <t>Balatonrendes</t>
  </si>
  <si>
    <t>Ábrahámhegy</t>
  </si>
  <si>
    <t>Badacsonytomaj-Badacsonyörs</t>
  </si>
  <si>
    <t>Badacsonytomaj-Badacsony</t>
  </si>
  <si>
    <t>Balatoncsicsó</t>
  </si>
  <si>
    <t>Óbudavár</t>
  </si>
  <si>
    <t>Szentantalfa</t>
  </si>
  <si>
    <t>Szentjakabfa</t>
  </si>
  <si>
    <t>Barnag</t>
  </si>
  <si>
    <t>Nagyvázsony</t>
  </si>
  <si>
    <t>Pula</t>
  </si>
  <si>
    <t>Hegyesd</t>
  </si>
  <si>
    <t>Tapolca</t>
  </si>
  <si>
    <t>Sáska</t>
  </si>
  <si>
    <t>Vállus</t>
  </si>
  <si>
    <t>Kisvásárhely</t>
  </si>
  <si>
    <t>Mihályfa</t>
  </si>
  <si>
    <t>Zalaerdőd</t>
  </si>
  <si>
    <t>Megyer</t>
  </si>
  <si>
    <t>Rigács</t>
  </si>
  <si>
    <t>Vindornyalak</t>
  </si>
  <si>
    <t>Karmacs</t>
  </si>
  <si>
    <t>Vindornyafok</t>
  </si>
  <si>
    <t>Kisgörbő</t>
  </si>
  <si>
    <t>Döbröce</t>
  </si>
  <si>
    <t>Veszprém-Gyulafirátót</t>
  </si>
  <si>
    <t>Olaszfalu</t>
  </si>
  <si>
    <t>Lókút</t>
  </si>
  <si>
    <t>Csehbánya</t>
  </si>
  <si>
    <t>Ajka-Ajkarendek</t>
  </si>
  <si>
    <t>Ajka-Bakonygyepes</t>
  </si>
  <si>
    <t>Ajka-Padragkút</t>
  </si>
  <si>
    <t>Halimba</t>
  </si>
  <si>
    <t>Bodorfa</t>
  </si>
  <si>
    <t>Káptalanfa</t>
  </si>
  <si>
    <t>Hosztót</t>
  </si>
  <si>
    <t>Szentimrefalva</t>
  </si>
  <si>
    <t>Apácatorna</t>
  </si>
  <si>
    <t>Kisberzseny</t>
  </si>
  <si>
    <t>Kisszőlős</t>
  </si>
  <si>
    <t>Nagyalásony</t>
  </si>
  <si>
    <t>Somlóvecse</t>
  </si>
  <si>
    <t>Kispirit</t>
  </si>
  <si>
    <t>Adorjánháza</t>
  </si>
  <si>
    <t>Pápa-Borsosgyőr</t>
  </si>
  <si>
    <t>Várkesző</t>
  </si>
  <si>
    <t>Marcaltő-Ihász</t>
  </si>
  <si>
    <t>Bakonyság</t>
  </si>
  <si>
    <t>Bakonyjákó</t>
  </si>
  <si>
    <t>Nóráp</t>
  </si>
  <si>
    <t>Döbrönte</t>
  </si>
  <si>
    <t>Pápa-Tapolcafő</t>
  </si>
  <si>
    <t>Siófok-Balatonszéplak</t>
  </si>
  <si>
    <t>Siófok-Balatonkiliti</t>
  </si>
  <si>
    <t>Hort</t>
  </si>
  <si>
    <t>Csány</t>
  </si>
  <si>
    <t>Boldog</t>
  </si>
  <si>
    <t>Lőrinci</t>
  </si>
  <si>
    <t>Petőfibánya</t>
  </si>
  <si>
    <t>Pótdíj/Kedv tényező</t>
  </si>
  <si>
    <t>POSTA KÉRDÉSEK:</t>
  </si>
  <si>
    <t>AM 438 jelenti, hogy Bp. vagy kiemelt.</t>
  </si>
  <si>
    <t>Ha AM438=1, akkor Bp. vagy kiemelt, ha nem=1 akkor 3-5. tarifa.</t>
  </si>
  <si>
    <t>Megkeresi az irányítót a táblázatban,ha nincs, ill.Bp esetén 1000-et ad</t>
  </si>
  <si>
    <t>Ha egyezik a talált irányítószám, és kiemelt, vagyis ott a negyedik oszlopban 1-es szerepel, akkor itt az eredmény IGAZ, ha kiemelt, HAMIS ha nem kiemelt.</t>
  </si>
  <si>
    <t>Ez igaz, ha a megadott iránytó Bp.-i.</t>
  </si>
  <si>
    <t>Aktuális flottadíj:</t>
  </si>
  <si>
    <t>Szorzók kategóriákra:</t>
  </si>
  <si>
    <t>TGK</t>
  </si>
  <si>
    <t>Vontató:</t>
  </si>
  <si>
    <t>Pótkocsi:</t>
  </si>
  <si>
    <t>Autóbusz:</t>
  </si>
  <si>
    <t>Alkalmazandó szorzók:</t>
  </si>
  <si>
    <t>Szorzókat az NDK flottadíj képletbe bevezettem.</t>
  </si>
  <si>
    <t>Flottakezelés válasz:</t>
  </si>
  <si>
    <t>Együtt biztosítási szorzó:</t>
  </si>
  <si>
    <t>Nem flottaazonosítós flotaszorzó:</t>
  </si>
  <si>
    <t>Flottaszorzós válasz:</t>
  </si>
  <si>
    <t>Flottaszorzós esetén a flotta alapdíj:</t>
  </si>
  <si>
    <t>Flottaszorzós esetén a flotta díja:</t>
  </si>
  <si>
    <t>Melyik flottadíjat tüntessük fel az NDK-n:</t>
  </si>
  <si>
    <t>Melyik flottaszorzót tüntessük fel az NDK-n:</t>
  </si>
  <si>
    <t>Szorzós flotta alapdíj van itt fenn.</t>
  </si>
  <si>
    <t>Nem azonosítós flotta díja van itt fenn (nemz fuv pótdíjjal)</t>
  </si>
  <si>
    <t>UNION</t>
  </si>
  <si>
    <t>Somogyegres</t>
  </si>
  <si>
    <t>Látrány</t>
  </si>
  <si>
    <t>Balatonboglár-Szőlőskislak</t>
  </si>
  <si>
    <t>Gyugy</t>
  </si>
  <si>
    <t>Pamuk</t>
  </si>
  <si>
    <t>Csömend</t>
  </si>
  <si>
    <t>Libickozma</t>
  </si>
  <si>
    <t>Marcali-Horvátkút</t>
  </si>
  <si>
    <t xml:space="preserve">Balatonszentgyörgy </t>
  </si>
  <si>
    <t>Vörs</t>
  </si>
  <si>
    <t>Marcali-Bize</t>
  </si>
  <si>
    <t>Hosszúvíz</t>
  </si>
  <si>
    <t>Nemeskisfalud</t>
  </si>
  <si>
    <t>Iharos</t>
  </si>
  <si>
    <t>Hollád</t>
  </si>
  <si>
    <t>Főnyed</t>
  </si>
  <si>
    <t>Somogysimonyi</t>
  </si>
  <si>
    <t>Garabonc</t>
  </si>
  <si>
    <t>Zalakomár-Kiskomárom</t>
  </si>
  <si>
    <t>Zalakomár-Komárváros</t>
  </si>
  <si>
    <t>Csapi</t>
  </si>
  <si>
    <t>Kisrécse</t>
  </si>
  <si>
    <t>Nagyrécse</t>
  </si>
  <si>
    <t>Pacsa</t>
  </si>
  <si>
    <t>Gétye</t>
  </si>
  <si>
    <t>Dióskál</t>
  </si>
  <si>
    <t>Börzönce</t>
  </si>
  <si>
    <t>Kacorlak</t>
  </si>
  <si>
    <t>Gelse</t>
  </si>
  <si>
    <t>Gelsesziget</t>
  </si>
  <si>
    <t>Bocska</t>
  </si>
  <si>
    <t>Magyarszentmiklós</t>
  </si>
  <si>
    <t>Fűzvölgy</t>
  </si>
  <si>
    <t>Homokkomárom</t>
  </si>
  <si>
    <t>Ligetfalva</t>
  </si>
  <si>
    <t>Zalacsány</t>
  </si>
  <si>
    <t>Kallósd</t>
  </si>
  <si>
    <t>Zalaszentgrót-Zalakoppány</t>
  </si>
  <si>
    <t>Zalaszentgrót-Zalaudvarnok</t>
  </si>
  <si>
    <t>Zalaszentgrót-Tekenye</t>
  </si>
  <si>
    <t>Zalaszentgrót-Csáford</t>
  </si>
  <si>
    <t>Dötk</t>
  </si>
  <si>
    <t>Nagykanizsa és Bagola</t>
  </si>
  <si>
    <t>Nagykanizsa-Palin</t>
  </si>
  <si>
    <t>Nagykanizsa-Sánc</t>
  </si>
  <si>
    <t>Miháld</t>
  </si>
  <si>
    <t>Nagykanizsa-Miklósfa</t>
  </si>
  <si>
    <t>Csurgó</t>
  </si>
  <si>
    <t>Zákányfalu</t>
  </si>
  <si>
    <t>Nemespátró</t>
  </si>
  <si>
    <t>Porrog</t>
  </si>
  <si>
    <t>Porrogszentkirály</t>
  </si>
  <si>
    <t>Porrogszentpál</t>
  </si>
  <si>
    <t>Kistolmács</t>
  </si>
  <si>
    <t>Letenye</t>
  </si>
  <si>
    <t>Muraszemenye</t>
  </si>
  <si>
    <t>Szentmargitfalva</t>
  </si>
  <si>
    <t>Dobri</t>
  </si>
  <si>
    <t>Kerkateskánd</t>
  </si>
  <si>
    <t>Borsfa</t>
  </si>
  <si>
    <t>Bázakerettye</t>
  </si>
  <si>
    <t>Kiscsehi</t>
  </si>
  <si>
    <t>Lispeszentadorján</t>
  </si>
  <si>
    <t>Bánokszentgyörgy</t>
  </si>
  <si>
    <t>Bucsuta</t>
  </si>
  <si>
    <t>Zalaegerszeg-Andráshida</t>
  </si>
  <si>
    <t>Zalaegerszeg-Szanatórium</t>
  </si>
  <si>
    <t>Kiskutas</t>
  </si>
  <si>
    <r>
      <t>Van legalább egy jármű, amely:</t>
    </r>
    <r>
      <rPr>
        <sz val="10"/>
        <rFont val="Arial"/>
        <family val="2"/>
        <charset val="238"/>
      </rPr>
      <t xml:space="preserve">
Taxi, Bérgépkocsi, Oktatójármű, Nemzetközi fuvarozó, Tűz- és robbanásveszélyes anyag szállító, ADR bárcás, Repülőtéren is közlekedő jármű, Nem csak szárazföldön használható jármű</t>
    </r>
  </si>
  <si>
    <t>Talanx flotta kedvezményre jogosult-e a szerződő?</t>
  </si>
  <si>
    <t>Kárhányadot válassza ki:</t>
  </si>
  <si>
    <t>Szabadszállás</t>
  </si>
  <si>
    <t>Fülöpszállás</t>
  </si>
  <si>
    <t>Szalkszentmárton</t>
  </si>
  <si>
    <t>Dunavecse</t>
  </si>
  <si>
    <t>Apostag</t>
  </si>
  <si>
    <t>Kunszentmiklós</t>
  </si>
  <si>
    <t>Kunpeszér</t>
  </si>
  <si>
    <t>Kunadacs</t>
  </si>
  <si>
    <t>Tass</t>
  </si>
  <si>
    <t>Kiskunfélegyháza</t>
  </si>
  <si>
    <t>Gátér</t>
  </si>
  <si>
    <t>Pálmonostora</t>
  </si>
  <si>
    <t>Petőfiszállás</t>
  </si>
  <si>
    <t>Bugac</t>
  </si>
  <si>
    <t>Kunszállás</t>
  </si>
  <si>
    <t>Fülöpjakab</t>
  </si>
  <si>
    <t>Kiskunmajsa</t>
  </si>
  <si>
    <t>Szank</t>
  </si>
  <si>
    <t>Felsőmóricgát</t>
  </si>
  <si>
    <t>Jászszentlászló fp.</t>
  </si>
  <si>
    <t>Kömpöc</t>
  </si>
  <si>
    <t>Csólyospálos</t>
  </si>
  <si>
    <t>Harkakötöny</t>
  </si>
  <si>
    <t>Kiskunmajsa - Bodoglár</t>
  </si>
  <si>
    <t>Kiskőrös</t>
  </si>
  <si>
    <t>Kiskörös</t>
  </si>
  <si>
    <t>Kaskantyú</t>
  </si>
  <si>
    <t>Akasztó</t>
  </si>
  <si>
    <t>Csengőd</t>
  </si>
  <si>
    <t>Soltszentimre</t>
  </si>
  <si>
    <t>Biharnagybajom</t>
  </si>
  <si>
    <t>Nagyrábé</t>
  </si>
  <si>
    <t>Bihartorda</t>
  </si>
  <si>
    <t>Bihardancsháza</t>
  </si>
  <si>
    <t>Sáp</t>
  </si>
  <si>
    <t>Földes</t>
  </si>
  <si>
    <t>Nádudvar</t>
  </si>
  <si>
    <t>Kaba</t>
  </si>
  <si>
    <t>Tetétlen</t>
  </si>
  <si>
    <t>Hajdúszoboszló</t>
  </si>
  <si>
    <t>Ebes</t>
  </si>
  <si>
    <t>Hajdúszovát</t>
  </si>
  <si>
    <t>Bodaszőlő</t>
  </si>
  <si>
    <t>Debrecen-Józsa</t>
  </si>
  <si>
    <t>Bököny</t>
  </si>
  <si>
    <t>Geszteréd</t>
  </si>
  <si>
    <t>Balkány</t>
  </si>
  <si>
    <t>Szakoly</t>
  </si>
  <si>
    <t>Biri</t>
  </si>
  <si>
    <t>Bocskaikert</t>
  </si>
  <si>
    <t>Hajdúhadház</t>
  </si>
  <si>
    <t>Téglás</t>
  </si>
  <si>
    <t>Újfehértó</t>
  </si>
  <si>
    <r>
      <t xml:space="preserve">Adószám kedvezmény szorzója: </t>
    </r>
    <r>
      <rPr>
        <sz val="10"/>
        <color indexed="60"/>
        <rFont val="Arial"/>
        <family val="2"/>
        <charset val="238"/>
      </rPr>
      <t>(HA VAN, ÍRJA BE!)</t>
    </r>
  </si>
  <si>
    <t>Díjkínálat fajtája:</t>
  </si>
  <si>
    <t>Név szerint</t>
  </si>
  <si>
    <t>Csak sorszámmal</t>
  </si>
  <si>
    <t>CIG Pannónia</t>
  </si>
  <si>
    <t>Pótkocsi 0,751-3,5t UNION</t>
  </si>
  <si>
    <r>
      <t xml:space="preserve">3501-7500 kg UNION
</t>
    </r>
    <r>
      <rPr>
        <sz val="10"/>
        <color indexed="10"/>
        <rFont val="Arial"/>
        <family val="2"/>
        <charset val="238"/>
      </rPr>
      <t>Ez alkategória, ha kitölti, pontosabb díj!</t>
    </r>
  </si>
  <si>
    <t>Tiszakécske-Tiszabög</t>
  </si>
  <si>
    <t>Tiszaalpár-Alpár</t>
  </si>
  <si>
    <t>Osztopán</t>
  </si>
  <si>
    <t>Kaposfüred</t>
  </si>
  <si>
    <t>Somogyaszaló</t>
  </si>
  <si>
    <t>Mernye</t>
  </si>
  <si>
    <t>Itt alább space</t>
  </si>
  <si>
    <t>Óbánya</t>
  </si>
  <si>
    <t>Ófalu</t>
  </si>
  <si>
    <t>Mohács</t>
  </si>
  <si>
    <t>Bár</t>
  </si>
  <si>
    <t>Dunaszekcső</t>
  </si>
  <si>
    <t>Újmohács</t>
  </si>
  <si>
    <t>Sárhát</t>
  </si>
  <si>
    <t>Homorúd</t>
  </si>
  <si>
    <t>Kölked</t>
  </si>
  <si>
    <t>Udvar</t>
  </si>
  <si>
    <t>Pécsvárad</t>
  </si>
  <si>
    <t>Zengővárkony</t>
  </si>
  <si>
    <t>Erdősmecske</t>
  </si>
  <si>
    <t>Feked</t>
  </si>
  <si>
    <t>Szebény</t>
  </si>
  <si>
    <t>Véménd</t>
  </si>
  <si>
    <t>Palotabozsok</t>
  </si>
  <si>
    <t>Somberek</t>
  </si>
  <si>
    <t>Görcsönydoboka</t>
  </si>
  <si>
    <t>Nagypall</t>
  </si>
  <si>
    <t>Fazekasboda</t>
  </si>
  <si>
    <t>Maráza</t>
  </si>
  <si>
    <t>Szűr</t>
  </si>
  <si>
    <t>Székelyszabar</t>
  </si>
  <si>
    <t>Szemely</t>
  </si>
  <si>
    <t>Bogád</t>
  </si>
  <si>
    <t>Romonya</t>
  </si>
  <si>
    <t>Ellend</t>
  </si>
  <si>
    <t>Olasz</t>
  </si>
  <si>
    <t>Birján</t>
  </si>
  <si>
    <t>Szederkény</t>
  </si>
  <si>
    <t>Versend</t>
  </si>
  <si>
    <t>Szajk</t>
  </si>
  <si>
    <t>Bóly</t>
  </si>
  <si>
    <t>Töttös</t>
  </si>
  <si>
    <t>Pócsapuszta</t>
  </si>
  <si>
    <t>Babarc</t>
  </si>
  <si>
    <t>Liptód</t>
  </si>
  <si>
    <t>Lánycsók</t>
  </si>
  <si>
    <t>Pécs-Üszögpuszta</t>
  </si>
  <si>
    <t>Pécsudvard</t>
  </si>
  <si>
    <t>Áta</t>
  </si>
  <si>
    <t>Újpetre</t>
  </si>
  <si>
    <t>Kiskassa</t>
  </si>
  <si>
    <t>Vokány</t>
  </si>
  <si>
    <t>Palkonya</t>
  </si>
  <si>
    <t>Villánykövesd</t>
  </si>
  <si>
    <t>Villány</t>
  </si>
  <si>
    <t>Márok</t>
  </si>
  <si>
    <t>Magyarbóly</t>
  </si>
  <si>
    <t>Lippó</t>
  </si>
  <si>
    <t>Sárok</t>
  </si>
  <si>
    <t>Majs</t>
  </si>
  <si>
    <t>Nagynyárád</t>
  </si>
  <si>
    <t>Sátorhely</t>
  </si>
  <si>
    <t>Siklós</t>
  </si>
  <si>
    <t>Túrony</t>
  </si>
  <si>
    <t>Garé</t>
  </si>
  <si>
    <t>Szava</t>
  </si>
  <si>
    <t>Siklósbodony</t>
  </si>
  <si>
    <t>Harkány</t>
  </si>
  <si>
    <t>Márfa</t>
  </si>
  <si>
    <t>Siklós (Máriagyűd)</t>
  </si>
  <si>
    <t>Kisharsány</t>
  </si>
  <si>
    <t>Nagyharsány</t>
  </si>
  <si>
    <t>Siklósnagyfalu</t>
  </si>
  <si>
    <t>Egyházasharaszti</t>
  </si>
  <si>
    <t>Old</t>
  </si>
  <si>
    <t>Alsószentmárton</t>
  </si>
  <si>
    <t>Kásád</t>
  </si>
  <si>
    <t>Pellérd</t>
  </si>
  <si>
    <t>Szőke</t>
  </si>
  <si>
    <t>Tengeri</t>
  </si>
  <si>
    <t>Téseny</t>
  </si>
  <si>
    <t>Ózdfalu</t>
  </si>
  <si>
    <t>Hegyszentmárton</t>
  </si>
  <si>
    <t>Vejti</t>
  </si>
  <si>
    <t>Zaláta</t>
  </si>
  <si>
    <t>Sámod</t>
  </si>
  <si>
    <t>Tésenfa</t>
  </si>
  <si>
    <t>Rádfalva</t>
  </si>
  <si>
    <t>Kovácshida</t>
  </si>
  <si>
    <t>Drávacsehi</t>
  </si>
  <si>
    <t>Drávapalkonya</t>
  </si>
  <si>
    <t>Drávaszabolcs</t>
  </si>
  <si>
    <t>Gordisa</t>
  </si>
  <si>
    <t>Matty</t>
  </si>
  <si>
    <t>Zsibót</t>
  </si>
  <si>
    <t>Botykapeterd</t>
  </si>
  <si>
    <t>Nyugotszenterzsébet</t>
  </si>
  <si>
    <t>Szentdénes</t>
  </si>
  <si>
    <t>Rózsafa</t>
  </si>
  <si>
    <t>Szentegát</t>
  </si>
  <si>
    <t>Tótújfalu</t>
  </si>
  <si>
    <t>Somogyhatvan</t>
  </si>
  <si>
    <t>Somogyviszló</t>
  </si>
  <si>
    <t>Basal</t>
  </si>
  <si>
    <t>Somogyhárságy</t>
  </si>
  <si>
    <t>Tabdi</t>
  </si>
  <si>
    <t>Soltvadkert</t>
  </si>
  <si>
    <t>Bócsa</t>
  </si>
  <si>
    <t>Tázlár</t>
  </si>
  <si>
    <t>Kecel</t>
  </si>
  <si>
    <t>Imrehegy</t>
  </si>
  <si>
    <t>Császártöltés</t>
  </si>
  <si>
    <t>Kalocsa</t>
  </si>
  <si>
    <t>Öregcsertő</t>
  </si>
  <si>
    <t>Solt</t>
  </si>
  <si>
    <t>Újsolt</t>
  </si>
  <si>
    <t>Dunaegyháza</t>
  </si>
  <si>
    <t>Dunatetétlen</t>
  </si>
  <si>
    <t>Harta</t>
  </si>
  <si>
    <t>Harta (Állampuszta)</t>
  </si>
  <si>
    <t>Dunapataj</t>
  </si>
  <si>
    <t>Dunapataj-szelidi tó</t>
  </si>
  <si>
    <t>Foktő</t>
  </si>
  <si>
    <t>Uszód</t>
  </si>
  <si>
    <t>Dunaszentbenedek</t>
  </si>
  <si>
    <t>Géderlak</t>
  </si>
  <si>
    <t>Ordas</t>
  </si>
  <si>
    <t>Szakmár</t>
  </si>
  <si>
    <t>Újtelek</t>
  </si>
  <si>
    <t>Homokmégy</t>
  </si>
  <si>
    <t>Drágszél</t>
  </si>
  <si>
    <t>Miske</t>
  </si>
  <si>
    <t>Hajós</t>
  </si>
  <si>
    <t>Nemesnádudvar</t>
  </si>
  <si>
    <t>Sükösd</t>
  </si>
  <si>
    <t>Érsekcsanád</t>
  </si>
  <si>
    <t>Érsekhalma</t>
  </si>
  <si>
    <t>Bátya</t>
  </si>
  <si>
    <t>Fajsz</t>
  </si>
  <si>
    <t>Dusnok</t>
  </si>
  <si>
    <t>Kiskunhalas</t>
  </si>
  <si>
    <t>Zsana</t>
  </si>
  <si>
    <t>Balotaszállás</t>
  </si>
  <si>
    <t>Kunfehértó</t>
  </si>
  <si>
    <t>Pirtó</t>
  </si>
  <si>
    <t>Kisszállás</t>
  </si>
  <si>
    <t>Tompa</t>
  </si>
  <si>
    <t>Kelebia</t>
  </si>
  <si>
    <t>Csikéria</t>
  </si>
  <si>
    <t>Bácsszőlős</t>
  </si>
  <si>
    <t>Bácsalmás</t>
  </si>
  <si>
    <t>Kunbaja</t>
  </si>
  <si>
    <t>Jánoshalma</t>
  </si>
  <si>
    <t>Kéleshalom</t>
  </si>
  <si>
    <t>Borota</t>
  </si>
  <si>
    <t>Rém</t>
  </si>
  <si>
    <t>Felsőszentiván</t>
  </si>
  <si>
    <t>Csávoly</t>
  </si>
  <si>
    <t>Mélykút</t>
  </si>
  <si>
    <t>Tataháza</t>
  </si>
  <si>
    <t>Mátételke</t>
  </si>
  <si>
    <t>Bácsbokod</t>
  </si>
  <si>
    <t>Bácsborsod</t>
  </si>
  <si>
    <t>Katymár</t>
  </si>
  <si>
    <t>Madaras</t>
  </si>
  <si>
    <t>Baja</t>
  </si>
  <si>
    <t>Bácsszentgyörgy</t>
  </si>
  <si>
    <t>Szeremle</t>
  </si>
  <si>
    <t>Dunafalva</t>
  </si>
  <si>
    <t>Vaskút</t>
  </si>
  <si>
    <t>Gara</t>
  </si>
  <si>
    <t>Csátalja</t>
  </si>
  <si>
    <t>Dávod</t>
  </si>
  <si>
    <t>Hercegszántó</t>
  </si>
  <si>
    <t>Nagybaracska</t>
  </si>
  <si>
    <t>Bátmonostor</t>
  </si>
  <si>
    <t>Szentes</t>
  </si>
  <si>
    <t>Magyartés</t>
  </si>
  <si>
    <t>Nagytőke</t>
  </si>
  <si>
    <t>Szentes-cserebökény</t>
  </si>
  <si>
    <t>Derekegyház</t>
  </si>
  <si>
    <t>Nagymágocs</t>
  </si>
  <si>
    <t>Árpádhalom</t>
  </si>
  <si>
    <t>Eperjes</t>
  </si>
  <si>
    <t>Fábiánsebestyén</t>
  </si>
  <si>
    <t>Mindszent</t>
  </si>
  <si>
    <t>Szegvár</t>
  </si>
  <si>
    <t>Mártély</t>
  </si>
  <si>
    <t>Felgyő</t>
  </si>
  <si>
    <t>Tömörkény</t>
  </si>
  <si>
    <t>Csanytelek</t>
  </si>
  <si>
    <t>Csongrád-Bokros</t>
  </si>
  <si>
    <t>Szeged</t>
  </si>
  <si>
    <t>Szeged (Szentmihálytelek)</t>
  </si>
  <si>
    <t>Szeged-tanposta</t>
  </si>
  <si>
    <t>Algyő</t>
  </si>
  <si>
    <t>Tápé</t>
  </si>
  <si>
    <t>Újszentiván</t>
  </si>
  <si>
    <t>Kübekháza</t>
  </si>
  <si>
    <t>Tiszasziget</t>
  </si>
  <si>
    <t>Szeged-Gyálarét</t>
  </si>
  <si>
    <t>Röszke</t>
  </si>
  <si>
    <t>Kistelek</t>
  </si>
  <si>
    <t>Sándorfalva</t>
  </si>
  <si>
    <t>Szatymaz</t>
  </si>
  <si>
    <t>Balástya</t>
  </si>
  <si>
    <t>Csengele</t>
  </si>
  <si>
    <t>Dóc</t>
  </si>
  <si>
    <t>Ópusztaszer</t>
  </si>
  <si>
    <t>Baks</t>
  </si>
  <si>
    <t>Pusztaszer</t>
  </si>
  <si>
    <t>Szőreg</t>
  </si>
  <si>
    <t>Deszk</t>
  </si>
  <si>
    <t>Klárafalva</t>
  </si>
  <si>
    <t>Ferencszállás</t>
  </si>
  <si>
    <t>Kiszombor</t>
  </si>
  <si>
    <t>Domaszék</t>
  </si>
  <si>
    <t>Mórahalom</t>
  </si>
  <si>
    <t>Ásotthalom</t>
  </si>
  <si>
    <t>Öttömös</t>
  </si>
  <si>
    <t>Pusztamérges</t>
  </si>
  <si>
    <t>Ruzsa</t>
  </si>
  <si>
    <t>Zákányszék</t>
  </si>
  <si>
    <t>Szeged-Kiskundorozsma</t>
  </si>
  <si>
    <t>Zsombó</t>
  </si>
  <si>
    <t>Forráskút</t>
  </si>
  <si>
    <t>Üllés</t>
  </si>
  <si>
    <t>Bordány</t>
  </si>
  <si>
    <t>Hódmezővásárhely</t>
  </si>
  <si>
    <t>Szikáncs</t>
  </si>
  <si>
    <t>Székkutas</t>
  </si>
  <si>
    <t>Makó</t>
  </si>
  <si>
    <t>Makó-rákos</t>
  </si>
  <si>
    <t>Királyhegyes</t>
  </si>
  <si>
    <t>Kövegy</t>
  </si>
  <si>
    <t>Csanádpalota</t>
  </si>
  <si>
    <t>Pitvaros</t>
  </si>
  <si>
    <t>Csanádalberti</t>
  </si>
  <si>
    <t>Ambrózfalva</t>
  </si>
  <si>
    <t>Nagyér</t>
  </si>
  <si>
    <t>Maroslele</t>
  </si>
  <si>
    <t>Földeák</t>
  </si>
  <si>
    <t>Óföldeák</t>
  </si>
  <si>
    <t>Apátfalva</t>
  </si>
  <si>
    <t>Magyarcsanád</t>
  </si>
  <si>
    <t>Nagylak</t>
  </si>
  <si>
    <t>Sárbogárd</t>
  </si>
  <si>
    <t>Rétszilas</t>
  </si>
  <si>
    <t>Alap</t>
  </si>
  <si>
    <t>Alsószentiván</t>
  </si>
  <si>
    <t>Cece</t>
  </si>
  <si>
    <t>Sáregres</t>
  </si>
  <si>
    <t>Igar</t>
  </si>
  <si>
    <t>Igar-vámszölöhegy</t>
  </si>
  <si>
    <t>Mezőszilas</t>
  </si>
  <si>
    <t>Pusztaegres</t>
  </si>
  <si>
    <t>NHK jmű szám:</t>
  </si>
  <si>
    <t>Nyilvántartásba vett fuvarozó gépjárművek száma:</t>
  </si>
  <si>
    <t>12. tábla napfény+tartam</t>
  </si>
  <si>
    <t>Speciális használatú járművek száma:</t>
  </si>
  <si>
    <t xml:space="preserve">Nemzetközi áru és személyfuvarozásban részt vevő járművek száma. </t>
  </si>
  <si>
    <t>Járműszám</t>
  </si>
  <si>
    <t>Bérgépjármű szám</t>
  </si>
  <si>
    <t>Nemz fuvarozó szám</t>
  </si>
  <si>
    <t>Normál járművek száma</t>
  </si>
  <si>
    <t>Bérgép kerekítve db számmal:</t>
  </si>
  <si>
    <t>normál kerekítve db számmal:</t>
  </si>
  <si>
    <t>Nemz fuv kerekítve db számmal</t>
  </si>
  <si>
    <t>Car Policy kedvezeményt igénybe vesz?</t>
  </si>
  <si>
    <t>Ha igen, kérjük, válassza ki, mely feltételeket teljesíti:</t>
  </si>
  <si>
    <t>CP1: járművezetőknek előírások + szervizkönyv vezetése</t>
  </si>
  <si>
    <t>CP2: GPS és/vagy tachográf a járművekben</t>
  </si>
  <si>
    <t>CP3: járművezetők kötelezése a közlekedési bírságok megfizetésére</t>
  </si>
  <si>
    <t>CP4: szabályzat a GFB-s regressz kártérítés járművezetőre való áthárítására</t>
  </si>
  <si>
    <t>CP1</t>
  </si>
  <si>
    <t>CP2</t>
  </si>
  <si>
    <t>CP3</t>
  </si>
  <si>
    <t>CP4</t>
  </si>
  <si>
    <t>Válasz:</t>
  </si>
  <si>
    <t>Kedvezm:</t>
  </si>
  <si>
    <t>Összesen igénybevett kedv:</t>
  </si>
  <si>
    <t>Rábcakapi</t>
  </si>
  <si>
    <t>Barbacs</t>
  </si>
  <si>
    <t>Kimle</t>
  </si>
  <si>
    <t>Mosonszentmiklós-Mosonújhely</t>
  </si>
  <si>
    <t>Nyíregyháza-Sóstófürdő</t>
  </si>
  <si>
    <t>Nyíregyháza-Nyírszőlős</t>
  </si>
  <si>
    <t>Nyíregyháza-Felsősima</t>
  </si>
  <si>
    <t>Nyíregyháza-Rozsrétszőlős</t>
  </si>
  <si>
    <t>Speciális használatú (bérgjmű, stb.) SZGK 100kW-ig szorzója:</t>
  </si>
  <si>
    <t>Normál használatú SZGK 100kW-ig szorzója:</t>
  </si>
  <si>
    <t>Speciális használatú SZGK 100kW felett szorzója:</t>
  </si>
  <si>
    <t>Tapolcafő</t>
  </si>
  <si>
    <t>Siófok</t>
  </si>
  <si>
    <t>Siófokfürdő</t>
  </si>
  <si>
    <t>Balatonszéplak</t>
  </si>
  <si>
    <t>Siófok (Balatonkiliti)</t>
  </si>
  <si>
    <t>Nyim</t>
  </si>
  <si>
    <t>Balatonendréd</t>
  </si>
  <si>
    <t>Bálványos</t>
  </si>
  <si>
    <t>Kőröshegy</t>
  </si>
  <si>
    <t>Kereki</t>
  </si>
  <si>
    <t>Pusztaszemes</t>
  </si>
  <si>
    <t>Zamárdi</t>
  </si>
  <si>
    <t>Szántód</t>
  </si>
  <si>
    <t>Balatonföldvár</t>
  </si>
  <si>
    <t>Balatonszárszó</t>
  </si>
  <si>
    <t>Szólád</t>
  </si>
  <si>
    <t>Teleki</t>
  </si>
  <si>
    <t>Kötcse</t>
  </si>
  <si>
    <t>Nagycsepely</t>
  </si>
  <si>
    <t>Boglárlelle</t>
  </si>
  <si>
    <t>Ordacsehi</t>
  </si>
  <si>
    <t>Balatonszemes</t>
  </si>
  <si>
    <t>Balatonőszöd</t>
  </si>
  <si>
    <t>Balatonlelle</t>
  </si>
  <si>
    <t>Fonyód</t>
  </si>
  <si>
    <t>Fonyódliget</t>
  </si>
  <si>
    <t>Fonyód (Alsóbélatelep)</t>
  </si>
  <si>
    <t>Lengyeltóti</t>
  </si>
  <si>
    <t>Balatonfenyves</t>
  </si>
  <si>
    <t>Balatonmáriafürdő</t>
  </si>
  <si>
    <t>Balatonkeresztúr</t>
  </si>
  <si>
    <t>Balatonberény</t>
  </si>
  <si>
    <t>Balatonszabadi</t>
  </si>
  <si>
    <t>Siójut</t>
  </si>
  <si>
    <t>Ádánd</t>
  </si>
  <si>
    <t>Ságvár</t>
  </si>
  <si>
    <t>Som</t>
  </si>
  <si>
    <t>Nagyberény</t>
  </si>
  <si>
    <t>Daránypuszta</t>
  </si>
  <si>
    <t>Bábonymegyer</t>
  </si>
  <si>
    <t>Torvaj</t>
  </si>
  <si>
    <t>Bedegkér</t>
  </si>
  <si>
    <t>Kánya</t>
  </si>
  <si>
    <t>Tengőd</t>
  </si>
  <si>
    <t>Kapoly</t>
  </si>
  <si>
    <t>Zics</t>
  </si>
  <si>
    <t>Somogymeggyes</t>
  </si>
  <si>
    <t>Nágocs</t>
  </si>
  <si>
    <t>Andocs</t>
  </si>
  <si>
    <t>Karád</t>
  </si>
  <si>
    <t>Visz</t>
  </si>
  <si>
    <t>Somogytúr</t>
  </si>
  <si>
    <t>Somogybabod</t>
  </si>
  <si>
    <t>Gamás</t>
  </si>
  <si>
    <t>Szőlőskislak</t>
  </si>
  <si>
    <t>Szőlősgyörök</t>
  </si>
  <si>
    <t>Kisberény</t>
  </si>
  <si>
    <t>Hács</t>
  </si>
  <si>
    <t>Buzsák</t>
  </si>
  <si>
    <t>Táska</t>
  </si>
  <si>
    <t>Öreglak</t>
  </si>
  <si>
    <t>Somogyvár</t>
  </si>
  <si>
    <t>Somogyvámos</t>
  </si>
  <si>
    <t>Marcali</t>
  </si>
  <si>
    <t>Somogyszentpál</t>
  </si>
  <si>
    <t>Nikla</t>
  </si>
  <si>
    <t>Pusztakovácsi</t>
  </si>
  <si>
    <t>Somogyfajsz</t>
  </si>
  <si>
    <t>Marcali -horvátkút</t>
  </si>
  <si>
    <t>Balatonszentgyörgy</t>
  </si>
  <si>
    <t>Szegerdő</t>
  </si>
  <si>
    <t>Balatonújlak</t>
  </si>
  <si>
    <t>Kéthely</t>
  </si>
  <si>
    <t>Kelevíz</t>
  </si>
  <si>
    <t>Gadány</t>
  </si>
  <si>
    <t>Mesztegnyő</t>
  </si>
  <si>
    <t>Szenyér</t>
  </si>
  <si>
    <t>Tapsony</t>
  </si>
  <si>
    <t>Böhönye</t>
  </si>
  <si>
    <t>Vése</t>
  </si>
  <si>
    <t>Nemesdéd</t>
  </si>
  <si>
    <t>Varászló</t>
  </si>
  <si>
    <t>VIP Flotta Partner?</t>
  </si>
  <si>
    <t>Inke</t>
  </si>
  <si>
    <t>Iharosberény</t>
  </si>
  <si>
    <t>Somogycsicsó</t>
  </si>
  <si>
    <t>Pogányszentpéter</t>
  </si>
  <si>
    <t>Tikos</t>
  </si>
  <si>
    <t>Sávoly</t>
  </si>
  <si>
    <t>Somogysámson</t>
  </si>
  <si>
    <t>Somogyzsitfa</t>
  </si>
  <si>
    <t>Csákány</t>
  </si>
  <si>
    <t>Szőkedencs</t>
  </si>
  <si>
    <t>Zalakomár</t>
  </si>
  <si>
    <t>Nemesvid</t>
  </si>
  <si>
    <t>Nagyszakácsi</t>
  </si>
  <si>
    <t>Zalaapáti</t>
  </si>
  <si>
    <t>Esztergályhorváti</t>
  </si>
  <si>
    <t>Zalaszabar</t>
  </si>
  <si>
    <t>Orosztony</t>
  </si>
  <si>
    <t>Kerecseny</t>
  </si>
  <si>
    <t>Nagyrada</t>
  </si>
  <si>
    <t>Zalamerenye</t>
  </si>
  <si>
    <t>Zalakaros</t>
  </si>
  <si>
    <t>Zalakomár (Kiskomárom)</t>
  </si>
  <si>
    <t>Zalakomár (Komárváros)</t>
  </si>
  <si>
    <t>Balatonmagyaród</t>
  </si>
  <si>
    <t>Galambok</t>
  </si>
  <si>
    <t>Zalasárszeg</t>
  </si>
  <si>
    <t>Vajdacserfő</t>
  </si>
  <si>
    <t>Zalaigrice</t>
  </si>
  <si>
    <t>Szentpéterúr</t>
  </si>
  <si>
    <t>Zalaszentmárton</t>
  </si>
  <si>
    <t>Egeraracsa</t>
  </si>
  <si>
    <t>Felsőrajk</t>
  </si>
  <si>
    <t>Alsórajk</t>
  </si>
  <si>
    <t>Pötréte</t>
  </si>
  <si>
    <t>Hahót</t>
  </si>
  <si>
    <t>Zalaszentbalázs</t>
  </si>
  <si>
    <t>Pölöskefő</t>
  </si>
  <si>
    <t>Kilimán</t>
  </si>
  <si>
    <t>Magyarszerdahely</t>
  </si>
  <si>
    <t>Hosszúvölgy</t>
  </si>
  <si>
    <t>Újudvar</t>
  </si>
  <si>
    <t>Bókaháza</t>
  </si>
  <si>
    <t>Tilaj</t>
  </si>
  <si>
    <t>Kehidakustány</t>
  </si>
  <si>
    <t>Zalaszentgrót Zalakoppány</t>
  </si>
  <si>
    <r>
      <t xml:space="preserve">KÖBE TÁBLÁZAT     </t>
    </r>
    <r>
      <rPr>
        <b/>
        <sz val="12"/>
        <rFont val="Arial"/>
        <family val="2"/>
        <charset val="238"/>
      </rPr>
      <t xml:space="preserve">SZGK
</t>
    </r>
    <r>
      <rPr>
        <sz val="10"/>
        <color indexed="10"/>
        <rFont val="Arial"/>
        <family val="2"/>
        <charset val="238"/>
      </rPr>
      <t>Ha kitölti, csökken a díj! Kérjük, ügyeljen rá, hogy az ezekbe a KÖBE táblázatokba beírt darabszámok összege nem lehet több, mint a Darabszám oszlopban lévő járműszám!</t>
    </r>
  </si>
  <si>
    <t>Leányvár</t>
  </si>
  <si>
    <t>Piliscsév</t>
  </si>
  <si>
    <t>Csolnok</t>
  </si>
  <si>
    <t>Dág</t>
  </si>
  <si>
    <t>Sárisáp-Annavölgy</t>
  </si>
  <si>
    <t>Nagysáp</t>
  </si>
  <si>
    <t>Bajna</t>
  </si>
  <si>
    <t>Epöl</t>
  </si>
  <si>
    <t>Máriahalom</t>
  </si>
  <si>
    <t>Úny</t>
  </si>
  <si>
    <t>Annavölgy</t>
  </si>
  <si>
    <t>Tokod, Tokodaltáró</t>
  </si>
  <si>
    <t>Tokodaltáró</t>
  </si>
  <si>
    <t>Bajót</t>
  </si>
  <si>
    <t>Tát</t>
  </si>
  <si>
    <t>Mogyorósbánya</t>
  </si>
  <si>
    <t>Nyergesújfalu</t>
  </si>
  <si>
    <t>Viscosa</t>
  </si>
  <si>
    <t>Lábatlan</t>
  </si>
  <si>
    <t>Süttő</t>
  </si>
  <si>
    <t>Neszmély</t>
  </si>
  <si>
    <t>Dunaalmás</t>
  </si>
  <si>
    <t>Vác</t>
  </si>
  <si>
    <t>Nőtincs</t>
  </si>
  <si>
    <t>Felsőpetény</t>
  </si>
  <si>
    <t>Kosd</t>
  </si>
  <si>
    <t>Rád</t>
  </si>
  <si>
    <t>Penc</t>
  </si>
  <si>
    <t>Csővár</t>
  </si>
  <si>
    <t>Keszeg, Ősagárd</t>
  </si>
  <si>
    <t>Alsópetény</t>
  </si>
  <si>
    <t>Nézsa</t>
  </si>
  <si>
    <t>Legénd</t>
  </si>
  <si>
    <t>Verőcemaros, Verőce, Kismaros, Magyarkút</t>
  </si>
  <si>
    <t>Kismaros</t>
  </si>
  <si>
    <t>Szokolya</t>
  </si>
  <si>
    <t>Kóspallag</t>
  </si>
  <si>
    <t>Nagymaros</t>
  </si>
  <si>
    <t>Zebegény</t>
  </si>
  <si>
    <t>Szob</t>
  </si>
  <si>
    <t>Márianosztra</t>
  </si>
  <si>
    <t>Ipolydamásd</t>
  </si>
  <si>
    <t>Letkés</t>
  </si>
  <si>
    <t>Ipolytölgyes</t>
  </si>
  <si>
    <t>Nagybörzsöny</t>
  </si>
  <si>
    <t>Vámosmikola, Tésa</t>
  </si>
  <si>
    <t>Tésa</t>
  </si>
  <si>
    <t>Perőcsény</t>
  </si>
  <si>
    <t>Kemence</t>
  </si>
  <si>
    <t>Bernecebaráti</t>
  </si>
  <si>
    <t>Szendehely</t>
  </si>
  <si>
    <t>Berkenye</t>
  </si>
  <si>
    <t>Diósjenő</t>
  </si>
  <si>
    <t>Borsosberény</t>
  </si>
  <si>
    <t>Nagyoroszi</t>
  </si>
  <si>
    <t>Drégelypalánk</t>
  </si>
  <si>
    <t>Hont</t>
  </si>
  <si>
    <t>Patak</t>
  </si>
  <si>
    <t>Dejtár</t>
  </si>
  <si>
    <t>Rétság</t>
  </si>
  <si>
    <t>Tereske</t>
  </si>
  <si>
    <t>Bánk</t>
  </si>
  <si>
    <t>Romhány</t>
  </si>
  <si>
    <t xml:space="preserve">Kétbodony, Romhány, Kisecset, Szente </t>
  </si>
  <si>
    <t>Szátok</t>
  </si>
  <si>
    <t>Tolmács</t>
  </si>
  <si>
    <t>Pusztaberki, Horpács</t>
  </si>
  <si>
    <t>Érsekvadkert</t>
  </si>
  <si>
    <t>Balassagyarmat, Ipolyszög</t>
  </si>
  <si>
    <t>Patvarc</t>
  </si>
  <si>
    <t>Ipolyvece</t>
  </si>
  <si>
    <t>Őrhalom</t>
  </si>
  <si>
    <t>Hugyag</t>
  </si>
  <si>
    <t>Nógrádgárdony, Csitár</t>
  </si>
  <si>
    <t>Nógrádmarcal, Iliny</t>
  </si>
  <si>
    <t>Cserhátsurány</t>
  </si>
  <si>
    <t>Herencsény</t>
  </si>
  <si>
    <t>Csesztve</t>
  </si>
  <si>
    <t>Galgagyörk</t>
  </si>
  <si>
    <t>Püspökhatvan</t>
  </si>
  <si>
    <t>Acsa</t>
  </si>
  <si>
    <t>Nógrádsáp</t>
  </si>
  <si>
    <t>Galgaguta</t>
  </si>
  <si>
    <t>Bercel</t>
  </si>
  <si>
    <t>Vanyarc</t>
  </si>
  <si>
    <t>Nógrádkövesd</t>
  </si>
  <si>
    <t>Szécsénke</t>
  </si>
  <si>
    <t>Becske</t>
  </si>
  <si>
    <t>Debercsény, Cserháthaláp, Magyarnándor</t>
  </si>
  <si>
    <t>TGK kat szorz 0-3,5t-ig:</t>
  </si>
  <si>
    <t>Kategória szorzó vontató:</t>
  </si>
  <si>
    <t>Moonlight pótdíj: Szerződő &gt;10%-ban Wáberer érdekeltség.</t>
  </si>
  <si>
    <t>Pócsmegyer-Surány</t>
  </si>
  <si>
    <t>Tahitótfalu-Tótfalu</t>
  </si>
  <si>
    <t>Tahitótfalu-Tahi és Tahi</t>
  </si>
  <si>
    <t xml:space="preserve">Visegrád </t>
  </si>
  <si>
    <t>Visegrád-Gizellatelep</t>
  </si>
  <si>
    <t>Érd-Érdparkváros</t>
  </si>
  <si>
    <t>Érd-Érdliget</t>
  </si>
  <si>
    <t>Budaörs-Kamaraerdő</t>
  </si>
  <si>
    <t xml:space="preserve">Törökbálint </t>
  </si>
  <si>
    <t>CIG TEÁOR:</t>
  </si>
  <si>
    <t>0,7 részek</t>
  </si>
  <si>
    <t>0,7 összesített:</t>
  </si>
  <si>
    <t>CIG TEÁOR szorzó:</t>
  </si>
  <si>
    <t>CIG PANNÓNIA KÉRDÉSEK:</t>
  </si>
  <si>
    <t>E - kommikációs kedvezmény?</t>
  </si>
  <si>
    <t>Bérgépjármű</t>
  </si>
  <si>
    <t>Taxi</t>
  </si>
  <si>
    <t>Oktatás</t>
  </si>
  <si>
    <t>Veszélyes anyag szállítás</t>
  </si>
  <si>
    <t>Nemzetközi fuvarozó</t>
  </si>
  <si>
    <t>Használat válasz:</t>
  </si>
  <si>
    <t>Haszn. Szorzó:</t>
  </si>
  <si>
    <t xml:space="preserve">Érd </t>
  </si>
  <si>
    <t>Adószám kedvezménnnyel rendelkezik?</t>
  </si>
  <si>
    <t>CIG PANNÓNIA flotta szorzó:</t>
  </si>
  <si>
    <t>Díjfizetési mód:</t>
  </si>
  <si>
    <t>CIG-nél lévő/leendő összes flotta járművek darabszáma:</t>
  </si>
  <si>
    <t>Jelenleg az NDK munkalapon megadott járművek száma:</t>
  </si>
  <si>
    <t>Ha Bp.:</t>
  </si>
  <si>
    <t>Tiszacsécse</t>
  </si>
  <si>
    <t>Milota</t>
  </si>
  <si>
    <t>Tiszabecs</t>
  </si>
  <si>
    <t>Uszka</t>
  </si>
  <si>
    <t>Magosliget</t>
  </si>
  <si>
    <t>Sonkád</t>
  </si>
  <si>
    <t>Botpalád</t>
  </si>
  <si>
    <t>CIG
pannónia</t>
  </si>
  <si>
    <t>WÁBERER KÉRDÉSEK</t>
  </si>
  <si>
    <t>WÁBERER</t>
  </si>
  <si>
    <t>Kesznyéten</t>
  </si>
  <si>
    <t>Tiszaújváros, -Tiszaszederkény</t>
  </si>
  <si>
    <t>Tiszaújváros</t>
  </si>
  <si>
    <t>Sajóörös</t>
  </si>
  <si>
    <t>Tiszapalkonya</t>
  </si>
  <si>
    <t>Hejőkürt</t>
  </si>
  <si>
    <t>Tiszatarján</t>
  </si>
  <si>
    <t>Oszlár</t>
  </si>
  <si>
    <t>Nemesbikk</t>
  </si>
  <si>
    <t>Hejőbába</t>
  </si>
  <si>
    <t>Hejőpapi</t>
  </si>
  <si>
    <t>Hejőszalonta</t>
  </si>
  <si>
    <t>Szakáld</t>
  </si>
  <si>
    <t>Hejőkeresztúr</t>
  </si>
  <si>
    <t>Nagycsécs</t>
  </si>
  <si>
    <t>Sajószöged</t>
  </si>
  <si>
    <t>Ózd</t>
  </si>
  <si>
    <t>Sajóvárkony</t>
  </si>
  <si>
    <t>Bánszállás</t>
  </si>
  <si>
    <t>Farkaslyuk</t>
  </si>
  <si>
    <t>Ózd-Uraj</t>
  </si>
  <si>
    <t>Uppony</t>
  </si>
  <si>
    <t>TGK 0-3500 kg-össztömegig</t>
  </si>
  <si>
    <r>
      <t xml:space="preserve">0-1450 kg-ig UNION 
</t>
    </r>
    <r>
      <rPr>
        <sz val="10"/>
        <color indexed="10"/>
        <rFont val="Arial"/>
        <family val="2"/>
        <charset val="238"/>
      </rPr>
      <t>Kötelező megadni!</t>
    </r>
  </si>
  <si>
    <r>
      <t xml:space="preserve">3501-4500 kg POSTA </t>
    </r>
    <r>
      <rPr>
        <sz val="10"/>
        <color indexed="10"/>
        <rFont val="Arial"/>
        <family val="2"/>
        <charset val="238"/>
      </rPr>
      <t>Célszerű megadni..</t>
    </r>
  </si>
  <si>
    <t>Kerekegyháza</t>
  </si>
  <si>
    <t>Vámosoroszi</t>
  </si>
  <si>
    <t>Csaholc</t>
  </si>
  <si>
    <t>Turricse</t>
  </si>
  <si>
    <t>Ter 4.</t>
  </si>
  <si>
    <t>Ter 5.</t>
  </si>
  <si>
    <t>Szgk 51-70 kW
Ez főkategória, mindig kitöltendő!</t>
  </si>
  <si>
    <t>GENERALI: 51-63 kW
Ez alkategória. Ha kitölti, pontosabb lesz a díj.</t>
  </si>
  <si>
    <t>GENERALI: 71-79 kW
Ez alkategória. Ha kitölti, pontosabb lesz a díj.</t>
  </si>
  <si>
    <t>Szgk 71-100 kW
Ez főkategória, mindig kitöltendő!</t>
  </si>
  <si>
    <t>Szgk 0-37 kW</t>
  </si>
  <si>
    <t>Szgk 38-50 kW</t>
  </si>
  <si>
    <t>Szgk 101-180 kW</t>
  </si>
  <si>
    <t>Szgk 180 kW felett</t>
  </si>
  <si>
    <t>Szgk ismeretlen kategória</t>
  </si>
  <si>
    <t>TGK 3501-12000 kg</t>
  </si>
  <si>
    <t>TGK 3500 kg-ig</t>
  </si>
  <si>
    <t>TGK 12000 felett</t>
  </si>
  <si>
    <t>TGK ismeretlen kategória</t>
  </si>
  <si>
    <t>Nagykeresztúr</t>
  </si>
  <si>
    <t>Salgótarján-Zagyvaróna</t>
  </si>
  <si>
    <t>Mátranovák-Bányatelep</t>
  </si>
  <si>
    <t>Mátraterenye-Homokterenye</t>
  </si>
  <si>
    <t>Mátraterenye-Nádújfalu</t>
  </si>
  <si>
    <t>Kazár-Mizserfa</t>
  </si>
  <si>
    <t>Rákóczibánya</t>
  </si>
  <si>
    <t>Abádszalók</t>
  </si>
  <si>
    <t>Tiszaderzs</t>
  </si>
  <si>
    <t>Tiszaszőlős</t>
  </si>
  <si>
    <t>Karcag</t>
  </si>
  <si>
    <t>Berekfürdő</t>
  </si>
  <si>
    <t>Kisújszállás</t>
  </si>
  <si>
    <t>Kunmadaras</t>
  </si>
  <si>
    <t>Tiszaszentimre</t>
  </si>
  <si>
    <t>Újszentgyörgy</t>
  </si>
  <si>
    <t>Tomajmonostora</t>
  </si>
  <si>
    <t>Kenderes</t>
  </si>
  <si>
    <t>Sorkikápolna</t>
  </si>
  <si>
    <t>Nemeskolta</t>
  </si>
  <si>
    <t>Püspökmolnári</t>
  </si>
  <si>
    <t>Rábahidvég</t>
  </si>
  <si>
    <t>Egyházhollós</t>
  </si>
  <si>
    <t>Nemesrempehollós</t>
  </si>
  <si>
    <t>Egyházasrádóc</t>
  </si>
  <si>
    <t>Rádóckölked</t>
  </si>
  <si>
    <t>Sé</t>
  </si>
  <si>
    <t>Torony</t>
  </si>
  <si>
    <t>Bucsu</t>
  </si>
  <si>
    <t>Narda</t>
  </si>
  <si>
    <t>Felsőcsatár</t>
  </si>
  <si>
    <t>Vaskeresztes</t>
  </si>
  <si>
    <t>Pornóapáti</t>
  </si>
  <si>
    <t>Nárai</t>
  </si>
  <si>
    <t>Ják</t>
  </si>
  <si>
    <t>Szentpéterfa</t>
  </si>
  <si>
    <t>Vasvár</t>
  </si>
  <si>
    <t>Andrásfa</t>
  </si>
  <si>
    <t>Telekes</t>
  </si>
  <si>
    <t>Sárfimizdó</t>
  </si>
  <si>
    <t>Halastó</t>
  </si>
  <si>
    <t>Hegyhátszentpéter</t>
  </si>
  <si>
    <t>Pácsony</t>
  </si>
  <si>
    <t>Olaszfa</t>
  </si>
  <si>
    <t>Oszkó</t>
  </si>
  <si>
    <t>Petőmihályfa</t>
  </si>
  <si>
    <t>Bérbaltavár</t>
  </si>
  <si>
    <t>Nagytilaj</t>
  </si>
  <si>
    <t>Csehi</t>
  </si>
  <si>
    <t>Csehimindszent</t>
  </si>
  <si>
    <t>Mikosszéplak</t>
  </si>
  <si>
    <t>Csipkerek</t>
  </si>
  <si>
    <t>Kám</t>
  </si>
  <si>
    <t>Alsóújlak</t>
  </si>
  <si>
    <t>Körmend</t>
  </si>
  <si>
    <t>Magyarnádalja</t>
  </si>
  <si>
    <t>Magyarszecsőd</t>
  </si>
  <si>
    <t>Molnaszecsőd</t>
  </si>
  <si>
    <t>Szarvaskend</t>
  </si>
  <si>
    <t>Döbörhegy</t>
  </si>
  <si>
    <t>Nádasd</t>
  </si>
  <si>
    <t>Halogy</t>
  </si>
  <si>
    <t>Felsőmarác</t>
  </si>
  <si>
    <t>Csákánydoroszló</t>
  </si>
  <si>
    <t>Vasalja</t>
  </si>
  <si>
    <t>Pinkamindszent</t>
  </si>
  <si>
    <t>Kemestaródfa</t>
  </si>
  <si>
    <t>Ivánc</t>
  </si>
  <si>
    <t>GroupamaGar. Terület kód</t>
  </si>
  <si>
    <t>ter 1-5</t>
  </si>
  <si>
    <t>ter 6-12</t>
  </si>
  <si>
    <t xml:space="preserve">SMK </t>
  </si>
  <si>
    <t>Négykerekű SMK (GG: 3 kerekű is!!!)</t>
  </si>
  <si>
    <t>Érpatak</t>
  </si>
  <si>
    <t>Nyíregyháza-Butykatelep</t>
  </si>
  <si>
    <t>Hajdúsámson</t>
  </si>
  <si>
    <t>Tamásipuszta</t>
  </si>
  <si>
    <t>Aradványpuszta</t>
  </si>
  <si>
    <t>Nyíradony</t>
  </si>
  <si>
    <t>Nyíracsád</t>
  </si>
  <si>
    <t>Nyírmártonfalva</t>
  </si>
  <si>
    <t>Nyírábrány</t>
  </si>
  <si>
    <t>Fülöp</t>
  </si>
  <si>
    <t>Penészlek</t>
  </si>
  <si>
    <t>Mikepércs</t>
  </si>
  <si>
    <t>Sáránd</t>
  </si>
  <si>
    <t>Hajdúbagos</t>
  </si>
  <si>
    <t>Hosszúpályi</t>
  </si>
  <si>
    <t>Monostorpályi</t>
  </si>
  <si>
    <t>Nagyléta</t>
  </si>
  <si>
    <t>Létavértes</t>
  </si>
  <si>
    <t>Kokad</t>
  </si>
  <si>
    <t>Álmosd</t>
  </si>
  <si>
    <t>Bagamér</t>
  </si>
  <si>
    <t>Vámospércs</t>
  </si>
  <si>
    <t>Újléta</t>
  </si>
  <si>
    <t>Nyírbátor</t>
  </si>
  <si>
    <t>Nyírgyulaj</t>
  </si>
  <si>
    <t>Nagykálló</t>
  </si>
  <si>
    <t>Kállósemjén</t>
  </si>
  <si>
    <t>Kisléta</t>
  </si>
  <si>
    <t>Máriapócs</t>
  </si>
  <si>
    <t>Pócspetri</t>
  </si>
  <si>
    <t>Nyírcsászári</t>
  </si>
  <si>
    <t>Nyírderzs</t>
  </si>
  <si>
    <t>Nyírkáta</t>
  </si>
  <si>
    <t>Hodász</t>
  </si>
  <si>
    <t>Kántorjánosi</t>
  </si>
  <si>
    <t>Őr</t>
  </si>
  <si>
    <t>Jármi</t>
  </si>
  <si>
    <t>Papos</t>
  </si>
  <si>
    <t>Nyírvasvári</t>
  </si>
  <si>
    <t>Terem</t>
  </si>
  <si>
    <t>Bátorliget</t>
  </si>
  <si>
    <t>Vállaj</t>
  </si>
  <si>
    <t>Mérk</t>
  </si>
  <si>
    <t>Tiborszállás</t>
  </si>
  <si>
    <t>Fábiánháza</t>
  </si>
  <si>
    <t>Nagyecsed</t>
  </si>
  <si>
    <t>Nyírcsaholy</t>
  </si>
  <si>
    <t>Nyírbogát</t>
  </si>
  <si>
    <t>Nyírgelse</t>
  </si>
  <si>
    <t>Nyírmihálydi</t>
  </si>
  <si>
    <t>Nyírlugos</t>
  </si>
  <si>
    <t>Nyírbéltek</t>
  </si>
  <si>
    <t>Ömböly</t>
  </si>
  <si>
    <t>Encsencs</t>
  </si>
  <si>
    <t>Piricse</t>
  </si>
  <si>
    <t>Nyírpilis</t>
  </si>
  <si>
    <t>Nyíregyháza</t>
  </si>
  <si>
    <t>Nyíregyháza (Borbánya)</t>
  </si>
  <si>
    <t>Nyíregyháza fp-j.korh.</t>
  </si>
  <si>
    <t>Nyíregyháza-Sóstó</t>
  </si>
  <si>
    <t>Kálmánháza</t>
  </si>
  <si>
    <t>Tiszavasvári</t>
  </si>
  <si>
    <t>Szorgalmatos</t>
  </si>
  <si>
    <t>Nagycserkesz</t>
  </si>
  <si>
    <t>Bashalom</t>
  </si>
  <si>
    <t>Kisfástanya</t>
  </si>
  <si>
    <t>Tiszalök</t>
  </si>
  <si>
    <t>Tiszadada</t>
  </si>
  <si>
    <t>Tiszadob</t>
  </si>
  <si>
    <t>Nyírtelek</t>
  </si>
  <si>
    <t>Tiszanagyfalu</t>
  </si>
  <si>
    <t>Vértesboglár</t>
  </si>
  <si>
    <t>Felcsút</t>
  </si>
  <si>
    <t>Alcsútdoboz</t>
  </si>
  <si>
    <t>Tabajd</t>
  </si>
  <si>
    <t>Vértesacsa</t>
  </si>
  <si>
    <t>Pátka</t>
  </si>
  <si>
    <t>Lovasberény</t>
  </si>
  <si>
    <t>Pákozd</t>
  </si>
  <si>
    <t>Sukoró</t>
  </si>
  <si>
    <t>Nadap</t>
  </si>
  <si>
    <t>Várpalota</t>
  </si>
  <si>
    <t>Várpalota-Inota</t>
  </si>
  <si>
    <t>Pétfürdő</t>
  </si>
  <si>
    <t>Tés</t>
  </si>
  <si>
    <t>Seregélyes</t>
  </si>
  <si>
    <t>Zichyújfalu</t>
  </si>
  <si>
    <t>Seregélyes (Szölöhegy)</t>
  </si>
  <si>
    <t>Tác</t>
  </si>
  <si>
    <t>Csősz</t>
  </si>
  <si>
    <t>Soponya</t>
  </si>
  <si>
    <t>Kálóz</t>
  </si>
  <si>
    <t>Sárkeresztúr</t>
  </si>
  <si>
    <t>Sárszentágota</t>
  </si>
  <si>
    <t>Aba</t>
  </si>
  <si>
    <t>Belsőbáránd</t>
  </si>
  <si>
    <t>Enying</t>
  </si>
  <si>
    <t>Enying-Balatonbozsok</t>
  </si>
  <si>
    <t>Lepsény</t>
  </si>
  <si>
    <t>Mezőszentgyörgy</t>
  </si>
  <si>
    <t>Mátyásdomb</t>
  </si>
  <si>
    <t>Dég</t>
  </si>
  <si>
    <t>Lajoskomárom</t>
  </si>
  <si>
    <t>Mezőkomárom</t>
  </si>
  <si>
    <t>Szabadhidvég</t>
  </si>
  <si>
    <t>Pélpuszta</t>
  </si>
  <si>
    <t>Sárpentele</t>
  </si>
  <si>
    <t>Szabadbattyán</t>
  </si>
  <si>
    <t>Sárszentmihály</t>
  </si>
  <si>
    <t>Sárkeszi</t>
  </si>
  <si>
    <t>Nádasladány</t>
  </si>
  <si>
    <t>Jenő</t>
  </si>
  <si>
    <t>Kőszárhegy</t>
  </si>
  <si>
    <t>Polgárdi ipartelep</t>
  </si>
  <si>
    <t>Polgárdi</t>
  </si>
  <si>
    <t>Kiscséripuszta</t>
  </si>
  <si>
    <t>Kisláng</t>
  </si>
  <si>
    <t>Füle</t>
  </si>
  <si>
    <t>Ősi</t>
  </si>
  <si>
    <t>Küngös</t>
  </si>
  <si>
    <t>Csajág</t>
  </si>
  <si>
    <t>Balatonfőkajár</t>
  </si>
  <si>
    <t>Balatonvilágos</t>
  </si>
  <si>
    <t>Balatonkenese</t>
  </si>
  <si>
    <t>Balatonkenese üdülőtelep</t>
  </si>
  <si>
    <t>Balatonfűzfő</t>
  </si>
  <si>
    <t>Berhida</t>
  </si>
  <si>
    <t>Peremarton</t>
  </si>
  <si>
    <t>Papkeszi</t>
  </si>
  <si>
    <t>B.újfalu-b.sztmártonfp</t>
  </si>
  <si>
    <t>Biharkeresztes</t>
  </si>
  <si>
    <t>Bojt</t>
  </si>
  <si>
    <t>Ártánd</t>
  </si>
  <si>
    <t>Berekböszörmény</t>
  </si>
  <si>
    <t>Told</t>
  </si>
  <si>
    <t>Mezőpeterd</t>
  </si>
  <si>
    <t>Váncsod</t>
  </si>
  <si>
    <t>Szentpéterszeg</t>
  </si>
  <si>
    <t>Gáborján</t>
  </si>
  <si>
    <t>Hencida</t>
  </si>
  <si>
    <t>Esztár</t>
  </si>
  <si>
    <t>Pocsaj</t>
  </si>
  <si>
    <t>Kismarja</t>
  </si>
  <si>
    <t>Nagykereki</t>
  </si>
  <si>
    <t>Bedő</t>
  </si>
  <si>
    <t>Derecske</t>
  </si>
  <si>
    <t>Tépe</t>
  </si>
  <si>
    <t>Konyár</t>
  </si>
  <si>
    <t>Mezősas</t>
  </si>
  <si>
    <t>Cég</t>
  </si>
  <si>
    <t>Szerződő CÉG, vagy EGYÉNI VÁLLALKOZÓ?</t>
  </si>
  <si>
    <t>0-22 éves Egyéni vállalkozó</t>
  </si>
  <si>
    <t>23-24 éves Egyéni vállalkozó</t>
  </si>
  <si>
    <t>25-29 éves Egyéni vállalkozó</t>
  </si>
  <si>
    <t>Tev 1</t>
  </si>
  <si>
    <t>Tev 2</t>
  </si>
  <si>
    <t>Tev 3</t>
  </si>
  <si>
    <t>Tev 4</t>
  </si>
  <si>
    <t>Részek</t>
  </si>
  <si>
    <t>Tűzoltóság válasz:</t>
  </si>
  <si>
    <t>Állami válasz:</t>
  </si>
  <si>
    <r>
      <t xml:space="preserve">Szerződő </t>
    </r>
    <r>
      <rPr>
        <b/>
        <sz val="10"/>
        <rFont val="Arial"/>
        <family val="2"/>
        <charset val="238"/>
      </rPr>
      <t>állami, önkormányzati</t>
    </r>
    <r>
      <rPr>
        <sz val="10"/>
        <rFont val="Arial"/>
        <family val="2"/>
        <charset val="238"/>
      </rPr>
      <t xml:space="preserve"> többségi tulajdonban lévő társaságok?</t>
    </r>
  </si>
  <si>
    <t>Közbeszerzés válasz:</t>
  </si>
  <si>
    <r>
      <t>Közbeszerzésről</t>
    </r>
    <r>
      <rPr>
        <sz val="10"/>
        <rFont val="Arial"/>
        <family val="2"/>
        <charset val="238"/>
      </rPr>
      <t xml:space="preserve"> van szó?</t>
    </r>
  </si>
  <si>
    <t>Tevékenység alapú kedvezmények:</t>
  </si>
  <si>
    <r>
      <t>…betegszállításra</t>
    </r>
    <r>
      <rPr>
        <sz val="10"/>
        <rFont val="Arial"/>
        <family val="2"/>
        <charset val="238"/>
      </rPr>
      <t xml:space="preserve"> használnak</t>
    </r>
  </si>
  <si>
    <t>Balra üres hely.</t>
  </si>
  <si>
    <t>Jármű darabszám faktor:</t>
  </si>
  <si>
    <t>Kárgyak faktor:</t>
  </si>
  <si>
    <t>Kárgyakorisági faktor:</t>
  </si>
  <si>
    <t>GPS faktor:</t>
  </si>
  <si>
    <t>Éves díjf. Faktor:</t>
  </si>
  <si>
    <t>Kiemelt tevékenységek miatti pótdíj szorzó:</t>
  </si>
  <si>
    <t>FAKTOR SZORZÓ:</t>
  </si>
  <si>
    <t>Ha kiemelt, akkor Pótdíjjal szorozzuk, egyébként Tev szorzóval:</t>
  </si>
  <si>
    <t>A legtöbb biztosítónál flotta esetén bonusz-malusz szorzót nem alkalmaznak, illetve a szorzó 1.</t>
  </si>
  <si>
    <t xml:space="preserve">Szgk 0-5 kW POSTA </t>
  </si>
  <si>
    <t>MKP 71kW felett, de 95kW alatt UNION</t>
  </si>
  <si>
    <t>Pótkocsi 0,751-3,5t</t>
  </si>
  <si>
    <t>Országosan egységes tarifa.</t>
  </si>
  <si>
    <t>UNIQA</t>
  </si>
  <si>
    <t>GENERALI</t>
  </si>
  <si>
    <r>
      <t>Használati infók</t>
    </r>
    <r>
      <rPr>
        <sz val="16"/>
        <rFont val="Arial"/>
        <family val="2"/>
        <charset val="238"/>
      </rPr>
      <t>:</t>
    </r>
  </si>
  <si>
    <t>Jelenlegi biztosító indexdíja</t>
  </si>
  <si>
    <t>Irányító keresés eredménye</t>
  </si>
  <si>
    <t>Talált Ter kód:</t>
  </si>
  <si>
    <t>Alkalmazandó Ter kód:</t>
  </si>
  <si>
    <t>Nyomár, Hangács</t>
  </si>
  <si>
    <t>Borsodszirák</t>
  </si>
  <si>
    <t>Szikszó</t>
  </si>
  <si>
    <t>Abaújszolnok, Nyésta, Selyeb</t>
  </si>
  <si>
    <t>Alsóvadász</t>
  </si>
  <si>
    <t>Homrogd, Monaj</t>
  </si>
  <si>
    <t>Kupa</t>
  </si>
  <si>
    <t>Felsővadász</t>
  </si>
  <si>
    <t>Abaújlak, Gadna</t>
  </si>
  <si>
    <t>Gagyvendégi</t>
  </si>
  <si>
    <t>Gagybátor</t>
  </si>
  <si>
    <t xml:space="preserve">Büttös, Kány, Keresztéte, Krasznokvajda, Pamlény, Perecse, Szászfa  </t>
  </si>
  <si>
    <t>Debréte, Viszló, Rakaca</t>
  </si>
  <si>
    <t>Rakacaszend</t>
  </si>
  <si>
    <t>Kázsmárk</t>
  </si>
  <si>
    <t>Léh</t>
  </si>
  <si>
    <t>Rásonysápberencs</t>
  </si>
  <si>
    <t>Beret, Detek</t>
  </si>
  <si>
    <t>Baktakék</t>
  </si>
  <si>
    <t>Alsógagy, Csenyéte, Felsőgagy, Gagyapáti</t>
  </si>
  <si>
    <t>Aszaló</t>
  </si>
  <si>
    <t>Halmaj</t>
  </si>
  <si>
    <t>Kiskinizs</t>
  </si>
  <si>
    <t>Celldömölk-izsákfa</t>
  </si>
  <si>
    <t>Nemeskocs</t>
  </si>
  <si>
    <t>Kemenespálfa</t>
  </si>
  <si>
    <t>Jánosháza</t>
  </si>
  <si>
    <t>Karakó</t>
  </si>
  <si>
    <t>Nemeskeresztúr</t>
  </si>
  <si>
    <t>Dabrony</t>
  </si>
  <si>
    <t>Karakószörcsök</t>
  </si>
  <si>
    <t>Kerta</t>
  </si>
  <si>
    <t>Iszkáz</t>
  </si>
  <si>
    <t>Kiscsősz</t>
  </si>
  <si>
    <t>Csögle</t>
  </si>
  <si>
    <t>Nagypirit</t>
  </si>
  <si>
    <t>Egeralja</t>
  </si>
  <si>
    <t>Pápa</t>
  </si>
  <si>
    <t>Mezőlak</t>
  </si>
  <si>
    <t>Pápa-borsosgyör</t>
  </si>
  <si>
    <t>Nyárád</t>
  </si>
  <si>
    <t>Mihályháza</t>
  </si>
  <si>
    <t>Mezölak</t>
  </si>
  <si>
    <t>Békás</t>
  </si>
  <si>
    <t>Kemeneshőgyész</t>
  </si>
  <si>
    <t>Magyargencs</t>
  </si>
  <si>
    <t>Kemenesszentpéter</t>
  </si>
  <si>
    <t>Nagyacsád</t>
  </si>
  <si>
    <t>Nemesgörzsöny</t>
  </si>
  <si>
    <t>Egyházaskesző</t>
  </si>
  <si>
    <t>Marcaltő</t>
  </si>
  <si>
    <t>Marcaltö</t>
  </si>
  <si>
    <t>Malomsok</t>
  </si>
  <si>
    <t>Csikvánd</t>
  </si>
  <si>
    <t>Takácsi</t>
  </si>
  <si>
    <t>Vaszar</t>
  </si>
  <si>
    <t>Gecse</t>
  </si>
  <si>
    <t>Szerecseny</t>
  </si>
  <si>
    <t>Gyarmat</t>
  </si>
  <si>
    <t>Nagygyimót</t>
  </si>
  <si>
    <t>Vanyola</t>
  </si>
  <si>
    <t>Körösújfalu</t>
  </si>
  <si>
    <t>Körösnagyharsány</t>
  </si>
  <si>
    <t>Csabacsűd</t>
  </si>
  <si>
    <t xml:space="preserve">Csabaszabadi </t>
  </si>
  <si>
    <t>Békéscsaba-Gerla</t>
  </si>
  <si>
    <t>Medgyesbodzás-Gábortelep</t>
  </si>
  <si>
    <t xml:space="preserve">Medgyesegyháza  </t>
  </si>
  <si>
    <t>Békéscsaba-Mezőmegyer</t>
  </si>
  <si>
    <t>Gyula-József Attila szanatórium</t>
  </si>
  <si>
    <t>Gyula-Gyulavári</t>
  </si>
  <si>
    <t>Sarkad-Cukorgyár</t>
  </si>
  <si>
    <t>Lőkösháza</t>
  </si>
  <si>
    <t>Medgyesegyháza-Bánkút</t>
  </si>
  <si>
    <t>Orosháza-Rákóczitelep</t>
  </si>
  <si>
    <t>Orosháza-Gyopárosfürdő</t>
  </si>
  <si>
    <t>Orosháza-Szentetornya</t>
  </si>
  <si>
    <t>Kecskemét-Méntelek</t>
  </si>
  <si>
    <t>Kecskemét-Hetényegyháza</t>
  </si>
  <si>
    <t>Lajosmizse</t>
  </si>
  <si>
    <t xml:space="preserve">Felsőlajos </t>
  </si>
  <si>
    <t>ccm
851-
1150</t>
  </si>
  <si>
    <t>ccm
1151-
1500</t>
  </si>
  <si>
    <t>ccm
1501-
2000</t>
  </si>
  <si>
    <t>ccm
2001-
3000</t>
  </si>
  <si>
    <t>ccm
3000
felett</t>
  </si>
  <si>
    <t xml:space="preserve"> ccm
850-ig
</t>
  </si>
  <si>
    <t>agglomeráció</t>
  </si>
  <si>
    <t>Nógrád</t>
  </si>
  <si>
    <t>nincs</t>
  </si>
  <si>
    <t>díjkár1</t>
  </si>
  <si>
    <t>díjkár2</t>
  </si>
  <si>
    <t>díjkár3</t>
  </si>
  <si>
    <t>díjkár4</t>
  </si>
  <si>
    <t>5 m Ft alatt, összesített kárhányad 70 % felett</t>
  </si>
  <si>
    <t>5 m Ft felett, összesített kárhányad 70 % alatt</t>
  </si>
  <si>
    <t>5 m Ft felett, összesített kárhányad 70 % felett</t>
  </si>
  <si>
    <t>Kedvezmény</t>
  </si>
  <si>
    <t>Terület</t>
  </si>
  <si>
    <t>Szentendre</t>
  </si>
  <si>
    <t>Pilisszentlászló</t>
  </si>
  <si>
    <t>Budakalász</t>
  </si>
  <si>
    <t>Pomáz</t>
  </si>
  <si>
    <t>Csobánka</t>
  </si>
  <si>
    <t>Szigetmonostor</t>
  </si>
  <si>
    <t>Leányfalu</t>
  </si>
  <si>
    <t>Surány, Pócsmegyer</t>
  </si>
  <si>
    <t>Surányitelep</t>
  </si>
  <si>
    <t>Tahitótfalu, Tahi</t>
  </si>
  <si>
    <t>Tahitótfalu</t>
  </si>
  <si>
    <t>Dunabogdány</t>
  </si>
  <si>
    <t>Kisoroszi</t>
  </si>
  <si>
    <t>Visegrád</t>
  </si>
  <si>
    <t>Dömös</t>
  </si>
  <si>
    <t>Pilismarót</t>
  </si>
  <si>
    <t>Érd</t>
  </si>
  <si>
    <t>Érd-parkváros</t>
  </si>
  <si>
    <t>Érdliget</t>
  </si>
  <si>
    <t>Sóskút</t>
  </si>
  <si>
    <t>Pusztazámor</t>
  </si>
  <si>
    <t>Budaörs</t>
  </si>
  <si>
    <t>Törökbálint</t>
  </si>
  <si>
    <t>Diósd</t>
  </si>
  <si>
    <t>Biatorbágy</t>
  </si>
  <si>
    <t>Flotta alapdíjak</t>
  </si>
  <si>
    <t>Darabszámok NDK-n</t>
  </si>
  <si>
    <t>Kategória díjak</t>
  </si>
  <si>
    <t>Flotta alapdíj összesen:</t>
  </si>
  <si>
    <t>Összegzett szorzó kárhányad pótdajas ha nem Talanx, egyébként nem pótdíjas:</t>
  </si>
  <si>
    <t>Összegzett szorzó nem Talanx:</t>
  </si>
  <si>
    <t>Összegzett szorzó Talanx:</t>
  </si>
  <si>
    <t>POSTA</t>
  </si>
  <si>
    <t>Alsóörs</t>
  </si>
  <si>
    <t>Felsőörs</t>
  </si>
  <si>
    <t>Lovas Kishegy</t>
  </si>
  <si>
    <t>Paloznak</t>
  </si>
  <si>
    <t>Balatonfüred</t>
  </si>
  <si>
    <t>Három kedvezmény közül csak egy vehető igénybe, válasszuk a legnagyobbat:</t>
  </si>
  <si>
    <t>Gönyű</t>
  </si>
  <si>
    <t>Nagyszentjános</t>
  </si>
  <si>
    <t>Bőnyrétalap</t>
  </si>
  <si>
    <t>Rétalap</t>
  </si>
  <si>
    <t>Győrújbarát</t>
  </si>
  <si>
    <t>Nyúl</t>
  </si>
  <si>
    <t>Écs</t>
  </si>
  <si>
    <t>Győrság</t>
  </si>
  <si>
    <t>Pázmándfalu</t>
  </si>
  <si>
    <t>Töltéstava</t>
  </si>
  <si>
    <t>Pannonhalma</t>
  </si>
  <si>
    <t>Ravazd</t>
  </si>
  <si>
    <t>Tarjánpuszta</t>
  </si>
  <si>
    <t>Győrasszonyfa</t>
  </si>
  <si>
    <t>Tápszentmiklós</t>
  </si>
  <si>
    <t>Táp</t>
  </si>
  <si>
    <t>Nyalka</t>
  </si>
  <si>
    <t>Mezőörs</t>
  </si>
  <si>
    <t>Mindszentpuszta</t>
  </si>
  <si>
    <t>Pér</t>
  </si>
  <si>
    <t>Tét</t>
  </si>
  <si>
    <t>Tényő</t>
  </si>
  <si>
    <t>Sokorópátka</t>
  </si>
  <si>
    <t>Koroncó</t>
  </si>
  <si>
    <t>Győrszemere</t>
  </si>
  <si>
    <t>Felpéc</t>
  </si>
  <si>
    <t>Kajárpéc</t>
  </si>
  <si>
    <t>Gyömöre</t>
  </si>
  <si>
    <t>Mórichida</t>
  </si>
  <si>
    <t>Árpás</t>
  </si>
  <si>
    <t>Rábaszentmiklós</t>
  </si>
  <si>
    <t>Bodonhely</t>
  </si>
  <si>
    <t>Rábaszentmihály</t>
  </si>
  <si>
    <t>Rábacsécsény</t>
  </si>
  <si>
    <t>Ikrény</t>
  </si>
  <si>
    <t>Rábapatona</t>
  </si>
  <si>
    <t>Enese</t>
  </si>
  <si>
    <t>Kóny</t>
  </si>
  <si>
    <t>Bágyogszovát</t>
  </si>
  <si>
    <t>Rábapordány</t>
  </si>
  <si>
    <t>Dör</t>
  </si>
  <si>
    <t>Abda</t>
  </si>
  <si>
    <t>Börcs</t>
  </si>
  <si>
    <t>Öttevény</t>
  </si>
  <si>
    <t>Tab</t>
  </si>
  <si>
    <t>Gosztola</t>
  </si>
  <si>
    <t>Külsősárd</t>
  </si>
  <si>
    <t>Lendvadedes</t>
  </si>
  <si>
    <t>Gellénháza</t>
  </si>
  <si>
    <t>Nagylengyel</t>
  </si>
  <si>
    <t>Gombosszeg</t>
  </si>
  <si>
    <t>Iborfia</t>
  </si>
  <si>
    <t>Pórszombat</t>
  </si>
  <si>
    <t>Pusztaapáti</t>
  </si>
  <si>
    <t>Kálócfa</t>
  </si>
  <si>
    <t>Böde</t>
  </si>
  <si>
    <t>Hottó</t>
  </si>
  <si>
    <t>Bagod</t>
  </si>
  <si>
    <t>Boncodfölde</t>
  </si>
  <si>
    <t>Terény</t>
  </si>
  <si>
    <t>Szanda, Szandaváralja</t>
  </si>
  <si>
    <t>Mohora</t>
  </si>
  <si>
    <t>Szügy</t>
  </si>
  <si>
    <t>Cegléd</t>
  </si>
  <si>
    <t>Tápiószentmárton</t>
  </si>
  <si>
    <t>Nyársapát</t>
  </si>
  <si>
    <t>Csemő</t>
  </si>
  <si>
    <t>Pilis</t>
  </si>
  <si>
    <t>Nyáregyháza</t>
  </si>
  <si>
    <t>Újlengyel</t>
  </si>
  <si>
    <t>Albertirsa</t>
  </si>
  <si>
    <t>Dánszentmiklós</t>
  </si>
  <si>
    <t>Mikebuda</t>
  </si>
  <si>
    <t>Ceglédbercel</t>
  </si>
  <si>
    <t>Abony</t>
  </si>
  <si>
    <t>Köröstetétlen</t>
  </si>
  <si>
    <t>Jászkarajenő</t>
  </si>
  <si>
    <t>Törtel</t>
  </si>
  <si>
    <t>Nagykőrös</t>
  </si>
  <si>
    <t>Kocsér</t>
  </si>
  <si>
    <t>Nagykáta</t>
  </si>
  <si>
    <t>Tápióbicske</t>
  </si>
  <si>
    <t>Farmos</t>
  </si>
  <si>
    <t>Tápiószele</t>
  </si>
  <si>
    <t>Tápiógyörgye</t>
  </si>
  <si>
    <t>Újszilvás</t>
  </si>
  <si>
    <t>Tápiószőlős</t>
  </si>
  <si>
    <t>Tatabánya</t>
  </si>
  <si>
    <t>Gyermely</t>
  </si>
  <si>
    <t>Szomor</t>
  </si>
  <si>
    <t>Vértessomló</t>
  </si>
  <si>
    <t>Várgesztes</t>
  </si>
  <si>
    <t>Tarján</t>
  </si>
  <si>
    <t>Héreg</t>
  </si>
  <si>
    <t>Vértestolna</t>
  </si>
  <si>
    <t>Tardosbánya, Tardos</t>
  </si>
  <si>
    <t>Agostyán</t>
  </si>
  <si>
    <t>Baj</t>
  </si>
  <si>
    <t>Vértesszőlős</t>
  </si>
  <si>
    <t>Oroszlány</t>
  </si>
  <si>
    <t>Környe</t>
  </si>
  <si>
    <t>Kecskéd</t>
  </si>
  <si>
    <t>Kömlőd</t>
  </si>
  <si>
    <t>Dad</t>
  </si>
  <si>
    <t>Bokod</t>
  </si>
  <si>
    <t>Szákszend, Szák</t>
  </si>
  <si>
    <t>Császár</t>
  </si>
  <si>
    <t>Vérteskethely</t>
  </si>
  <si>
    <t>Bakonysárkány</t>
  </si>
  <si>
    <t>Aka</t>
  </si>
  <si>
    <t>Kisbér</t>
  </si>
  <si>
    <t>Hánta</t>
  </si>
  <si>
    <t>Ászár</t>
  </si>
  <si>
    <t>Kerékteleki</t>
  </si>
  <si>
    <t>Bársonyos</t>
  </si>
  <si>
    <t>Bakonyszombathely</t>
  </si>
  <si>
    <t>Bakonybánk</t>
  </si>
  <si>
    <t>Réde</t>
  </si>
  <si>
    <t>Ácsteszér</t>
  </si>
  <si>
    <t>Csatka</t>
  </si>
  <si>
    <t>Súr</t>
  </si>
  <si>
    <t>Tata</t>
  </si>
  <si>
    <t>Szomód</t>
  </si>
  <si>
    <t>Dunaszentmiklós</t>
  </si>
  <si>
    <t>Kocs</t>
  </si>
  <si>
    <t>Naszály</t>
  </si>
  <si>
    <t>Komárom</t>
  </si>
  <si>
    <t>Komárom Koppánymonostor</t>
  </si>
  <si>
    <t>Mocsa</t>
  </si>
  <si>
    <t>Komárom Szőny</t>
  </si>
  <si>
    <t>Almásfüzitő-felső</t>
  </si>
  <si>
    <t>Ács</t>
  </si>
  <si>
    <t>Nagyigmánd</t>
  </si>
  <si>
    <t>Bábolna</t>
  </si>
  <si>
    <t>Bana</t>
  </si>
  <si>
    <t>Tárkány</t>
  </si>
  <si>
    <t>Csép</t>
  </si>
  <si>
    <t>Ete</t>
  </si>
  <si>
    <t>Kisigmánd</t>
  </si>
  <si>
    <t>Csém</t>
  </si>
  <si>
    <t>Hatvan, Kerekharaszt</t>
  </si>
  <si>
    <t>Kerekharaszt</t>
  </si>
  <si>
    <t>Heréd</t>
  </si>
  <si>
    <t>Nagykökényes</t>
  </si>
  <si>
    <t>Ecséd</t>
  </si>
  <si>
    <t>Darabszám*díj</t>
  </si>
  <si>
    <t>Darabszám NDK-n</t>
  </si>
  <si>
    <t>Kis TGK díj összesen:</t>
  </si>
  <si>
    <t>C+ tábla flottái</t>
  </si>
  <si>
    <t>F13263991</t>
  </si>
  <si>
    <t>F13264015</t>
  </si>
  <si>
    <t>F13264031</t>
  </si>
  <si>
    <t>F13263965</t>
  </si>
  <si>
    <t>F13263728</t>
  </si>
  <si>
    <t>F13263817</t>
  </si>
  <si>
    <t>F13264821</t>
  </si>
  <si>
    <t>F13264260</t>
  </si>
  <si>
    <t>C+</t>
  </si>
  <si>
    <t>Választott flotta:</t>
  </si>
  <si>
    <t>Egyéb azonosítós flotta</t>
  </si>
  <si>
    <t xml:space="preserve">   -Amennyiben igen, kérjük adja meg a díjszorzót!</t>
  </si>
  <si>
    <t>Hányadik oszlopból vegye az alapdíjat?
(Lila keretes tábla)</t>
  </si>
  <si>
    <t>C+ tábla szorzói</t>
  </si>
  <si>
    <t>Flotta díja összesen:</t>
  </si>
  <si>
    <t>Nem flotta azonosítós flottadíj:</t>
  </si>
  <si>
    <t>Flotta azonosítós flottadíj:</t>
  </si>
  <si>
    <t>Melyik szerepeljen az NDK-n?</t>
  </si>
  <si>
    <t>Baracs</t>
  </si>
  <si>
    <t>Baracs Apátszállás</t>
  </si>
  <si>
    <t>Kisapostag</t>
  </si>
  <si>
    <t>Perkáta</t>
  </si>
  <si>
    <t>Szabadegyháza</t>
  </si>
  <si>
    <t>Sárosd</t>
  </si>
  <si>
    <t>Hantos</t>
  </si>
  <si>
    <t>Nagylók</t>
  </si>
  <si>
    <t>Százhalombatta</t>
  </si>
  <si>
    <t xml:space="preserve">Ercsi, Sinatelep </t>
  </si>
  <si>
    <t>Ercsi</t>
  </si>
  <si>
    <t>Iváncsa</t>
  </si>
  <si>
    <t>Besnyő</t>
  </si>
  <si>
    <t>Adony</t>
  </si>
  <si>
    <t>Kulcs</t>
  </si>
  <si>
    <t>Rácalmás</t>
  </si>
  <si>
    <t>Tárnok</t>
  </si>
  <si>
    <t>Martonvásár</t>
  </si>
  <si>
    <t>Tordas</t>
  </si>
  <si>
    <t>Gyúró</t>
  </si>
  <si>
    <t>Ráckeresztúr</t>
  </si>
  <si>
    <t>Baracska</t>
  </si>
  <si>
    <t>Kajászó</t>
  </si>
  <si>
    <t>Union területek:</t>
  </si>
  <si>
    <t>Terület 1</t>
  </si>
  <si>
    <t>Túl hosszú képlet miatt segédszámok:</t>
  </si>
  <si>
    <t>1008-2111</t>
  </si>
  <si>
    <t>2117-2461</t>
  </si>
  <si>
    <t>2000-2141</t>
  </si>
  <si>
    <t>2151-2360</t>
  </si>
  <si>
    <t>Terület 2</t>
  </si>
  <si>
    <t>2045-4246</t>
  </si>
  <si>
    <t>4400-8909</t>
  </si>
  <si>
    <t>Terület 3</t>
  </si>
  <si>
    <t>Terület 4</t>
  </si>
  <si>
    <t>Union irányítószámok</t>
  </si>
  <si>
    <t>Terület kód</t>
  </si>
  <si>
    <t>Terület 5</t>
  </si>
  <si>
    <t>UNION KÉRDÉSEK:</t>
  </si>
  <si>
    <t>100 DB FELETT</t>
  </si>
  <si>
    <t>Választott:</t>
  </si>
  <si>
    <t>Bérgépkocsi (napi bérlet)?</t>
  </si>
  <si>
    <t>Taxi?</t>
  </si>
  <si>
    <t>Használat jellege:</t>
  </si>
  <si>
    <t>Teáor szorzó:</t>
  </si>
  <si>
    <t>UNIQA KEDVEZMÉNY (+) / PÓTDÍJ (-)</t>
  </si>
  <si>
    <t>Pótkocsi 10t felett</t>
  </si>
  <si>
    <t>Pótkocsi &gt;0,75-10t</t>
  </si>
  <si>
    <t>Pótkocsi ismeretlen kategória</t>
  </si>
  <si>
    <t>MKP 0-12 kW</t>
  </si>
  <si>
    <t>Somodor</t>
  </si>
  <si>
    <t>Somogygeszti</t>
  </si>
  <si>
    <t>Mernyeszentmiklós</t>
  </si>
  <si>
    <t>Ecseny</t>
  </si>
  <si>
    <t>Polány</t>
  </si>
  <si>
    <t>Toponár</t>
  </si>
  <si>
    <t>Patalom</t>
  </si>
  <si>
    <t>Ráksi</t>
  </si>
  <si>
    <t>Szentgáloskér</t>
  </si>
  <si>
    <t>Zimány</t>
  </si>
  <si>
    <t>Szentbalázs</t>
  </si>
  <si>
    <t>Kaposgyarmat</t>
  </si>
  <si>
    <t>Zselicszentpál</t>
  </si>
  <si>
    <t>Bőszénfa</t>
  </si>
  <si>
    <t>Kaposszerdahely</t>
  </si>
  <si>
    <t>Zselickisfalud</t>
  </si>
  <si>
    <t>Bárdudvarnok</t>
  </si>
  <si>
    <t>Sántos</t>
  </si>
  <si>
    <t>Nagyatád</t>
  </si>
  <si>
    <t>Ötvöskónyi</t>
  </si>
  <si>
    <t>Mike</t>
  </si>
  <si>
    <t>Rinyaszentkirály</t>
  </si>
  <si>
    <t>Tarany</t>
  </si>
  <si>
    <t>Somogyudvarhely</t>
  </si>
  <si>
    <r>
      <t>SZGK</t>
    </r>
    <r>
      <rPr>
        <b/>
        <sz val="10"/>
        <color indexed="57"/>
        <rFont val="Arial Black"/>
        <family val="2"/>
        <charset val="238"/>
      </rPr>
      <t xml:space="preserve"> </t>
    </r>
  </si>
  <si>
    <t>Díjcsökkentők soronként:</t>
  </si>
  <si>
    <t>Díjcsökkentők összesen:</t>
  </si>
  <si>
    <t>Díjcsökk összeg ker:</t>
  </si>
  <si>
    <t>Összeg szorzók kal ker nélkül:</t>
  </si>
  <si>
    <t>SZGK kat összdíj:</t>
  </si>
  <si>
    <t>db  KÖBE tgk 3,5-12t</t>
  </si>
  <si>
    <t>3,5t-ig alapdíjak összege:</t>
  </si>
  <si>
    <t>3,5-12t közt MAX alapdíj összeg:</t>
  </si>
  <si>
    <t>KÖBE flotta szorzó mint fent</t>
  </si>
  <si>
    <t>TGK kat szorzó 12t-ig:</t>
  </si>
  <si>
    <t>Szozókkal:</t>
  </si>
  <si>
    <t>Kerekítve:</t>
  </si>
  <si>
    <t>3,5t-ig össz:</t>
  </si>
  <si>
    <t>3,5-12t össz:</t>
  </si>
  <si>
    <t>MAX:</t>
  </si>
  <si>
    <t>12t felett MAX alapdíj összeg:</t>
  </si>
  <si>
    <t>TGK kat szorzó 12t felett:</t>
  </si>
  <si>
    <t>12t felett össz:</t>
  </si>
  <si>
    <t>KÖBE TGK teherbírás</t>
  </si>
  <si>
    <t>db KÖBE 12t felett</t>
  </si>
  <si>
    <t>Díjcsökkentők</t>
  </si>
  <si>
    <r>
      <t xml:space="preserve">Új szerződői pótdíj </t>
    </r>
    <r>
      <rPr>
        <sz val="8"/>
        <rFont val="Arial"/>
        <family val="2"/>
        <charset val="238"/>
      </rPr>
      <t>(Kockázatviselés kezdete 2010 december 31 utáni) (TGK &gt;12t;vontató;pótkocsi &gt;0,75t)</t>
    </r>
  </si>
  <si>
    <t>Teáor meg van adva?</t>
  </si>
  <si>
    <t>Irányító</t>
  </si>
  <si>
    <t>Város</t>
  </si>
  <si>
    <t xml:space="preserve">Pomáz </t>
  </si>
  <si>
    <t>Szigetmonostor és Horány</t>
  </si>
  <si>
    <t>Hagyárosbörönd</t>
  </si>
  <si>
    <t>Kávás</t>
  </si>
  <si>
    <t>Keménfa</t>
  </si>
  <si>
    <t>Ozmánbük</t>
  </si>
  <si>
    <t>Csöde</t>
  </si>
  <si>
    <t>Győr-Bácsa</t>
  </si>
  <si>
    <t>Győr-Győrszentiván</t>
  </si>
  <si>
    <t>Győr-Ménfőcsanak</t>
  </si>
  <si>
    <t>Győr-Gyirmót</t>
  </si>
  <si>
    <t>Kisbajcs</t>
  </si>
  <si>
    <t>Bőny</t>
  </si>
  <si>
    <t>Mezőörs-Mindszentpuszta</t>
  </si>
  <si>
    <t>Kisbabot</t>
  </si>
  <si>
    <t>Mérges</t>
  </si>
  <si>
    <t>Lébény és Lébénymiklós</t>
  </si>
  <si>
    <t>Cakóháza</t>
  </si>
  <si>
    <t>71-79kW</t>
  </si>
  <si>
    <t>Ha ez 1 akkor a teáort írja, egyébként hibaüzenet.</t>
  </si>
  <si>
    <t>Segédszámítások AL73 alatt!</t>
  </si>
  <si>
    <t>Haszn1</t>
  </si>
  <si>
    <t>851-1150</t>
  </si>
  <si>
    <t>1151-1500</t>
  </si>
  <si>
    <t>1501-2000</t>
  </si>
  <si>
    <t>2001-3000</t>
  </si>
  <si>
    <t>KÉRJÜK, A FEHÉR MEZŐKBEN A LEGÖRDÜLŐ VÁLASZOKKAL VÁLASZOLJON A KÉRDÉSEKRE MINDEN BIZTOSÍTÓNÁL!</t>
  </si>
  <si>
    <t>12. táblából</t>
  </si>
  <si>
    <t>Pótkocsi &gt;10t maximum:</t>
  </si>
  <si>
    <t>Kiemeltet keres:</t>
  </si>
  <si>
    <t>Ha egyezik:</t>
  </si>
  <si>
    <t>Első vagy 2ik oszlop:</t>
  </si>
  <si>
    <t>Nyésta</t>
  </si>
  <si>
    <t>Selyeb</t>
  </si>
  <si>
    <t>Homrogd</t>
  </si>
  <si>
    <t>Monaj</t>
  </si>
  <si>
    <t>Abaújlak</t>
  </si>
  <si>
    <t>Gadna</t>
  </si>
  <si>
    <t>Büttös</t>
  </si>
  <si>
    <t>Kány</t>
  </si>
  <si>
    <t>Keresztéte</t>
  </si>
  <si>
    <t>Krasznokvajda</t>
  </si>
  <si>
    <t>Pamlény</t>
  </si>
  <si>
    <t>Perecse</t>
  </si>
  <si>
    <t>Szászfa</t>
  </si>
  <si>
    <t>Debréte</t>
  </si>
  <si>
    <t>Rakaca</t>
  </si>
  <si>
    <t>Viszló</t>
  </si>
  <si>
    <t>Beret</t>
  </si>
  <si>
    <t>Detek</t>
  </si>
  <si>
    <t>Alsógagy</t>
  </si>
  <si>
    <t>Csenyéte</t>
  </si>
  <si>
    <t>Felsőgagy</t>
  </si>
  <si>
    <t>Gagyapáti</t>
  </si>
  <si>
    <t>Pócsmegyer</t>
  </si>
  <si>
    <t>Győr-Moson-Sopron</t>
  </si>
  <si>
    <t>Tokod</t>
  </si>
  <si>
    <t>Almásfüzitő</t>
  </si>
  <si>
    <t>Mezőkeresztes</t>
  </si>
  <si>
    <t>Gávavencsellő</t>
  </si>
  <si>
    <t>Móricgát</t>
  </si>
  <si>
    <t>Orfű</t>
  </si>
  <si>
    <t>MEGYE</t>
  </si>
  <si>
    <t>TELEPÜLÉS</t>
  </si>
  <si>
    <t>IRÁNYÍTÓ</t>
  </si>
  <si>
    <t>Melyik megyébe tartozik?</t>
  </si>
  <si>
    <t>Megyék:</t>
  </si>
  <si>
    <t>Alkalmazott szorzó:</t>
  </si>
  <si>
    <t>Választott megye szorzó:</t>
  </si>
  <si>
    <t>TEÁOR aktuális:</t>
  </si>
  <si>
    <t>BM db szám Allianz</t>
  </si>
  <si>
    <t>BM db szám Posta</t>
  </si>
  <si>
    <t>BM db szám K&amp;H</t>
  </si>
  <si>
    <t>NEM ÉVES</t>
  </si>
  <si>
    <t>Megye:</t>
  </si>
  <si>
    <r>
      <t>Korrekciós szorzóval</t>
    </r>
    <r>
      <rPr>
        <sz val="12"/>
        <color indexed="9"/>
        <rFont val="Garamond"/>
        <family val="1"/>
        <charset val="238"/>
      </rPr>
      <t xml:space="preserve"> számol!</t>
    </r>
  </si>
  <si>
    <t>Korrekciós szorzós díj</t>
  </si>
  <si>
    <r>
      <t xml:space="preserve">Korrekciós szorzó értéke, ha van: </t>
    </r>
    <r>
      <rPr>
        <i/>
        <sz val="10"/>
        <color indexed="60"/>
        <rFont val="Arial"/>
        <family val="2"/>
        <charset val="238"/>
      </rPr>
      <t>(Ha</t>
    </r>
    <r>
      <rPr>
        <b/>
        <i/>
        <sz val="10"/>
        <color indexed="60"/>
        <rFont val="Arial"/>
        <family val="2"/>
        <charset val="238"/>
      </rPr>
      <t xml:space="preserve"> </t>
    </r>
    <r>
      <rPr>
        <i/>
        <sz val="10"/>
        <color indexed="60"/>
        <rFont val="Arial"/>
        <family val="2"/>
        <charset val="238"/>
      </rPr>
      <t>nincs, legyen nulla, vagy hagyja üresen a mezőt!)</t>
    </r>
  </si>
  <si>
    <t>Sorokpolány</t>
  </si>
  <si>
    <t>Üzemeltetési pótdíj válasz:</t>
  </si>
  <si>
    <t>Tibolddaróc</t>
  </si>
  <si>
    <t>Kács</t>
  </si>
  <si>
    <t>Sály</t>
  </si>
  <si>
    <t>Borsodgeszt</t>
  </si>
  <si>
    <t>Vatta</t>
  </si>
  <si>
    <t>Emőd</t>
  </si>
  <si>
    <t>Nyékládháza</t>
  </si>
  <si>
    <t>Mályi</t>
  </si>
  <si>
    <t>Mezőkeresztes, Csincse</t>
  </si>
  <si>
    <t>Csincse</t>
  </si>
  <si>
    <t>Mezőnagymihály</t>
  </si>
  <si>
    <t>Gelej</t>
  </si>
  <si>
    <t>Mezőcsát</t>
  </si>
  <si>
    <t>Gádoros</t>
  </si>
  <si>
    <t>Tótkomlós</t>
  </si>
  <si>
    <t>Kardoskút</t>
  </si>
  <si>
    <t>Békéssámson</t>
  </si>
  <si>
    <t>Kaszaper</t>
  </si>
  <si>
    <t>Flottaszorzó válasz:</t>
  </si>
  <si>
    <t>Troli díj nulla!</t>
  </si>
  <si>
    <t>Troli és 4 kerekű SMK díj nulla!</t>
  </si>
  <si>
    <t>Áru, bér, személy száll válasz:</t>
  </si>
  <si>
    <t>Ha igen, akkor a flottanagyság szorzónál TEÁOR miatt nincs kivételezés.</t>
  </si>
  <si>
    <t>Személyszállítással, áru-, vagy bérfuvarozással foglalkozik?</t>
  </si>
  <si>
    <t>Flottakezelés?</t>
  </si>
  <si>
    <t>Válaszok:</t>
  </si>
  <si>
    <t>Szorzók:</t>
  </si>
  <si>
    <t>Érvényes?</t>
  </si>
  <si>
    <t>Ha nincs:</t>
  </si>
  <si>
    <t>Válasz érték:</t>
  </si>
  <si>
    <t>A három maximuma, vagy ha egyik sem él akkor 1:</t>
  </si>
  <si>
    <t>Flottanyaság*Terület*BHasználati mód*haszénlati mód*Fizgyak*jEgyüttbizt</t>
  </si>
  <si>
    <t>Áru-bér-személyszáll válasz:</t>
  </si>
  <si>
    <t>Tárnokréti</t>
  </si>
  <si>
    <t>Bősárkány</t>
  </si>
  <si>
    <t>Acsalag</t>
  </si>
  <si>
    <t>Maglóca</t>
  </si>
  <si>
    <t>Győrújfalu</t>
  </si>
  <si>
    <t>Győrzámoly</t>
  </si>
  <si>
    <t>Győrladamér</t>
  </si>
  <si>
    <t>Dunaszeg</t>
  </si>
  <si>
    <t>Dunaszentpál</t>
  </si>
  <si>
    <t>Mecsér</t>
  </si>
  <si>
    <t>Ásványráró</t>
  </si>
  <si>
    <t>Hédervár</t>
  </si>
  <si>
    <t>Novákpuszta</t>
  </si>
  <si>
    <t>Károlyháza</t>
  </si>
  <si>
    <t>Mosonújhely</t>
  </si>
  <si>
    <t>Kunsziget</t>
  </si>
  <si>
    <t>Mosonmagyaróvár</t>
  </si>
  <si>
    <t>Feketeerdő</t>
  </si>
  <si>
    <t>Levél</t>
  </si>
  <si>
    <t>Hegyeshalom</t>
  </si>
  <si>
    <t>Bezenye</t>
  </si>
  <si>
    <t>Rajka</t>
  </si>
  <si>
    <t>Dunakiliti</t>
  </si>
  <si>
    <t>Dunasziget</t>
  </si>
  <si>
    <t>Halászi</t>
  </si>
  <si>
    <t>Máriakálnok</t>
  </si>
  <si>
    <t>Darnózseli</t>
  </si>
  <si>
    <t>Lipót</t>
  </si>
  <si>
    <t>Kisbodak</t>
  </si>
  <si>
    <t>Püski</t>
  </si>
  <si>
    <t>Jánossomorja</t>
  </si>
  <si>
    <t>Várbalog</t>
  </si>
  <si>
    <t>Újrónafő</t>
  </si>
  <si>
    <t>Mosonszolnok</t>
  </si>
  <si>
    <t>Csorna-Farád</t>
  </si>
  <si>
    <t>Pásztori</t>
  </si>
  <si>
    <t>Szilsárkány</t>
  </si>
  <si>
    <t>Rábacsanak</t>
  </si>
  <si>
    <t>Egyed</t>
  </si>
  <si>
    <t>Sobor</t>
  </si>
  <si>
    <t>Rábaszentandrás</t>
  </si>
  <si>
    <t>Szany</t>
  </si>
  <si>
    <t>Borsodszentgyörgy</t>
  </si>
  <si>
    <t>Szentsimon</t>
  </si>
  <si>
    <t>Hangony</t>
  </si>
  <si>
    <t>Domaháza, Kissikátor</t>
  </si>
  <si>
    <t>Putnok</t>
  </si>
  <si>
    <t>Dubicsány</t>
  </si>
  <si>
    <t>Sajógalgóc, Vadna</t>
  </si>
  <si>
    <t>Nagybarca</t>
  </si>
  <si>
    <t>Bánhorváti</t>
  </si>
  <si>
    <t>Dédestapolcsány</t>
  </si>
  <si>
    <t>Tardona</t>
  </si>
  <si>
    <t>Baglad</t>
  </si>
  <si>
    <t>Lendvajakabfa</t>
  </si>
  <si>
    <t>Belsősárd</t>
  </si>
  <si>
    <t>Vizslás</t>
  </si>
  <si>
    <t>Nagykeresztúr, Lucfalva</t>
  </si>
  <si>
    <t>Sóshartyán</t>
  </si>
  <si>
    <t>Nógrádmegyer</t>
  </si>
  <si>
    <t>Magyargéc</t>
  </si>
  <si>
    <t>Piliny</t>
  </si>
  <si>
    <t>Szécsényfelfalu</t>
  </si>
  <si>
    <t>Etes</t>
  </si>
  <si>
    <t>Karancsberény</t>
  </si>
  <si>
    <t>Ipolytarnóc</t>
  </si>
  <si>
    <t>Zagyvaróna</t>
  </si>
  <si>
    <t>Mátraszele</t>
  </si>
  <si>
    <t>Mátranovák</t>
  </si>
  <si>
    <t>Mátraterenye, Homokterenye, Mátraterenye-homoktere</t>
  </si>
  <si>
    <t>AEGON</t>
  </si>
  <si>
    <t>Mátraterenye</t>
  </si>
  <si>
    <t>Mátraterenye-nádujfalu</t>
  </si>
  <si>
    <t>Tótkomlós-pszölös</t>
  </si>
  <si>
    <t>Kecskemét</t>
  </si>
  <si>
    <t>Méntelek</t>
  </si>
  <si>
    <t>Szentkirály</t>
  </si>
  <si>
    <t>Nyárlőrinc</t>
  </si>
  <si>
    <t>Városföld</t>
  </si>
  <si>
    <t>Helvécia</t>
  </si>
  <si>
    <t>Ballószög</t>
  </si>
  <si>
    <t>Szgk 51-70 kW
Pl. ez főkategória, mindig kitöltendő!</t>
  </si>
  <si>
    <t>Szgk 71-100 kW
Ez is főkategória, mindig kitöltendő!</t>
  </si>
  <si>
    <t>Polgár</t>
  </si>
  <si>
    <t>Berettyóújfalu-Berettyószentmárton</t>
  </si>
  <si>
    <t xml:space="preserve">Ártánd </t>
  </si>
  <si>
    <t xml:space="preserve">Told </t>
  </si>
  <si>
    <t>Szerep-Hosszúhát</t>
  </si>
  <si>
    <t>Hajdúböszörmény-Bodaszőlő</t>
  </si>
  <si>
    <t>Nyíradony-Tamásipuszta</t>
  </si>
  <si>
    <t>Nyíradony-Aradványpuszta</t>
  </si>
  <si>
    <t>Létavértes-Nagyléta</t>
  </si>
  <si>
    <t>Létavértes-Vértes</t>
  </si>
  <si>
    <t xml:space="preserve">Papos </t>
  </si>
  <si>
    <t>Nyíregyháza-Borbánya</t>
  </si>
  <si>
    <t>Nyíregyháza-Jósaváros</t>
  </si>
  <si>
    <t>Wabard szorzók</t>
  </si>
  <si>
    <t>Cserhátszentiván, Bokor, Kutasó</t>
  </si>
  <si>
    <t>Felsőtold, Garáb</t>
  </si>
  <si>
    <t>Mátraszőlős</t>
  </si>
  <si>
    <t>Alsótold</t>
  </si>
  <si>
    <t>Bátonyterenye-Nagybátony</t>
  </si>
  <si>
    <t>Bátonyterenye</t>
  </si>
  <si>
    <t>Tar</t>
  </si>
  <si>
    <t>Sámsonháza</t>
  </si>
  <si>
    <t>Kisbárkány, Márkháza, Nagybárkány</t>
  </si>
  <si>
    <t>Mátraverebély</t>
  </si>
  <si>
    <t>Bátonyterenye-Kisterenye</t>
  </si>
  <si>
    <t>Salgótarján</t>
  </si>
  <si>
    <t>Zagyvapálfalva</t>
  </si>
  <si>
    <t>Salgóbánya</t>
  </si>
  <si>
    <t>Somoskőújfalu</t>
  </si>
  <si>
    <t>Cered</t>
  </si>
  <si>
    <t>Zabar</t>
  </si>
  <si>
    <t>Szilaspogony</t>
  </si>
  <si>
    <t>Bárna</t>
  </si>
  <si>
    <t>Kazár</t>
  </si>
  <si>
    <t>Kazár-mizserfa</t>
  </si>
  <si>
    <t>Bátonyterenye-Rákóczitelep</t>
  </si>
  <si>
    <t>Nemti</t>
  </si>
  <si>
    <t>Dorogháza</t>
  </si>
  <si>
    <t>Szuha</t>
  </si>
  <si>
    <t>Mátramindszent</t>
  </si>
  <si>
    <t>Kishartyán</t>
  </si>
  <si>
    <t>Ságújfalu</t>
  </si>
  <si>
    <t>Karancsság, Szalmatercs</t>
  </si>
  <si>
    <t>Endrefalva</t>
  </si>
  <si>
    <t>Szécsény</t>
  </si>
  <si>
    <t>Nagylóc</t>
  </si>
  <si>
    <t>Hollókő</t>
  </si>
  <si>
    <t>Rimóc</t>
  </si>
  <si>
    <t>Varsány</t>
  </si>
  <si>
    <t>Nógrádsipek</t>
  </si>
  <si>
    <t>Karancsalja</t>
  </si>
  <si>
    <t>Karancslapujtő</t>
  </si>
  <si>
    <t>Karancskeszi</t>
  </si>
  <si>
    <t>Mihálygerge</t>
  </si>
  <si>
    <t>Mályinka</t>
  </si>
  <si>
    <t>Nekézseny</t>
  </si>
  <si>
    <t>Csokvaomány</t>
  </si>
  <si>
    <t>Sárvár</t>
  </si>
  <si>
    <t>Sárvár (Rábasömjén)</t>
  </si>
  <si>
    <t>Sárvár (Lánkapuszta)</t>
  </si>
  <si>
    <t>Csénye</t>
  </si>
  <si>
    <t>Porpác</t>
  </si>
  <si>
    <t>Ölbő</t>
  </si>
  <si>
    <t>Szeleste</t>
  </si>
  <si>
    <t>Répceszentgyörgy</t>
  </si>
  <si>
    <t>Chernelházadamonya</t>
  </si>
  <si>
    <t>Gór</t>
  </si>
  <si>
    <t>Zsédeny</t>
  </si>
  <si>
    <t>Sajtoskál</t>
  </si>
  <si>
    <t>Simaság</t>
  </si>
  <si>
    <t>Lócs</t>
  </si>
  <si>
    <t>Pósfa</t>
  </si>
  <si>
    <t>Rábapaty</t>
  </si>
  <si>
    <t>Jákfa</t>
  </si>
  <si>
    <t>Uraiújfalu</t>
  </si>
  <si>
    <t>Nick</t>
  </si>
  <si>
    <t>Répcelak</t>
  </si>
  <si>
    <t>Csánig</t>
  </si>
  <si>
    <t>Vasegerszeg</t>
  </si>
  <si>
    <t>Tompaládony</t>
  </si>
  <si>
    <t>Nemesládony</t>
  </si>
  <si>
    <t>Nagygeresd</t>
  </si>
  <si>
    <t>Vámoscsalád</t>
  </si>
  <si>
    <t>Sitke</t>
  </si>
  <si>
    <t>Gérce</t>
  </si>
  <si>
    <t>Választott Tevékenység:</t>
  </si>
  <si>
    <t>Alapdíj*tev szorzó:</t>
  </si>
  <si>
    <t>NDK jmű számok:</t>
  </si>
  <si>
    <r>
      <t>GPS</t>
    </r>
    <r>
      <rPr>
        <sz val="10"/>
        <rFont val="Arial"/>
        <family val="2"/>
        <charset val="238"/>
      </rPr>
      <t xml:space="preserve"> van az SZGK,TGK,Vontatók, Autóbuszok 80%-ában?</t>
    </r>
  </si>
  <si>
    <r>
      <t>CAR Policy</t>
    </r>
    <r>
      <rPr>
        <sz val="10"/>
        <rFont val="Arial"/>
        <family val="2"/>
        <charset val="238"/>
      </rPr>
      <t xml:space="preserve"> kedvezménynek megfelel?</t>
    </r>
  </si>
  <si>
    <t>CAR Policy szorzó:</t>
  </si>
  <si>
    <t>Kárgyakoriság</t>
  </si>
  <si>
    <t>Kérjük válasszon!</t>
  </si>
  <si>
    <t>Jármű díja szorzókkal:</t>
  </si>
  <si>
    <t>Jmű db számmal szorozva:</t>
  </si>
  <si>
    <t>Korrekciós szorzóval számol!</t>
  </si>
  <si>
    <t>Tevékenységes</t>
  </si>
  <si>
    <t>Szennyeződésmentesítés, egyéb hulladékkezelés</t>
  </si>
  <si>
    <t>Egyik sem</t>
  </si>
  <si>
    <t>Kárhányad 80% felett</t>
  </si>
  <si>
    <t>Főtevékenység:</t>
  </si>
  <si>
    <t>Válaszottt kár:</t>
  </si>
  <si>
    <t>Nap választott:</t>
  </si>
  <si>
    <t>tartam választott:</t>
  </si>
  <si>
    <t>Tartam:</t>
  </si>
  <si>
    <t>Napfény:</t>
  </si>
  <si>
    <t>Limitált összes:</t>
  </si>
  <si>
    <t>Új cég kedv:</t>
  </si>
  <si>
    <t>Kedv:</t>
  </si>
  <si>
    <t>Új szerz szorzó:</t>
  </si>
  <si>
    <t>szorzó</t>
  </si>
  <si>
    <t>Hibás szgk járműszám!</t>
  </si>
  <si>
    <t>Körösszegapáti</t>
  </si>
  <si>
    <t>Körösszakál</t>
  </si>
  <si>
    <t>Magyarhomorog</t>
  </si>
  <si>
    <t>Komádi</t>
  </si>
  <si>
    <t>Furta</t>
  </si>
  <si>
    <t>Zsáka</t>
  </si>
  <si>
    <t>Vekerd</t>
  </si>
  <si>
    <t>Darvas</t>
  </si>
  <si>
    <t>Csökmő</t>
  </si>
  <si>
    <t>Újiráz</t>
  </si>
  <si>
    <t>Püspökladány</t>
  </si>
  <si>
    <t>Báránd</t>
  </si>
  <si>
    <t>Hosszúhát</t>
  </si>
  <si>
    <t>Szerep</t>
  </si>
  <si>
    <t>Bakonszeg</t>
  </si>
  <si>
    <t>Sárrétudvari</t>
  </si>
  <si>
    <t>Vásárosbéc</t>
  </si>
  <si>
    <t>Csertő</t>
  </si>
  <si>
    <t>Szulimán</t>
  </si>
  <si>
    <t>Almamellék</t>
  </si>
  <si>
    <t>Ibafa</t>
  </si>
  <si>
    <t>Szentlászló</t>
  </si>
  <si>
    <t>Boldogasszonyfa</t>
  </si>
  <si>
    <t>Terecseny</t>
  </si>
  <si>
    <t>Szentlőrinc</t>
  </si>
  <si>
    <t>Szabadszentkirály</t>
  </si>
  <si>
    <t>Velény</t>
  </si>
  <si>
    <t>Királyegyháza</t>
  </si>
  <si>
    <t>Magyartelek</t>
  </si>
  <si>
    <t>Sumony</t>
  </si>
  <si>
    <t>Okorág</t>
  </si>
  <si>
    <t>Kákics</t>
  </si>
  <si>
    <t>Sósvertike</t>
  </si>
  <si>
    <t>Nagycsány</t>
  </si>
  <si>
    <t>Drávasztára</t>
  </si>
  <si>
    <t>Bogdása</t>
  </si>
  <si>
    <t>Markóc</t>
  </si>
  <si>
    <t>Felsőszentmárton</t>
  </si>
  <si>
    <t>Hobol</t>
  </si>
  <si>
    <t>Pettend</t>
  </si>
  <si>
    <t>Várad</t>
  </si>
  <si>
    <t>Kétújfalu</t>
  </si>
  <si>
    <t>Zádor</t>
  </si>
  <si>
    <t>Potony</t>
  </si>
  <si>
    <t>Drávatamási</t>
  </si>
  <si>
    <t>Tótszentgyörgy</t>
  </si>
  <si>
    <t>Nagydobsza</t>
  </si>
  <si>
    <t>Kisdobsza</t>
  </si>
  <si>
    <t>Istvándi</t>
  </si>
  <si>
    <t>Darány</t>
  </si>
  <si>
    <t>Székesfehérvár</t>
  </si>
  <si>
    <t>Székesfehérvár pfü</t>
  </si>
  <si>
    <t>Székesfehérvár-Börgöndpuszta</t>
  </si>
  <si>
    <t>Csór</t>
  </si>
  <si>
    <t>Moha</t>
  </si>
  <si>
    <t>Iszkaszentgyörgy</t>
  </si>
  <si>
    <t>Kincsesbánya</t>
  </si>
  <si>
    <t>Isztimér</t>
  </si>
  <si>
    <t>Bakonykúti</t>
  </si>
  <si>
    <t>Sárkeresztes</t>
  </si>
  <si>
    <t>Fehérvárcsurgó</t>
  </si>
  <si>
    <t>Bodajk</t>
  </si>
  <si>
    <t>Balinka (Eszény)</t>
  </si>
  <si>
    <t>Balinka</t>
  </si>
  <si>
    <t>Bakonycsernye</t>
  </si>
  <si>
    <t>Mór</t>
  </si>
  <si>
    <t>Nagyveleg</t>
  </si>
  <si>
    <t>Pusztavám</t>
  </si>
  <si>
    <t>Magyaralmás</t>
  </si>
  <si>
    <t>Söréd</t>
  </si>
  <si>
    <t>Csákberény</t>
  </si>
  <si>
    <t>Csókakő</t>
  </si>
  <si>
    <t>Bodmér</t>
  </si>
  <si>
    <t>Zámoly</t>
  </si>
  <si>
    <t>Gánt</t>
  </si>
  <si>
    <t>Csákvár</t>
  </si>
  <si>
    <t>Korrekciós szorzóval számol! Többi kérdést nem kell megválaszolni!</t>
  </si>
  <si>
    <t>Kercaszomor</t>
  </si>
  <si>
    <t>Velemér</t>
  </si>
  <si>
    <t>Rátót</t>
  </si>
  <si>
    <t>Gasztony</t>
  </si>
  <si>
    <t>Vasszentmihály</t>
  </si>
  <si>
    <t>Rönök</t>
  </si>
  <si>
    <t>Flottanagyságtól függő szorzó</t>
  </si>
  <si>
    <t>5-10 DB</t>
  </si>
  <si>
    <t>11-30 DB</t>
  </si>
  <si>
    <t>Gjmű számból eredő szorzó:</t>
  </si>
  <si>
    <t>Jelenleg az NDK főlapon megadott járműszám:</t>
  </si>
  <si>
    <t>Szerződő által üzemeltetett járművek száma?</t>
  </si>
  <si>
    <t>B Használati módtól függő szorzó</t>
  </si>
  <si>
    <t>Többi igaz-e?</t>
  </si>
  <si>
    <t>Szerződő egyház, költségvetési intézmény, vagy egyéb TEÁOR kóddal nem rendelkező?</t>
  </si>
  <si>
    <t>Egyház stb válasz:</t>
  </si>
  <si>
    <t>Teáor alapján adódó szorzó:</t>
  </si>
  <si>
    <t>Teáor szám alapján 1-es szorzó kell?</t>
  </si>
  <si>
    <t>Teáorral felülvizsgált flotanagyság szorzó:</t>
  </si>
  <si>
    <t>Egyházasgerge</t>
  </si>
  <si>
    <t>Litke</t>
  </si>
  <si>
    <t>Nógrádszakál</t>
  </si>
  <si>
    <t>Ludányhalászi</t>
  </si>
  <si>
    <t>Gyöngyös</t>
  </si>
  <si>
    <t>Gyöngyösoroszi</t>
  </si>
  <si>
    <t>Gyöngyöshalász</t>
  </si>
  <si>
    <t>Atkár</t>
  </si>
  <si>
    <t>Nagyréde</t>
  </si>
  <si>
    <r>
      <t>0,7 egyéb:</t>
    </r>
    <r>
      <rPr>
        <sz val="10"/>
        <color indexed="10"/>
        <rFont val="Arial"/>
        <family val="2"/>
        <charset val="238"/>
      </rPr>
      <t xml:space="preserve"> ???</t>
    </r>
  </si>
  <si>
    <t>Kárgyakoriság 0-5% között volt?</t>
  </si>
  <si>
    <t>Alapdíj</t>
  </si>
  <si>
    <t>Normál
Alapdíj flottaszorzóval:</t>
  </si>
  <si>
    <t>Minimál díjjal össze vetve</t>
  </si>
  <si>
    <t>Normál díjak kategóriánként:</t>
  </si>
  <si>
    <t>Egyéb jmű normál összesen:</t>
  </si>
  <si>
    <t>Bérgép díj flotta szorzóval</t>
  </si>
  <si>
    <t>Bérgép jármű szám</t>
  </si>
  <si>
    <t>Bérgép kat díj</t>
  </si>
  <si>
    <t>Egyéb jmű Bérgép díj összesen:</t>
  </si>
  <si>
    <t>Nemz fuv minimál díjjal össze vetve</t>
  </si>
  <si>
    <t>NEMZ fuvarozós díj flotta szorzóval</t>
  </si>
  <si>
    <t>Nemz fuv díj kategó riánként</t>
  </si>
  <si>
    <t>Nemz fuv járműszám</t>
  </si>
  <si>
    <t>Nemz fuv összdíj:</t>
  </si>
  <si>
    <t>Flottaszorzós összdíj:</t>
  </si>
  <si>
    <t>Egyéb összesen:</t>
  </si>
  <si>
    <t>Flotta összdíj:</t>
  </si>
  <si>
    <t>Normál Díj területi szorzóval (
2014: 2 tábla) és flotta szorzóval</t>
  </si>
  <si>
    <t>Választott Tevékenység szorzó</t>
  </si>
  <si>
    <t>Korrekciós szorzó:</t>
  </si>
  <si>
    <t>Ófehértó</t>
  </si>
  <si>
    <t>Baktalórántháza</t>
  </si>
  <si>
    <t>Vaja</t>
  </si>
  <si>
    <t>Rohod</t>
  </si>
  <si>
    <t>Nyírmada</t>
  </si>
  <si>
    <t>Pusztadobos</t>
  </si>
  <si>
    <t>Ilk</t>
  </si>
  <si>
    <t>Gemzse</t>
  </si>
  <si>
    <t>Kisvárda</t>
  </si>
  <si>
    <t>Jéke</t>
  </si>
  <si>
    <t>Fényeslitke</t>
  </si>
  <si>
    <t>Komoró</t>
  </si>
  <si>
    <t>Tuzsér</t>
  </si>
  <si>
    <t>Tiszabezdéd</t>
  </si>
  <si>
    <t>Záhony</t>
  </si>
  <si>
    <t>Zsurk</t>
  </si>
  <si>
    <t>Tiszaszentmárton</t>
  </si>
  <si>
    <t>Pap</t>
  </si>
  <si>
    <t>Nyírlövő</t>
  </si>
  <si>
    <t>Lövőpetri</t>
  </si>
  <si>
    <t>Aranyosapáti</t>
  </si>
  <si>
    <t>Újkenéz</t>
  </si>
  <si>
    <t>Mezőladány</t>
  </si>
  <si>
    <t>Tornyospálca</t>
  </si>
  <si>
    <t>Benk</t>
  </si>
  <si>
    <t>Mándok</t>
  </si>
  <si>
    <t>Tiszamogyorós</t>
  </si>
  <si>
    <t>Eperjeske</t>
  </si>
  <si>
    <t>Mátészalka</t>
  </si>
  <si>
    <t>Szamoskér</t>
  </si>
  <si>
    <t>Nyírmeggyes</t>
  </si>
  <si>
    <t>Tunyogmatolcs</t>
  </si>
  <si>
    <t>Cégénydányád</t>
  </si>
  <si>
    <t>Gyügye</t>
  </si>
  <si>
    <t>Szamosújlak</t>
  </si>
  <si>
    <t>Szamossályi</t>
  </si>
  <si>
    <t>Kisnamény</t>
  </si>
  <si>
    <t>Jánkmajtis</t>
  </si>
  <si>
    <t>Csegöld</t>
  </si>
  <si>
    <t>Csengersima</t>
  </si>
  <si>
    <t>Szamosbecs</t>
  </si>
  <si>
    <t>Szamostatárfalva</t>
  </si>
  <si>
    <t>Kocsord</t>
  </si>
  <si>
    <t>Győrtelek</t>
  </si>
  <si>
    <t>Fülpösdaróc</t>
  </si>
  <si>
    <t>Géberjén</t>
  </si>
  <si>
    <t>Ököritófülpös</t>
  </si>
  <si>
    <t>Rápolt</t>
  </si>
  <si>
    <t>Porcsalma</t>
  </si>
  <si>
    <t>Tyukod</t>
  </si>
  <si>
    <t>Ura</t>
  </si>
  <si>
    <t>Csengerújfalu</t>
  </si>
  <si>
    <t>Csenger</t>
  </si>
  <si>
    <t>Pátyod</t>
  </si>
  <si>
    <t>Szamosangyalos</t>
  </si>
  <si>
    <t>Vásárosnamény</t>
  </si>
  <si>
    <t>Gergelyiugornya</t>
  </si>
  <si>
    <t>Vásárosnamény-Vitka</t>
  </si>
  <si>
    <t>Kisvarsány</t>
  </si>
  <si>
    <t>Nagyvarsány</t>
  </si>
  <si>
    <t>Gyüre</t>
  </si>
  <si>
    <t>Ópályi</t>
  </si>
  <si>
    <t>Nyírparasznya</t>
  </si>
  <si>
    <t>Nagydobos</t>
  </si>
  <si>
    <t>Szamosszeg</t>
  </si>
  <si>
    <t>Olcsva</t>
  </si>
  <si>
    <t>Tiszaszalka</t>
  </si>
  <si>
    <t>Tiszavid</t>
  </si>
  <si>
    <t>Tiszaadony</t>
  </si>
  <si>
    <t>Tiszakerecseny</t>
  </si>
  <si>
    <t>Mátyus</t>
  </si>
  <si>
    <t>Lónya</t>
  </si>
  <si>
    <t>Jánd</t>
  </si>
  <si>
    <t>Gulács</t>
  </si>
  <si>
    <t>Hetefejércse</t>
  </si>
  <si>
    <t>Csaroda</t>
  </si>
  <si>
    <t>Tákos</t>
  </si>
  <si>
    <t>Fehérgyarmat</t>
  </si>
  <si>
    <t>Nábrád</t>
  </si>
  <si>
    <t>Kérsemjén</t>
  </si>
  <si>
    <t>Panyola</t>
  </si>
  <si>
    <t>Olcsvaapáti</t>
  </si>
  <si>
    <t>Kisar</t>
  </si>
  <si>
    <t>Nagyar</t>
  </si>
  <si>
    <t>Tarpa</t>
  </si>
  <si>
    <t>Márokpapi</t>
  </si>
  <si>
    <t>Beregsurány</t>
  </si>
  <si>
    <t>Beregaradi</t>
  </si>
  <si>
    <t>Gelénes</t>
  </si>
  <si>
    <t>Vámosatya</t>
  </si>
  <si>
    <t>Barabás</t>
  </si>
  <si>
    <t>Penyige</t>
  </si>
  <si>
    <t>Mánd</t>
  </si>
  <si>
    <t>Kömörő</t>
  </si>
  <si>
    <t>Túristvándi</t>
  </si>
  <si>
    <t>Szatmárcseke</t>
  </si>
  <si>
    <t>Tiszakóród</t>
  </si>
  <si>
    <r>
      <t xml:space="preserve">Nagyügyfél kedvezményre jogosult?               </t>
    </r>
    <r>
      <rPr>
        <i/>
        <sz val="10"/>
        <color indexed="17"/>
        <rFont val="Arial"/>
        <family val="2"/>
        <charset val="238"/>
      </rPr>
      <t>Kurzort a mezőre hozva megjelenik az infó!</t>
    </r>
  </si>
  <si>
    <t>10%</t>
  </si>
  <si>
    <t>5%</t>
  </si>
  <si>
    <t>Mosonudvar</t>
  </si>
  <si>
    <t>GP listán teáor nem szerepel:</t>
  </si>
  <si>
    <t>GENERALI NEM ISMERI!</t>
  </si>
  <si>
    <t>Baranyahídvég</t>
  </si>
  <si>
    <t>Kisszentmárton</t>
  </si>
  <si>
    <t>Kórós</t>
  </si>
  <si>
    <t>Cún</t>
  </si>
  <si>
    <t>Drávapiski</t>
  </si>
  <si>
    <t>Kémes</t>
  </si>
  <si>
    <t>Szaporca</t>
  </si>
  <si>
    <t>Drávacsepely</t>
  </si>
  <si>
    <t>Drávaszerdahely</t>
  </si>
  <si>
    <t>Ipacsfa</t>
  </si>
  <si>
    <t>Szigetvár</t>
  </si>
  <si>
    <t>Nagypeterd</t>
  </si>
  <si>
    <t>Nagyváty</t>
  </si>
  <si>
    <t>Bánfa</t>
  </si>
  <si>
    <t>Katádfa</t>
  </si>
  <si>
    <t>Dencsháza</t>
  </si>
  <si>
    <t>Tisztaberek</t>
  </si>
  <si>
    <t>Rozsály</t>
  </si>
  <si>
    <t>Gacsály</t>
  </si>
  <si>
    <t>Császló</t>
  </si>
  <si>
    <t>Zajta</t>
  </si>
  <si>
    <t>Méhtelek</t>
  </si>
  <si>
    <t>Garbolc</t>
  </si>
  <si>
    <t>Kishódos</t>
  </si>
  <si>
    <t>Szolnok</t>
  </si>
  <si>
    <t>Szolnok pfü</t>
  </si>
  <si>
    <t>Szandaszőlős</t>
  </si>
  <si>
    <t>Zagyvarékas</t>
  </si>
  <si>
    <t>Újszász</t>
  </si>
  <si>
    <t>Szászberek</t>
  </si>
  <si>
    <t>Jászalsószentgyörgy</t>
  </si>
  <si>
    <t>Jászladány</t>
  </si>
  <si>
    <t>Tiszasüly</t>
  </si>
  <si>
    <t>Kötelek</t>
  </si>
  <si>
    <t>A0</t>
  </si>
  <si>
    <t>M3</t>
  </si>
  <si>
    <t>M4</t>
  </si>
  <si>
    <t>NEM NYÚJTOK BE PONTOS KÁRELŐZMÉNYT</t>
  </si>
  <si>
    <t>KÁRHÁNYAD &gt;149%</t>
  </si>
  <si>
    <t>KÁRHÁNYAD 125% - 149%</t>
  </si>
  <si>
    <t>KÁRHÁNYAD 100% - 124%</t>
  </si>
  <si>
    <t>Választott</t>
  </si>
  <si>
    <t>KÁRHÁNYAD 90% - 99%</t>
  </si>
  <si>
    <t>Lakócsa</t>
  </si>
  <si>
    <t>Szentborbás</t>
  </si>
  <si>
    <t>Somogyapáti</t>
  </si>
  <si>
    <t>Patapoklosi</t>
  </si>
  <si>
    <t>Magyarlukafa</t>
  </si>
  <si>
    <t>Almáskeresztúr</t>
  </si>
  <si>
    <t>Mozsgó</t>
  </si>
  <si>
    <t>Csebény</t>
  </si>
  <si>
    <t>Horváthertelend</t>
  </si>
  <si>
    <t>Csonkamindszent</t>
  </si>
  <si>
    <t>Kacsóta</t>
  </si>
  <si>
    <t>Gerde</t>
  </si>
  <si>
    <t>Pécsbagota</t>
  </si>
  <si>
    <t>Gilvánfa</t>
  </si>
  <si>
    <t>Gyöngyfa</t>
  </si>
  <si>
    <t>Kisasszonyfa</t>
  </si>
  <si>
    <t>Magyarmecske</t>
  </si>
  <si>
    <t xml:space="preserve">Okorág </t>
  </si>
  <si>
    <t xml:space="preserve">Kákics </t>
  </si>
  <si>
    <t>Drávaiványi</t>
  </si>
  <si>
    <t>Marócsa</t>
  </si>
  <si>
    <t>Sellye</t>
  </si>
  <si>
    <t>Csányoszró</t>
  </si>
  <si>
    <t>Drávafok</t>
  </si>
  <si>
    <t>Drávakeresztúr</t>
  </si>
  <si>
    <t>Gyöngyösmellék</t>
  </si>
  <si>
    <t>Bürüs</t>
  </si>
  <si>
    <t>Endrőc</t>
  </si>
  <si>
    <t>Teklafalu</t>
  </si>
  <si>
    <t>Szörény</t>
  </si>
  <si>
    <t>Drávagárdony</t>
  </si>
  <si>
    <t>Kastélyosdombó</t>
  </si>
  <si>
    <t>Kistamási</t>
  </si>
  <si>
    <t>Merenye</t>
  </si>
  <si>
    <t>Molvány</t>
  </si>
  <si>
    <t>Nemeske</t>
  </si>
  <si>
    <t>Székesfehérvár-Börgönd</t>
  </si>
  <si>
    <t>Balinka-Eszény</t>
  </si>
  <si>
    <t>Várpalota-Inotai Erőmű</t>
  </si>
  <si>
    <t>Káloz</t>
  </si>
  <si>
    <t>Szerződő a Klebelsberg Intézményfenntartó Központ (KLIK) alá tartozik, vagy 2013-ban KLIK alá tartozott és tevékenysége nem változik?</t>
  </si>
  <si>
    <t>KLIK válasz:</t>
  </si>
  <si>
    <r>
      <t xml:space="preserve">Szerződő egyedi flotta azonosítója megtalálható a hirdetmény </t>
    </r>
    <r>
      <rPr>
        <b/>
        <sz val="10"/>
        <rFont val="Arial"/>
        <family val="2"/>
        <charset val="238"/>
      </rPr>
      <t xml:space="preserve">F </t>
    </r>
    <r>
      <rPr>
        <sz val="10"/>
        <rFont val="Arial"/>
        <family val="2"/>
        <charset val="238"/>
      </rPr>
      <t>jelű</t>
    </r>
    <r>
      <rPr>
        <sz val="10"/>
        <rFont val="Arial"/>
        <charset val="238"/>
      </rPr>
      <t xml:space="preserve"> táblázatában?</t>
    </r>
  </si>
  <si>
    <t>Irányítás (I) válasz:</t>
  </si>
  <si>
    <t>Irányítás(I) szorzó:</t>
  </si>
  <si>
    <t>F vagy I
táblákból</t>
  </si>
  <si>
    <t>adódó
szorzó:</t>
  </si>
  <si>
    <r>
      <t xml:space="preserve">Szerződő, vagy vele valamilyen </t>
    </r>
    <r>
      <rPr>
        <b/>
        <sz val="10"/>
        <rFont val="Arial"/>
        <family val="2"/>
        <charset val="238"/>
      </rPr>
      <t>irányítási</t>
    </r>
    <r>
      <rPr>
        <sz val="10"/>
        <rFont val="Arial"/>
        <charset val="238"/>
      </rPr>
      <t xml:space="preserve"> viszonyban lévő partnere megtalálható a hirdetmény</t>
    </r>
    <r>
      <rPr>
        <b/>
        <sz val="10"/>
        <rFont val="Arial"/>
        <family val="2"/>
        <charset val="238"/>
      </rPr>
      <t xml:space="preserve"> I </t>
    </r>
    <r>
      <rPr>
        <sz val="10"/>
        <rFont val="Arial"/>
        <family val="2"/>
        <charset val="238"/>
      </rPr>
      <t>jelű</t>
    </r>
    <r>
      <rPr>
        <sz val="10"/>
        <rFont val="Arial"/>
        <charset val="238"/>
      </rPr>
      <t xml:space="preserve"> táblázatában ?                                                        </t>
    </r>
    <r>
      <rPr>
        <i/>
        <sz val="10"/>
        <color indexed="16"/>
        <rFont val="Arial"/>
        <family val="2"/>
        <charset val="238"/>
      </rPr>
      <t>(Fuvarozós cégek…)</t>
    </r>
  </si>
  <si>
    <r>
      <t xml:space="preserve">Megadott </t>
    </r>
    <r>
      <rPr>
        <b/>
        <sz val="10"/>
        <rFont val="Arial"/>
        <family val="2"/>
        <charset val="238"/>
      </rPr>
      <t>F</t>
    </r>
    <r>
      <rPr>
        <sz val="10"/>
        <rFont val="Arial"/>
        <family val="2"/>
      </rPr>
      <t xml:space="preserve"> díjszorzó KÉRD-eken:</t>
    </r>
  </si>
  <si>
    <t>F flotta válasz:</t>
  </si>
  <si>
    <t>F flotta szorzó:</t>
  </si>
  <si>
    <t>HALLÓ!   NEM LEHET EGYSZERRE "F" táblás és "I" táblás is !!!</t>
  </si>
  <si>
    <t>Itt balra Space.</t>
  </si>
  <si>
    <t>CAR Policy válasz:</t>
  </si>
  <si>
    <t>Jármű darabszám NDK-n:</t>
  </si>
  <si>
    <t>C1 és C2 közül melyiket alkalmazzuk:</t>
  </si>
  <si>
    <t>Jármű db szám NDK-n:</t>
  </si>
  <si>
    <r>
      <t xml:space="preserve">Alap díjak C tábla 
</t>
    </r>
    <r>
      <rPr>
        <b/>
        <sz val="8"/>
        <color indexed="12"/>
        <rFont val="Arial"/>
        <family val="2"/>
      </rPr>
      <t>(nem F táblás)
választott C1 és C2 közül</t>
    </r>
  </si>
  <si>
    <t>Jármű db szám:</t>
  </si>
  <si>
    <t>TGK és PÓT  veszélyes anyag pótszorzó:</t>
  </si>
  <si>
    <t>B8-B10
közt</t>
  </si>
  <si>
    <t>B2-B7
közt</t>
  </si>
  <si>
    <t>BÓNUSZ KEDVEZMÉNY SZÁMÍTÁSA</t>
  </si>
  <si>
    <t>Tiszakeszi</t>
  </si>
  <si>
    <t>Igrici</t>
  </si>
  <si>
    <t>Egerlövő</t>
  </si>
  <si>
    <t>Borsodivánka</t>
  </si>
  <si>
    <t>Négyes</t>
  </si>
  <si>
    <t>Tiszavalk</t>
  </si>
  <si>
    <t>Tiszabábolna</t>
  </si>
  <si>
    <t>Tiszadorogma</t>
  </si>
  <si>
    <t>Ároktő</t>
  </si>
  <si>
    <t>Miskolc</t>
  </si>
  <si>
    <t>Miskolc-Diósgyőr, Hejőcsaba</t>
  </si>
  <si>
    <t>Bükkszentlászló</t>
  </si>
  <si>
    <t>Diósgyőr</t>
  </si>
  <si>
    <t>Lillafüred</t>
  </si>
  <si>
    <t>Miskolc-Pereces</t>
  </si>
  <si>
    <t>Miskolc Tapolcafürdő</t>
  </si>
  <si>
    <t>Szirma</t>
  </si>
  <si>
    <t>Ónod</t>
  </si>
  <si>
    <t>Muhi</t>
  </si>
  <si>
    <t>Kistokaj</t>
  </si>
  <si>
    <t>Bükkaranyos</t>
  </si>
  <si>
    <t>Harsány</t>
  </si>
  <si>
    <t>Kisgyőr</t>
  </si>
  <si>
    <t>Bükkszentkereszt</t>
  </si>
  <si>
    <t>Répáshuta</t>
  </si>
  <si>
    <t>Felsőzsolca</t>
  </si>
  <si>
    <t>Onga</t>
  </si>
  <si>
    <t>Hernádkak</t>
  </si>
  <si>
    <t>Hernádnémeti</t>
  </si>
  <si>
    <t>Tiszalúc</t>
  </si>
  <si>
    <t>Alsózsolca</t>
  </si>
  <si>
    <t>Sajólád</t>
  </si>
  <si>
    <t>Sajópetri</t>
  </si>
  <si>
    <t>Bőcs</t>
  </si>
  <si>
    <t>Berzék</t>
  </si>
  <si>
    <t>Sajóhidvég</t>
  </si>
  <si>
    <t>Köröm</t>
  </si>
  <si>
    <t>Kiscsécs, Girincs</t>
  </si>
  <si>
    <t>Szgk 71-85 kW</t>
  </si>
  <si>
    <t>1500-ig</t>
  </si>
  <si>
    <t>3001-től</t>
  </si>
  <si>
    <t>Szgk 86-100 kW</t>
  </si>
  <si>
    <t>Szgk 101-115 kW</t>
  </si>
  <si>
    <t>Szgk 116-150 kW</t>
  </si>
  <si>
    <t>2000-ig</t>
  </si>
  <si>
    <t>Szgk 151-180  kW</t>
  </si>
  <si>
    <t>Szgk 180kW felett</t>
  </si>
  <si>
    <t>TEHERAUTÓK</t>
  </si>
  <si>
    <t>3,5t-ig</t>
  </si>
  <si>
    <t>3,5-12t közt</t>
  </si>
  <si>
    <t>6t-ig</t>
  </si>
  <si>
    <t>6-10t közt</t>
  </si>
  <si>
    <t>10t felett</t>
  </si>
  <si>
    <t>12t felett</t>
  </si>
  <si>
    <t>10t-ig</t>
  </si>
  <si>
    <t>Össztömeg:</t>
  </si>
  <si>
    <t>Teherbírás:</t>
  </si>
  <si>
    <t>POSTA: 51-56 kW</t>
  </si>
  <si>
    <t>Flottaszámok 2016:</t>
  </si>
  <si>
    <t>Egyedi díjtábla egyes flottákhoz
2016</t>
  </si>
  <si>
    <t>Troli, SMK és 4 kerekű SMK díj nulla!</t>
  </si>
  <si>
    <t>Farád</t>
  </si>
  <si>
    <t>Rábatamási</t>
  </si>
  <si>
    <t>Jobaháza</t>
  </si>
  <si>
    <t>Potyond</t>
  </si>
  <si>
    <t>Sopronnémeti</t>
  </si>
  <si>
    <r>
      <t xml:space="preserve">1450ig UNION 
</t>
    </r>
    <r>
      <rPr>
        <sz val="10"/>
        <rFont val="Arial"/>
        <family val="2"/>
        <charset val="238"/>
      </rPr>
      <t>Kötelező megadni!</t>
    </r>
  </si>
  <si>
    <t>Normál, vagy Tömegközlekedési busz</t>
  </si>
  <si>
    <t>Megkülönböztető jelzésű</t>
  </si>
  <si>
    <t>Átutalás</t>
  </si>
  <si>
    <t>Szil</t>
  </si>
  <si>
    <t>Vág</t>
  </si>
  <si>
    <t>Kapuvár</t>
  </si>
  <si>
    <t>Öntésmajor</t>
  </si>
  <si>
    <t>Kisfalud</t>
  </si>
  <si>
    <t>Mihályi</t>
  </si>
  <si>
    <t>Vica</t>
  </si>
  <si>
    <t>Rábakecöl</t>
  </si>
  <si>
    <t>Páli</t>
  </si>
  <si>
    <t>Zsebeháza</t>
  </si>
  <si>
    <t>Babót</t>
  </si>
  <si>
    <t>Veszkény</t>
  </si>
  <si>
    <t>Szárföld</t>
  </si>
  <si>
    <t>Osli</t>
  </si>
  <si>
    <t>Hövej</t>
  </si>
  <si>
    <t>Himod</t>
  </si>
  <si>
    <t>Gyóró</t>
  </si>
  <si>
    <t>Cirák</t>
  </si>
  <si>
    <t>Dénesfa</t>
  </si>
  <si>
    <t>Vitnyéd</t>
  </si>
  <si>
    <t>Csapod</t>
  </si>
  <si>
    <t>Pusztacsalád</t>
  </si>
  <si>
    <t>Iván</t>
  </si>
  <si>
    <t>Répceszemere</t>
  </si>
  <si>
    <t>Sopron</t>
  </si>
  <si>
    <t>Sopronkőhida</t>
  </si>
  <si>
    <t>Brennbergbánya</t>
  </si>
  <si>
    <t>Fertőrákos</t>
  </si>
  <si>
    <t>Harka</t>
  </si>
  <si>
    <t>Ágfalva</t>
  </si>
  <si>
    <t>Nyárliget</t>
  </si>
  <si>
    <t>Fertőd (Tőzeggyármajor)</t>
  </si>
  <si>
    <r>
      <t xml:space="preserve">GROUPAMA GARANCIA
</t>
    </r>
    <r>
      <rPr>
        <sz val="12"/>
        <color indexed="42"/>
        <rFont val="Garamond"/>
        <family val="1"/>
        <charset val="238"/>
      </rPr>
      <t>Irányítószám alapján számol.</t>
    </r>
  </si>
  <si>
    <t>Terület 1-3 ir számok:</t>
  </si>
  <si>
    <t>És BP:</t>
  </si>
  <si>
    <t>Groupama</t>
  </si>
  <si>
    <t>Legyen 1, ha Ter 1-3, egyébként 2.</t>
  </si>
  <si>
    <t>Groupama tevékenység csoportok 2011:</t>
  </si>
  <si>
    <t>Tev1</t>
  </si>
  <si>
    <t>Tev2</t>
  </si>
  <si>
    <t>Tev2 részek</t>
  </si>
  <si>
    <t>Tev3</t>
  </si>
  <si>
    <t>GENERALI 2013</t>
  </si>
  <si>
    <t>Kódja</t>
  </si>
  <si>
    <t>1</t>
  </si>
  <si>
    <t>2</t>
  </si>
  <si>
    <t>3</t>
  </si>
  <si>
    <t>4</t>
  </si>
  <si>
    <t>5</t>
  </si>
  <si>
    <t>6</t>
  </si>
  <si>
    <t>7</t>
  </si>
  <si>
    <t>9</t>
  </si>
  <si>
    <t>GP
Irányítószámhoz tarozó kód</t>
  </si>
  <si>
    <t>64-70kW</t>
  </si>
  <si>
    <t>51-63kW</t>
  </si>
  <si>
    <t>Különbség:</t>
  </si>
  <si>
    <t>Dalmand</t>
  </si>
  <si>
    <t>Kocsola</t>
  </si>
  <si>
    <t>Szakcs</t>
  </si>
  <si>
    <t>Várong</t>
  </si>
  <si>
    <t>Nak</t>
  </si>
  <si>
    <t>Dúzs</t>
  </si>
  <si>
    <t>Csibrák</t>
  </si>
  <si>
    <t>Kurd</t>
  </si>
  <si>
    <t>Gyulaj</t>
  </si>
  <si>
    <t>Döbrököz</t>
  </si>
  <si>
    <t>Kapospula</t>
  </si>
  <si>
    <t>Attala</t>
  </si>
  <si>
    <t>Szabadi</t>
  </si>
  <si>
    <t>Nagyberki</t>
  </si>
  <si>
    <t>Kercseliget</t>
  </si>
  <si>
    <t>Mosdós</t>
  </si>
  <si>
    <t>Baté</t>
  </si>
  <si>
    <t>Kaposkeresztúr</t>
  </si>
  <si>
    <t>Taszár</t>
  </si>
  <si>
    <t>Fonó</t>
  </si>
  <si>
    <t>Gölle (Inámpuszta)</t>
  </si>
  <si>
    <t>Büssü</t>
  </si>
  <si>
    <t>Kazsok</t>
  </si>
  <si>
    <t>Igal</t>
  </si>
  <si>
    <t>Somogyszil</t>
  </si>
  <si>
    <t>Gadács</t>
  </si>
  <si>
    <t>Kisgyalán</t>
  </si>
  <si>
    <t>Kisbárapáti</t>
  </si>
  <si>
    <t>Fiad</t>
  </si>
  <si>
    <t>Somogyacsa</t>
  </si>
  <si>
    <t>Somogydöröcske</t>
  </si>
  <si>
    <t>Törökkoppány</t>
  </si>
  <si>
    <t>Miklósi</t>
  </si>
  <si>
    <t>Komló</t>
  </si>
  <si>
    <t>Mánfa</t>
  </si>
  <si>
    <t>Mecsekpölöske</t>
  </si>
  <si>
    <t>Komló-gesztenyés</t>
  </si>
  <si>
    <t>Komló-szilvás</t>
  </si>
  <si>
    <t>Liget</t>
  </si>
  <si>
    <t>Magyaregregy</t>
  </si>
  <si>
    <t>Vékény</t>
  </si>
  <si>
    <t>Szalatnak</t>
  </si>
  <si>
    <t>Csikóstőttős</t>
  </si>
  <si>
    <t>Mágocs</t>
  </si>
  <si>
    <t>Nagyhajmás</t>
  </si>
  <si>
    <t>Mekényes</t>
  </si>
  <si>
    <t>Alsómocsolád</t>
  </si>
  <si>
    <t>Bikal</t>
  </si>
  <si>
    <t>Egyházaskozár</t>
  </si>
  <si>
    <t>Tófű</t>
  </si>
  <si>
    <t>Szászvár</t>
  </si>
  <si>
    <t>Mázaszászvár</t>
  </si>
  <si>
    <t>Györe</t>
  </si>
  <si>
    <t>Izmény</t>
  </si>
  <si>
    <t>Váralja</t>
  </si>
  <si>
    <t>Nagymányok</t>
  </si>
  <si>
    <t>Kismányok</t>
  </si>
  <si>
    <t>Jágónak</t>
  </si>
  <si>
    <t>Kaposszekcső</t>
  </si>
  <si>
    <t>Vásárosdombó</t>
  </si>
  <si>
    <t>Vázsnok</t>
  </si>
  <si>
    <t>Tékes</t>
  </si>
  <si>
    <t>Tormás</t>
  </si>
  <si>
    <t>Baranyajenő</t>
  </si>
  <si>
    <t>Gödre</t>
  </si>
  <si>
    <t>Gödre (Gödrekeresztúr)</t>
  </si>
  <si>
    <t>Mindszentgodisa</t>
  </si>
  <si>
    <t>Bakóca</t>
  </si>
  <si>
    <t>Magyarhertelend</t>
  </si>
  <si>
    <t>Magyarszék</t>
  </si>
  <si>
    <t>Kaposvár</t>
  </si>
  <si>
    <t>Juta</t>
  </si>
  <si>
    <t>Hetes</t>
  </si>
  <si>
    <t>Mezőcsokonya</t>
  </si>
  <si>
    <t>Somogysárd</t>
  </si>
  <si>
    <t>Újvárfalva</t>
  </si>
  <si>
    <t>Bodrog</t>
  </si>
  <si>
    <t>Magyaregres</t>
  </si>
  <si>
    <t>Várda</t>
  </si>
  <si>
    <t>Somogyjád</t>
  </si>
  <si>
    <t>Márkó</t>
  </si>
  <si>
    <t>Hárskút</t>
  </si>
  <si>
    <t>Bánd</t>
  </si>
  <si>
    <t>Szentgál</t>
  </si>
  <si>
    <t>Városlőd</t>
  </si>
  <si>
    <t>Kislőd</t>
  </si>
  <si>
    <t>Páty</t>
  </si>
  <si>
    <t>Zsámbék</t>
  </si>
  <si>
    <t>Tök</t>
  </si>
  <si>
    <t>Perbál</t>
  </si>
  <si>
    <t>Pilisjászfalu</t>
  </si>
  <si>
    <t>Piliscsaba</t>
  </si>
  <si>
    <t>Solymár</t>
  </si>
  <si>
    <t>Pilisszentiván</t>
  </si>
  <si>
    <t>Pilisvörösvár</t>
  </si>
  <si>
    <t>Tinnye</t>
  </si>
  <si>
    <t>Telki</t>
  </si>
  <si>
    <t>Remeteszőlős</t>
  </si>
  <si>
    <t>Etyek</t>
  </si>
  <si>
    <t>Budakeszi</t>
  </si>
  <si>
    <t>Budajenő</t>
  </si>
  <si>
    <t xml:space="preserve">Nagykovácsi, Remeteszőlős </t>
  </si>
  <si>
    <t>Pilisszántó</t>
  </si>
  <si>
    <t>Üröm</t>
  </si>
  <si>
    <t>Pilisborosjenő</t>
  </si>
  <si>
    <t>Pilisszentkereszt</t>
  </si>
  <si>
    <t>Dobogókő</t>
  </si>
  <si>
    <t>Gödöllő</t>
  </si>
  <si>
    <t>Szada</t>
  </si>
  <si>
    <t>Veresegyház</t>
  </si>
  <si>
    <t>Erdőkertes</t>
  </si>
  <si>
    <t>Valkó</t>
  </si>
  <si>
    <t>Vácszentlászló</t>
  </si>
  <si>
    <t>Zsámbok</t>
  </si>
  <si>
    <t>Isaszeg</t>
  </si>
  <si>
    <t>Dány</t>
  </si>
  <si>
    <t>Pécel</t>
  </si>
  <si>
    <t>Dunakeszi</t>
  </si>
  <si>
    <t>Göd</t>
  </si>
  <si>
    <t>Göd-Felső</t>
  </si>
  <si>
    <t xml:space="preserve">Sződ, Sződliget,  </t>
  </si>
  <si>
    <t>Sződ</t>
  </si>
  <si>
    <t>Csörög</t>
  </si>
  <si>
    <t>Csömör</t>
  </si>
  <si>
    <t>Nagytarcsa</t>
  </si>
  <si>
    <t>Kerepestarcsa, Kistarcsa</t>
  </si>
  <si>
    <t>Kerepes, Szilasliget</t>
  </si>
  <si>
    <t>Kerepes</t>
  </si>
  <si>
    <t>Mogyoród</t>
  </si>
  <si>
    <t>Fót, Fót(Gyermekváros)</t>
  </si>
  <si>
    <t>Csomád</t>
  </si>
  <si>
    <t>Őrbottyán</t>
  </si>
  <si>
    <t>Vácrátót</t>
  </si>
  <si>
    <t>Váchartyán</t>
  </si>
  <si>
    <t>Kisnémedi</t>
  </si>
  <si>
    <t>Püspökszilágy</t>
  </si>
  <si>
    <t>Vácduka</t>
  </si>
  <si>
    <t>Aszód</t>
  </si>
  <si>
    <t>Kartal</t>
  </si>
  <si>
    <t>Verseg</t>
  </si>
  <si>
    <t>Kálló</t>
  </si>
  <si>
    <t>Erdőkürt</t>
  </si>
  <si>
    <t>Erdőtarcsa</t>
  </si>
  <si>
    <t>Iklad</t>
  </si>
  <si>
    <t>Domony</t>
  </si>
  <si>
    <t>Galgamácsa</t>
  </si>
  <si>
    <t>Vácegres</t>
  </si>
  <si>
    <t>Váckisújfalu</t>
  </si>
  <si>
    <t>Bag</t>
  </si>
  <si>
    <t>Hévízgyörk</t>
  </si>
  <si>
    <t>Galgahévíz</t>
  </si>
  <si>
    <t>Tura</t>
  </si>
  <si>
    <t>Monor</t>
  </si>
  <si>
    <t>Péteri</t>
  </si>
  <si>
    <t>Vasad</t>
  </si>
  <si>
    <t>Csévharaszt</t>
  </si>
  <si>
    <t>Monorierdő</t>
  </si>
  <si>
    <t>Pánd</t>
  </si>
  <si>
    <t>Káva</t>
  </si>
  <si>
    <t>Bénye</t>
  </si>
  <si>
    <t>Gomba</t>
  </si>
  <si>
    <t>Vecsés</t>
  </si>
  <si>
    <t>Üllő</t>
  </si>
  <si>
    <t>Gyömrő</t>
  </si>
  <si>
    <t>Ecser</t>
  </si>
  <si>
    <t>Maglód</t>
  </si>
  <si>
    <t>Mende</t>
  </si>
  <si>
    <t>Sülysáp, (Tápiósüly)</t>
  </si>
  <si>
    <t>Sülysáp</t>
  </si>
  <si>
    <t>Kóka</t>
  </si>
  <si>
    <t>Úri</t>
  </si>
  <si>
    <t>Tápiószecső</t>
  </si>
  <si>
    <t>Tóalmás</t>
  </si>
  <si>
    <t>Tápióság</t>
  </si>
  <si>
    <t>Szentmártonkáta</t>
  </si>
  <si>
    <t>Esztergom-Pilisszentlélek</t>
  </si>
  <si>
    <t>Esztergom-Kertváros</t>
  </si>
  <si>
    <t>Sárisáp</t>
  </si>
  <si>
    <t xml:space="preserve">Tokod </t>
  </si>
  <si>
    <t xml:space="preserve">Nyergesújfalu </t>
  </si>
  <si>
    <r>
      <t xml:space="preserve">Kategória
</t>
    </r>
    <r>
      <rPr>
        <sz val="10"/>
        <color indexed="10"/>
        <rFont val="Arial"/>
        <family val="2"/>
        <charset val="238"/>
      </rPr>
      <t xml:space="preserve">
Figyelem! Ahol kék alkategóriák vannak, ott a jármű darabszámok összegét a fölötte lévő sárga főkategóriához az A0 oszlopban mindig be kell írni!</t>
    </r>
  </si>
  <si>
    <t>Üzemeltetés jellege taxi, vagy bérgépjármű?</t>
  </si>
  <si>
    <t>130% pótdíj!</t>
  </si>
  <si>
    <t>Ha nem újrakötés, akkor kedvezményes díj, egyébként 3-szoros. Ha taxi, bgjmű, akkor 2,3-szoros.</t>
  </si>
  <si>
    <t>Nagykinizs</t>
  </si>
  <si>
    <t>Szentistvánbaksa</t>
  </si>
  <si>
    <t>Hernádbűd</t>
  </si>
  <si>
    <t>Pere</t>
  </si>
  <si>
    <t>Gibárt</t>
  </si>
  <si>
    <t>Encs</t>
  </si>
  <si>
    <t>Litka</t>
  </si>
  <si>
    <t>Szemere</t>
  </si>
  <si>
    <t>Hernádpetri</t>
  </si>
  <si>
    <t>Hernádvécse</t>
  </si>
  <si>
    <t>Pusztaradvány</t>
  </si>
  <si>
    <t>Abaújszántó</t>
  </si>
  <si>
    <t>Baskó</t>
  </si>
  <si>
    <t>Sima</t>
  </si>
  <si>
    <t>Abaújalpár</t>
  </si>
  <si>
    <t>Abaújkér</t>
  </si>
  <si>
    <t>Arka</t>
  </si>
  <si>
    <t>Boldogkőváralja</t>
  </si>
  <si>
    <t>Fony</t>
  </si>
  <si>
    <t>Mogyoróska</t>
  </si>
  <si>
    <t>Regéc</t>
  </si>
  <si>
    <t>Abaújvár</t>
  </si>
  <si>
    <t>Pányok</t>
  </si>
  <si>
    <t>Szerencs</t>
  </si>
  <si>
    <t>Szegi</t>
  </si>
  <si>
    <t>Szegilong</t>
  </si>
  <si>
    <t>Gesztely-Újharangod</t>
  </si>
  <si>
    <t>Háromhuta</t>
  </si>
  <si>
    <t>Sátoraljaújhely-Károlyfalva</t>
  </si>
  <si>
    <t>Sátoraljaújhely-Rudabányácska</t>
  </si>
  <si>
    <t>Kisrozvágy</t>
  </si>
  <si>
    <t>Nagyrozvágy</t>
  </si>
  <si>
    <t>Tiszakarád</t>
  </si>
  <si>
    <t>Ricse</t>
  </si>
  <si>
    <t>Semjén</t>
  </si>
  <si>
    <t>Dámóc</t>
  </si>
  <si>
    <t>Alsóberecki</t>
  </si>
  <si>
    <t>Felsőberecki</t>
  </si>
  <si>
    <t>Sátoraljaújhely-Széphalom</t>
  </si>
  <si>
    <t>Alsóregmec</t>
  </si>
  <si>
    <t>Felsőregmec</t>
  </si>
  <si>
    <t>Mikóháza</t>
  </si>
  <si>
    <t>Kovácsvágás</t>
  </si>
  <si>
    <t>Vágáshuta</t>
  </si>
  <si>
    <t>Bózsva</t>
  </si>
  <si>
    <t>Filkeháza</t>
  </si>
  <si>
    <t>Füzérkajata</t>
  </si>
  <si>
    <t>Kishuta</t>
  </si>
  <si>
    <t>Nagyhuta</t>
  </si>
  <si>
    <t>Pálháza</t>
  </si>
  <si>
    <t>Debrecen-Tégláskert</t>
  </si>
  <si>
    <t>Debrecen-Nagymacs</t>
  </si>
  <si>
    <t>Egyek-Telekháza</t>
  </si>
  <si>
    <t>Hajdúböszörmény-Nagypród</t>
  </si>
  <si>
    <t>Debrecen-Haláp</t>
  </si>
  <si>
    <t>TGK 12000 kg felett</t>
  </si>
  <si>
    <t>Korrekciós szorzós flotta:</t>
  </si>
  <si>
    <t>Káld</t>
  </si>
  <si>
    <t>Vashosszúfalu</t>
  </si>
  <si>
    <t>Bögöte</t>
  </si>
  <si>
    <t>Hosszúpereszteg</t>
  </si>
  <si>
    <t>Sótony</t>
  </si>
  <si>
    <t>Nyőgér</t>
  </si>
  <si>
    <t>Bejcgyertyános</t>
  </si>
  <si>
    <t>Egervölgy</t>
  </si>
  <si>
    <t>Szemenye</t>
  </si>
  <si>
    <t>Szombathely</t>
  </si>
  <si>
    <t>Herény</t>
  </si>
  <si>
    <t>Szombathely (Szentkirály)</t>
  </si>
  <si>
    <t>Gencsapáti</t>
  </si>
  <si>
    <t>Perenye</t>
  </si>
  <si>
    <t>Gyöngyösfalu</t>
  </si>
  <si>
    <t>Lukácsháza</t>
  </si>
  <si>
    <t>Kőszegszerdahely</t>
  </si>
  <si>
    <t>Velem</t>
  </si>
  <si>
    <t>Bozsok</t>
  </si>
  <si>
    <t>Kőszeg</t>
  </si>
  <si>
    <t>Köszeg</t>
  </si>
  <si>
    <t>Ólmod</t>
  </si>
  <si>
    <t>Peresznye</t>
  </si>
  <si>
    <t>Csepreg</t>
  </si>
  <si>
    <t>Tormásliget</t>
  </si>
  <si>
    <t>Bük</t>
  </si>
  <si>
    <t>Tömörd</t>
  </si>
  <si>
    <t>Pusztacsó</t>
  </si>
  <si>
    <t>Bükfürdő</t>
  </si>
  <si>
    <t>Vassurány</t>
  </si>
  <si>
    <t>Tűzoltó válasz:</t>
  </si>
  <si>
    <t>Adja meg a B táblás díjfaktort!</t>
  </si>
  <si>
    <t>Tűzoltós kedvezményt nem érvényesít.</t>
  </si>
  <si>
    <t>Díjmódosító szorzó normál esetben:    ÜZ*Part*NagyÜF*Éves=</t>
  </si>
  <si>
    <t>Salköveskút</t>
  </si>
  <si>
    <t>Söpte</t>
  </si>
  <si>
    <t>Vasasszonyfa</t>
  </si>
  <si>
    <t>Meszlen</t>
  </si>
  <si>
    <t>Acsád</t>
  </si>
  <si>
    <t>Vasszilvágy</t>
  </si>
  <si>
    <t>Vát</t>
  </si>
  <si>
    <t>Nemesbőd</t>
  </si>
  <si>
    <t>Vép</t>
  </si>
  <si>
    <t>Kenéz</t>
  </si>
  <si>
    <t>Pecöl</t>
  </si>
  <si>
    <t>Ikervár</t>
  </si>
  <si>
    <t>Meggyeskovácsi</t>
  </si>
  <si>
    <t>Táplánszentkereszt</t>
  </si>
  <si>
    <t>Tanakajd</t>
  </si>
  <si>
    <t>Vasszécseny</t>
  </si>
  <si>
    <t>Csempeszkopács</t>
  </si>
  <si>
    <t>Rábatöttös</t>
  </si>
  <si>
    <t>Zsennye</t>
  </si>
  <si>
    <t>Balogunyom</t>
  </si>
  <si>
    <t>Kisunyom</t>
  </si>
  <si>
    <t>TEÁOR szorzók:</t>
  </si>
  <si>
    <t>TEÁOR most NDK-n:</t>
  </si>
  <si>
    <t>rész1</t>
  </si>
  <si>
    <t>rész2</t>
  </si>
  <si>
    <t>rész3</t>
  </si>
  <si>
    <t>ALLIANZ 2012:</t>
  </si>
  <si>
    <t>30-34 éves Egyéni vállalkozó</t>
  </si>
  <si>
    <t>35-69 éves Egyéni vállalkozó</t>
  </si>
  <si>
    <t>69 év feletti Egyéni vállalkozó</t>
  </si>
  <si>
    <t>Válasz kódja:</t>
  </si>
  <si>
    <t>IGEN</t>
  </si>
  <si>
    <t>NEM</t>
  </si>
  <si>
    <t>Cégforma</t>
  </si>
  <si>
    <t>fiz gyak</t>
  </si>
  <si>
    <t>ÉVES</t>
  </si>
  <si>
    <t>FÉLÉVES</t>
  </si>
  <si>
    <t>NEGYEDÉVES</t>
  </si>
  <si>
    <t>Szorzó:</t>
  </si>
  <si>
    <t>Díjfizetési gyakoriság:</t>
  </si>
  <si>
    <t>Üzemeltetés</t>
  </si>
  <si>
    <t>Választottak:</t>
  </si>
  <si>
    <t>Üz szorzó:</t>
  </si>
  <si>
    <t>Volumen szorzók:</t>
  </si>
  <si>
    <t>1-5 db</t>
  </si>
  <si>
    <t>13 vagy több</t>
  </si>
  <si>
    <t>Aktuális volumen szorzó:</t>
  </si>
  <si>
    <t>Flotta darabszám kedvezmény szorzó:</t>
  </si>
  <si>
    <t>Flotta kedvezmények:</t>
  </si>
  <si>
    <t>Kárhányad:</t>
  </si>
  <si>
    <t>Kárhányad 40% alatt</t>
  </si>
  <si>
    <t>Kárhányad 40%-80%</t>
  </si>
  <si>
    <t>Napfény</t>
  </si>
  <si>
    <t>Tartam</t>
  </si>
  <si>
    <t>Főtevékenység</t>
  </si>
  <si>
    <t>Főtevékenységek:</t>
  </si>
  <si>
    <t>Jogi, számviteli, adószakértői tevékenység</t>
  </si>
  <si>
    <t>Egyéb szakmai, tudományos, műszaki tevékenység</t>
  </si>
  <si>
    <t>Alkotó-, művészeti, szórakoztató tevékenység</t>
  </si>
  <si>
    <t>Növénytermesztés, állattenyésztés, vadgazdálkodás és kapcsolódó szolgáltatások</t>
  </si>
  <si>
    <t>Erdőgazdálkodás</t>
  </si>
  <si>
    <t>Halászat, halgazdálkodás</t>
  </si>
  <si>
    <t>Tiszaeszlár</t>
  </si>
  <si>
    <t>Rakamaz</t>
  </si>
  <si>
    <t>Tímár</t>
  </si>
  <si>
    <t>Szabolcs</t>
  </si>
  <si>
    <t>Balsa</t>
  </si>
  <si>
    <t>Gávavencsellő (Gáva)</t>
  </si>
  <si>
    <t>Vencsellő</t>
  </si>
  <si>
    <t>Tiszabercel</t>
  </si>
  <si>
    <t>Paszab</t>
  </si>
  <si>
    <t>Sóstóhegy</t>
  </si>
  <si>
    <t>Kótaj</t>
  </si>
  <si>
    <t>Búj</t>
  </si>
  <si>
    <t>Ibrány</t>
  </si>
  <si>
    <t>Nagyhalász</t>
  </si>
  <si>
    <t>Kétérköz</t>
  </si>
  <si>
    <t>Tiszatelek</t>
  </si>
  <si>
    <t>Beszterec</t>
  </si>
  <si>
    <t>Újdombrád</t>
  </si>
  <si>
    <t>Dombrád</t>
  </si>
  <si>
    <t>Tiszakanyár</t>
  </si>
  <si>
    <t>Kékcse</t>
  </si>
  <si>
    <t>Döge</t>
  </si>
  <si>
    <t>Szabolcsveresmart</t>
  </si>
  <si>
    <t>Kemecse</t>
  </si>
  <si>
    <t>Vasmegyer</t>
  </si>
  <si>
    <t>Tiszarád</t>
  </si>
  <si>
    <t>Nyírbogdány</t>
  </si>
  <si>
    <t>Kék</t>
  </si>
  <si>
    <t>Demecser</t>
  </si>
  <si>
    <t>Gégény</t>
  </si>
  <si>
    <t>Berkesz</t>
  </si>
  <si>
    <t>Nyírtass</t>
  </si>
  <si>
    <t>Pátroha</t>
  </si>
  <si>
    <t>Ajak</t>
  </si>
  <si>
    <t>Rétközberencs</t>
  </si>
  <si>
    <t>Nyírpazony</t>
  </si>
  <si>
    <t>Nyírtura</t>
  </si>
  <si>
    <t>Sényő</t>
  </si>
  <si>
    <t>Székely</t>
  </si>
  <si>
    <t>Nyíribrony</t>
  </si>
  <si>
    <t>Ramocsaháza</t>
  </si>
  <si>
    <t>Nyírkércs</t>
  </si>
  <si>
    <t>Nyírjákó</t>
  </si>
  <si>
    <t>Petneháza</t>
  </si>
  <si>
    <t>Laskod</t>
  </si>
  <si>
    <t>Nyírkarász</t>
  </si>
  <si>
    <t>Gyulaháza</t>
  </si>
  <si>
    <t>Anarcs</t>
  </si>
  <si>
    <t>Szabolcsbáka</t>
  </si>
  <si>
    <t>Oros</t>
  </si>
  <si>
    <t>Napkor</t>
  </si>
  <si>
    <t>Apagy</t>
  </si>
  <si>
    <t>Nyírtét</t>
  </si>
  <si>
    <t>Levelek</t>
  </si>
  <si>
    <t>Magy</t>
  </si>
  <si>
    <t>Besenyőd</t>
  </si>
  <si>
    <t>Szerződő
-nem rendelkezik másik, a SIGNAL biztosító Zrt-nél kötöt</t>
  </si>
  <si>
    <t>Jó tevékenységre</t>
  </si>
  <si>
    <t>kedvezmény:</t>
  </si>
  <si>
    <t>AEGON KÉRDÉSEK:</t>
  </si>
  <si>
    <r>
      <t>Díjkínálat</t>
    </r>
    <r>
      <rPr>
        <sz val="10"/>
        <rFont val="Arial"/>
        <charset val="238"/>
      </rPr>
      <t xml:space="preserve"> 
nyomtatható a Díjkínálat munkalapról. Fent kiválasztható, hogy a díjkínálaton meg legyenek-e nevezve a biztosítók, vagy csak sorszámmal szerepeljenek.
Továbbá azon biztosítók, akiket nem kívánunk feltüntetni, elrejthetők alábbi módon: Kijelöljük a megfelelő sort, majd a Formátum/Sor/Elrejtés parancsra kattintunk. (Visszaállítás: Kijelöljük a rejtett sort közrefogó sorokat, majd a Formátum/Sor/Felfedés parancsra kattintunk.</t>
    </r>
  </si>
  <si>
    <t>CIG</t>
  </si>
  <si>
    <t>Ajkarendek</t>
  </si>
  <si>
    <t>Ajka Bakonygyepes</t>
  </si>
  <si>
    <t>Magyarpolány</t>
  </si>
  <si>
    <t>Ajka Padragkút</t>
  </si>
  <si>
    <t>Szőc</t>
  </si>
  <si>
    <t>Nyirád</t>
  </si>
  <si>
    <t>Pusztamiske</t>
  </si>
  <si>
    <t>Noszlop</t>
  </si>
  <si>
    <t>Bakonypölöske</t>
  </si>
  <si>
    <t>Oroszi</t>
  </si>
  <si>
    <t>Devecser</t>
  </si>
  <si>
    <t>Kolontár</t>
  </si>
  <si>
    <t>Kamond</t>
  </si>
  <si>
    <t>Nemeshany</t>
  </si>
  <si>
    <t>Gyepükaján</t>
  </si>
  <si>
    <t>Csabrendek</t>
  </si>
  <si>
    <t>Veszprémgalsa</t>
  </si>
  <si>
    <t>Zalaszegvár</t>
  </si>
  <si>
    <t>Tüskevár</t>
  </si>
  <si>
    <t>Somlójenő</t>
  </si>
  <si>
    <t>Borszörcsök</t>
  </si>
  <si>
    <t>Somlóvásárhely</t>
  </si>
  <si>
    <t>Doba</t>
  </si>
  <si>
    <t>Somlószőlős</t>
  </si>
  <si>
    <t>Vid</t>
  </si>
  <si>
    <t>TGK díjcsökkentők összesen:</t>
  </si>
  <si>
    <t>TGK összdíj:</t>
  </si>
  <si>
    <t>össz db díjak szorzókkal</t>
  </si>
  <si>
    <t>Kerekítve, 366 nap!:</t>
  </si>
  <si>
    <t>Többi összesen:</t>
  </si>
  <si>
    <r>
      <t>←</t>
    </r>
    <r>
      <rPr>
        <sz val="10"/>
        <color indexed="10"/>
        <rFont val="Arial"/>
        <family val="2"/>
        <charset val="238"/>
      </rPr>
      <t>Ha kitölti, csökken a díj!</t>
    </r>
  </si>
  <si>
    <t>Ha a három közül egy is igaz</t>
  </si>
  <si>
    <t>akkor IGAZ:</t>
  </si>
  <si>
    <t>Területek:</t>
  </si>
  <si>
    <t>ter 1-2</t>
  </si>
  <si>
    <t>Ter 1-2 ?</t>
  </si>
  <si>
    <t>Budapest?</t>
  </si>
  <si>
    <t>SIGNAL kérdések</t>
  </si>
  <si>
    <t>UNION  teáor szorzók 2013:</t>
  </si>
  <si>
    <t>FLOTTA SZORZÓ ÉRTÉKE:</t>
  </si>
  <si>
    <t>NINCS</t>
  </si>
  <si>
    <t>Union2013 SZGK+TGK+Vontató+Autóbusz+MKP=</t>
  </si>
  <si>
    <t>Felsőjánosfa</t>
  </si>
  <si>
    <t>Szőce</t>
  </si>
  <si>
    <t>Kisrákos</t>
  </si>
  <si>
    <t>Pankasz</t>
  </si>
  <si>
    <t>Szatta</t>
  </si>
  <si>
    <t>Őriszentpéter</t>
  </si>
  <si>
    <t>Szalafő</t>
  </si>
  <si>
    <t>Kondorfa</t>
  </si>
  <si>
    <t>Kerkáskápolna</t>
  </si>
  <si>
    <t>Jmű számokkal szorozva:</t>
  </si>
  <si>
    <t>Korrekciós szorzós flotta díja:</t>
  </si>
  <si>
    <t>taxi…</t>
  </si>
  <si>
    <t>bér…</t>
  </si>
  <si>
    <t>nemz vont</t>
  </si>
  <si>
    <t>nemz &gt;12 TGK…</t>
  </si>
  <si>
    <t>nemz &gt;10t pót</t>
  </si>
  <si>
    <t>Ha db&gt;50:</t>
  </si>
  <si>
    <t>Üzemeltetési pótdíjak maximuma:</t>
  </si>
  <si>
    <t>Vontató max:</t>
  </si>
  <si>
    <t>TEÁOR ill. kérdések alapján adódó tevékenység:</t>
  </si>
  <si>
    <t>Más tevékenységet választok:</t>
  </si>
  <si>
    <t>NEM választok másikat</t>
  </si>
  <si>
    <t>Tevékenység 1</t>
  </si>
  <si>
    <t>Tevékenység 2</t>
  </si>
  <si>
    <t>Tevékenység 3</t>
  </si>
  <si>
    <t>Tevékenység 4</t>
  </si>
  <si>
    <t>Alapdíj ter szerint:</t>
  </si>
  <si>
    <t>Választott Kód:</t>
  </si>
  <si>
    <t>Ez itt balra üres space cella!</t>
  </si>
  <si>
    <t>Nem szorzós tevékenység</t>
  </si>
  <si>
    <t>Balatonszőlős</t>
  </si>
  <si>
    <t>Balatonfüred-camping</t>
  </si>
  <si>
    <t>Balatonarács</t>
  </si>
  <si>
    <t>Tihany</t>
  </si>
  <si>
    <t>Aszófő</t>
  </si>
  <si>
    <t>Örvényes</t>
  </si>
  <si>
    <t>Balatonakali</t>
  </si>
  <si>
    <t>Dörgicse</t>
  </si>
  <si>
    <t>Vászoly</t>
  </si>
  <si>
    <t>Tótvázsony</t>
  </si>
  <si>
    <t>Hidegkút</t>
  </si>
  <si>
    <t>Veszprém-fajsz</t>
  </si>
  <si>
    <t>Zánka</t>
  </si>
  <si>
    <t>Balatonszepezd</t>
  </si>
  <si>
    <t>Révfülöp</t>
  </si>
  <si>
    <t>Kővágóörs</t>
  </si>
  <si>
    <t>Pálköve</t>
  </si>
  <si>
    <t>Salföld</t>
  </si>
  <si>
    <t>Badacsonyörs</t>
  </si>
  <si>
    <t>Badacsonytomaj</t>
  </si>
  <si>
    <t>Badacsony</t>
  </si>
  <si>
    <t>Badacsonylábdihegy</t>
  </si>
  <si>
    <t>Badacsonytördemic</t>
  </si>
  <si>
    <t>Szigliget</t>
  </si>
  <si>
    <t>Hegymagas</t>
  </si>
  <si>
    <t>Mencshely</t>
  </si>
  <si>
    <t>Tagyon</t>
  </si>
  <si>
    <t>Monoszló</t>
  </si>
  <si>
    <t>Köveskál</t>
  </si>
  <si>
    <t>POSTA Kedvezmények/Pótdíjak összegzett szorzója:</t>
  </si>
  <si>
    <t>Zalaszentlászló</t>
  </si>
  <si>
    <t>Sénye</t>
  </si>
  <si>
    <t>Zalaudvarnok</t>
  </si>
  <si>
    <t>Zalaszentgrót</t>
  </si>
  <si>
    <t>Zalavég</t>
  </si>
  <si>
    <t>Zalaszentgrót Tekenye</t>
  </si>
  <si>
    <t>Zalaszentgrót Csáford</t>
  </si>
  <si>
    <t>Türje</t>
  </si>
  <si>
    <t>Batyk</t>
  </si>
  <si>
    <t>Zalabér</t>
  </si>
  <si>
    <t>Pakod</t>
  </si>
  <si>
    <t>Nagykanizsa</t>
  </si>
  <si>
    <t>Nagykanizsa-palin</t>
  </si>
  <si>
    <t>Nagykanizsa-sánc</t>
  </si>
  <si>
    <t>Nagybakónak</t>
  </si>
  <si>
    <t>Zalaújlak</t>
  </si>
  <si>
    <t>Sand</t>
  </si>
  <si>
    <t>Pat</t>
  </si>
  <si>
    <t>Zalaszentjakab</t>
  </si>
  <si>
    <t>Miklósfa Nagykanizsa</t>
  </si>
  <si>
    <t>Liszó</t>
  </si>
  <si>
    <t>Fityeház</t>
  </si>
  <si>
    <t>Murakeresztúr</t>
  </si>
  <si>
    <t>Csurgónagymarton</t>
  </si>
  <si>
    <t>Szenta</t>
  </si>
  <si>
    <t>Gyékényes</t>
  </si>
  <si>
    <t>Zákány</t>
  </si>
  <si>
    <t>Őrtilos</t>
  </si>
  <si>
    <t>Belezna</t>
  </si>
  <si>
    <t>Surd</t>
  </si>
  <si>
    <t>Pátró</t>
  </si>
  <si>
    <t>Somogybükkösd</t>
  </si>
  <si>
    <t>Szepetnek</t>
  </si>
  <si>
    <t>Semjénháza</t>
  </si>
  <si>
    <t>Molnári</t>
  </si>
  <si>
    <t>Tótszerdahely</t>
  </si>
  <si>
    <t>Tótszentmárton</t>
  </si>
  <si>
    <t>Becsehely</t>
  </si>
  <si>
    <t>Zajk</t>
  </si>
  <si>
    <t>Murarátka</t>
  </si>
  <si>
    <t>Szemenyecsörnye</t>
  </si>
  <si>
    <t>Csörnyeföld</t>
  </si>
  <si>
    <t>Kerkaszentkirály</t>
  </si>
  <si>
    <t>Tormafölde</t>
  </si>
  <si>
    <t>Tornyiszentmiklós</t>
  </si>
  <si>
    <t>Lovászi</t>
  </si>
  <si>
    <t>Szécsisziget</t>
  </si>
  <si>
    <t>Sormás</t>
  </si>
  <si>
    <t>Eszteregnye</t>
  </si>
  <si>
    <t>Rigyác</t>
  </si>
  <si>
    <t>Petrivente</t>
  </si>
  <si>
    <t>Valkonya</t>
  </si>
  <si>
    <t>Oltárc</t>
  </si>
  <si>
    <t>Lasztonya</t>
  </si>
  <si>
    <t>Maróc</t>
  </si>
  <si>
    <t>Várfölde</t>
  </si>
  <si>
    <t>Szentliszló</t>
  </si>
  <si>
    <t>Pusztamagyaród</t>
  </si>
  <si>
    <t>Pusztaszentlászló</t>
  </si>
  <si>
    <t>Söjtör</t>
  </si>
  <si>
    <t>Zalaegerszeg</t>
  </si>
  <si>
    <t>Zalaegerszeg Andráshida</t>
  </si>
  <si>
    <t>Zalaegerszeg-szanat.fp</t>
  </si>
  <si>
    <t>Nagykutas</t>
  </si>
  <si>
    <t>Nagypáli</t>
  </si>
  <si>
    <t>Lakhegy</t>
  </si>
  <si>
    <t>Vasboldogasszony</t>
  </si>
  <si>
    <t>Nemesrádó</t>
  </si>
  <si>
    <t>Babosdöbréte</t>
  </si>
  <si>
    <t>Pálfiszeg</t>
  </si>
  <si>
    <t>Németfalu</t>
  </si>
  <si>
    <t>Kustánszeg</t>
  </si>
  <si>
    <t>Petőhenye</t>
  </si>
  <si>
    <t>Nemesapáti</t>
  </si>
  <si>
    <t>Alsónemesapáti</t>
  </si>
  <si>
    <t>Nemesszentandrás</t>
  </si>
  <si>
    <t>Kisbucsa</t>
  </si>
  <si>
    <t>Nemeshetés</t>
  </si>
  <si>
    <t>Pölöske</t>
  </si>
  <si>
    <t>Vöckönd</t>
  </si>
  <si>
    <t>Pókaszepetk</t>
  </si>
  <si>
    <t>Zalaistvánd</t>
  </si>
  <si>
    <t>Bezeréd</t>
  </si>
  <si>
    <t>Padár</t>
  </si>
  <si>
    <t>Zalaszentmihály</t>
  </si>
  <si>
    <t>Csatár</t>
  </si>
  <si>
    <t>Bocfölde</t>
  </si>
  <si>
    <t>Sárhida</t>
  </si>
  <si>
    <t>Bak</t>
  </si>
  <si>
    <t>Tófej</t>
  </si>
  <si>
    <t>Zalatárnok</t>
  </si>
  <si>
    <t>Nova</t>
  </si>
  <si>
    <t>Mikekarácsonyfa</t>
  </si>
  <si>
    <t>Gutorfölde</t>
  </si>
  <si>
    <t>Szentpéterfölde</t>
  </si>
  <si>
    <t>Ortaháza</t>
  </si>
  <si>
    <t>Pördefölde</t>
  </si>
  <si>
    <t>Zebecke</t>
  </si>
  <si>
    <t>Iklódbördőce</t>
  </si>
  <si>
    <t>Lenti</t>
  </si>
  <si>
    <t>Lenti-lentikápolna</t>
  </si>
  <si>
    <t>Zalaszombatfa</t>
  </si>
  <si>
    <t>Zalabaksa</t>
  </si>
  <si>
    <t>Alsószenterzsébet</t>
  </si>
  <si>
    <t>Ramocsa</t>
  </si>
  <si>
    <t>Szentgyörgyvölgy</t>
  </si>
  <si>
    <t>Nemesnép</t>
  </si>
  <si>
    <t>Resznek</t>
  </si>
  <si>
    <t>Rédics</t>
  </si>
  <si>
    <t>Lickóvadamos</t>
  </si>
  <si>
    <t>Ormándlak</t>
  </si>
  <si>
    <t>Petrikeresztúr</t>
  </si>
  <si>
    <t>Keszü</t>
  </si>
  <si>
    <t>Bicsérd</t>
  </si>
  <si>
    <t>Boda</t>
  </si>
  <si>
    <t>Kővágószőlős</t>
  </si>
  <si>
    <t>FLOTTASZORZÓS FLOTTÁK</t>
  </si>
  <si>
    <t>Bérgép szorzós gjmű díj (itt veszem be a napfény, flottaszám, stb. szorzókat.)</t>
  </si>
  <si>
    <t>normál szorzós gjmű díj:
(itt veszem be a napfény, flottaszám, stb. szorzókat.)</t>
  </si>
  <si>
    <t>Bérgép szorzós gjmű díj (minden szorzóval)</t>
  </si>
  <si>
    <t>normál szorzós gjmű díj:
(minden szorzóval)</t>
  </si>
  <si>
    <t>Alapdíjak:</t>
  </si>
  <si>
    <t>Aktuális Bérgép stb.szorzó:</t>
  </si>
  <si>
    <t>Aktuális Normál jármű szám:</t>
  </si>
  <si>
    <t>Aktuális Bérgép jármű szám:</t>
  </si>
  <si>
    <t>normál kerekítve:</t>
  </si>
  <si>
    <t>Bérgép kerekítve:</t>
  </si>
  <si>
    <t>Normál darab számmal:</t>
  </si>
  <si>
    <t>Bérgép darab számmal:</t>
  </si>
  <si>
    <t>SZGK díjak összesen flottaszorzóval:</t>
  </si>
  <si>
    <r>
      <t>Flottaszorzós</t>
    </r>
    <r>
      <rPr>
        <sz val="10"/>
        <rFont val="Arial"/>
        <charset val="238"/>
      </rPr>
      <t xml:space="preserve"> flottáról van szó?</t>
    </r>
  </si>
  <si>
    <r>
      <t>IGEN,</t>
    </r>
    <r>
      <rPr>
        <sz val="10"/>
        <rFont val="Arial"/>
        <charset val="238"/>
      </rPr>
      <t xml:space="preserve"> de nincs a szorzóm a hirdetményben.</t>
    </r>
  </si>
  <si>
    <t>Balra üres mező.</t>
  </si>
  <si>
    <t>Alkalmazandó Flotta szorzó:</t>
  </si>
  <si>
    <t>Bérgép díj flotta szorzóval:</t>
  </si>
  <si>
    <t xml:space="preserve"> Fuvarozói szorzók:</t>
  </si>
  <si>
    <t>Taxi vagy bármilyen személyszállítás jellegű használat (pl. Telekocsi)?</t>
  </si>
  <si>
    <t>TGK szorzó:</t>
  </si>
  <si>
    <t>Vontató szorzó:</t>
  </si>
  <si>
    <t>Pótkocsi szorzó:</t>
  </si>
  <si>
    <t>Autóbusz szorzó:</t>
  </si>
  <si>
    <t>Fuvarozás?</t>
  </si>
  <si>
    <t>Ez a volt nemzetközi…</t>
  </si>
  <si>
    <r>
      <t xml:space="preserve">UNION DÍJMÓDOSÍTÓ SZORZÓ
</t>
    </r>
    <r>
      <rPr>
        <sz val="10"/>
        <rFont val="Arial"/>
        <family val="2"/>
        <charset val="238"/>
      </rPr>
      <t>(Egyes kategóriákban fuvarozás-szállítás esetén még plusz pótdíj van, lásd oldalt.)</t>
    </r>
  </si>
  <si>
    <t>Nagykinizs, Szentistvánbaksa</t>
  </si>
  <si>
    <t>Hernádkércs</t>
  </si>
  <si>
    <t>Felsődobsza</t>
  </si>
  <si>
    <t>Csobád</t>
  </si>
  <si>
    <t>Forró</t>
  </si>
  <si>
    <t>Ináncs</t>
  </si>
  <si>
    <t>Hernádszentandrás</t>
  </si>
  <si>
    <t>Hernádbüd, Pere</t>
  </si>
  <si>
    <t>Encs, -Gibárt</t>
  </si>
  <si>
    <t>Fancsal</t>
  </si>
  <si>
    <t>Abaújdevecser, Fügöd</t>
  </si>
  <si>
    <t>Szalaszend</t>
  </si>
  <si>
    <t>Fulókércs</t>
  </si>
  <si>
    <t>Fáj</t>
  </si>
  <si>
    <t>Szemere, Litka</t>
  </si>
  <si>
    <t>Encs-Fügöd</t>
  </si>
  <si>
    <t>Encs-Abaújdevecser</t>
  </si>
  <si>
    <t>Méra</t>
  </si>
  <si>
    <t>Novajidrány</t>
  </si>
  <si>
    <t>Garadna</t>
  </si>
  <si>
    <t xml:space="preserve">Hernádvécse, Hernádpetri, Pusztaradvány </t>
  </si>
  <si>
    <t>Hernádszurdok</t>
  </si>
  <si>
    <t>Hidasnémeti</t>
  </si>
  <si>
    <t>Tornyosnémeti</t>
  </si>
  <si>
    <t>Abaújszántó, Baskó, Sima</t>
  </si>
  <si>
    <t>Abaújkér, Abaújalpár</t>
  </si>
  <si>
    <t>Boldogkőújfalu</t>
  </si>
  <si>
    <t>Boldogkőváralja, Arka</t>
  </si>
  <si>
    <t>Korlát</t>
  </si>
  <si>
    <t>Hernádcéce</t>
  </si>
  <si>
    <t>Vizsoly</t>
  </si>
  <si>
    <t>Vilmány</t>
  </si>
  <si>
    <t>Hejce</t>
  </si>
  <si>
    <t>Fony, Mogyoróska, Regéc</t>
  </si>
  <si>
    <t>Göncruszka</t>
  </si>
  <si>
    <t>Gönc</t>
  </si>
  <si>
    <t>Telkibánya</t>
  </si>
  <si>
    <t>Zsujta</t>
  </si>
  <si>
    <t>Abaújvár, Pányok</t>
  </si>
  <si>
    <t>Kéked</t>
  </si>
  <si>
    <t>Szerencs Ond</t>
  </si>
  <si>
    <t>Bekecs</t>
  </si>
  <si>
    <t>Legyesbénye</t>
  </si>
  <si>
    <t>Monok</t>
  </si>
  <si>
    <t>Golop</t>
  </si>
  <si>
    <t>Tállya</t>
  </si>
  <si>
    <t>Rátka</t>
  </si>
  <si>
    <t>Mád</t>
  </si>
  <si>
    <t>Tokaj</t>
  </si>
  <si>
    <t>Tarcal</t>
  </si>
  <si>
    <t>Bodrogkeresztúr</t>
  </si>
  <si>
    <t>Bodrogkisfalud</t>
  </si>
  <si>
    <t>Szegi, Szegilong</t>
  </si>
  <si>
    <t>Taktaszada</t>
  </si>
  <si>
    <t>Taktaharkány</t>
  </si>
  <si>
    <t>Újharangod</t>
  </si>
  <si>
    <t>Taktakenéz</t>
  </si>
  <si>
    <t>Prügy</t>
  </si>
  <si>
    <t>Taktabáj</t>
  </si>
  <si>
    <t>Csobaj</t>
  </si>
  <si>
    <t>Tiszatardos</t>
  </si>
  <si>
    <t>Tiszaladány</t>
  </si>
  <si>
    <t>Mezőzombor</t>
  </si>
  <si>
    <t>Erdőbénye</t>
  </si>
  <si>
    <t>Olaszliszka</t>
  </si>
  <si>
    <t>Tolcsva</t>
  </si>
  <si>
    <t>Erdőhorváti</t>
  </si>
  <si>
    <t>Háromhuta, Óhuta, Újhuta</t>
  </si>
  <si>
    <t>Komlóska</t>
  </si>
  <si>
    <t>Vámosújfalu</t>
  </si>
  <si>
    <t>Sárazsadány</t>
  </si>
  <si>
    <t>Bodrogolaszi</t>
  </si>
  <si>
    <t>Sátoraljaújhely,  (Károlyfalva)</t>
  </si>
  <si>
    <t>Sátoraljaújhely (Rudabányácska)</t>
  </si>
  <si>
    <t>Sárospatak</t>
  </si>
  <si>
    <t>Györgytarló</t>
  </si>
  <si>
    <t>Kenézlő</t>
  </si>
  <si>
    <t>Viss</t>
  </si>
  <si>
    <t>Zalkod</t>
  </si>
  <si>
    <t>Hercegkút</t>
  </si>
  <si>
    <t>Makkoshotyka</t>
  </si>
  <si>
    <t>Vajdácska</t>
  </si>
  <si>
    <t>Karos</t>
  </si>
  <si>
    <t>Karcsa</t>
  </si>
  <si>
    <t>Pácin</t>
  </si>
  <si>
    <t>Nagyrozvágy, Kisrozvágy</t>
  </si>
  <si>
    <t>Lácacséke</t>
  </si>
  <si>
    <t>Tiszakarád-Nagyhomok</t>
  </si>
  <si>
    <t>Tiszacsermely</t>
  </si>
  <si>
    <t>Cigánd</t>
  </si>
  <si>
    <t>Ricse, Semjén</t>
  </si>
  <si>
    <t>Révleányvár</t>
  </si>
  <si>
    <t>Zemplénagárd</t>
  </si>
  <si>
    <t>Dámoc</t>
  </si>
  <si>
    <t>Sátoraljaújhely</t>
  </si>
  <si>
    <t>Alsóberecki, Felsőberecki</t>
  </si>
  <si>
    <t>Bodroghalom</t>
  </si>
  <si>
    <t>Sátoraljaújhely (Széphalom)</t>
  </si>
  <si>
    <t>Alsóregmec, Felsőregmec, Mikóháza</t>
  </si>
  <si>
    <t>Vilyvitány</t>
  </si>
  <si>
    <t>Kovácsvágás, Vágáshuta</t>
  </si>
  <si>
    <t>Füzérradvány</t>
  </si>
  <si>
    <t>Filkeháza, Bózsva, Füzérkajata, Kishuta, Nagyhuta, Pálháza</t>
  </si>
  <si>
    <t>Pusztafalu</t>
  </si>
  <si>
    <t>Füzér</t>
  </si>
  <si>
    <t>Füzérkomlós</t>
  </si>
  <si>
    <t>Nyíri</t>
  </si>
  <si>
    <t>Hollóháza</t>
  </si>
  <si>
    <t>Debrecen</t>
  </si>
  <si>
    <t>Debrecen-Ebes</t>
  </si>
  <si>
    <t>Debrecen-Pallag</t>
  </si>
  <si>
    <t>Debrecen-tégláskert</t>
  </si>
  <si>
    <t>Balmazújváros</t>
  </si>
  <si>
    <t>Debrecen-macs</t>
  </si>
  <si>
    <t>Nagyhegyes</t>
  </si>
  <si>
    <t>Újszentmargita</t>
  </si>
  <si>
    <t>Tiszacsege</t>
  </si>
  <si>
    <t>Egyek-Ohat</t>
  </si>
  <si>
    <t>Egyek</t>
  </si>
  <si>
    <t>Hortobágy</t>
  </si>
  <si>
    <t>1501-től</t>
  </si>
  <si>
    <t xml:space="preserve"> 850-ig</t>
  </si>
  <si>
    <r>
      <t>KÖBE  Ebből 71-85 kW:</t>
    </r>
    <r>
      <rPr>
        <i/>
        <sz val="8"/>
        <color indexed="10"/>
        <rFont val="Arial"/>
        <family val="2"/>
        <charset val="238"/>
      </rPr>
      <t xml:space="preserve"> Kitöltve csökken a díj!</t>
    </r>
  </si>
  <si>
    <r>
      <t>KÖBE  101-115 kW:</t>
    </r>
    <r>
      <rPr>
        <i/>
        <sz val="10"/>
        <color indexed="10"/>
        <rFont val="Arial"/>
        <family val="2"/>
        <charset val="238"/>
      </rPr>
      <t xml:space="preserve"> </t>
    </r>
    <r>
      <rPr>
        <i/>
        <sz val="8"/>
        <color indexed="10"/>
        <rFont val="Arial"/>
        <family val="2"/>
        <charset val="238"/>
      </rPr>
      <t>Kitöltve csökken a díj!</t>
    </r>
  </si>
  <si>
    <r>
      <t>KÖBE  116-150 kW:</t>
    </r>
    <r>
      <rPr>
        <i/>
        <sz val="8"/>
        <color indexed="10"/>
        <rFont val="Arial"/>
        <family val="2"/>
        <charset val="238"/>
      </rPr>
      <t xml:space="preserve"> Kitöltve csökken a díj!</t>
    </r>
  </si>
  <si>
    <t>86-100 kW (program számolja)</t>
  </si>
  <si>
    <t>151-180 kW (program számolja)</t>
  </si>
  <si>
    <t>Hajdúböszörmény (Nagypród)</t>
  </si>
  <si>
    <t>Görbeháza</t>
  </si>
  <si>
    <t>Haláp</t>
  </si>
  <si>
    <t>Debrecen-Bánk</t>
  </si>
  <si>
    <t>Hajdúnánás</t>
  </si>
  <si>
    <t>Hajdúnánás Tedej</t>
  </si>
  <si>
    <t>Hajdúböszörmény</t>
  </si>
  <si>
    <t>Hajdúdorog</t>
  </si>
  <si>
    <t>Folyás</t>
  </si>
  <si>
    <t>Újtikos</t>
  </si>
  <si>
    <t>Tiszagyulaháza</t>
  </si>
  <si>
    <t>Berettyóújfalu</t>
  </si>
  <si>
    <t>Csáfordjánosfa</t>
  </si>
  <si>
    <t>Csér</t>
  </si>
  <si>
    <t>Sopron-Sopronkőhida</t>
  </si>
  <si>
    <t>Sopron-Brennbergbánya</t>
  </si>
  <si>
    <t>Fertőd</t>
  </si>
  <si>
    <t>Fertőd-Tőzeggyármajor</t>
  </si>
  <si>
    <t>Sarród-Fertőújlak</t>
  </si>
  <si>
    <t>Sarród-Nyárliget</t>
  </si>
  <si>
    <t>Ebergőc</t>
  </si>
  <si>
    <t>Gyalóka</t>
  </si>
  <si>
    <t>Kemenesmihályfa</t>
  </si>
  <si>
    <t>Marcalgergelyi</t>
  </si>
  <si>
    <t>Celldömölk-Izsákfa</t>
  </si>
  <si>
    <t>Boba</t>
  </si>
  <si>
    <t>Kemeneskápolna</t>
  </si>
  <si>
    <t>Borgáta</t>
  </si>
  <si>
    <t>Nagysimonyi</t>
  </si>
  <si>
    <t>Sárvár-Rábasömjén</t>
  </si>
  <si>
    <t>Sárvár-Lánkapuszta</t>
  </si>
  <si>
    <t>Bögöt</t>
  </si>
  <si>
    <t>Bő</t>
  </si>
  <si>
    <t>Hegyfalu</t>
  </si>
  <si>
    <t>Iklanberény</t>
  </si>
  <si>
    <t>Mesterháza</t>
  </si>
  <si>
    <t>Szombathely-Herény</t>
  </si>
  <si>
    <t>Szombathely-Szentkirály</t>
  </si>
  <si>
    <t xml:space="preserve">Lukácsháza </t>
  </si>
  <si>
    <t>Cák</t>
  </si>
  <si>
    <t>Kőszegdoroszló</t>
  </si>
  <si>
    <t>Horvátzsidány</t>
  </si>
  <si>
    <t>Kiszsidány</t>
  </si>
  <si>
    <t>Kőszegpaty</t>
  </si>
  <si>
    <t>Nemescsó</t>
  </si>
  <si>
    <t>Bük-Bükfürdő</t>
  </si>
  <si>
    <t>Bozzai</t>
  </si>
  <si>
    <t>Megyehíd</t>
  </si>
  <si>
    <t>Rum</t>
  </si>
  <si>
    <t>Gyanógeregye</t>
  </si>
  <si>
    <t>Sorkifalud</t>
  </si>
  <si>
    <t>Rábahídvég</t>
  </si>
  <si>
    <t>Egyházashollós</t>
  </si>
  <si>
    <t>Harasztifalu</t>
  </si>
  <si>
    <t>Nagykölked</t>
  </si>
  <si>
    <t>Dozmat</t>
  </si>
  <si>
    <t>Horvátlövő</t>
  </si>
  <si>
    <t>Gersekarát</t>
  </si>
  <si>
    <t>Győrvár</t>
  </si>
  <si>
    <t>Körmend-Horvátnádalja</t>
  </si>
  <si>
    <t>Döröske</t>
  </si>
  <si>
    <t>Nagymizdó</t>
  </si>
  <si>
    <t>Hegyháthodász</t>
  </si>
  <si>
    <t>Hegyhátsál</t>
  </si>
  <si>
    <t>Katafa</t>
  </si>
  <si>
    <t>Daraboshegy</t>
  </si>
  <si>
    <t>Hegyhátszentmárton</t>
  </si>
  <si>
    <t>Őrimagyarósd</t>
  </si>
  <si>
    <t>Hegyhátszentjakab</t>
  </si>
  <si>
    <t>Szaknyér</t>
  </si>
  <si>
    <t>Nagyrákos</t>
  </si>
  <si>
    <t>Ispánk</t>
  </si>
  <si>
    <t>Bajánsenye</t>
  </si>
  <si>
    <t>Magyarszombatfa</t>
  </si>
  <si>
    <t>Nemesmedves</t>
  </si>
  <si>
    <t>Szentgotthárd-Rábafüzes</t>
  </si>
  <si>
    <t>Csörötnek</t>
  </si>
  <si>
    <t>Szentgotthárd-Farkasfa</t>
  </si>
  <si>
    <t>Apátistvánfalva</t>
  </si>
  <si>
    <t>Kétvölgy</t>
  </si>
  <si>
    <t>Alsószölnök</t>
  </si>
  <si>
    <t>Irányító négyjegyű?</t>
  </si>
  <si>
    <t>alapdíjak kód alapján</t>
  </si>
  <si>
    <t>Cég neve:</t>
  </si>
  <si>
    <t>Cég címe:</t>
  </si>
  <si>
    <t xml:space="preserve">Járművek száma: </t>
  </si>
  <si>
    <t xml:space="preserve">Irányítószám: </t>
  </si>
  <si>
    <t xml:space="preserve">TEÁOR: </t>
  </si>
  <si>
    <t>Választott terület</t>
  </si>
  <si>
    <t>Tölthető!</t>
  </si>
  <si>
    <t>Járművek részletezése:</t>
  </si>
  <si>
    <t>Haszn2</t>
  </si>
  <si>
    <t>többi</t>
  </si>
  <si>
    <t>TER1-3
alapdíjak</t>
  </si>
  <si>
    <t>Tev1 szoró</t>
  </si>
  <si>
    <t>Választott Haszn szorzó</t>
  </si>
  <si>
    <t>Választott tev szorzó a 3 közül a legnagyobb</t>
  </si>
  <si>
    <t>Tev, vagy 
haszn szorzó kell?</t>
  </si>
  <si>
    <t>Vagy 1-es szorzó?</t>
  </si>
  <si>
    <t>Kárgya koriság szorzó</t>
  </si>
  <si>
    <t>Partner kedvez mény</t>
  </si>
  <si>
    <t>Fertöújlak</t>
  </si>
  <si>
    <t>Sarród</t>
  </si>
  <si>
    <t>Fertőszéplak</t>
  </si>
  <si>
    <t>Hegykő</t>
  </si>
  <si>
    <t>Agyagosszergény</t>
  </si>
  <si>
    <t>Fertőendréd</t>
  </si>
  <si>
    <t>Petőháza</t>
  </si>
  <si>
    <t>Fertőszentmiklós</t>
  </si>
  <si>
    <t>Röjtökmuzsaj</t>
  </si>
  <si>
    <t>Lövő</t>
  </si>
  <si>
    <t>Völcsej</t>
  </si>
  <si>
    <t>Sopronhorpács</t>
  </si>
  <si>
    <t>Und</t>
  </si>
  <si>
    <t>Nemeskér</t>
  </si>
  <si>
    <t>Újkér</t>
  </si>
  <si>
    <t>Egyházasfalu</t>
  </si>
  <si>
    <t>Szakony</t>
  </si>
  <si>
    <t>Répcevis</t>
  </si>
  <si>
    <t>Zsira</t>
  </si>
  <si>
    <t>Pinnye</t>
  </si>
  <si>
    <t>Nagylózs</t>
  </si>
  <si>
    <t>Sopronkövesd</t>
  </si>
  <si>
    <t>Pereszteg</t>
  </si>
  <si>
    <t>Nagycenk</t>
  </si>
  <si>
    <t>Hidegség</t>
  </si>
  <si>
    <t>Fertőhomok</t>
  </si>
  <si>
    <t>Fertőboz</t>
  </si>
  <si>
    <t>Sopron-Balf</t>
  </si>
  <si>
    <t>Kópháza</t>
  </si>
  <si>
    <t>Celldömölk</t>
  </si>
  <si>
    <t>50%-os Teáor kedvezmény?</t>
  </si>
  <si>
    <t>25%-os Teáor kedvezmény?</t>
  </si>
  <si>
    <t>5%-os Teáor kedvezmény?</t>
  </si>
  <si>
    <t>0%-os Teáor kedvezmény?</t>
  </si>
  <si>
    <t>TEÁOR  kedvezmény:</t>
  </si>
  <si>
    <t>Kispalád</t>
  </si>
  <si>
    <t>Zsarolyán</t>
  </si>
  <si>
    <t>Nagyszekeres</t>
  </si>
  <si>
    <t>Kisszekeres</t>
  </si>
  <si>
    <t>Fülesd</t>
  </si>
  <si>
    <t>Kölcse</t>
  </si>
  <si>
    <t xml:space="preserve">db nemzetközi és speciális használatú, </t>
  </si>
  <si>
    <t>Normál
Sima belföldi jmű db szám</t>
  </si>
  <si>
    <t>CSAK SPEC
Bérgép szorzós gjmű díj (itt veszem be a napfény, flottaszám, stb. szorzókat.)</t>
  </si>
  <si>
    <t>Nemz fuv Minimum díj</t>
  </si>
  <si>
    <t>Normál kerekítve:</t>
  </si>
  <si>
    <t>Nemz fuz üz szorzó &gt;10 pótra:</t>
  </si>
  <si>
    <t>Nemz fuv kerekítve</t>
  </si>
  <si>
    <t>Nemz katrgória díj:</t>
  </si>
  <si>
    <r>
      <t>SZROZÓS</t>
    </r>
    <r>
      <rPr>
        <sz val="10"/>
        <rFont val="Arial"/>
        <charset val="238"/>
      </rPr>
      <t xml:space="preserve">
Alapdíj</t>
    </r>
  </si>
  <si>
    <t>Normál díj flottaszorzóval:</t>
  </si>
  <si>
    <t>Összes helyes díj:
NEM SZORZÓS</t>
  </si>
  <si>
    <t>Összes helyes díj:
SZORZÓS</t>
  </si>
  <si>
    <t>SZORZÓS</t>
  </si>
  <si>
    <t>EUR szorzó:</t>
  </si>
  <si>
    <r>
      <t>Nemz fuv szorzós (alapdíj*flottadbszámszorzó*nemzpótdíj*napfénytartam*díjfizgyak)*</t>
    </r>
    <r>
      <rPr>
        <sz val="10"/>
        <color indexed="12"/>
        <rFont val="Arial"/>
        <family val="2"/>
        <charset val="238"/>
      </rPr>
      <t>EUR</t>
    </r>
  </si>
  <si>
    <t>NEMZ fuvarozós díj flotta szorzóval*
EUR</t>
  </si>
  <si>
    <r>
      <t xml:space="preserve">Ha van, adja meg a hirdetményben közölt </t>
    </r>
    <r>
      <rPr>
        <b/>
        <sz val="10"/>
        <rFont val="Arial"/>
        <family val="2"/>
        <charset val="238"/>
      </rPr>
      <t xml:space="preserve">Flotta szorzókat.   </t>
    </r>
    <r>
      <rPr>
        <b/>
        <sz val="10"/>
        <color indexed="10"/>
        <rFont val="Arial"/>
        <family val="2"/>
        <charset val="238"/>
      </rPr>
      <t>Nem vontató, nem pótkocsi:</t>
    </r>
  </si>
  <si>
    <r>
      <t>PÓT</t>
    </r>
    <r>
      <rPr>
        <sz val="10"/>
        <color indexed="12"/>
        <rFont val="Arial"/>
        <family val="2"/>
        <charset val="238"/>
      </rPr>
      <t xml:space="preserve"> flottaszorzó KÉRD-en:</t>
    </r>
  </si>
  <si>
    <t>Ált. flottaszorzó KÉRDÉSEK-en:Nem vont és nem pót:</t>
  </si>
  <si>
    <r>
      <t>IGEN,</t>
    </r>
    <r>
      <rPr>
        <sz val="10"/>
        <rFont val="Arial"/>
        <charset val="238"/>
      </rPr>
      <t xml:space="preserve"> a hirdetményben szerepelnek a szorzók</t>
    </r>
  </si>
  <si>
    <t>Fenti szorzókkal számolunk!</t>
  </si>
  <si>
    <t>Fenti szorzókat nem alkalmazzuk!</t>
  </si>
  <si>
    <t>Kérjük ellenőrizze az adatokat, hogy itt fent egyik sorban se legyen negatív szám!</t>
  </si>
  <si>
    <t>Sömjénmihályfa</t>
  </si>
  <si>
    <t>Ostffyasszonyfa</t>
  </si>
  <si>
    <t>Csönge</t>
  </si>
  <si>
    <t>Kenyeri</t>
  </si>
  <si>
    <t>Pápoc</t>
  </si>
  <si>
    <t>Vönöck</t>
  </si>
  <si>
    <t>Kemenessömjén</t>
  </si>
  <si>
    <t>Kemenesszentmárton</t>
  </si>
  <si>
    <t>Kemenesmagasi</t>
  </si>
  <si>
    <t>Szergény</t>
  </si>
  <si>
    <t>Mersevát</t>
  </si>
  <si>
    <t>Külsővat</t>
  </si>
  <si>
    <t>Nemesszalók</t>
  </si>
  <si>
    <t>Vinár</t>
  </si>
  <si>
    <t>Díjcsökkentők összege:</t>
  </si>
  <si>
    <t>Flotta KÖBE szorzó mint fent.</t>
  </si>
  <si>
    <t>TGK kat szorzó mint MAX</t>
  </si>
  <si>
    <t>Szorzókkal:</t>
  </si>
  <si>
    <t>Kerekítve össz kat:</t>
  </si>
  <si>
    <t>3,5-12t</t>
  </si>
  <si>
    <t>&gt;12t</t>
  </si>
  <si>
    <t>TGK MAX összdíj:</t>
  </si>
  <si>
    <t>AEGON
VIP 2015</t>
  </si>
  <si>
    <t>Költségvetés kedvezmény 30%, ha casco-t is köt:</t>
  </si>
  <si>
    <t>Alkalmazott kedvezmény:</t>
  </si>
  <si>
    <t>Már most is flotta válasz:</t>
  </si>
  <si>
    <t>Keléd</t>
  </si>
  <si>
    <t>Mesteri</t>
  </si>
  <si>
    <t>Vásárosmiske</t>
  </si>
  <si>
    <t>Köcsk</t>
  </si>
  <si>
    <t>Egyházashetye</t>
  </si>
  <si>
    <t>Kissomlyó</t>
  </si>
  <si>
    <t>Duka</t>
  </si>
  <si>
    <t>Tokorcs</t>
  </si>
  <si>
    <t>Viszák</t>
  </si>
  <si>
    <t>Őrimagyarosd</t>
  </si>
  <si>
    <t>Tevékenység szorzók:</t>
  </si>
  <si>
    <t>Villamos energia-, gáz-, gőzellátás, légkondicionálás</t>
  </si>
  <si>
    <t>Víztermelés, vízkezelés, vízellátás</t>
  </si>
  <si>
    <t>Szennyvíz gyűjtése, kezelése</t>
  </si>
  <si>
    <t>Hulladékgazdálkodás</t>
  </si>
  <si>
    <t>Autóbusz 80 főtől</t>
  </si>
  <si>
    <t>Trolibusz</t>
  </si>
  <si>
    <t>Darab szám</t>
  </si>
  <si>
    <t>SZGK területi díjszorzók
850ccm-ig és 1501ccm felett</t>
  </si>
  <si>
    <t>SZGK területi díjszorzók
850ccm-től és 1500ccm-ig</t>
  </si>
  <si>
    <t>K&amp;H
SZGK alapdíjak</t>
  </si>
  <si>
    <t>Kor szorzó</t>
  </si>
  <si>
    <t>KÖBE
Éves alapdíj</t>
  </si>
  <si>
    <t>K&amp;H
Bp.</t>
  </si>
  <si>
    <t>KÖBE
alapdíjak
Bp.</t>
  </si>
  <si>
    <t>Januári kedvezmény</t>
  </si>
  <si>
    <t>K&amp;H
TGK alapdíjak</t>
  </si>
  <si>
    <t>TGK területi díjszorzók
&lt;2t</t>
  </si>
  <si>
    <t>TGK területi díjszorzók
2t és afelett</t>
  </si>
  <si>
    <t>UNIQA
nem term Bp. alapdíjak</t>
  </si>
  <si>
    <r>
      <t xml:space="preserve">Cég nevét ide írja be!
</t>
    </r>
    <r>
      <rPr>
        <sz val="10"/>
        <rFont val="Arial"/>
        <family val="2"/>
        <charset val="238"/>
      </rPr>
      <t>A fájlt is átnevezheti, elmentheti a cég nevén.</t>
    </r>
  </si>
  <si>
    <t>A</t>
  </si>
  <si>
    <t>B</t>
  </si>
  <si>
    <t>C</t>
  </si>
  <si>
    <t>F</t>
  </si>
  <si>
    <t>Körzet</t>
  </si>
  <si>
    <t>Ter 2.</t>
  </si>
  <si>
    <t>Ter 3.</t>
  </si>
  <si>
    <t>Hunyadfalva</t>
  </si>
  <si>
    <t>Csataszög</t>
  </si>
  <si>
    <t>Nagykörű</t>
  </si>
  <si>
    <t>Besenyszög</t>
  </si>
  <si>
    <t>Szajol</t>
  </si>
  <si>
    <t>Tiszatenyő</t>
  </si>
  <si>
    <t>Kengyel</t>
  </si>
  <si>
    <t>Rákócziújfalu</t>
  </si>
  <si>
    <t>Rákóczifalva</t>
  </si>
  <si>
    <t>Tószeg</t>
  </si>
  <si>
    <t>Tiszavárkony</t>
  </si>
  <si>
    <t>Vezseny</t>
  </si>
  <si>
    <t>Tiszajenő</t>
  </si>
  <si>
    <t>Tiszavárkonyi szölök</t>
  </si>
  <si>
    <t>Jászberény</t>
  </si>
  <si>
    <t>Jászfelsőszentgyörgy</t>
  </si>
  <si>
    <t>Jászjákóhalma</t>
  </si>
  <si>
    <t>Jászdózsa</t>
  </si>
  <si>
    <t>Jászárokszállás</t>
  </si>
  <si>
    <t>Jászágó</t>
  </si>
  <si>
    <t>Pusztamonostor</t>
  </si>
  <si>
    <t>Jászfényszaru</t>
  </si>
  <si>
    <t>Jászapáti</t>
  </si>
  <si>
    <t>Jászivány</t>
  </si>
  <si>
    <t>Jászszentandrás</t>
  </si>
  <si>
    <t>Jászkisér</t>
  </si>
  <si>
    <t>Jásztelek</t>
  </si>
  <si>
    <t>Alattyán</t>
  </si>
  <si>
    <t>Jánoshida</t>
  </si>
  <si>
    <t>Jászboldogháza</t>
  </si>
  <si>
    <t>Portelek</t>
  </si>
  <si>
    <t>Törökszentmiklós</t>
  </si>
  <si>
    <t>Tiszapüspöki</t>
  </si>
  <si>
    <t>Surjány</t>
  </si>
  <si>
    <t>Fegyvernek (Szapárfalu)</t>
  </si>
  <si>
    <t>Örményes</t>
  </si>
  <si>
    <t>Fegyvernek</t>
  </si>
  <si>
    <t>Tiszabő</t>
  </si>
  <si>
    <t>Tiszagyenda</t>
  </si>
  <si>
    <t>Tiszaroff</t>
  </si>
  <si>
    <t>Pusztataksony</t>
  </si>
  <si>
    <t>1451-2300 kg-ig UNION</t>
  </si>
  <si>
    <t>3501-7500 kg UNION</t>
  </si>
  <si>
    <t>Legalább 1 jármű…</t>
  </si>
  <si>
    <t>Járművek száma:</t>
  </si>
  <si>
    <t>Pest megye I.</t>
  </si>
  <si>
    <t>Pest megye II.</t>
  </si>
  <si>
    <t>Bács Kiskun megye</t>
  </si>
  <si>
    <t>Baranya megye</t>
  </si>
  <si>
    <t>Békés megye</t>
  </si>
  <si>
    <t>Borsod Abaúj Zemplén</t>
  </si>
  <si>
    <t>Csongrád megye</t>
  </si>
  <si>
    <t>Fejér megye</t>
  </si>
  <si>
    <t>Székesfehérvár, Dunaújváros</t>
  </si>
  <si>
    <t>Győr Moson Sopron megye</t>
  </si>
  <si>
    <t>Győr, Sopron</t>
  </si>
  <si>
    <t>Hajdú Bihar megye</t>
  </si>
  <si>
    <t>Heves megye</t>
  </si>
  <si>
    <t>Lovászpatona</t>
  </si>
  <si>
    <t>Nagydém</t>
  </si>
  <si>
    <t>Bakonytamási</t>
  </si>
  <si>
    <t>Pápateszér</t>
  </si>
  <si>
    <t>Bakonyszentiván</t>
  </si>
  <si>
    <t>Csót</t>
  </si>
  <si>
    <t>Adásztevel</t>
  </si>
  <si>
    <t>Nagytevel</t>
  </si>
  <si>
    <t>Homokbödöge</t>
  </si>
  <si>
    <t>Ugod</t>
  </si>
  <si>
    <t>Béb</t>
  </si>
  <si>
    <t>Bakonykoppány</t>
  </si>
  <si>
    <t>Bakonyszücs</t>
  </si>
  <si>
    <t>Németbánya</t>
  </si>
  <si>
    <t>Farkasgyepű</t>
  </si>
  <si>
    <t>Pápa-Kéttornyúlak</t>
  </si>
  <si>
    <t>Dáka</t>
  </si>
  <si>
    <t>Pápadereske</t>
  </si>
  <si>
    <t>Pápasalamon</t>
  </si>
  <si>
    <t>Kup</t>
  </si>
  <si>
    <t>Pápakovácsi</t>
  </si>
  <si>
    <t>Ganna</t>
  </si>
  <si>
    <t>Pótkocsi MINIMUM DÍJ</t>
  </si>
  <si>
    <t>Pótkocsi C1 díj</t>
  </si>
  <si>
    <t>Alkalmazandó  díj:</t>
  </si>
  <si>
    <t>Pótkocsi C2 díj</t>
  </si>
  <si>
    <t>&gt;10t pót  díj ha lassú vontatja:</t>
  </si>
  <si>
    <t>&gt;10t pót  díj ha NEM lassú vontatja:</t>
  </si>
  <si>
    <t>Lassú vontatje- válasz:</t>
  </si>
  <si>
    <t>2015re C tábla megszűnt, helyette lett C1 és C2 !!!</t>
  </si>
  <si>
    <t>Pótkocsi C+ díj</t>
  </si>
  <si>
    <t>2014 ben volt ez….</t>
  </si>
  <si>
    <r>
      <t xml:space="preserve">C+ flottás alkalmazott alapdíjak </t>
    </r>
    <r>
      <rPr>
        <sz val="7"/>
        <color indexed="10"/>
        <rFont val="Arial"/>
        <family val="2"/>
        <charset val="238"/>
      </rPr>
      <t>(hivatkozással képzett)</t>
    </r>
  </si>
  <si>
    <t>Melyiket tüntessük fel az NDK-n?
(Flottaszorzós vagy nem?)
NINCS AZ NDK-N MOST ILYEN ROVAT.</t>
  </si>
  <si>
    <r>
      <t xml:space="preserve">C+ flottás alkalmazott alapdíjak 2015
</t>
    </r>
    <r>
      <rPr>
        <sz val="7"/>
        <color indexed="10"/>
        <rFont val="Arial"/>
        <family val="2"/>
        <charset val="238"/>
      </rPr>
      <t>(Hivatkozással képzett)</t>
    </r>
  </si>
  <si>
    <r>
      <t xml:space="preserve">B2-B7
közt
</t>
    </r>
    <r>
      <rPr>
        <b/>
        <sz val="12"/>
        <rFont val="Arial"/>
        <family val="2"/>
        <charset val="238"/>
      </rPr>
      <t>(-17%)</t>
    </r>
  </si>
  <si>
    <t>B8-B10
közt
(-45%)</t>
  </si>
  <si>
    <t>NEM FLOTTA SZORZÓS FLOTTA</t>
  </si>
  <si>
    <t>Lassú járműves alapdíj</t>
  </si>
  <si>
    <t>NEM lassú járműves alapdíj</t>
  </si>
  <si>
    <t>Pótkocsi 0- 0,75t-ig lassú vontatja-e válasz:</t>
  </si>
  <si>
    <t>Pótkocsi &gt;0,75-10t lassú vontatja-e válasz:</t>
  </si>
  <si>
    <t>Pótkocsi 10t felett lassú vontatja-e válasz:</t>
  </si>
  <si>
    <t>Alkalmazandó alapdíj:</t>
  </si>
  <si>
    <t>0-750kg pótkocsikat LASSÚ jármű vontatja?</t>
  </si>
  <si>
    <t xml:space="preserve">751kg -10t pótkocsikat LASSÚ jármű vontatja? </t>
  </si>
  <si>
    <t xml:space="preserve">&gt;10t pótkocsikat LASSÚ jármű vontatja? </t>
  </si>
  <si>
    <t>Alkalmazandó MINIMUM díj:</t>
  </si>
  <si>
    <t>NEM lassú járműves MINIMUM díj</t>
  </si>
  <si>
    <t>Lassú járműves MINIMUM  díj</t>
  </si>
  <si>
    <t>Pótkocsi 0- 0,75t-ig (választott):</t>
  </si>
  <si>
    <t>Pótkocsi &gt;0,75-10t (választott)</t>
  </si>
  <si>
    <t>Pótkocsi 10t felett (válaszott)</t>
  </si>
  <si>
    <t>MIN díj és a kerekített díj közül a nagyobb</t>
  </si>
  <si>
    <t>Nemszorzós flotta
Minimum díjak:</t>
  </si>
  <si>
    <t>Ter 1-5</t>
  </si>
  <si>
    <t>Ter 6-12</t>
  </si>
  <si>
    <t>Pótkocsi alapdíjak
NEM szorzós flotta</t>
  </si>
  <si>
    <t>Pótkocsi alapdíjak
SZORZÓS  flotta</t>
  </si>
  <si>
    <t>Korrekciós szorzó a KÉRDÉSEK lapon:</t>
  </si>
  <si>
    <t>Alapdíj*korr szorzó</t>
  </si>
  <si>
    <t>12-re kerekítve:</t>
  </si>
  <si>
    <t>SZORZÓS FLOTTA minimum díjak</t>
  </si>
  <si>
    <t>Legyen a akettő közül a nagyobb</t>
  </si>
  <si>
    <t>Amennyiben a program használatával kapcsolatosan hibát észlelnek, kérjük jelezzék.
Kérjük, küldjék meg emailben a hibásnak vélt NDK számítást és a másik számítást, ajánlatot is, mert csak így tudjuk gyorsan megtalálni az eltérést.
Kérdés, kérés, probléma estén állunk szíves rendelkezésüke!</t>
  </si>
  <si>
    <t>Melyik igaz?</t>
  </si>
  <si>
    <t>51-63</t>
  </si>
  <si>
    <t>71-79</t>
  </si>
  <si>
    <t>ALKATEGÓRIA DÍJSZÁM.</t>
  </si>
  <si>
    <t>Pótkocsi alapdíjak ELTÉRŐ flották 28. oldal</t>
  </si>
  <si>
    <t>LASSÚ Pótkocsi 0- 0,75t-ig</t>
  </si>
  <si>
    <t>LASSÚ Pótkocsi &gt;0,75-10t</t>
  </si>
  <si>
    <t>LASSÚ Pótkocsi 10t felett</t>
  </si>
  <si>
    <t>alapdíjak</t>
  </si>
  <si>
    <t>választott:</t>
  </si>
  <si>
    <t>Válaszok a kérdések űrlapról…</t>
  </si>
  <si>
    <t>Díjfaktor</t>
  </si>
  <si>
    <t>MNV I.</t>
  </si>
  <si>
    <t>MNV II.</t>
  </si>
  <si>
    <t>MNV III.</t>
  </si>
  <si>
    <t>választott üfszám Díjfaktor-a:</t>
  </si>
  <si>
    <t>Azonos díjak, nem logikázunk..</t>
  </si>
  <si>
    <t>Mit írjon ki Kérdéseken? Ha alábbiak közé tartozik, akkor kedvezmények/pótdíjak nem játszanak.</t>
  </si>
  <si>
    <t>Kérdéseken választott flottaszám:</t>
  </si>
  <si>
    <t>Ezek közt van?</t>
  </si>
  <si>
    <t>Partner ügyfél kedvezményre jogosult?</t>
  </si>
  <si>
    <t>&gt;10t pótkocsik és félpótok száma NDK-n:</t>
  </si>
  <si>
    <t>Flotta összetétel szorzó</t>
  </si>
  <si>
    <t>Logikai flottadíj NDKra:</t>
  </si>
  <si>
    <t>üzemeltetési pótdíj szorzó:</t>
  </si>
  <si>
    <t>éves díjfizetés szorzó:</t>
  </si>
  <si>
    <t>Partner kedv szorzó:</t>
  </si>
  <si>
    <t>Nagy ügyfél szorzó:</t>
  </si>
  <si>
    <t>Flotta összetétel pótdíj:</t>
  </si>
  <si>
    <t>Nemdíjfaktor jellegű szorzók:</t>
  </si>
  <si>
    <t>25 és 26. oldal Flotta Faktoros eltérő flották….</t>
  </si>
  <si>
    <t>Alapdíj*Db*flotta díjfaktor*nemdíjfaktor jellegű szorzók</t>
  </si>
  <si>
    <t>26. oldali flották:</t>
  </si>
  <si>
    <t>Eltérő Flotta díjat számol.</t>
  </si>
  <si>
    <t>NEM Eltérő flotta díjat számol.</t>
  </si>
  <si>
    <t>Logikai flottadíj NDK-hoz:</t>
  </si>
  <si>
    <t>logikai flottadíj</t>
  </si>
  <si>
    <t>nulla, akkor él ez.</t>
  </si>
  <si>
    <t>ÁLTALÁNOS FLOTTA díjfaktor meghatározás</t>
  </si>
  <si>
    <t>Vontatók és &gt;19 buszok száma:</t>
  </si>
  <si>
    <t>Járműszám összes:</t>
  </si>
  <si>
    <t>Busz-vontató több mint 20%?</t>
  </si>
  <si>
    <t>TEÁOR szorzó nem spec esetekben:</t>
  </si>
  <si>
    <t>Mindegyik egyszerre teljesül:</t>
  </si>
  <si>
    <t>Három közül legyen első a KLIK, másodsorban a Tűz, harmadsorban az egyéb.</t>
  </si>
  <si>
    <t>Járműszám NDK-n:</t>
  </si>
  <si>
    <t>GENERALI DÍJMODÓSÍTÓ SZORZÓ (faktor szorzón kívüli szorzók)</t>
  </si>
  <si>
    <t>Ha B táblát kíván számolni, akkor az Eltérő flottát állítsa NEM-re!!!</t>
  </si>
  <si>
    <t xml:space="preserve">Flotta összettétel pótdíj szorzó számolódik.                    Nehézpótok aránya nagyobb 60%?                      </t>
  </si>
  <si>
    <t>Nehézpót minimum díja:</t>
  </si>
  <si>
    <t>Nehézpót db díj flotta szorzóval:</t>
  </si>
  <si>
    <t>2016-tól a &gt;10t pótok MIN díjasok!</t>
  </si>
  <si>
    <t>Szerződő tagja a FUVOSZ-nak?</t>
  </si>
  <si>
    <r>
      <t xml:space="preserve">A járművek legalább 70%-át felszereli balesetmegelőző rendszerrel? </t>
    </r>
    <r>
      <rPr>
        <i/>
        <sz val="8"/>
        <color indexed="16"/>
        <rFont val="Arial"/>
        <family val="2"/>
        <charset val="238"/>
      </rPr>
      <t>(5% kedvezmény)</t>
    </r>
  </si>
  <si>
    <t>Az NDK oldalon lévő járművek száma jelenleg:</t>
  </si>
  <si>
    <r>
      <t>Ha igen, kérjük adja meg a flottaszorzót!</t>
    </r>
    <r>
      <rPr>
        <sz val="8"/>
        <rFont val="Arial"/>
        <family val="2"/>
        <charset val="238"/>
      </rPr>
      <t xml:space="preserve"> </t>
    </r>
    <r>
      <rPr>
        <i/>
        <sz val="8"/>
        <color indexed="16"/>
        <rFont val="Arial"/>
        <family val="2"/>
        <charset val="238"/>
      </rPr>
      <t>(KÖBE díjhirdetmény 11. oldal)</t>
    </r>
  </si>
  <si>
    <t>3. sz. táblázat
NEM SZORZÓS flotta</t>
  </si>
  <si>
    <t>2016-ra lenulláztam mert megszűnt.</t>
  </si>
  <si>
    <r>
      <t xml:space="preserve">Nemz fuv üzemeltetési pótdíj szorzó
</t>
    </r>
    <r>
      <rPr>
        <b/>
        <sz val="10"/>
        <rFont val="Arial"/>
        <family val="2"/>
        <charset val="238"/>
      </rPr>
      <t>busz, TGK, vontató</t>
    </r>
  </si>
  <si>
    <t>Nemz fuv üz pótdíj szorzó
NEM szorzós flotta</t>
  </si>
  <si>
    <t>Nemz fuv üz pótdíj szorzó
SZORZÓS flotta</t>
  </si>
  <si>
    <t>Szorzós flotta-e?</t>
  </si>
  <si>
    <t>Választott pótdíj szorzó:</t>
  </si>
  <si>
    <t>Ellenőrzéshez:</t>
  </si>
  <si>
    <t>Alapdíj*Signal díjszorzó Kérdésekről: szorzó:</t>
  </si>
  <si>
    <t>Díjszorzó Kérdéseken:</t>
  </si>
  <si>
    <t>Határon túli szorzó Kérdésekről:</t>
  </si>
  <si>
    <t>Teáor szorzó</t>
  </si>
  <si>
    <t>Ha nincs ilyen teáor, akkor is 0.</t>
  </si>
  <si>
    <t>kedvezmények</t>
  </si>
  <si>
    <t>nincsenek</t>
  </si>
  <si>
    <t>Ez a díj a 26. oldali flottákra (2017) , 21-30  oszloposok:</t>
  </si>
  <si>
    <t>Ez a díj a 26. oldali flottákra, 21-30 alapdíj oszloposok. Itt semmilyne  szorzó nincs.</t>
  </si>
  <si>
    <t>27-28. oldali eltérő flották, itt minden egyéb kedvezméyn és pótdíj is játszik!</t>
  </si>
  <si>
    <t>27-28. oldali flották:</t>
  </si>
  <si>
    <t>Ez meg a 27-28. oldali flották díja.</t>
  </si>
  <si>
    <t>Ha a 26. oldali</t>
  </si>
  <si>
    <t>Itt veszi figyelembe, hogy ha &gt;10 flottánál nem 4941-re teáor 1-et kellett számolni.</t>
  </si>
  <si>
    <t>Járművek száma 10 vagy több 2017-től nem érdekes, válaztól függetlenül a válasz IGEN:</t>
  </si>
  <si>
    <t>Tűzoltó díjak:</t>
  </si>
  <si>
    <t>"A" terület &gt;TGK díj Túzoltóságtól függ, ezt alul képzem.</t>
  </si>
  <si>
    <t>Pótkocsi 10t felett (választott)KÉPZETT!</t>
  </si>
  <si>
    <t>Pótkocsi 10t felett (választott)KÉPZETT!!</t>
  </si>
  <si>
    <t>Nem flotta azonosítós alapdíjak C1 és C2 közül (Képzett)</t>
  </si>
  <si>
    <r>
      <t xml:space="preserve">Pótkocsi 10t felett </t>
    </r>
    <r>
      <rPr>
        <sz val="8"/>
        <color indexed="10"/>
        <rFont val="Arial"/>
        <family val="2"/>
        <charset val="238"/>
      </rPr>
      <t>(Minimumdíj képzett!!!)</t>
    </r>
  </si>
  <si>
    <t>Minimum díjak:
Képzett!!</t>
  </si>
  <si>
    <r>
      <t xml:space="preserve">Alapdíj C1,C2 közül választott:
</t>
    </r>
    <r>
      <rPr>
        <sz val="10"/>
        <color indexed="10"/>
        <rFont val="Arial"/>
        <family val="2"/>
        <charset val="238"/>
      </rPr>
      <t>Képzett!!</t>
    </r>
  </si>
  <si>
    <t>Teáor most NDK-n:</t>
  </si>
  <si>
    <t>Eredmény F-tábás-e:</t>
  </si>
  <si>
    <t>Válasz SZGK-kat személyszállításra használják:</t>
  </si>
  <si>
    <t>Személyszállítás válasz:</t>
  </si>
  <si>
    <t>SZGK Összesített  szorzó személyszállítástól függően M1 helyett::</t>
  </si>
  <si>
    <t xml:space="preserve">SZGK flottaszintű kedvezmény szorzó személyszállítástól függően:
</t>
  </si>
  <si>
    <t xml:space="preserve">SZGK flottaszintű kedvezmény szorzó Kérdéseken:
</t>
  </si>
  <si>
    <t xml:space="preserve">Személyautóknál Szorzót megszorozzuk egy számmal, ami ha nem taxi akkor 1, </t>
  </si>
  <si>
    <t>ha taxi, akkor kiveszi a flottaszintű kedvezmény szorzót és berakja a taxi függő kedvezmény szorzót:</t>
  </si>
  <si>
    <r>
      <t xml:space="preserve">Alap díjak C tábla 
</t>
    </r>
    <r>
      <rPr>
        <b/>
        <sz val="8"/>
        <color indexed="12"/>
        <rFont val="Arial"/>
        <family val="2"/>
      </rPr>
      <t>(nem F táblás)
választott C1 és C2 közül
Képzett!</t>
    </r>
  </si>
  <si>
    <t>Veszélyes válasz kérdéseken:</t>
  </si>
  <si>
    <t>CASCO együttkötés válasz:</t>
  </si>
  <si>
    <t>CASCO együttkötés szorzó:</t>
  </si>
  <si>
    <t>Casco együttkötés szorzó:</t>
  </si>
  <si>
    <t>casco együttkötés esetén Teáor kedvezmny nem alkalmazható.</t>
  </si>
  <si>
    <t>A gépjárművek legalább 10%-a veszélyes áru (ADR) szállítást végez?</t>
  </si>
  <si>
    <t xml:space="preserve">Trolibuszt KÖBE csak határozott időre biztosít, ezért a KÖBE összesített díjban troli díj nincs!!!
Hasonlóan több biztosító nem hirdetett troli vagy 4  kerekű SMK díjat, így ezek flottadíjában sem szerepel troli vagy 4 kerekű SMk díj. A díjkínálat lapon jelöltük, hogy mely biztosítók érintettek.
</t>
  </si>
  <si>
    <t>Talált irányító:</t>
  </si>
  <si>
    <t>Kérdéseken fix hamisra állítva 2017</t>
  </si>
  <si>
    <t>Ez nem évfordulós biztosítóváltás, vagy az előző biztosítási évforduló óta nem telt el legalább 9 hónap.</t>
  </si>
  <si>
    <r>
      <t xml:space="preserve">Ez nem évfordulós biztosítóváltás, vagy az előző biztosítási évforduló óta nem telt el legalább 9 hónap.                                   </t>
    </r>
    <r>
      <rPr>
        <i/>
        <sz val="10"/>
        <color indexed="60"/>
        <rFont val="Arial"/>
        <family val="2"/>
        <charset val="238"/>
      </rPr>
      <t>Ha ez igaz, akkor a kárgyakoriság faktor nulla.</t>
    </r>
  </si>
  <si>
    <r>
      <rPr>
        <sz val="10"/>
        <rFont val="Arial"/>
        <family val="2"/>
        <charset val="238"/>
      </rPr>
      <t xml:space="preserve"> -2016 év óta az NDK az MKP díjakat is beszámolja, így ha KÖBE a korábbi gyakorlat szerint mégsem vállal MKP-kat flottában, akkor azokat kivéve adódik a KÖBE flotta díja.</t>
    </r>
    <r>
      <rPr>
        <sz val="10"/>
        <color indexed="10"/>
        <rFont val="Arial"/>
        <family val="2"/>
        <charset val="238"/>
      </rPr>
      <t xml:space="preserve">
</t>
    </r>
    <r>
      <rPr>
        <sz val="10"/>
        <rFont val="Arial"/>
        <family val="2"/>
        <charset val="238"/>
      </rPr>
      <t>-SMK és négykererekű SMK díj is benne van a flottadíjban határozatlan idejű alapdíjjal.</t>
    </r>
    <r>
      <rPr>
        <sz val="10"/>
        <color indexed="10"/>
        <rFont val="Arial"/>
        <family val="2"/>
        <charset val="238"/>
      </rPr>
      <t xml:space="preserve">
</t>
    </r>
    <r>
      <rPr>
        <sz val="10"/>
        <rFont val="Arial"/>
        <family val="2"/>
        <charset val="238"/>
      </rPr>
      <t>-Troli díjat viszont nem számolunk, mert arra csak határozott idejű díj van hirdetve.
-2015-től KÖBE is alkalmaz flottaszorzós flottákat. Ezeknél a flottadíjat még a flottaszorzóval is megszorozzuk.</t>
    </r>
  </si>
  <si>
    <t>Részek  1</t>
  </si>
  <si>
    <t>Devizás (EUR,GBP) díjfizetés kedvezmény jár nekem és igénylem:</t>
  </si>
  <si>
    <t>db belföldi áruszállító</t>
  </si>
  <si>
    <r>
      <t>W</t>
    </r>
    <r>
      <rPr>
        <b/>
        <sz val="10"/>
        <color indexed="13"/>
        <rFont val="Arial"/>
        <family val="2"/>
        <charset val="238"/>
      </rPr>
      <t>ÁBERE</t>
    </r>
    <r>
      <rPr>
        <b/>
        <sz val="12"/>
        <color indexed="13"/>
        <rFont val="Arial"/>
        <family val="2"/>
        <charset val="238"/>
      </rPr>
      <t>R   &gt;10t pótkocsik</t>
    </r>
  </si>
  <si>
    <t>Nem speciális, és csak belföldi közúti árufuvarozást végző &gt;10t pótkocsok száma:</t>
  </si>
  <si>
    <r>
      <rPr>
        <sz val="14"/>
        <color indexed="17"/>
        <rFont val="Arial"/>
        <family val="2"/>
        <charset val="238"/>
      </rPr>
      <t>normál</t>
    </r>
    <r>
      <rPr>
        <sz val="10"/>
        <rFont val="Arial"/>
        <charset val="238"/>
      </rPr>
      <t xml:space="preserve">  gjmű díj:
(itt veszem be a napfény, flottaszám, stb. szorzókat.)</t>
    </r>
  </si>
  <si>
    <t>Normál, de belföldi fuvarozós:</t>
  </si>
  <si>
    <t>Normál
Sima belföldi
NEM küzúti fuvarozós jmű db szám</t>
  </si>
  <si>
    <t>Belföldi közúti fuvarozós jmű szám NDK-n:</t>
  </si>
  <si>
    <t>normál 
nem közúti fuvarozós
kategória díj:</t>
  </si>
  <si>
    <t>Belföldi összes:</t>
  </si>
  <si>
    <t>NEM SZORZÓS FLOTTA</t>
  </si>
  <si>
    <t>SZORZÓS FLOTTA</t>
  </si>
  <si>
    <t>NEM SZORZÓS</t>
  </si>
  <si>
    <t>Egyéb gépjárművek szorzós flotta</t>
  </si>
  <si>
    <t>Belföldi (NEM nemz fuv)  min díj</t>
  </si>
  <si>
    <t>Csak belföldi közúti árufuvarozást végző vontatók száma:</t>
  </si>
  <si>
    <t>db Vonató van összesen, ebből</t>
  </si>
  <si>
    <t>db belföldi áruszállító.</t>
  </si>
  <si>
    <t>db  speciális használatú,</t>
  </si>
  <si>
    <r>
      <rPr>
        <b/>
        <sz val="12"/>
        <color indexed="17"/>
        <rFont val="Arial"/>
        <family val="2"/>
        <charset val="238"/>
      </rPr>
      <t xml:space="preserve">VONTATÓ ÁLTALÁNOS
</t>
    </r>
    <r>
      <rPr>
        <sz val="10"/>
        <rFont val="Arial"/>
        <charset val="238"/>
      </rPr>
      <t>Vontató 12000 ccm alatt</t>
    </r>
  </si>
  <si>
    <t>Normál járműszám:
KÉPZETT!!</t>
  </si>
  <si>
    <t>Belföldi fuvarozós vontatók díja:</t>
  </si>
  <si>
    <t>alapdíj:</t>
  </si>
  <si>
    <t xml:space="preserve">Vontató </t>
  </si>
  <si>
    <t>Üz pótdíj nincs!</t>
  </si>
  <si>
    <r>
      <t xml:space="preserve">12. tábla kedvezmények összege </t>
    </r>
    <r>
      <rPr>
        <sz val="10"/>
        <color indexed="17"/>
        <rFont val="Arial"/>
        <family val="2"/>
        <charset val="238"/>
      </rPr>
      <t>TEÁOR és TATRAM</t>
    </r>
    <r>
      <rPr>
        <sz val="10"/>
        <color indexed="10"/>
        <rFont val="Arial"/>
        <family val="2"/>
        <charset val="238"/>
      </rPr>
      <t>:</t>
    </r>
  </si>
  <si>
    <t>Nem szorzósnál minden jmű nél alkalmazandó</t>
  </si>
  <si>
    <t>MIN összevetve:</t>
  </si>
  <si>
    <t>Db szám:</t>
  </si>
  <si>
    <t>Bérgép, taxi... üz pótdíj szorzó szgk:</t>
  </si>
  <si>
    <t xml:space="preserve">Az irányelvünk az, hogy minél előbb adjon a kalkulátor díjat, és lehetőleg felülről becsült díjat.
Wáberer  biztosító esetén ez túl nagy díjat eredményezne, ezért ott ez fordítva történik. A speciális (pl. bérgépjármű, stb.) használatú, valamint nemzetközi áru vagy személyfuvarozó járművek pótdíjasak, ezért ezek számát a két Wáberer pótdíjas oszlopban külön meg kell adni. Ennek hiányában nyilván kisebb lesz a számolt díj, mint a tényleges flottadíj, tehát a Wáberer, ha csak az A0 oszlopot töltjük ki, akkor alulról becsült díjat ad. </t>
  </si>
  <si>
    <t>Új flotta országos tarifa 2018</t>
  </si>
  <si>
    <t>irányítószám NDK főlapon:</t>
  </si>
  <si>
    <t>Területi kód keresés eredmény:</t>
  </si>
  <si>
    <t>egyezik a kettő?</t>
  </si>
  <si>
    <t>Ha nem találta, akkor a ter kód 11.</t>
  </si>
  <si>
    <t>TER KÓD:</t>
  </si>
  <si>
    <t>10</t>
  </si>
  <si>
    <t>8 11</t>
  </si>
  <si>
    <t>8 22</t>
  </si>
  <si>
    <t>19 77</t>
  </si>
  <si>
    <t>19 33</t>
  </si>
  <si>
    <t>23 99</t>
  </si>
  <si>
    <t>34 44</t>
  </si>
  <si>
    <t>45 55</t>
  </si>
  <si>
    <t>56 88</t>
  </si>
  <si>
    <t>78 99</t>
  </si>
  <si>
    <t>89 99</t>
  </si>
  <si>
    <t>GP</t>
  </si>
  <si>
    <t>8</t>
  </si>
  <si>
    <r>
      <t xml:space="preserve">GENERALI
</t>
    </r>
    <r>
      <rPr>
        <b/>
        <sz val="14"/>
        <color indexed="10"/>
        <rFont val="Times New Roman"/>
        <family val="1"/>
        <charset val="238"/>
      </rPr>
      <t>8-11</t>
    </r>
  </si>
  <si>
    <r>
      <t xml:space="preserve">GENERALI
</t>
    </r>
    <r>
      <rPr>
        <b/>
        <sz val="14"/>
        <color indexed="10"/>
        <rFont val="Times New Roman"/>
        <family val="1"/>
        <charset val="238"/>
      </rPr>
      <t>8-22</t>
    </r>
  </si>
  <si>
    <r>
      <t xml:space="preserve">GENERALI
</t>
    </r>
    <r>
      <rPr>
        <sz val="10"/>
        <color indexed="10"/>
        <rFont val="Times New Roman"/>
        <family val="1"/>
        <charset val="238"/>
      </rPr>
      <t xml:space="preserve">
</t>
    </r>
    <r>
      <rPr>
        <b/>
        <sz val="14"/>
        <color indexed="10"/>
        <rFont val="Times New Roman"/>
        <family val="1"/>
        <charset val="238"/>
      </rPr>
      <t>19-77</t>
    </r>
  </si>
  <si>
    <r>
      <t xml:space="preserve">GENERALI
</t>
    </r>
    <r>
      <rPr>
        <sz val="10"/>
        <color indexed="10"/>
        <rFont val="Times New Roman"/>
        <family val="1"/>
        <charset val="238"/>
      </rPr>
      <t xml:space="preserve">
</t>
    </r>
    <r>
      <rPr>
        <b/>
        <sz val="14"/>
        <color indexed="10"/>
        <rFont val="Times New Roman"/>
        <family val="1"/>
        <charset val="238"/>
      </rPr>
      <t>19-33</t>
    </r>
  </si>
  <si>
    <r>
      <t xml:space="preserve">GENERALI
</t>
    </r>
    <r>
      <rPr>
        <sz val="10"/>
        <color indexed="10"/>
        <rFont val="Times New Roman"/>
        <family val="1"/>
        <charset val="238"/>
      </rPr>
      <t xml:space="preserve">
</t>
    </r>
    <r>
      <rPr>
        <b/>
        <sz val="14"/>
        <color indexed="10"/>
        <rFont val="Times New Roman"/>
        <family val="1"/>
        <charset val="238"/>
      </rPr>
      <t>23-99</t>
    </r>
  </si>
  <si>
    <r>
      <t xml:space="preserve">GENERALI
</t>
    </r>
    <r>
      <rPr>
        <sz val="10"/>
        <color indexed="10"/>
        <rFont val="Times New Roman"/>
        <family val="1"/>
        <charset val="238"/>
      </rPr>
      <t xml:space="preserve">
</t>
    </r>
    <r>
      <rPr>
        <b/>
        <sz val="14"/>
        <color indexed="10"/>
        <rFont val="Times New Roman"/>
        <family val="1"/>
        <charset val="238"/>
      </rPr>
      <t>34-44</t>
    </r>
  </si>
  <si>
    <r>
      <t xml:space="preserve">GENERALI
</t>
    </r>
    <r>
      <rPr>
        <sz val="10"/>
        <color indexed="10"/>
        <rFont val="Times New Roman"/>
        <family val="1"/>
        <charset val="238"/>
      </rPr>
      <t xml:space="preserve">
</t>
    </r>
    <r>
      <rPr>
        <b/>
        <sz val="14"/>
        <color indexed="10"/>
        <rFont val="Times New Roman"/>
        <family val="1"/>
        <charset val="238"/>
      </rPr>
      <t>45-55</t>
    </r>
  </si>
  <si>
    <r>
      <t xml:space="preserve">GENERALI
</t>
    </r>
    <r>
      <rPr>
        <sz val="10"/>
        <color indexed="10"/>
        <rFont val="Times New Roman"/>
        <family val="1"/>
        <charset val="238"/>
      </rPr>
      <t xml:space="preserve">
</t>
    </r>
    <r>
      <rPr>
        <b/>
        <sz val="14"/>
        <color indexed="10"/>
        <rFont val="Times New Roman"/>
        <family val="1"/>
        <charset val="238"/>
      </rPr>
      <t>56-88</t>
    </r>
  </si>
  <si>
    <r>
      <t xml:space="preserve">GENERALI
</t>
    </r>
    <r>
      <rPr>
        <sz val="10"/>
        <color indexed="10"/>
        <rFont val="Times New Roman"/>
        <family val="1"/>
        <charset val="238"/>
      </rPr>
      <t xml:space="preserve">
</t>
    </r>
    <r>
      <rPr>
        <b/>
        <sz val="14"/>
        <color indexed="10"/>
        <rFont val="Times New Roman"/>
        <family val="1"/>
        <charset val="238"/>
      </rPr>
      <t>78-99</t>
    </r>
  </si>
  <si>
    <r>
      <t xml:space="preserve">GENERALI
</t>
    </r>
    <r>
      <rPr>
        <sz val="10"/>
        <color indexed="10"/>
        <rFont val="Times New Roman"/>
        <family val="1"/>
        <charset val="238"/>
      </rPr>
      <t xml:space="preserve">
</t>
    </r>
    <r>
      <rPr>
        <b/>
        <sz val="14"/>
        <color indexed="10"/>
        <rFont val="Times New Roman"/>
        <family val="1"/>
        <charset val="238"/>
      </rPr>
      <t>89-99</t>
    </r>
  </si>
  <si>
    <t>KÓDSZÁM
2018től nem érvényes</t>
  </si>
  <si>
    <t>Aktuláis ter kód:</t>
  </si>
  <si>
    <t>Választott díjoszlop terület alapján (szgk, tgk):</t>
  </si>
  <si>
    <t>8-11 terület (Bp.) &gt;12t TGK díj Túzoltóságtól függ:</t>
  </si>
  <si>
    <t>8-22 nem Bp-i alapdíj:</t>
  </si>
  <si>
    <t>díjfaktor</t>
  </si>
  <si>
    <t>PÓT KÉPZETT!!!</t>
  </si>
  <si>
    <t>Eltérő flottát számolunk?</t>
  </si>
  <si>
    <t>Ezeket 2108ra 20 helyett 50db ra aktualizáltam.</t>
  </si>
  <si>
    <t>Nem flotta azonosítós díj, ha &lt;=50db akkor bonuszos legyen, egyébként nem:</t>
  </si>
  <si>
    <r>
      <t xml:space="preserve">Nem F szorzós flottánál, ha db </t>
    </r>
    <r>
      <rPr>
        <sz val="10"/>
        <color indexed="10"/>
        <rFont val="Arial"/>
        <family val="2"/>
        <charset val="238"/>
      </rPr>
      <t>&lt;51</t>
    </r>
  </si>
  <si>
    <t>A &lt;51 flottákra a C1 tábla von, de én a választottal dolgozok, a végén ha &gt;50 nem kell a BM kedvezményt alkalmazni.</t>
  </si>
  <si>
    <r>
      <t xml:space="preserve">Nem flottaszorzós C táblás flotta díja összesen </t>
    </r>
    <r>
      <rPr>
        <b/>
        <sz val="8"/>
        <color indexed="62"/>
        <rFont val="Arial"/>
        <family val="2"/>
        <charset val="238"/>
      </rPr>
      <t>(bonusz nélkül):</t>
    </r>
  </si>
  <si>
    <r>
      <t xml:space="preserve">Alapdíj szorzandó a Megyével és a Teáorra, Kedvezményekkel, és:
Ha Vállalatirányatós, akkor azzal szorozzuk, ha F flottatáblás, akkor azzal. Tarifa szerint ezek nem keverednek.
I táblában minden szorzó nagyobb 1-nél. </t>
    </r>
    <r>
      <rPr>
        <sz val="10"/>
        <color indexed="10"/>
        <rFont val="Arial"/>
        <family val="2"/>
        <charset val="238"/>
      </rPr>
      <t xml:space="preserve">Ha Lesz kisebb, akkor más logikát kell beírni!!! 2018 ok.
</t>
    </r>
  </si>
  <si>
    <t>Flotta szintű kedvezmények szorzója:</t>
  </si>
  <si>
    <t>terület*teáor*személyszáll*irányítás</t>
  </si>
  <si>
    <t>Szorzó B2-B7-tel</t>
  </si>
  <si>
    <t>Szorzó B8-B10-tel</t>
  </si>
  <si>
    <r>
      <t xml:space="preserve">Megye szorzó:
</t>
    </r>
    <r>
      <rPr>
        <sz val="8"/>
        <rFont val="Arial"/>
        <family val="2"/>
        <charset val="238"/>
      </rPr>
      <t>Személygépkocsi;
1-12 000 kg össztömegű tehergépkocsi;
Motorkerékpár; Segédmotoroskerékpár;
Négykerekű segédmotoros-kerékpár;
Lassú jármű; Munkagép;
Mezőgazdasági vontató;
1-10000 kg össztömegű pótkocsi,
félpótkocsi, Trolibusz járműkategóriák</t>
    </r>
  </si>
  <si>
    <r>
      <t xml:space="preserve">Megye szorzó:
</t>
    </r>
    <r>
      <rPr>
        <sz val="8"/>
        <rFont val="Arial"/>
        <family val="2"/>
        <charset val="238"/>
      </rPr>
      <t>Autóbusz, 12000 kg össztömeg
feletti tehergépkocsi, Ismeretlen vagy
0 össztömegű tehergépkocsi, Közúti
vontató, Lassú és Nem lassú jármű
vontatta, 10000 kg össztömeg feletti
pótkocsi, félpótkocsi; Ismeretlen vagy
0 össztömegű pótkocsi, félpótkocsi
járműkategóriák</t>
    </r>
  </si>
  <si>
    <t>Járműkategóriának megfelelő megye szorzó:</t>
  </si>
  <si>
    <t>Alkalmazott szorzó 2017ig:</t>
  </si>
  <si>
    <t>Ter szorzó kivéve!!! Autóbusz stb.</t>
  </si>
  <si>
    <t>I vagy F szorzó a többivel taxi nélkül</t>
  </si>
  <si>
    <t>Egyéb esetek: Ha fentiek közül egyik sem igaz, akkor az alsó 1-nél Igaz.</t>
  </si>
  <si>
    <t>NEMZ fuv válasz:</t>
  </si>
  <si>
    <t>Nemz fuv!!</t>
  </si>
  <si>
    <t>Kivéve &gt;10t pót, mert ott csak nem lassú vont-nál kell:</t>
  </si>
  <si>
    <t>Nem lassú vont &gt;10t PÓT nál alkalmazandó szorzó:</t>
  </si>
  <si>
    <t>Lassú jmű vont válasz:</t>
  </si>
  <si>
    <r>
      <t xml:space="preserve">Szorzókkal, kedvezményekkel csökkentett alapjdíj, kivéve BM
Képzett!! </t>
    </r>
    <r>
      <rPr>
        <sz val="9"/>
        <color indexed="10"/>
        <rFont val="Arial"/>
        <family val="2"/>
        <charset val="238"/>
      </rPr>
      <t>Tehát Autóbusz stb.nél ter szorzó kivéve.
Nemz fuv Autóbusz stb. szorzóval.</t>
    </r>
  </si>
  <si>
    <t>Bérgépkocsi?</t>
  </si>
  <si>
    <t>Flottakezeléssel is foglalkozik a szerződő?</t>
  </si>
  <si>
    <t>Union alapdíjak 2018</t>
  </si>
  <si>
    <t>Terület 7</t>
  </si>
  <si>
    <t>Terület 8</t>
  </si>
  <si>
    <t>Terület 9</t>
  </si>
  <si>
    <t>Terület 10</t>
  </si>
  <si>
    <t>irányító területekhez:</t>
  </si>
  <si>
    <t>Flotta szorzóval rendelkezik?</t>
  </si>
  <si>
    <t xml:space="preserve">!!!   Az adható kedvezményekhez, pótdíjakhoz az adatokat a KÉRDÉSEK munkalapon, valamint az NDK főlapon a jármű db szám adatokat meg kell magadni!
Első lépésben NDK főlapon az A0 oszlop töltendő. A Darabszám az A0 táblázatból számítódik.. </t>
  </si>
  <si>
    <r>
      <t xml:space="preserve">Biztosítókra vonatkozó infók:
</t>
    </r>
    <r>
      <rPr>
        <sz val="14"/>
        <color indexed="10"/>
        <rFont val="Arial"/>
        <family val="2"/>
        <charset val="238"/>
      </rPr>
      <t>(Kérjük görgesse lejjebb az oldalt, és olvassa el  a további infókat is!)</t>
    </r>
  </si>
  <si>
    <r>
      <t xml:space="preserve">Pótkocsi 10t felett </t>
    </r>
    <r>
      <rPr>
        <sz val="10"/>
        <color indexed="10"/>
        <rFont val="Arial"/>
        <family val="2"/>
        <charset val="238"/>
      </rPr>
      <t>Képzett!</t>
    </r>
  </si>
  <si>
    <r>
      <t xml:space="preserve">Pótkocsi 0- 0,75t-ig </t>
    </r>
    <r>
      <rPr>
        <sz val="10"/>
        <color indexed="10"/>
        <rFont val="Arial"/>
        <family val="2"/>
        <charset val="238"/>
      </rPr>
      <t>Képzett!</t>
    </r>
  </si>
  <si>
    <r>
      <t xml:space="preserve">Pótkocsi &gt;0,75-10t </t>
    </r>
    <r>
      <rPr>
        <sz val="10"/>
        <color indexed="10"/>
        <rFont val="Arial"/>
        <family val="2"/>
        <charset val="238"/>
      </rPr>
      <t>Képzett!</t>
    </r>
  </si>
  <si>
    <t>Egyezik?</t>
  </si>
  <si>
    <t>Flotta nem köthető!</t>
  </si>
  <si>
    <r>
      <t>Allianz:</t>
    </r>
    <r>
      <rPr>
        <b/>
        <sz val="10"/>
        <color indexed="12"/>
        <rFont val="Arial"/>
        <family val="2"/>
        <charset val="238"/>
      </rPr>
      <t xml:space="preserve">
</t>
    </r>
    <r>
      <rPr>
        <b/>
        <sz val="10"/>
        <color indexed="10"/>
        <rFont val="Arial"/>
        <family val="2"/>
        <charset val="238"/>
      </rPr>
      <t>Írja be, hogy az A0 oszlopba lévő járművek közül hány rendelkezik bónusszal!
Csak a nem díjszorzós, max. 50db-os flottáknál töltse ezt ki!</t>
    </r>
  </si>
  <si>
    <r>
      <t xml:space="preserve">SZGK, &lt;3,5TGK, MKP járművekre kér </t>
    </r>
    <r>
      <rPr>
        <b/>
        <sz val="10"/>
        <rFont val="Arial"/>
        <family val="2"/>
        <charset val="238"/>
      </rPr>
      <t>Határontúli rendszeres használat</t>
    </r>
    <r>
      <rPr>
        <sz val="10"/>
        <rFont val="Arial"/>
        <family val="2"/>
        <charset val="238"/>
      </rPr>
      <t xml:space="preserve"> pótdíjat?</t>
    </r>
  </si>
  <si>
    <t>Többi igaz-e 1</t>
  </si>
  <si>
    <t>Többi igaz-e 2</t>
  </si>
  <si>
    <t>Többi igaz-e érték:</t>
  </si>
  <si>
    <t>Területi szorzók
2019-ra újra 10 féle
 2. tábla</t>
  </si>
  <si>
    <t>Alapdíjak 
2019-ra 1. sz. tábla</t>
  </si>
  <si>
    <t xml:space="preserve">WÁBERER  Vonatók </t>
  </si>
  <si>
    <t>2019 re</t>
  </si>
  <si>
    <r>
      <rPr>
        <sz val="10"/>
        <rFont val="Arial"/>
        <family val="2"/>
        <charset val="238"/>
      </rPr>
      <t xml:space="preserve"> -2017 óta Posta sem biztosít Trolibuszt és 4 kerekű SMK-t flottában, így az NDK akkor sem számol Troli és 4 kerekű SMK díjat, ha az A0 oszlopban adunk meg ilyen járműszámot! </t>
    </r>
    <r>
      <rPr>
        <sz val="10"/>
        <color indexed="10"/>
        <rFont val="Arial"/>
        <family val="2"/>
        <charset val="238"/>
      </rPr>
      <t xml:space="preserve">
 </t>
    </r>
    <r>
      <rPr>
        <sz val="10"/>
        <rFont val="Arial"/>
        <family val="2"/>
        <charset val="238"/>
      </rPr>
      <t xml:space="preserve">-2015 óta a Posta a pár cég esetén egyedi díjat adott, ezt nem számolja a kalkulátor.
 -Kárhányaddal kapcsolatos információk:
"A Szerződő 3 évre visszamenőleg járművenként részletes kárelőzményi tájékoztatást köteles adni. A tájékoztatásnak tartalmaznia kell az okozott károkat, és a káronként kifizetett kártérítést. Ha még nem történt kifizetés, a kárt akkor is fel kell sorolni. </t>
    </r>
    <r>
      <rPr>
        <b/>
        <sz val="10"/>
        <rFont val="Arial"/>
        <family val="2"/>
        <charset val="238"/>
      </rPr>
      <t>Ha a szerződő nem, vagy nem teljeskörű kárelőzményt adott meg, akkor járművenként 200% pótdíjat kell alkalmazni.</t>
    </r>
    <r>
      <rPr>
        <sz val="10"/>
        <rFont val="Arial"/>
        <family val="2"/>
        <charset val="238"/>
      </rPr>
      <t xml:space="preserve"> A KÉRDÉSEK űrlapon bejelölendő kárhányad, vagy pedig az is választható, hogy nem ad le teljeskörű kárelőzményt. 
A kárhányad egy %-ban kifejezett tört szám. A tört számlálója az elmúlt 3 évi kárkifizetések összege. Ha egy kárra még nem történt meg a teljes kárkifizetés, akkor azt káronként a megtörtént kárkifizetés növelve 1 000 000 forint átlaggal kell figyelembe venni. A tört nevezője a járművenkénti jelen tarifa flotta alapdíjak összege, szorozva hárommal."
-A kártörténetet igazolni kell, a flottákra előzetes jóváhagyás kell.</t>
    </r>
  </si>
  <si>
    <r>
      <rPr>
        <sz val="10"/>
        <rFont val="Arial"/>
        <family val="2"/>
        <charset val="238"/>
      </rPr>
      <t xml:space="preserve">2016 óta  a flotta tarifában nem szerepel troli, ezért ha adtunk is meg troli járműszámot, arra az NDK nulla díjat számol.
Hasonlóan kikerült 2016 óta a tarifából a 4 kerekű SMK, ezért ha adtunk is meg 4 kerekű SMK járműszámot, arra az NDK nulla díjat számol. </t>
    </r>
    <r>
      <rPr>
        <sz val="10"/>
        <color indexed="10"/>
        <rFont val="Arial"/>
        <family val="2"/>
        <charset val="238"/>
      </rPr>
      <t xml:space="preserve">
</t>
    </r>
  </si>
  <si>
    <t>A biztosítási időszak kezdetét megelőzőegy évben rendelkezett (bármely biztosítónál) a szerződő KGFB flotta szerződéssel (vagy GFB szerződésekkel)?</t>
  </si>
  <si>
    <t>Be van azonosítva az ir?</t>
  </si>
  <si>
    <t>Teáor jelenleg:</t>
  </si>
  <si>
    <t>Minimum díjak:
KÉPZETT!</t>
  </si>
  <si>
    <t>nem fuv esetén</t>
  </si>
  <si>
    <t>Nemz fuv Teáror helyetti szorzó:</t>
  </si>
  <si>
    <r>
      <t xml:space="preserve">Kárgyakoriság legfeljebb 5% volt?                                </t>
    </r>
    <r>
      <rPr>
        <i/>
        <sz val="10"/>
        <color indexed="16"/>
        <rFont val="Arial"/>
        <family val="2"/>
        <charset val="238"/>
      </rPr>
      <t>(Legalább 51db-os flottáknál jár.)</t>
    </r>
  </si>
  <si>
    <r>
      <t xml:space="preserve">Minimum díjak:
</t>
    </r>
    <r>
      <rPr>
        <sz val="8"/>
        <rFont val="Arial"/>
        <family val="2"/>
        <charset val="238"/>
      </rPr>
      <t>P oszlopból képezve</t>
    </r>
  </si>
  <si>
    <t>Volt C tábla (L2)
Szorzókkal, kedvezményekkel csökkentett alapjdíj:</t>
  </si>
  <si>
    <t>Ha ez &gt;131640Ft, akkor *0,77 +30295</t>
  </si>
  <si>
    <r>
      <t xml:space="preserve">Szorzókkal, kedvezményekkel csökkentett alapjdíj:
</t>
    </r>
    <r>
      <rPr>
        <sz val="9"/>
        <color indexed="10"/>
        <rFont val="Arial"/>
        <family val="2"/>
        <charset val="238"/>
      </rPr>
      <t>képzett</t>
    </r>
  </si>
  <si>
    <r>
      <rPr>
        <b/>
        <sz val="9"/>
        <color indexed="57"/>
        <rFont val="Arial"/>
        <family val="2"/>
        <charset val="238"/>
      </rPr>
      <t>Nem flotta azonosítós alapdíjak 2019</t>
    </r>
    <r>
      <rPr>
        <b/>
        <sz val="9"/>
        <color indexed="12"/>
        <rFont val="Arial"/>
        <family val="2"/>
        <charset val="238"/>
      </rPr>
      <t xml:space="preserve">
</t>
    </r>
    <r>
      <rPr>
        <sz val="7"/>
        <color indexed="10"/>
        <rFont val="Arial"/>
        <family val="2"/>
        <charset val="238"/>
      </rPr>
      <t>(Hivatkozással képzett)</t>
    </r>
    <r>
      <rPr>
        <b/>
        <sz val="9"/>
        <color indexed="12"/>
        <rFont val="Arial"/>
        <family val="2"/>
        <charset val="238"/>
      </rPr>
      <t xml:space="preserve">
</t>
    </r>
    <r>
      <rPr>
        <sz val="8"/>
        <color indexed="12"/>
        <rFont val="Arial"/>
        <family val="2"/>
        <charset val="238"/>
      </rPr>
      <t xml:space="preserve"> (C1 és C2 közül db szám alapján választott):</t>
    </r>
  </si>
  <si>
    <t>Kerekítés 120ra</t>
  </si>
  <si>
    <r>
      <rPr>
        <sz val="9"/>
        <color indexed="10"/>
        <rFont val="Arial"/>
        <family val="2"/>
        <charset val="238"/>
      </rPr>
      <t>L101-ből képzett</t>
    </r>
    <r>
      <rPr>
        <sz val="9"/>
        <rFont val="Arial"/>
        <family val="2"/>
        <charset val="238"/>
      </rPr>
      <t xml:space="preserve">
Szorzókkal, kedvezményekkel csökkentett alapjdíj, kivéve BM
Képzett!! </t>
    </r>
    <r>
      <rPr>
        <sz val="9"/>
        <color indexed="10"/>
        <rFont val="Arial"/>
        <family val="2"/>
        <charset val="238"/>
      </rPr>
      <t>Tehát Autóbusz stb.nél ter szorzó kivéve.
Nemz fuv Autóbusz stb. szorzóval.</t>
    </r>
  </si>
  <si>
    <r>
      <rPr>
        <sz val="10"/>
        <color indexed="11"/>
        <rFont val="Arial"/>
        <family val="2"/>
        <charset val="238"/>
      </rPr>
      <t>MINIMUM DÍJ oszlopot ide nem tettem</t>
    </r>
    <r>
      <rPr>
        <sz val="10"/>
        <rFont val="Arial"/>
        <family val="2"/>
      </rPr>
      <t xml:space="preserve">
KETTŐ KÖZÜL A NAGYOBB</t>
    </r>
    <r>
      <rPr>
        <sz val="10"/>
        <rFont val="Arial"/>
        <family val="2"/>
        <charset val="238"/>
      </rPr>
      <t xml:space="preserve">
120-ra ker</t>
    </r>
  </si>
  <si>
    <r>
      <t xml:space="preserve">Kárhányad </t>
    </r>
    <r>
      <rPr>
        <b/>
        <sz val="10"/>
        <color indexed="60"/>
        <rFont val="Arial"/>
        <family val="2"/>
        <charset val="238"/>
      </rPr>
      <t>39,27%</t>
    </r>
    <r>
      <rPr>
        <sz val="10"/>
        <rFont val="Arial"/>
        <charset val="238"/>
      </rPr>
      <t xml:space="preserve"> alatt volt?</t>
    </r>
    <r>
      <rPr>
        <sz val="10"/>
        <color indexed="60"/>
        <rFont val="Arial"/>
        <family val="2"/>
        <charset val="238"/>
      </rPr>
      <t xml:space="preserve">                         </t>
    </r>
    <r>
      <rPr>
        <i/>
        <sz val="10"/>
        <color indexed="16"/>
        <rFont val="Arial"/>
        <family val="2"/>
        <charset val="238"/>
      </rPr>
      <t xml:space="preserve"> (100db-nál nagyobb flottáknál érvényesíthető)</t>
    </r>
  </si>
  <si>
    <t>Nem pontos kategóriahatár!</t>
  </si>
  <si>
    <t>Nem foglalkozok vele.</t>
  </si>
  <si>
    <r>
      <t xml:space="preserve">MKP 36-70 kW </t>
    </r>
    <r>
      <rPr>
        <sz val="10"/>
        <color indexed="10"/>
        <rFont val="Arial"/>
        <family val="2"/>
        <charset val="238"/>
      </rPr>
      <t>Unionnál csak 69kW-ig!</t>
    </r>
  </si>
  <si>
    <t>MKP 69kW felett, de 95kW alatt UNION</t>
  </si>
  <si>
    <t>Személyszállítással, áru-, vagy bérfuvarozással foglalkozik, vagy veszélyes anyagot szállít?</t>
  </si>
  <si>
    <t>Generali területek 2019</t>
  </si>
  <si>
    <t>8-22 Bp-i tűz alapdíj:</t>
  </si>
  <si>
    <t>Budapesti szervezet? 8-11</t>
  </si>
  <si>
    <t>Tűzoltó?</t>
  </si>
  <si>
    <t>Teáor nem 49.41 stb.?</t>
  </si>
  <si>
    <t>42. oldali flották</t>
  </si>
  <si>
    <t>Lista (45. oldal)</t>
  </si>
  <si>
    <t>Eltérő flották (semmilyen szorzósak voltak) (volt 26. 2017) 42. oldal 2019, most éves + faktor szorzósak lettek</t>
  </si>
  <si>
    <t>Faktor I.</t>
  </si>
  <si>
    <t>A flottához tartozó szorzók:</t>
  </si>
  <si>
    <t>Éves kedvezmény:</t>
  </si>
  <si>
    <t>Flotta faktor:</t>
  </si>
  <si>
    <t>Szorzó flottához:</t>
  </si>
  <si>
    <t>Alapdíj összesen:</t>
  </si>
  <si>
    <r>
      <t>Szerződő szerepel a hivatalos hirdetmény</t>
    </r>
    <r>
      <rPr>
        <sz val="10"/>
        <color indexed="60"/>
        <rFont val="Arial"/>
        <family val="2"/>
        <charset val="238"/>
      </rPr>
      <t xml:space="preserve"> "</t>
    </r>
    <r>
      <rPr>
        <b/>
        <sz val="10"/>
        <color indexed="60"/>
        <rFont val="Arial"/>
        <family val="2"/>
        <charset val="238"/>
      </rPr>
      <t xml:space="preserve">Flotta ügyfélszám-díjfaktor </t>
    </r>
    <r>
      <rPr>
        <sz val="10"/>
        <color indexed="60"/>
        <rFont val="Arial"/>
        <family val="2"/>
        <charset val="238"/>
      </rPr>
      <t xml:space="preserve">" </t>
    </r>
    <r>
      <rPr>
        <sz val="10"/>
        <rFont val="Arial"/>
        <family val="2"/>
        <charset val="238"/>
      </rPr>
      <t>táblában?</t>
    </r>
  </si>
  <si>
    <t>Keszthelyi Flottakezelő Kft.</t>
  </si>
  <si>
    <t xml:space="preserve">A Keszthelyi Flottakezelő Kft. által flottakezelt, vagy üzemben tartott, megkülönböztető jelzést használatára jogosult járművek esetén 10-szeres szorzót kell alkalmazni, ezt jelen kalkulácíó nem tartalmazza! </t>
  </si>
  <si>
    <t>Egyelőre nem számoljuk.</t>
  </si>
  <si>
    <t>Minimál díjak 2009</t>
  </si>
  <si>
    <t>Minimum díj 2009</t>
  </si>
  <si>
    <t>6. tábla</t>
  </si>
  <si>
    <t xml:space="preserve"> Vontató, NEM nemzetközi árufuvarozást végző:</t>
  </si>
  <si>
    <t xml:space="preserve"> Vontató, nemzetközi árufuvarozást végző:</t>
  </si>
  <si>
    <r>
      <t>VONT</t>
    </r>
    <r>
      <rPr>
        <sz val="10"/>
        <color indexed="12"/>
        <rFont val="Arial"/>
        <family val="2"/>
        <charset val="238"/>
      </rPr>
      <t xml:space="preserve"> flotta szorzó KÉRD-en:</t>
    </r>
    <r>
      <rPr>
        <b/>
        <sz val="10"/>
        <color indexed="12"/>
        <rFont val="Arial"/>
        <family val="2"/>
        <charset val="238"/>
      </rPr>
      <t xml:space="preserve">
NEM nemz fuv</t>
    </r>
  </si>
  <si>
    <r>
      <t>VONT</t>
    </r>
    <r>
      <rPr>
        <sz val="10"/>
        <color indexed="62"/>
        <rFont val="Arial"/>
        <family val="2"/>
        <charset val="238"/>
      </rPr>
      <t xml:space="preserve"> flotta szorzó KÉRD-en:</t>
    </r>
    <r>
      <rPr>
        <b/>
        <sz val="10"/>
        <color indexed="62"/>
        <rFont val="Arial"/>
        <family val="2"/>
        <charset val="238"/>
      </rPr>
      <t xml:space="preserve">
NEMZ FUV!</t>
    </r>
  </si>
  <si>
    <t>Bérgép
MIN KORREKCIÓS díj</t>
  </si>
  <si>
    <t>NOrmál
MIN KORREKCIÓS díj</t>
  </si>
  <si>
    <t>Bérgép
Min Korrekciós díj kerekítve</t>
  </si>
  <si>
    <t>NOrmál
Minimum Korrekciós díj</t>
  </si>
  <si>
    <t>Nemz fuv
Minimum Korrekcíós díj</t>
  </si>
  <si>
    <t>Bérgép
Minimum Korrekcíós díj kerekítve</t>
  </si>
  <si>
    <t>Nemz fuv
Minimum Korrekciós díj</t>
  </si>
  <si>
    <t>Normál, de belföldi fuvarozós MIN összehasonlított:</t>
  </si>
  <si>
    <t>MIN Korekciós számok 2019</t>
  </si>
  <si>
    <t>Bérgép
Min Korrekciós díj</t>
  </si>
  <si>
    <t>Nemz fuv VONT
Minimumdíjjal összevetett díj</t>
  </si>
  <si>
    <t>Nemz fuv VONT
Min Korrekciós díj</t>
  </si>
  <si>
    <t>Nem minimáldíjas flották 2019:</t>
  </si>
  <si>
    <t>Kérdések válasz:</t>
  </si>
  <si>
    <r>
      <t xml:space="preserve">Minimál díj
</t>
    </r>
    <r>
      <rPr>
        <i/>
        <sz val="8"/>
        <rFont val="Arial"/>
        <family val="2"/>
        <charset val="238"/>
      </rPr>
      <t>Ha Kérdések miatt nem kell MIN-t alkalmazni, akkor nulla.</t>
    </r>
  </si>
  <si>
    <r>
      <t xml:space="preserve">Minimum díj
</t>
    </r>
    <r>
      <rPr>
        <i/>
        <sz val="8"/>
        <rFont val="Arial"/>
        <family val="2"/>
        <charset val="238"/>
      </rPr>
      <t>Ha Kérdések miatt nem kell MIN-t alkalmazni, akkor nulla.</t>
    </r>
  </si>
  <si>
    <t>MIN Korrekciós díj</t>
  </si>
  <si>
    <t>Bérgép
Minimál díjjal össze vetve</t>
  </si>
  <si>
    <t>Normál
MIN Korrekciós díj kerekítve</t>
  </si>
  <si>
    <t>Bérgép
MIN Korrekciós díj kerekítve</t>
  </si>
  <si>
    <r>
      <t xml:space="preserve">NEMZ fuvarozós díj </t>
    </r>
    <r>
      <rPr>
        <sz val="10"/>
        <color indexed="10"/>
        <rFont val="Arial"/>
        <family val="2"/>
        <charset val="238"/>
      </rPr>
      <t>flotta szorzóval</t>
    </r>
    <r>
      <rPr>
        <sz val="10"/>
        <rFont val="Arial"/>
        <charset val="238"/>
      </rPr>
      <t xml:space="preserve">*
</t>
    </r>
    <r>
      <rPr>
        <sz val="10"/>
        <color indexed="62"/>
        <rFont val="Arial"/>
        <family val="2"/>
        <charset val="238"/>
      </rPr>
      <t>EUR duplán van benne több helyen, mert BC díjnál is már beszoroztam</t>
    </r>
  </si>
  <si>
    <t>Nemz Fuv 
MIN Korrekcióval
Kerekítve</t>
  </si>
  <si>
    <t>MIN korrekcióval</t>
  </si>
  <si>
    <r>
      <t>SZGK</t>
    </r>
    <r>
      <rPr>
        <sz val="10"/>
        <rFont val="Arial"/>
        <charset val="238"/>
      </rPr>
      <t xml:space="preserve"> </t>
    </r>
    <r>
      <rPr>
        <b/>
        <sz val="10"/>
        <color indexed="10"/>
        <rFont val="Arial"/>
        <family val="2"/>
        <charset val="238"/>
      </rPr>
      <t xml:space="preserve"> és &lt;3,5t TGK</t>
    </r>
    <r>
      <rPr>
        <sz val="10"/>
        <rFont val="Arial"/>
        <charset val="238"/>
      </rPr>
      <t xml:space="preserve"> Üzemeltetési pótdíj: Ez itt csak a határon tűli használat!</t>
    </r>
  </si>
  <si>
    <t xml:space="preserve">db általános  használatú, </t>
  </si>
  <si>
    <t>db  általános  használatú.</t>
  </si>
  <si>
    <r>
      <t>W</t>
    </r>
    <r>
      <rPr>
        <b/>
        <sz val="10"/>
        <color indexed="13"/>
        <rFont val="Arial"/>
        <family val="2"/>
        <charset val="238"/>
      </rPr>
      <t>ÁBERE</t>
    </r>
    <r>
      <rPr>
        <b/>
        <sz val="12"/>
        <color indexed="13"/>
        <rFont val="Arial"/>
        <family val="2"/>
        <charset val="238"/>
      </rPr>
      <t>R   benzin vagy dízel szállítás
korrekció.</t>
    </r>
  </si>
  <si>
    <t>A speciális használatú járművek közt megadottak közül ide írja be azok számát, amelyek saját benzint, dízelt szállítanak, tehát nem árufuvarozók!</t>
  </si>
  <si>
    <t>TGK 0-3500 kg</t>
  </si>
  <si>
    <t>A speciális használatú járművek közül saját benzint szállítók</t>
  </si>
  <si>
    <t>Speciális helyett saját benzin korrekciós szorzó:</t>
  </si>
  <si>
    <t>Benzin üz pótdíj szorzó:</t>
  </si>
  <si>
    <t>!</t>
  </si>
  <si>
    <t>Nem szorzós flotta</t>
  </si>
  <si>
    <t>Vontató &lt;12</t>
  </si>
  <si>
    <t>Vontató &gt;12</t>
  </si>
  <si>
    <t>általános</t>
  </si>
  <si>
    <t>(2,5-2,3)/2,5=</t>
  </si>
  <si>
    <t>Járműszám korrekció levonandó rész</t>
  </si>
  <si>
    <t>Csak ebből vonunk!</t>
  </si>
  <si>
    <t>Nem baj ha negatív…</t>
  </si>
  <si>
    <t>Korrigált jmű szám</t>
  </si>
  <si>
    <t>Bérgépjármű szám
benzin korrekciós</t>
  </si>
  <si>
    <t>Csak spec db:
Benzin korrekciós</t>
  </si>
  <si>
    <t>Ezt levonással képeztem.</t>
  </si>
  <si>
    <r>
      <t xml:space="preserve">Bérgép jármű szám
</t>
    </r>
    <r>
      <rPr>
        <sz val="10"/>
        <color indexed="10"/>
        <rFont val="Arial"/>
        <family val="2"/>
        <charset val="238"/>
      </rPr>
      <t>képzett..</t>
    </r>
    <r>
      <rPr>
        <sz val="10"/>
        <rFont val="Arial"/>
        <family val="2"/>
        <charset val="238"/>
      </rPr>
      <t xml:space="preserve">
benzin korrekcióval</t>
    </r>
  </si>
  <si>
    <r>
      <t xml:space="preserve">CASCO flotta szerződést is köt?                                                            </t>
    </r>
    <r>
      <rPr>
        <i/>
        <sz val="10"/>
        <color indexed="60"/>
        <rFont val="Arial"/>
        <family val="2"/>
        <charset val="238"/>
      </rPr>
      <t>50% kedvezmény!</t>
    </r>
  </si>
  <si>
    <t>Aegon területi kódok 2020</t>
  </si>
  <si>
    <r>
      <t xml:space="preserve">C1   alapdíjak 
</t>
    </r>
    <r>
      <rPr>
        <sz val="10"/>
        <color indexed="36"/>
        <rFont val="Arial"/>
        <family val="2"/>
        <charset val="238"/>
      </rPr>
      <t xml:space="preserve">max. </t>
    </r>
    <r>
      <rPr>
        <sz val="10"/>
        <color indexed="10"/>
        <rFont val="Arial"/>
        <family val="2"/>
        <charset val="238"/>
      </rPr>
      <t>50db</t>
    </r>
    <r>
      <rPr>
        <sz val="10"/>
        <color indexed="36"/>
        <rFont val="Arial"/>
        <family val="2"/>
        <charset val="238"/>
      </rPr>
      <t>-os flotta esetén alkalmazandó</t>
    </r>
  </si>
  <si>
    <r>
      <t xml:space="preserve">C2   alapdíjak
</t>
    </r>
    <r>
      <rPr>
        <b/>
        <sz val="10"/>
        <color indexed="10"/>
        <rFont val="Arial"/>
        <family val="2"/>
        <charset val="238"/>
      </rPr>
      <t>51</t>
    </r>
    <r>
      <rPr>
        <sz val="10"/>
        <color indexed="10"/>
        <rFont val="Arial"/>
        <family val="2"/>
        <charset val="238"/>
      </rPr>
      <t>db-</t>
    </r>
    <r>
      <rPr>
        <sz val="10"/>
        <color indexed="36"/>
        <rFont val="Arial"/>
        <family val="2"/>
        <charset val="238"/>
      </rPr>
      <t>os flottától alkalmazandó</t>
    </r>
  </si>
  <si>
    <t>SzGK, stb. kat.</t>
  </si>
  <si>
    <r>
      <t xml:space="preserve">Minimum díjak </t>
    </r>
    <r>
      <rPr>
        <sz val="8"/>
        <rFont val="Arial"/>
        <family val="2"/>
        <charset val="238"/>
      </rPr>
      <t>(Közvetett Alaptábla, más helyen ebből képzem):</t>
    </r>
  </si>
  <si>
    <t>Pótkocsi MINIMUM díj 2020</t>
  </si>
  <si>
    <r>
      <rPr>
        <b/>
        <sz val="10"/>
        <color indexed="36"/>
        <rFont val="Arial"/>
        <family val="2"/>
        <charset val="238"/>
      </rPr>
      <t>Allianz nem flotta szorzós flotta, 
Kis TGK</t>
    </r>
    <r>
      <rPr>
        <b/>
        <sz val="10"/>
        <color indexed="57"/>
        <rFont val="Arial"/>
        <family val="2"/>
      </rPr>
      <t xml:space="preserve"> </t>
    </r>
    <r>
      <rPr>
        <b/>
        <sz val="10"/>
        <color indexed="10"/>
        <rFont val="Arial"/>
        <family val="2"/>
        <charset val="238"/>
      </rPr>
      <t>MINIMUM</t>
    </r>
    <r>
      <rPr>
        <b/>
        <sz val="10"/>
        <color indexed="57"/>
        <rFont val="Arial"/>
        <family val="2"/>
      </rPr>
      <t xml:space="preserve"> </t>
    </r>
    <r>
      <rPr>
        <b/>
        <sz val="10"/>
        <color indexed="36"/>
        <rFont val="Arial"/>
        <family val="2"/>
        <charset val="238"/>
      </rPr>
      <t>díjak 2020</t>
    </r>
  </si>
  <si>
    <r>
      <t xml:space="preserve">Korrekciós </t>
    </r>
    <r>
      <rPr>
        <sz val="12"/>
        <color indexed="36"/>
        <rFont val="Arial"/>
        <family val="2"/>
        <charset val="238"/>
      </rPr>
      <t xml:space="preserve">B </t>
    </r>
    <r>
      <rPr>
        <b/>
        <sz val="12"/>
        <color indexed="36"/>
        <rFont val="Arial"/>
        <family val="2"/>
        <charset val="238"/>
      </rPr>
      <t>szorzós flotta alapdíjak:</t>
    </r>
  </si>
  <si>
    <r>
      <t xml:space="preserve">Ha van teáor, akkor beteszi azt, ha nincs akkor </t>
    </r>
    <r>
      <rPr>
        <sz val="10"/>
        <color indexed="36"/>
        <rFont val="Arial"/>
        <family val="2"/>
        <charset val="238"/>
      </rPr>
      <t>1,5.</t>
    </r>
  </si>
  <si>
    <t>Teáor nélküli szorzó:  1,5</t>
  </si>
  <si>
    <t>alapdíj szorzó 2019</t>
  </si>
  <si>
    <t>C Használati módtól függő szorzó</t>
  </si>
  <si>
    <t>fölös sorok</t>
  </si>
  <si>
    <t>143000</t>
  </si>
  <si>
    <t>ELTÉRŐ DÍJTÁBLÁK (47-49. OLDAL, 2020)</t>
  </si>
  <si>
    <t>GP 2020 Alapdíjak</t>
  </si>
  <si>
    <t>(Balra: Milyen alapdíjtáblába sorolja I. tábla)</t>
  </si>
  <si>
    <t>Sokminden már nem érvényes</t>
  </si>
  <si>
    <t>2019-ben I. táblához 27-31 ig adunk adatokat.</t>
  </si>
  <si>
    <t>Teáor NDK-n:</t>
  </si>
  <si>
    <t>NDK-n megadott db számok:</t>
  </si>
  <si>
    <t>I</t>
  </si>
  <si>
    <t>II</t>
  </si>
  <si>
    <t>III</t>
  </si>
  <si>
    <t>IV</t>
  </si>
  <si>
    <t>Korrigált járműszám:</t>
  </si>
  <si>
    <t>szorzó:</t>
  </si>
  <si>
    <t>Korrigált járműszám összesen:</t>
  </si>
  <si>
    <t>Kis tgk db szám redukió 2020-tól:</t>
  </si>
  <si>
    <r>
      <t xml:space="preserve">1-1849Kg-ig:
</t>
    </r>
    <r>
      <rPr>
        <sz val="10"/>
        <color indexed="28"/>
        <rFont val="Arial"/>
        <family val="2"/>
        <charset val="238"/>
      </rPr>
      <t>Generali: 1750ig</t>
    </r>
  </si>
  <si>
    <r>
      <t xml:space="preserve">1850-2549Kg-ig
</t>
    </r>
    <r>
      <rPr>
        <sz val="10"/>
        <color indexed="28"/>
        <rFont val="Arial"/>
        <family val="2"/>
        <charset val="238"/>
      </rPr>
      <t>Generali: 1751-2250</t>
    </r>
  </si>
  <si>
    <r>
      <t xml:space="preserve">2550-3349Kg-ig:
</t>
    </r>
    <r>
      <rPr>
        <sz val="10"/>
        <color indexed="28"/>
        <rFont val="Arial"/>
        <family val="2"/>
        <charset val="238"/>
      </rPr>
      <t>Generali: 2251-3350</t>
    </r>
  </si>
  <si>
    <r>
      <t xml:space="preserve">3350-3500Kg-ig:
</t>
    </r>
    <r>
      <rPr>
        <sz val="10"/>
        <color indexed="28"/>
        <rFont val="Arial"/>
        <family val="2"/>
        <charset val="238"/>
      </rPr>
      <t>Generali: 3351-3500</t>
    </r>
  </si>
  <si>
    <t>Kis tgk db szám redukció 2020-tól ELTÉRŐ FLOTTÁK</t>
  </si>
  <si>
    <t>ÁLT. FLOTTA</t>
  </si>
  <si>
    <t>Szorzók alaptábla szerint (többinél nics)</t>
  </si>
  <si>
    <t>Választott alaptábla:</t>
  </si>
  <si>
    <t>Korrigált jármű szám:</t>
  </si>
  <si>
    <t>Korrigált logikai db szám:</t>
  </si>
  <si>
    <t>Igaz?</t>
  </si>
  <si>
    <t>Kell alkalmazni a szorzót?</t>
  </si>
  <si>
    <t>Alkalmazandó  db szám szorzó SZORZÓS FLOTTÁKNÁL:</t>
  </si>
  <si>
    <t>Kereső táblák:</t>
  </si>
  <si>
    <t>2020-ra 4. tábla megszűnt, így fixen 0%-ra állítottam.</t>
  </si>
  <si>
    <r>
      <t xml:space="preserve">SZGK-kra, &lt;3,5TGK-kra kér </t>
    </r>
    <r>
      <rPr>
        <b/>
        <sz val="10"/>
        <rFont val="Arial"/>
        <family val="2"/>
        <charset val="238"/>
      </rPr>
      <t>Betegszállítás használat</t>
    </r>
    <r>
      <rPr>
        <sz val="10"/>
        <rFont val="Arial"/>
        <family val="2"/>
        <charset val="238"/>
      </rPr>
      <t xml:space="preserve"> pótdíjat?</t>
    </r>
  </si>
  <si>
    <t>Betegszállítás pótdíj
SZGK, &lt;3,5TGK</t>
  </si>
  <si>
    <t>Határon túli és Betegszáll maximuma:</t>
  </si>
  <si>
    <t>WABARD területek 2020</t>
  </si>
  <si>
    <r>
      <t xml:space="preserve">— Az „NDK” munkalapon célszerű először kitörölni a jármű darabszámokat, egyéb tölthető (fehér) mezőket.
</t>
    </r>
    <r>
      <rPr>
        <b/>
        <sz val="10"/>
        <color indexed="10"/>
        <rFont val="Arial"/>
        <family val="2"/>
        <charset val="238"/>
      </rPr>
      <t>-Először az A0 oszlopban töltse ki a darabszámokat.
Ekkor a program több biztosító esetén még csak becsült díjat ad:
-Amennyiben szeretne finomítani a Wáberer, Allianz, Generali díjakon, akkor töltse ki a Wáberer,  Allianz-Generali külön táblázatokat. Mivel Wáberer esetén itt a pótdíjas járművek számát kell megadni, a díjnövekedés jelentős lehet.</t>
    </r>
    <r>
      <rPr>
        <sz val="10"/>
        <rFont val="Arial"/>
        <charset val="238"/>
      </rPr>
      <t xml:space="preserve">
— „Éles” használat előtt tekintse át az „NDK” és „KÉRDÉSEK” munkalapon a rovatokat, kérdéseket.
</t>
    </r>
    <r>
      <rPr>
        <sz val="10"/>
        <color indexed="10"/>
        <rFont val="Arial"/>
        <family val="2"/>
        <charset val="238"/>
      </rPr>
      <t>-Azon celláknál, ahol pirosan jelenik meg a cella felső sarka, a kurzort a cellára mozgatva megjelenik az oda tartozó információ!</t>
    </r>
    <r>
      <rPr>
        <sz val="10"/>
        <rFont val="Arial"/>
        <charset val="238"/>
      </rPr>
      <t xml:space="preserve">
</t>
    </r>
    <r>
      <rPr>
        <b/>
        <sz val="12"/>
        <color indexed="10"/>
        <rFont val="Arial"/>
        <family val="2"/>
        <charset val="238"/>
      </rPr>
      <t>Kötelezően megadandó adatok:</t>
    </r>
    <r>
      <rPr>
        <sz val="10"/>
        <rFont val="Arial"/>
        <charset val="238"/>
      </rPr>
      <t xml:space="preserve">
• TEÁOR szám
• Irányító szám
• KÉRDÉSEK űrlapon a válaszok. Ellenőrizze, hogy ne maradjon bejelölve egy kérdésre sem rossz válasz!
• Alapvetően a fehér cellák töltendők, az „NDK” és a „KÉRDÉSEK” munkalapokon.</t>
    </r>
  </si>
  <si>
    <r>
      <t xml:space="preserve">TGK-k és pótkocsik végeznek veszélyes anyag szállítást?                </t>
    </r>
    <r>
      <rPr>
        <i/>
        <sz val="10"/>
        <color indexed="16"/>
        <rFont val="Arial"/>
        <family val="2"/>
        <charset val="238"/>
      </rPr>
      <t>(Kategória pótdíj…)</t>
    </r>
  </si>
  <si>
    <t>Választott flottaszám:</t>
  </si>
  <si>
    <t>Összeg kis TGK:</t>
  </si>
  <si>
    <t>tartomány!!</t>
  </si>
  <si>
    <r>
      <t>W</t>
    </r>
    <r>
      <rPr>
        <b/>
        <sz val="10"/>
        <color indexed="13"/>
        <rFont val="Arial"/>
        <family val="2"/>
        <charset val="238"/>
      </rPr>
      <t>ÁBERE</t>
    </r>
    <r>
      <rPr>
        <b/>
        <sz val="12"/>
        <color indexed="13"/>
        <rFont val="Arial"/>
        <family val="2"/>
        <charset val="238"/>
      </rPr>
      <t xml:space="preserve">R   benzin vagy dízel szállítás
korrekció. </t>
    </r>
  </si>
  <si>
    <t>Új flotta országos tarifa 2021</t>
  </si>
  <si>
    <t>A fent kiválasztott, jelenlegi 
biztosító 2021 évre kiajánlott díja:</t>
  </si>
  <si>
    <t>Flotta díjtábla általános
2021 (2020 februári tarifa)</t>
  </si>
  <si>
    <r>
      <t>UNIQA KGFB Flottadíj számoló 2013</t>
    </r>
    <r>
      <rPr>
        <b/>
        <sz val="18"/>
        <rFont val="Arial CE"/>
        <charset val="238"/>
      </rPr>
      <t>.2014.2015</t>
    </r>
    <r>
      <rPr>
        <b/>
        <sz val="18"/>
        <rFont val="Arial CE"/>
        <family val="2"/>
        <charset val="238"/>
      </rPr>
      <t xml:space="preserve"> </t>
    </r>
    <r>
      <rPr>
        <b/>
        <sz val="18"/>
        <color indexed="36"/>
        <rFont val="Arial CE"/>
        <charset val="238"/>
      </rPr>
      <t>2021</t>
    </r>
  </si>
  <si>
    <r>
      <t xml:space="preserve">UNIQA alapdíjak 2019 </t>
    </r>
    <r>
      <rPr>
        <b/>
        <sz val="10"/>
        <color indexed="36"/>
        <rFont val="Arial CE"/>
        <charset val="238"/>
      </rPr>
      <t>2021</t>
    </r>
  </si>
  <si>
    <t>Kárgyakoriság kérdéseken:</t>
  </si>
  <si>
    <t>Kártapasztalat faktor 2021 :</t>
  </si>
  <si>
    <t>AEGON PÓTDÍJ SZORZÓ:</t>
  </si>
  <si>
    <r>
      <t>Legalább 1 jármű a flottában NEM NORMÁL használatú</t>
    </r>
    <r>
      <rPr>
        <sz val="10"/>
        <rFont val="Arial"/>
        <family val="2"/>
        <charset val="238"/>
      </rPr>
      <t>, tehát bérgépjármű, taxi, veszélyes anyag szállító, közúti árufuvarozó, hivatásos személyfuvarozó, nem hivatásos személyfuvarozó, bérfuvarozó autóbusz, oktató, vagy megkülönböztető és/vagy figyelmeztető jelzést használó ,</t>
    </r>
    <r>
      <rPr>
        <sz val="10"/>
        <color indexed="10"/>
        <rFont val="Arial"/>
        <family val="2"/>
        <charset val="238"/>
      </rPr>
      <t xml:space="preserve"> ÉS/VAGY</t>
    </r>
    <r>
      <rPr>
        <sz val="10"/>
        <rFont val="Arial"/>
        <family val="2"/>
        <charset val="238"/>
      </rPr>
      <t xml:space="preserve"> legalább 3 járművel rendszeresen áruszállítás végez?</t>
    </r>
    <r>
      <rPr>
        <sz val="10"/>
        <color indexed="10"/>
        <rFont val="Arial"/>
        <family val="2"/>
        <charset val="238"/>
      </rPr>
      <t xml:space="preserve"> (Pótdíj a teljes flottára!)</t>
    </r>
  </si>
  <si>
    <r>
      <t>Amely gépjárművek NEM NORMÁL használatúak, azok miatt 1900%-os pótdíjat, vagyis 20-szoros</t>
    </r>
    <r>
      <rPr>
        <sz val="10"/>
        <color indexed="10"/>
        <rFont val="Arial"/>
        <family val="2"/>
        <charset val="238"/>
      </rPr>
      <t xml:space="preserve"> </t>
    </r>
    <r>
      <rPr>
        <sz val="10"/>
        <rFont val="Arial"/>
        <family val="2"/>
        <charset val="238"/>
      </rPr>
      <t xml:space="preserve">szorzót kell alkalmazni a </t>
    </r>
    <r>
      <rPr>
        <sz val="10"/>
        <color indexed="10"/>
        <rFont val="Arial"/>
        <family val="2"/>
        <charset val="238"/>
      </rPr>
      <t>teljes flottára.</t>
    </r>
    <r>
      <rPr>
        <sz val="10"/>
        <rFont val="Arial"/>
        <family val="2"/>
        <charset val="238"/>
      </rPr>
      <t xml:space="preserve">
2016 óta az Aegon nem hirdetett flotta díjat Trolira és SMK-ra és 4 kerekű SMK-ra, így a program ezekre nulla díjat számol akkor is, ha Ön adott meg ilyen járműszámot!
</t>
    </r>
    <r>
      <rPr>
        <sz val="10"/>
        <color indexed="10"/>
        <rFont val="Arial"/>
        <family val="2"/>
        <charset val="238"/>
      </rPr>
      <t>VIP tarifa 2021-től megszűnt.</t>
    </r>
  </si>
  <si>
    <t>ÚJ flottára vonatkozó díj vonatkozik 2021-re.</t>
  </si>
  <si>
    <t>2021 ÚJ cég szorzó Kérdésekről:</t>
  </si>
  <si>
    <r>
      <t xml:space="preserve">Teljes flotta díja </t>
    </r>
    <r>
      <rPr>
        <b/>
        <sz val="10"/>
        <color indexed="36"/>
        <rFont val="Arial"/>
        <family val="2"/>
        <charset val="238"/>
      </rPr>
      <t>ÚJ cég szorzóval:</t>
    </r>
  </si>
  <si>
    <r>
      <rPr>
        <b/>
        <sz val="10"/>
        <color indexed="10"/>
        <rFont val="Arial"/>
        <family val="2"/>
        <charset val="238"/>
      </rPr>
      <t>ÚJ-nak minősül a cég?</t>
    </r>
    <r>
      <rPr>
        <sz val="10"/>
        <color indexed="10"/>
        <rFont val="Arial"/>
        <family val="2"/>
        <charset val="238"/>
      </rPr>
      <t xml:space="preserve">                                             </t>
    </r>
    <r>
      <rPr>
        <i/>
        <sz val="10"/>
        <color indexed="60"/>
        <rFont val="Arial"/>
        <family val="2"/>
        <charset val="238"/>
      </rPr>
      <t>Ha igen, akkor 100% pótdíj!</t>
    </r>
  </si>
  <si>
    <r>
      <t xml:space="preserve">A flottaszám  alábbiak közt van? (Ha igen, Minimál díjat nem alkalmazzuk.)
</t>
    </r>
    <r>
      <rPr>
        <sz val="8"/>
        <rFont val="Arial"/>
        <family val="2"/>
        <charset val="238"/>
      </rPr>
      <t>6419, 6514, 6517, 6530, 6531, 6565, 6566, 6567, 6568, 6575, 6586, 6597, 6604, 6606, 6618, 6673, 6682, 6698, 7063, 7067, 7078, 7080, 7087, 7094, 7096, 7122, 7125, 7133, 7159, 7166, 7175, 7181, 7191, 7203, 7231, 7232, 7236, 7255, 7264, 7285, 7343, 7547, 7579, 7818, 7931, 7949, 7953, 7955, 7963, 7967, 7974, 8008, 8014, 8026, 8284, 8379, 8389, 8393, 8441, 8482, 8647, 8779, 9058, 9091, 9129, 9152, 9154, 9198, 9368, 9461, 9761, 9791, 9817, 9831, 9839, 9942, 9946, 9949, 9975, 9980, 9986, 9987, 10055, 10059, 10060, 10072, 10207, 10221, 10236, 10299, 10376, 10443, 10480, 10485, 10487, 10490, 10495, 10505, 10514, 10537, 10546, 10551, 10560, 10571, 10597, 10601, 10603, 10604, 10607, 10608, 10612, 10629, 10671, 10672, 10674, 10675, 10678, 10680, 10682, 10684, 11007, 11015, 11098, 11178, 11284, 11290, 11292, 11293, 11296, 11298, 11300, 11301, 11302, 11303, 11305, 11308, 11309, 11311, 11322, 11328, 11343, 11415, 11686, 11863, 11864, 12034, 12035, 12036, 12103, 12104, 12105, 12107, 12116, 12117, 12118, 12125, 12126, 12128, 12136, 12209, 12214, 12251, 12274, 12276, 12277, 12278, 12279, 12280, 12281, 12283, 12286, 12298, 12300, 12309, 12320, 12337, 12388, 12395, 12396, 12398, 12400, 12466, 12467, 12469, 12531, 12577, 12580, 12583, 12586, 12632, 12638, 12643, 12647, 12648, 12649, 12650, 12651, 12652, 12653, 12654, 12656, 12657, 12659, 12660, 12661, 12663, 12666, 12667, 12669, 12743, 12744, 12748, 12751, 12753, 12800, 12801, 12803, 12806, 12862, 12868, 12870, 12874, 12936, 12937, 12938, 12939, 12949, 12951, 12952, 12959, 12961, 12962, 12963, 12965, 12967, 13028, 13029, 13042, 13048, 13049</t>
    </r>
  </si>
  <si>
    <t>Flottaszorzós díj jár 2021-re.</t>
  </si>
  <si>
    <t>Belföldi közúti fuvarozós Üzemeltetési pótdíj: tarifa szorzós, nemszorzós azonos..</t>
  </si>
  <si>
    <r>
      <t xml:space="preserve"> -Wáberer tarifa szöveges része szerint a flotta darabszámaként a GÉPjárművek darabszámát kell alapul venni. Wáberer korábbi szóbeli tájékoztatója szerint a teljes járműszámot kell  figyelembe venni, ezért korábban is így számoltunk, és most is minden járművet veszünk figyelembe, nem csak a GÉPjárműveket. 2015-től ehhez nem csak a Wáberernél biztosított, hanem a valós flotta db számot kell figyelembe venni.
-Wáberer  biztosító esetén a speciális (pl. bérgépjármű, stb.) használatú, valamint nemzetközi áru vagy személyfuvarozó járművek pótdíjasak, ezért ezek számát az NDK főlapon a két Wáberer pótdíjas oszlopban külön meg kell adni. Mivel a nemzetközi fuvarozás pótdíja a kisebb, ezért ha egy jármű speciális és nemzetközi is, akkor a bal oldali oszlopban kell feltüntetni. Ennek hiányában nyilván kisebb lesz a számolt díj, mint a tényleges flottadíj, tehát a Wáberer, ha csak az A0 oszlopot töltjük ki, akkor alulról becsült díjat ad!
</t>
    </r>
    <r>
      <rPr>
        <sz val="10"/>
        <color indexed="10"/>
        <rFont val="Arial"/>
        <family val="2"/>
        <charset val="238"/>
      </rPr>
      <t xml:space="preserve">-2021-től a frissen alakult cégekre 100% pótdíj van. </t>
    </r>
    <r>
      <rPr>
        <sz val="10"/>
        <rFont val="Arial"/>
        <family val="2"/>
        <charset val="238"/>
      </rPr>
      <t xml:space="preserve">
-</t>
    </r>
    <r>
      <rPr>
        <sz val="10"/>
        <color indexed="10"/>
        <rFont val="Arial"/>
        <family val="2"/>
        <charset val="238"/>
      </rPr>
      <t>2020-tól speciális használatúba beletartozik a figyelmeztető jelzést használó jármű is.</t>
    </r>
    <r>
      <rPr>
        <sz val="10"/>
        <color indexed="10"/>
        <rFont val="Arial"/>
        <family val="2"/>
        <charset val="238"/>
      </rPr>
      <t xml:space="preserve">  De:
</t>
    </r>
    <r>
      <rPr>
        <sz val="10"/>
        <color indexed="30"/>
        <rFont val="Arial"/>
        <family val="2"/>
        <charset val="238"/>
      </rPr>
      <t>-2019-től a nem benzin és dízel, hanem egyéb tűz-, robbanásveszélyes anyagot szállító, mérgező vegyi anyagot vagy hulladékot szállító, egyéb veszélyes anyagot szállító, reptéri kiszolgáló járművek díja sokszorosára emelkedett, így</t>
    </r>
    <r>
      <rPr>
        <sz val="10"/>
        <color indexed="10"/>
        <rFont val="Arial"/>
        <family val="2"/>
        <charset val="238"/>
      </rPr>
      <t xml:space="preserve"> EZEKET NEM SZÁMOLJA A KALKULÁTOR! 
</t>
    </r>
    <r>
      <rPr>
        <sz val="10"/>
        <rFont val="Arial"/>
        <family val="2"/>
        <charset val="238"/>
      </rPr>
      <t>-A saját benzin és dízel szállítás (tehát nem fuvarozás) kicsit olcsóbb, mint a speciális használat, így ha pontosítani (csökkenteni) akarjuk a díjat, akkor az NDK főlapon ki kell tölteni a "Wáberer benzin vagy dízel szállítás korrekciós táblá"-ban lévő jármű számokat.
-2015-től a &gt;10t nehézpótokra nagyobb díjak vannak nemzetközi fuvarozásnál, ezért csak akkor tudunk pontos díjat számolni, ha ennél minden rubrikát kitöltünk. Jelentősen nő a díj!!!!</t>
    </r>
    <r>
      <rPr>
        <sz val="10"/>
        <color indexed="10"/>
        <rFont val="Arial"/>
        <family val="2"/>
        <charset val="238"/>
      </rPr>
      <t xml:space="preserve">
 </t>
    </r>
    <r>
      <rPr>
        <sz val="10"/>
        <rFont val="Arial"/>
        <family val="2"/>
        <charset val="238"/>
      </rPr>
      <t>-2017-től az általános  használatú belföldi vontatók és nehézpótok minimumdíja megszűnt. 2019-től egyes flottaszámmal rendelkező flottáknál, amiket a KÉRDÉSEK-en ki tudunk választani, minimum díj nem kerül alkalmazásra.
 -2017-től a belföldi közúti árufuvarozó vontatók és nehézpótok esetén minimumdíj került bevezetésre, ezért az NDK főlapra bekerült egy újabb tábla, ahol a vonatók használati jellegét lehet részletezni ahhoz, hogy minél pontosabb díjat kapjunk.</t>
    </r>
    <r>
      <rPr>
        <sz val="10"/>
        <color indexed="10"/>
        <rFont val="Arial"/>
        <family val="2"/>
        <charset val="238"/>
      </rPr>
      <t xml:space="preserve">
</t>
    </r>
    <r>
      <rPr>
        <sz val="10"/>
        <rFont val="Arial"/>
        <family val="2"/>
        <charset val="238"/>
      </rPr>
      <t>-Flottaszorzós flották esetén, ha nincsenek a hirdetményben felsorolva, akkor rájuk is az új flottás tarifa érvényes 2021-re.
-Flottaszorzós flottát hiába mondunk fel pl. 1-nél nagyobb szorzó miatt, a flotta szorzó az újrakötésre is vonatkozik.
-Devizás (EUR,GBP) fizetés kedvezménye csak nemzetközi fuvarozós flottára vonatkozik, és csak akkor, ha kizárólag vontató, &gt;10t pót (félpót) és &gt;12t TGK van a flottában.
-Wáberernél 2017 óta van egy pótdíj, Határon túli rendszeres használat pótdíja, a pótdíj 50%, ez  SZGK, &lt;3,5TGK, MKP -ra vonatkozik. Valamint 2020-tól van Betegszállítási pótdíj SZGK és &lt;3,5t TGK-kra, 30%. De ha már van más üzemeltetési pótdíj  akkor az lesz az érvényes, mert az nagyobb. Ha a szerződő úgy nyilatkozik, akkor kell pótdíjazni a normál használatú járműveket.  A program ezen kategóriákra egyszerre rakja a pótdíjat, ha kérjük. A díjhirdetmény szerint nem a tényleges használat alapozza meg a pótdíjat, hanem a szerződő nyilatkozata.
-2020-tól a teáor szerinti kedvezmények megszűntek</t>
    </r>
    <r>
      <rPr>
        <sz val="10"/>
        <color indexed="10"/>
        <rFont val="Arial"/>
        <family val="2"/>
        <charset val="238"/>
      </rPr>
      <t>.</t>
    </r>
  </si>
  <si>
    <t>Új flotta 2021 évi várható díjai:</t>
  </si>
  <si>
    <t>Wáberer várható díj nem érvényes, ha van a járművek közt nem benzin és dízel, hanem egyéb tűz-, robbanásveszélyes anyagot szállító, mérgező vegyi anyagot vagy hulladékot szállító, egyéb veszélyes anyagot szállító, megkülönböztető jelzést használó, reptéri kiszolgáló jármű.</t>
  </si>
  <si>
    <r>
      <t xml:space="preserve">SZGK-kat személyszállításra használják vagy bérbe adják?            </t>
    </r>
    <r>
      <rPr>
        <i/>
        <sz val="9"/>
        <color indexed="60"/>
        <rFont val="Arial"/>
        <family val="2"/>
        <charset val="238"/>
      </rPr>
      <t>Minden SzGK-ra 95% pótdíj számolódik.</t>
    </r>
  </si>
  <si>
    <t>Flottára vonatkozó alapdíjak 2021:</t>
  </si>
  <si>
    <t xml:space="preserve">Busznál kevesebb, ez még </t>
  </si>
  <si>
    <t>javítandó!!!</t>
  </si>
  <si>
    <r>
      <t xml:space="preserve">Nemzetközi személyszállítást végez?
</t>
    </r>
    <r>
      <rPr>
        <i/>
        <sz val="8"/>
        <color indexed="60"/>
        <rFont val="Arial"/>
        <family val="2"/>
        <charset val="238"/>
      </rPr>
      <t>Autóbuszokra emelt díj.</t>
    </r>
  </si>
  <si>
    <r>
      <t xml:space="preserve">Nemzetközi fuvarozást végez? 
 </t>
    </r>
    <r>
      <rPr>
        <i/>
        <sz val="8"/>
        <color indexed="60"/>
        <rFont val="Arial"/>
        <family val="2"/>
        <charset val="238"/>
      </rPr>
      <t>Többszörös díj Vontatóra, &gt;3,5t TGK-ra, nem lassú &gt;10t Pótra.</t>
    </r>
  </si>
  <si>
    <t>Autóbusz nemz száll válasz:</t>
  </si>
  <si>
    <t>Vontató, stb. kategóriáknál alkalmazandó szorzó NEMZ fuv esetén:</t>
  </si>
  <si>
    <t>Nemz száll Teáor helyetti szorzó Autóbusz:</t>
  </si>
  <si>
    <t>E tábla szorzó Autóbusz:</t>
  </si>
  <si>
    <t>lilával: 2021re aktutalizálva:</t>
  </si>
  <si>
    <t>Ha NEM F-táblás</t>
  </si>
  <si>
    <t>Ha F táblás</t>
  </si>
  <si>
    <t>2021 évi minimumdíj alaptáblák</t>
  </si>
  <si>
    <t>NEM F táblás</t>
  </si>
  <si>
    <t>F táblás</t>
  </si>
  <si>
    <t>F táblás válasz Ellentéte</t>
  </si>
  <si>
    <t>2021-ben itt Teáor helyett F tábla alapján választunk MIN díjat.</t>
  </si>
  <si>
    <t>Logikát erre állítottam, így a választott MIN díj F válasz alapján képződik.</t>
  </si>
  <si>
    <t>Emiatt az F táblás válasznál a NEM F táblás díj nem helyes,  és fordítva.</t>
  </si>
  <si>
    <t>De mivel a választott flottadíj jelenik meg NDK-n, ezért ez érdektelen.</t>
  </si>
  <si>
    <t>Biztosító mondta fel az előzmény szerződést, flottát, vagy közös megegyezéssel szűnt meg?</t>
  </si>
  <si>
    <r>
      <t xml:space="preserve"> -F táblázatban szereplő pár flottának külön díjtáblája van. A KÉRDÉSEK lapon be kell jelölni, hogy a flotta rendelkezik-e flotta azonosítóval, ami a hirdetmény F táblájában van. Hasonlóan ki kell választani, hogy a szerződő kapcsolatban áll-e az I táblában felsoroltakkal, mert akkor meg az a szorzó érvényes. A szorzót a hirdetményből kell kikeresni. Ha beírtuk a szorzót, akkor az NDK főlapon e választásnak megfelelően az aktuális flotta alapdíj jelenik meg.
-2015-től nem csak kedvezmények, hanem pótdíjak is vannak. Pl. TGK és pótkocsi ha veszélyes anyagot szállít, 60% pótdíjas, ezt kategória szinten tudja az NDK számolni.
-2021től a biztosító által felmondott, vagy közös megegyezéses járművek pótdíja 95%. Kérdések űrlapon ha ezt bejelöljük, a teljes flottára számolja a pótdíjat.
-A program nem számlja a H táblázatban keretazonosítóval rendelkező néhány flotta díját.
-Allianz 2015-től megint ad bonusz kedvezményt. A bonusz kedvezményre jogosult járművek daradbszámát külön táblában meg lehet adni az NDK főlapon. Csak akkor kell, ha 51db-nál kisebb a flotta, és nincs F táblás szorzója, mert csak ekkor érvényes a kedvezmény.
-A járműveknek 2013-tól minimáldíja van, 2021-től a minimáldíj F táblásoknak kedvezőbb. 
-Kis TGK-k esetén Allianz 2014-ben alkategóriákat vezetett be, így az NDK főlapon célszerű megadni, hogy az egyes össztömegekből mennyi van, mert így csökken a díj. Ügyeljünk arra, hogy a járművek összege megegyezzen az A0 oszlopban megadott kis TGK járműszámmal!
-2021-től taxiként, vagy költségmegosztásos személyszállításra használt, bérautó, stb. SZGK pótdíj 95% ra csökkent. Kérdések űrlapon ha ezt jelöljük, minden SZGK-ra felszámolódik a pótdíj!
-2021-től nemzetközi árufuvarozós vontató, &gt;3,5t TGK, Nem lassú jármű vontatta nagypót díja majdnem ötszörös. Nemzetközi személyszállítós Autóbuszok díja kb. kétszeres. KÉRDÉSEK  űrlapon ha jelöljük, kategóriára szinten teszi rá a pótdíjat.</t>
    </r>
    <r>
      <rPr>
        <sz val="10"/>
        <color indexed="10"/>
        <rFont val="Arial"/>
        <family val="2"/>
        <charset val="238"/>
      </rPr>
      <t xml:space="preserve">
</t>
    </r>
    <r>
      <rPr>
        <sz val="10"/>
        <rFont val="Arial"/>
        <family val="2"/>
        <charset val="238"/>
      </rPr>
      <t>-Kárhányad kedvezménynél Allianz speciális számítása szerint 2019-től nem 51% alatt, hanem 39,27% alatt jár a kedvezmény.</t>
    </r>
  </si>
  <si>
    <r>
      <t xml:space="preserve">FLOTTA NEM KÖTHETŐ! </t>
    </r>
    <r>
      <rPr>
        <sz val="8"/>
        <rFont val="Arial"/>
        <family val="2"/>
        <charset val="238"/>
      </rPr>
      <t>(Kivéve Talanxos)</t>
    </r>
  </si>
  <si>
    <t>Alapdíjak 2021</t>
  </si>
  <si>
    <t>Legalább egy jármű taxi (beleértve a költségmegosztásos személyszállítást is, pl. Uber, stb.) , bérgépjármű(rent-a-car), oktató jmű, veszélyes anyagot szállít, versenyzésre használják, reptéri kiszolgáló, futár tevékenységre használatos (pl. levelek, vásárolt áruk kézbesítése), megkülönböztető jelzést használ ?
300% pótdíj teljes flottára!</t>
  </si>
  <si>
    <r>
      <t xml:space="preserve">Legalább 1 jármű diplomáciai rendszámtáblával ellátott jármű, közúti áruszállításra, közúti személyszállításra, vagy betegszállításra használatos, vagy a szerződő tevékenységi körébe tartozik a közúti áruszállítás, közúti személyszállítás vagy betegszállítás? 
</t>
    </r>
    <r>
      <rPr>
        <sz val="10"/>
        <rFont val="Arial"/>
        <family val="2"/>
        <charset val="238"/>
      </rPr>
      <t>1000 % pótdíj teljes flottára!</t>
    </r>
  </si>
  <si>
    <t>50 nél nagyobb flottákra 100% pótdíj, ha nem köt cascot (2021től)</t>
  </si>
  <si>
    <r>
      <t xml:space="preserve">2021-től normáltól eltérő járműhasználat, szállítós tevékenységek esetén </t>
    </r>
    <r>
      <rPr>
        <sz val="10"/>
        <color indexed="10"/>
        <rFont val="Arial"/>
        <family val="2"/>
        <charset val="238"/>
      </rPr>
      <t>"már csak" 300% pótdí</t>
    </r>
    <r>
      <rPr>
        <sz val="10"/>
        <rFont val="Arial"/>
        <family val="2"/>
        <charset val="238"/>
      </rPr>
      <t xml:space="preserve">j, lásd a KÉRDÉSEK lapon.
2021-től a diplomáciai jármű </t>
    </r>
    <r>
      <rPr>
        <sz val="10"/>
        <color indexed="10"/>
        <rFont val="Arial"/>
        <family val="2"/>
        <charset val="238"/>
      </rPr>
      <t>"már csak" 1000 % pótdíjas!</t>
    </r>
    <r>
      <rPr>
        <sz val="10"/>
        <rFont val="Arial"/>
        <charset val="238"/>
      </rPr>
      <t xml:space="preserve">
Ha a flotta szerepel a korrekciós szorzós táblázatban, akkor azzal kell számolni az egyéb szorzók helyett.
</t>
    </r>
    <r>
      <rPr>
        <sz val="10"/>
        <rFont val="Arial"/>
        <family val="2"/>
        <charset val="238"/>
      </rPr>
      <t>Casco flotta együttkötésre van 50% kedvezmény. 
Teáor 01,02,03-ra van 65% kedvezmény (ha casco flottát is köt akkor csak az 50% jár.)</t>
    </r>
    <r>
      <rPr>
        <sz val="10"/>
        <color indexed="10"/>
        <rFont val="Arial"/>
        <family val="2"/>
        <charset val="238"/>
      </rPr>
      <t xml:space="preserve">
</t>
    </r>
    <r>
      <rPr>
        <sz val="10"/>
        <rFont val="Arial"/>
        <family val="2"/>
        <charset val="238"/>
      </rPr>
      <t>Pótkocsi utánfutó 0,75t-3,5t-ig díja 9.360Ft lenne, de az egyszerűség kedvéért az NDK 10.800Ft-tal számol, ami a 3,5t-10t kategória díja is.</t>
    </r>
    <r>
      <rPr>
        <sz val="10"/>
        <color indexed="10"/>
        <rFont val="Arial"/>
        <family val="2"/>
        <charset val="238"/>
      </rPr>
      <t xml:space="preserve">
</t>
    </r>
    <r>
      <rPr>
        <sz val="10"/>
        <color indexed="10"/>
        <rFont val="Arial"/>
        <family val="2"/>
        <charset val="238"/>
      </rPr>
      <t>50db-nál nagyobb flottákra, ha nem köt casco-t, 100% pótdíj van 2021-től.</t>
    </r>
  </si>
  <si>
    <r>
      <t xml:space="preserve">Üzemeltetési pótdíjat akar számolni a flottára? 
</t>
    </r>
    <r>
      <rPr>
        <sz val="8"/>
        <rFont val="Arial"/>
        <family val="2"/>
        <charset val="238"/>
      </rPr>
      <t>(reptéri, tűz-robbanás, veszélyes áru (ADR) engedéllyel rendelkező, kétéltű járművek, személytaxi használat</t>
    </r>
    <r>
      <rPr>
        <sz val="8"/>
        <rFont val="Arial"/>
        <family val="2"/>
        <charset val="238"/>
      </rPr>
      <t>)</t>
    </r>
  </si>
  <si>
    <t>Bérgépjármű pótdíjat akar számolni a flottára?</t>
  </si>
  <si>
    <t>Eltérő flották kis TGK korrigáláshoz szorzók vizsgálata</t>
  </si>
  <si>
    <t>19, 20</t>
  </si>
  <si>
    <t>1, 9</t>
  </si>
  <si>
    <t>16, 18</t>
  </si>
  <si>
    <t>1;9;14;19-23</t>
  </si>
  <si>
    <t>3;16;18</t>
  </si>
  <si>
    <t>1;9;14;19-23 ?</t>
  </si>
  <si>
    <t>3;16;18 ?</t>
  </si>
  <si>
    <t>3 típusnál a korrekció nem pontos</t>
  </si>
  <si>
    <t>lásd alább a számítást</t>
  </si>
  <si>
    <t>itt kell a FF I. táblásokat figyelembe venni, tartomány!</t>
  </si>
  <si>
    <t>FF I: tábla:</t>
  </si>
  <si>
    <t>Közte van?</t>
  </si>
  <si>
    <t>Ha eltérő flottát akar számolni, és szerepel az FF I.közt, akkor flottdíj, egyébként nulla.</t>
  </si>
  <si>
    <r>
      <rPr>
        <sz val="10"/>
        <rFont val="Arial"/>
        <family val="2"/>
        <charset val="238"/>
      </rPr>
      <t>Tűzoltóságról szóló törvényben leírt  szervezet?</t>
    </r>
    <r>
      <rPr>
        <sz val="10"/>
        <color indexed="57"/>
        <rFont val="Arial"/>
        <family val="2"/>
        <charset val="238"/>
      </rPr>
      <t xml:space="preserve">                       </t>
    </r>
  </si>
  <si>
    <t>Ha tűzoltó és éves, akkor főszorzó 0,95</t>
  </si>
  <si>
    <r>
      <t xml:space="preserve"> </t>
    </r>
    <r>
      <rPr>
        <sz val="10"/>
        <rFont val="Arial"/>
        <family val="2"/>
        <charset val="238"/>
      </rPr>
      <t>-2020-tól Generali is alkategóriákat hozott létre kis TGK-k esetén. Ezek hasonlóak, mint az Allianzé, ezért nem csináltunk másik táblát, hanem a korábbi táblába lehet az NDK főlapon megadni a járműszámok részletezését. Van átfedés a kategóriák közt, ezért vagy az Allianz, vagy a Generali díj lesz pontos.</t>
    </r>
    <r>
      <rPr>
        <sz val="10"/>
        <color indexed="8"/>
        <rFont val="Arial"/>
        <family val="2"/>
        <charset val="238"/>
      </rPr>
      <t xml:space="preserve">
-Határozatlan idejű flottában trolit nem biztosítanak.
 -Repülőtéri kiszolgáló, valamint tűz- és robbanásveszélyes anyag szállításban, veszélyes áruszállításban részvevő stb. járművekre pótdíj alkalmazandó.</t>
    </r>
    <r>
      <rPr>
        <sz val="10"/>
        <rFont val="Arial"/>
        <family val="2"/>
        <charset val="238"/>
      </rPr>
      <t xml:space="preserve"> 2018-tól veszélyes áru szállításnál (ADR) ha engedéllyel rendelkezik, már pótdíjas. A pótdíj 2018-tól 200%-ra nőtt. </t>
    </r>
    <r>
      <rPr>
        <sz val="10"/>
        <color indexed="8"/>
        <rFont val="Arial"/>
        <family val="2"/>
        <charset val="238"/>
      </rPr>
      <t>Üzemeltetési pótdíjat csak a speciális üzemeltetésű járműre kell felszámolni. Mivel ezzel a programmal járművenként nem tudunk pótdíjazni, a program a pótdíjat továbbra is a teljes flottára teszi. Spec. üzemeltetésű járműveket külön (flottaként) érdemes számolni, ez mondjuk általában is igaz...
-</t>
    </r>
    <r>
      <rPr>
        <sz val="10"/>
        <color indexed="10"/>
        <rFont val="Arial"/>
        <family val="2"/>
        <charset val="238"/>
      </rPr>
      <t>Bérgépjárművek miatti pótdíj 2021-től 100% ra csökkent.</t>
    </r>
    <r>
      <rPr>
        <sz val="10"/>
        <color indexed="8"/>
        <rFont val="Arial"/>
        <family val="2"/>
        <charset val="238"/>
      </rPr>
      <t xml:space="preserve">
</t>
    </r>
    <r>
      <rPr>
        <sz val="10"/>
        <rFont val="Arial"/>
        <family val="2"/>
        <charset val="238"/>
      </rPr>
      <t>-Keszthelyi Flottakezelő Kft. által üzemeltetett, vagy flottakezelt, és megkülönböztető jelzés használatára jogosult járművek esetén 10-szeres szorzó van, de NDK ezt nem számolja.</t>
    </r>
    <r>
      <rPr>
        <sz val="10"/>
        <color indexed="8"/>
        <rFont val="Arial"/>
        <family val="2"/>
        <charset val="238"/>
      </rPr>
      <t xml:space="preserve">
</t>
    </r>
    <r>
      <rPr>
        <sz val="10"/>
        <rFont val="Arial"/>
        <family val="2"/>
        <charset val="238"/>
      </rPr>
      <t>-Nemzetközi fuvarozós pótdíj megszűnt 2016 óta nincs.
-Ha a nehézpótok aránya &gt;60%, akkor a pótdíj 800% az egész flottára. 
-2018-től  főként szállítós tevékenység esetén, ha a vontatók és &gt;19fő buszok aránya meghaladja a 20%-ot, akkor a Teáor szorzó 2</t>
    </r>
    <r>
      <rPr>
        <sz val="10"/>
        <color indexed="10"/>
        <rFont val="Arial"/>
        <family val="2"/>
        <charset val="238"/>
      </rPr>
      <t xml:space="preserve">
</t>
    </r>
    <r>
      <rPr>
        <sz val="10"/>
        <rFont val="Arial"/>
        <family val="2"/>
        <charset val="238"/>
      </rPr>
      <t>-Tűzoltókra a &gt;12t TGK díjak kedvezőbbek az alapdíjnál, de minden más kedvezmény és pótdíj megszűnt az éves díjfizetésen kívül.</t>
    </r>
    <r>
      <rPr>
        <sz val="10"/>
        <color indexed="8"/>
        <rFont val="Arial"/>
        <family val="2"/>
        <charset val="238"/>
      </rPr>
      <t xml:space="preserve">
 -Ha a flotta szerepel valamelyik  "Flotta ügyfélszám díjfaktor " táblázatban, akkor a Teáor szorzó helyett a díjfaktor lép életbe! </t>
    </r>
    <r>
      <rPr>
        <sz val="10"/>
        <color indexed="10"/>
        <rFont val="Arial"/>
        <family val="2"/>
        <charset val="238"/>
      </rPr>
      <t>2019-től a "Flotta ügyfélszám-díjfaktor" táblázatban szereplő meglévő ügyfelek díját is adja a kalkulátor.</t>
    </r>
    <r>
      <rPr>
        <sz val="10"/>
        <color indexed="8"/>
        <rFont val="Arial"/>
        <family val="2"/>
        <charset val="238"/>
      </rPr>
      <t xml:space="preserve">
 -KLIK-nek Teáor helyett saját kicsi szorzója van, az a KÉRDÉSEK lapon látszik, ha bejelöljük.
</t>
    </r>
    <r>
      <rPr>
        <sz val="10"/>
        <rFont val="Arial"/>
        <family val="2"/>
        <charset val="238"/>
      </rPr>
      <t xml:space="preserve"> -Minden eltérő flottát számol a program.</t>
    </r>
    <r>
      <rPr>
        <sz val="10"/>
        <color indexed="8"/>
        <rFont val="Arial"/>
        <family val="2"/>
        <charset val="238"/>
      </rPr>
      <t xml:space="preserve">
 -Generali értelmezésünk szerint nem hirdetett díjat a TEÁOR számmal nem rendelkezők, illetve a TEÁOR listában nem szereplő teáorral rendelkezők részére. Amely Teáor-t a Generali nem ismeri, ott NDK nem ad díjat.</t>
    </r>
    <r>
      <rPr>
        <sz val="10"/>
        <color indexed="8"/>
        <rFont val="Arial"/>
        <family val="2"/>
        <charset val="238"/>
      </rPr>
      <t xml:space="preserve">
</t>
    </r>
    <r>
      <rPr>
        <sz val="10"/>
        <color indexed="10"/>
        <rFont val="Arial"/>
        <family val="2"/>
        <charset val="238"/>
      </rPr>
      <t>-2020-tól egyes járművek díja fix, amelyek szerepelnek a Flotta kötvényszám táblában, ezt nem veszi figyelembe a program.</t>
    </r>
  </si>
  <si>
    <r>
      <t>Ha  fuvarozó, akkor</t>
    </r>
    <r>
      <rPr>
        <b/>
        <sz val="10"/>
        <color indexed="10"/>
        <rFont val="Arial"/>
        <family val="2"/>
        <charset val="238"/>
      </rPr>
      <t xml:space="preserve"> </t>
    </r>
    <r>
      <rPr>
        <b/>
        <sz val="10"/>
        <color indexed="17"/>
        <rFont val="Arial"/>
        <family val="2"/>
        <charset val="238"/>
      </rPr>
      <t>2,4</t>
    </r>
    <r>
      <rPr>
        <b/>
        <sz val="10"/>
        <color indexed="36"/>
        <rFont val="Arial"/>
        <family val="2"/>
        <charset val="238"/>
      </rPr>
      <t>.</t>
    </r>
    <r>
      <rPr>
        <b/>
        <sz val="10"/>
        <rFont val="Arial"/>
        <family val="2"/>
        <charset val="238"/>
      </rPr>
      <t xml:space="preserve"> Egyébként ha egyház stb, akkor a B szorzó egyházi </t>
    </r>
    <r>
      <rPr>
        <b/>
        <sz val="10"/>
        <color indexed="36"/>
        <rFont val="Arial"/>
        <family val="2"/>
        <charset val="238"/>
      </rPr>
      <t>(1,3)</t>
    </r>
    <r>
      <rPr>
        <b/>
        <sz val="10"/>
        <rFont val="Arial"/>
        <family val="2"/>
        <charset val="238"/>
      </rPr>
      <t xml:space="preserve"> , ha nem, akkor a teáoros:</t>
    </r>
  </si>
  <si>
    <r>
      <t xml:space="preserve">Itt   veszélyes anyagszállításnál is berakja a </t>
    </r>
    <r>
      <rPr>
        <sz val="10"/>
        <color indexed="17"/>
        <rFont val="Arial"/>
        <family val="2"/>
        <charset val="238"/>
      </rPr>
      <t>2,4-et</t>
    </r>
    <r>
      <rPr>
        <sz val="10"/>
        <color indexed="36"/>
        <rFont val="Arial"/>
        <family val="2"/>
        <charset val="238"/>
      </rPr>
      <t>,</t>
    </r>
    <r>
      <rPr>
        <sz val="10"/>
        <color indexed="10"/>
        <rFont val="Arial"/>
        <family val="2"/>
        <charset val="238"/>
      </rPr>
      <t xml:space="preserve"> de leszarom.</t>
    </r>
  </si>
  <si>
    <r>
      <t xml:space="preserve">alapdíjak </t>
    </r>
    <r>
      <rPr>
        <sz val="10"/>
        <color indexed="17"/>
        <rFont val="Arial"/>
        <family val="2"/>
        <charset val="238"/>
      </rPr>
      <t>2021</t>
    </r>
  </si>
  <si>
    <t>Flottakezelés választ fixen hamisra vettem 2021, mert kivették.</t>
  </si>
  <si>
    <t>Terület szorzó: D96</t>
  </si>
  <si>
    <t>NDK díj:</t>
  </si>
  <si>
    <r>
      <t xml:space="preserve">új flotta alapdíj </t>
    </r>
    <r>
      <rPr>
        <b/>
        <sz val="10"/>
        <color indexed="17"/>
        <rFont val="Arial"/>
        <family val="2"/>
        <charset val="238"/>
      </rPr>
      <t>2021</t>
    </r>
  </si>
  <si>
    <t>MIN díjak 2021</t>
  </si>
  <si>
    <t>NDK darab számok</t>
  </si>
  <si>
    <t>Jmű díj Fuvarozós szorzóval ha kell</t>
  </si>
  <si>
    <t>Flotta szorzós díj</t>
  </si>
  <si>
    <t>MIN és szorzós közül melyik</t>
  </si>
  <si>
    <t>Db számokkal</t>
  </si>
  <si>
    <t>Nem szorzós flottadíj:</t>
  </si>
  <si>
    <t>($B$4*$BA$4+$B$6*$BA$6+$B$7*$BA$7+$B$10*$BA$10+$B$13*$BA$13+$B$16*$BA$16+($B$18*$BA$18+$B$19*$BA$19+$B$20*$BA$20+$B$21*$BA$21+$B$22*$BA$22+$B$24*$BA$24)*UNION!$F$52+($B$26*$BA$26+$B$27*$BA$27+$B$28*$BA$28+$B$29*$BA$29)*UNION!$F$54+($B$31*$BA$31+$B$32*$BA$32)*UNION!$F$53+$B$33*$BA$33+$B$34*$BA$34+$B$35*$BA$35+$B$36*$BA$36+$B$37*$BA$37+$B$38*$BA$38+$B$40*$BA$40+$B$41*$BA$41+$B$42*$BA$42+$B$43*$BA$43+($B$44*$BA$44+$B$45*$BA$45+$B$46*$BA$46+$B$47*$BA$47)*UNION!$F$55+$B$49*$BA$49)*$BA$52</t>
  </si>
  <si>
    <t>NDKBB54-ből kivágtam, helyette ment be AC59</t>
  </si>
  <si>
    <r>
      <t xml:space="preserve"> -Union 2015-től nem hirdetett határozatlan idejű flottára trolibusz és 4 kerekű smk díjat, így a program erre nulla díjat számol akkor is, ha Ön adott meg ilyen jármű számot!
-A program nem számol egyedi flottaszorzós flottát.
</t>
    </r>
    <r>
      <rPr>
        <sz val="10"/>
        <color indexed="10"/>
        <rFont val="Arial"/>
        <family val="2"/>
        <charset val="238"/>
      </rPr>
      <t xml:space="preserve">-2021-től busz, vontató, &gt;12t TGK és &gt;10t Pót esetén MINIMUM díj került bevezetésre, elég magasak. </t>
    </r>
  </si>
  <si>
    <t>Tevékenység 5</t>
  </si>
  <si>
    <t>Tevékenység 6</t>
  </si>
  <si>
    <t>Tevékenység 7</t>
  </si>
  <si>
    <t>Tevékenység 8</t>
  </si>
  <si>
    <t>Tevékenység 9</t>
  </si>
  <si>
    <t>Tev 5</t>
  </si>
  <si>
    <t>Tev 6</t>
  </si>
  <si>
    <t>Tev 7</t>
  </si>
  <si>
    <t>Tev 8</t>
  </si>
  <si>
    <t>Tev 9</t>
  </si>
  <si>
    <t>Tűzoltóság, megk. jelzés válasz:</t>
  </si>
  <si>
    <r>
      <t>…repülőtéren</t>
    </r>
    <r>
      <rPr>
        <sz val="10"/>
        <rFont val="Arial"/>
        <family val="2"/>
        <charset val="238"/>
      </rPr>
      <t xml:space="preserve"> közlekedik</t>
    </r>
  </si>
  <si>
    <r>
      <t>…</t>
    </r>
    <r>
      <rPr>
        <b/>
        <sz val="10"/>
        <rFont val="Arial"/>
        <family val="2"/>
        <charset val="238"/>
      </rPr>
      <t>tűz- és robbanásveszélyes, radioaktív</t>
    </r>
    <r>
      <rPr>
        <sz val="10"/>
        <rFont val="Arial"/>
        <family val="2"/>
        <charset val="238"/>
      </rPr>
      <t xml:space="preserve"> anyagot szállít</t>
    </r>
  </si>
  <si>
    <t>Tűz-, robbanás válasz:</t>
  </si>
  <si>
    <t>Tev logika</t>
  </si>
  <si>
    <t>Ha nem tűzveszélyes akkor Tev</t>
  </si>
  <si>
    <r>
      <t>…taxiként</t>
    </r>
    <r>
      <rPr>
        <sz val="10"/>
        <rFont val="Arial"/>
        <family val="2"/>
        <charset val="238"/>
      </rPr>
      <t xml:space="preserve"> üzemel, vagy </t>
    </r>
    <r>
      <rPr>
        <b/>
        <sz val="10"/>
        <rFont val="Arial"/>
        <family val="2"/>
        <charset val="238"/>
      </rPr>
      <t>nemzetközi árufuvarozást vagy nemzetközi bérfuvarozást végez</t>
    </r>
    <r>
      <rPr>
        <sz val="10"/>
        <color indexed="10"/>
        <rFont val="Arial"/>
        <family val="2"/>
        <charset val="238"/>
      </rPr>
      <t xml:space="preserve"> </t>
    </r>
    <r>
      <rPr>
        <sz val="10"/>
        <rFont val="Arial"/>
        <family val="2"/>
        <charset val="238"/>
      </rPr>
      <t>(kivéve saját áru szállítás)</t>
    </r>
  </si>
  <si>
    <t>Tűzoltóság, vagy egyéb megkülönböztető jelzés használatára jogosult szervezet?</t>
  </si>
  <si>
    <t>Ha van 1 bér, akkor Tev9</t>
  </si>
  <si>
    <t>Bérautó válasz:</t>
  </si>
  <si>
    <r>
      <t>…</t>
    </r>
    <r>
      <rPr>
        <b/>
        <sz val="10"/>
        <rFont val="Arial"/>
        <family val="2"/>
        <charset val="238"/>
      </rPr>
      <t>megkülönböztető jelzés használatára jogosult</t>
    </r>
  </si>
  <si>
    <t>megkülönböztető jelzés használatára jogosult válasz</t>
  </si>
  <si>
    <r>
      <t>…bérautó,</t>
    </r>
    <r>
      <rPr>
        <sz val="10"/>
        <rFont val="Arial"/>
        <family val="2"/>
        <charset val="238"/>
      </rPr>
      <t xml:space="preserve"> rent-a-car, car sharing </t>
    </r>
    <r>
      <rPr>
        <b/>
        <sz val="10"/>
        <rFont val="Arial"/>
        <family val="2"/>
        <charset val="238"/>
      </rPr>
      <t>12 hónapnál RÖVIDEBB időre</t>
    </r>
  </si>
  <si>
    <t>…bérautó                                           12 hónapnál HOSSZABB  időre</t>
  </si>
  <si>
    <t xml:space="preserve"> &gt;12 bérautó válasz:</t>
  </si>
  <si>
    <t>Ha &gt;12 bér akkor Tev8</t>
  </si>
  <si>
    <t>Erre kell hivatkozni 2021</t>
  </si>
  <si>
    <t>Bármelyik igaz?</t>
  </si>
  <si>
    <t>Tevékenységek igazak (jobbra)?</t>
  </si>
  <si>
    <t>Választott Tev ha szorzós:</t>
  </si>
  <si>
    <t>Tev kód kereséshez oszlopszám:</t>
  </si>
  <si>
    <t>Mindkét ter, másikat áthelyeztem jobbra messze (ez ter 1-5 volt)</t>
  </si>
  <si>
    <t>Faktor szorzóval:</t>
  </si>
  <si>
    <t>TAKARNI</t>
  </si>
  <si>
    <t>Kiemelt tevéke nységek miatti pótdíj szorzó: (FIXEN 1 2021TŐL)</t>
  </si>
  <si>
    <t>Kerekítés</t>
  </si>
  <si>
    <t>MIN díj</t>
  </si>
  <si>
    <t>MIN díjjal összehas</t>
  </si>
  <si>
    <t xml:space="preserve"> TGK</t>
  </si>
  <si>
    <t>Nem lassú jármű vontatta pótkocsi</t>
  </si>
  <si>
    <t>Nemz használat szorzóval</t>
  </si>
  <si>
    <t>TGK nemz haszn szorzó KÉRDÉSEKEN</t>
  </si>
  <si>
    <t>aUTÓBUSZ nemz haszn szorzó KÉRDÉSEKEN</t>
  </si>
  <si>
    <t>Vontató nemz haszn szorzó KÉRDÉSEKEN</t>
  </si>
  <si>
    <t>PÓT nemz haszn szorzó KÉRDÉSEKEN</t>
  </si>
  <si>
    <t>Kat díjak db számmal</t>
  </si>
  <si>
    <t>Nem szorzós FLOTTA DÍJ 2021:</t>
  </si>
  <si>
    <t>Flotta díja: (RÉGI)</t>
  </si>
  <si>
    <t>0,03  nál nem nagyobb</t>
  </si>
  <si>
    <t>0,06  nál nem nagyobb</t>
  </si>
  <si>
    <t>0,09  nél nem nagyobb</t>
  </si>
  <si>
    <t>0,13  nál nem nagyobb</t>
  </si>
  <si>
    <t>0,13 -at meghaladja</t>
  </si>
  <si>
    <t>Alkategóriák...
Union és Posta egyes kW kategóriákon belül további kW alkategóriákat hozott létre.  Pl. Posta a 0-37kW Szgk kategórián belül magasabb díjat ró ki a 0-5 kW tartományba eső gépjárművekre. Ezért ezen biztosítók esetén célszerű a világoskékkel színezett alkategóriákhoz is beírni, hogy hány jármű esik ezen alkategóriákba. Ahol emiatt nő a díj, azt célszerű kitölteni, mert ebben az esetben ugyanis nem adódik a valós díjnál kevesebb.</t>
  </si>
  <si>
    <t>Alábbi járműveket használje-e NEMZETKÖZI viszonylatban személy vagy áru szállításra?</t>
  </si>
  <si>
    <r>
      <t xml:space="preserve"> -A "Kiemelt használat" ötszörös szorzója megszűnt, viszont a tevékenységi besorolást a kalkulátor a megadott Teáor szám és a válaszok alapján számolja, és ez alapján többszörös szorzók is adódhatnak.</t>
    </r>
    <r>
      <rPr>
        <sz val="10"/>
        <rFont val="Arial"/>
        <charset val="238"/>
      </rPr>
      <t xml:space="preserve">
</t>
    </r>
    <r>
      <rPr>
        <sz val="10"/>
        <rFont val="Arial"/>
        <family val="2"/>
        <charset val="238"/>
      </rPr>
      <t xml:space="preserve"> -2016-tól minimum díjak kerültek bevezetésre, és a nemzetközi áru- vagy személyszállításra egyes kategóriákban kétszeres szorzó is van, ezek miatt is magas díj adódhat.</t>
    </r>
    <r>
      <rPr>
        <sz val="10"/>
        <color indexed="10"/>
        <rFont val="Arial"/>
        <family val="2"/>
        <charset val="238"/>
      </rPr>
      <t xml:space="preserve">
</t>
    </r>
    <r>
      <rPr>
        <sz val="10"/>
        <rFont val="Arial"/>
        <family val="2"/>
        <charset val="238"/>
      </rPr>
      <t xml:space="preserve">-Korrekciós szorzós flottadíjat ittt sem nem számol a program, csak új flottákra kalkulálunk.
</t>
    </r>
  </si>
  <si>
    <r>
      <t xml:space="preserve"> </t>
    </r>
    <r>
      <rPr>
        <sz val="10"/>
        <color indexed="10"/>
        <rFont val="Arial"/>
        <family val="2"/>
        <charset val="238"/>
      </rPr>
      <t>-</t>
    </r>
    <r>
      <rPr>
        <sz val="10"/>
        <rFont val="Arial"/>
        <family val="2"/>
        <charset val="238"/>
      </rPr>
      <t xml:space="preserve">2016-tól, ha az elmúlt egy évben nem volt a szerződőnek a járművekre GFB szerződése, kedvezmény/pótdíj nem alkalmazható!
-Amennyiben a járművek legalább 10%-a áru (ADR)  szállítást végez, flotta kedvezmény nem alkalmazható. Tájékoztatásuk és korábbi gyakorlat szerint pótdíjat sem tesznek emiatt rá, ezért a program sem tesz rá pótdíjat.
-Uniqa által felmondott 2019 vagy 2020 évi flotta újrakötésénél 200% pótdíj! Ha az előzménybiztosító be van jelölve, a kalkulátor számolja. </t>
    </r>
    <r>
      <rPr>
        <sz val="10"/>
        <color indexed="30"/>
        <rFont val="Arial"/>
        <family val="2"/>
        <charset val="238"/>
      </rPr>
      <t>NDK főlapon kell a Signal és Aegon közötti oszlop tetején  kiválasztani az előzmény biztosítót, vagy azt, hogy "Uniqa által felmondott".</t>
    </r>
    <r>
      <rPr>
        <sz val="10"/>
        <rFont val="Arial"/>
        <family val="2"/>
        <charset val="238"/>
      </rPr>
      <t xml:space="preserve">
-2014-től taxi- és bérgépjárművek esetén az egyes járművekre 130% pótdíj alkalmazandó. Az NDK  az egész flottára teszi a pótdíjat a KÉRDÉSEK lapon adott válasz alapján, ezért ha néhány jármű nem taxi vagy bérgépjármű, azt célszerű külön számolni. Uniqa nem vizsgálja a tényleges flotta járműszámot.
-2016-tól Uniqa sem hirdetett díjat Triolira és 4 kerekű SMK-ra, így ezekre a program nulla díjat számol akkor is, ha Ön adott meg ilyen gépjármű számot!
-NDK továbbra sem számolja a Partnerkóddal rendelkező flottákat. Ha az ügyfél új flottára rendelkezik Partnerkóddal, célszerű az ügyféltől elkérni a kiajánlott flottadíjat.</t>
    </r>
  </si>
  <si>
    <r>
      <t xml:space="preserve">Allianz és </t>
    </r>
    <r>
      <rPr>
        <b/>
        <sz val="16"/>
        <color indexed="28"/>
        <rFont val="Arial"/>
        <family val="2"/>
        <charset val="238"/>
      </rPr>
      <t>GENERALI</t>
    </r>
    <r>
      <rPr>
        <b/>
        <sz val="16"/>
        <color indexed="62"/>
        <rFont val="Arial"/>
        <family val="2"/>
        <charset val="238"/>
      </rPr>
      <t xml:space="preserve">
Kis TGK díjcsökkentő
</t>
    </r>
    <r>
      <rPr>
        <b/>
        <sz val="10"/>
        <color indexed="12"/>
        <rFont val="Arial"/>
        <family val="2"/>
        <charset val="238"/>
      </rPr>
      <t>Ha az össztömeg szerinti részletezést kitölti, csökken a díj</t>
    </r>
    <r>
      <rPr>
        <b/>
        <sz val="10"/>
        <color indexed="10"/>
        <rFont val="Arial"/>
        <family val="2"/>
        <charset val="238"/>
      </rPr>
      <t>. A bonuszos részt csak a nem díjszorzós, max. 50db-os flottáknál lehet kitölteni,  Allianzhoz használható!</t>
    </r>
  </si>
  <si>
    <t>Taxi, bgjmű pótdíj: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</si>
</sst>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F_t_-;\-* #,##0.00\ _F_t_-;_-* &quot;-&quot;??\ _F_t_-;_-@_-"/>
    <numFmt numFmtId="165" formatCode="#,##0\ &quot;Ft&quot;"/>
    <numFmt numFmtId="166" formatCode="0.0000"/>
    <numFmt numFmtId="167" formatCode="#,##0.0000"/>
    <numFmt numFmtId="168" formatCode="0.000"/>
    <numFmt numFmtId="169" formatCode="0.000000"/>
    <numFmt numFmtId="170" formatCode="_-* #,##0\ _F_t_-;\-* #,##0\ _F_t_-;_-* &quot;-&quot;??\ _F_t_-;_-@_-"/>
    <numFmt numFmtId="171" formatCode="#,##0.000"/>
  </numFmts>
  <fonts count="369">
    <font>
      <sz val="10"/>
      <name val="Arial"/>
      <charset val="238"/>
    </font>
    <font>
      <sz val="10"/>
      <name val="Arial"/>
      <charset val="238"/>
    </font>
    <font>
      <b/>
      <sz val="10"/>
      <name val="Arial"/>
      <family val="2"/>
    </font>
    <font>
      <b/>
      <sz val="10"/>
      <name val="Arial"/>
      <family val="2"/>
      <charset val="238"/>
    </font>
    <font>
      <b/>
      <sz val="16"/>
      <name val="Arial"/>
      <family val="2"/>
      <charset val="238"/>
    </font>
    <font>
      <sz val="10"/>
      <name val="Arial"/>
      <family val="2"/>
      <charset val="238"/>
    </font>
    <font>
      <b/>
      <sz val="14"/>
      <name val="Arial"/>
      <family val="2"/>
      <charset val="238"/>
    </font>
    <font>
      <sz val="8"/>
      <name val="Arial"/>
      <family val="2"/>
      <charset val="238"/>
    </font>
    <font>
      <sz val="12"/>
      <color indexed="81"/>
      <name val="Tahoma"/>
      <family val="2"/>
      <charset val="238"/>
    </font>
    <font>
      <b/>
      <sz val="10"/>
      <color indexed="10"/>
      <name val="Arial"/>
      <family val="2"/>
    </font>
    <font>
      <sz val="6"/>
      <name val="Arial"/>
      <family val="2"/>
      <charset val="238"/>
    </font>
    <font>
      <b/>
      <sz val="8"/>
      <name val="Arial"/>
      <family val="2"/>
      <charset val="238"/>
    </font>
    <font>
      <sz val="7"/>
      <name val="Arial"/>
      <family val="2"/>
      <charset val="238"/>
    </font>
    <font>
      <b/>
      <sz val="12"/>
      <color indexed="16"/>
      <name val="Times New Roman"/>
      <family val="1"/>
      <charset val="238"/>
    </font>
    <font>
      <b/>
      <sz val="12"/>
      <color indexed="9"/>
      <name val="Garamond"/>
      <family val="1"/>
      <charset val="238"/>
    </font>
    <font>
      <sz val="8"/>
      <color indexed="81"/>
      <name val="Tahoma"/>
      <family val="2"/>
      <charset val="238"/>
    </font>
    <font>
      <b/>
      <u/>
      <sz val="14"/>
      <color indexed="9"/>
      <name val="Arial"/>
      <family val="2"/>
      <charset val="238"/>
    </font>
    <font>
      <sz val="8"/>
      <name val="Arial"/>
      <family val="2"/>
      <charset val="238"/>
    </font>
    <font>
      <b/>
      <sz val="16"/>
      <color indexed="18"/>
      <name val="Arial"/>
      <family val="2"/>
      <charset val="238"/>
    </font>
    <font>
      <sz val="10"/>
      <color indexed="9"/>
      <name val="Arial"/>
      <family val="2"/>
      <charset val="238"/>
    </font>
    <font>
      <sz val="12"/>
      <color indexed="9"/>
      <name val="Garamond"/>
      <family val="1"/>
      <charset val="238"/>
    </font>
    <font>
      <sz val="10"/>
      <color indexed="8"/>
      <name val="Arial CE"/>
      <family val="2"/>
      <charset val="238"/>
    </font>
    <font>
      <sz val="10"/>
      <color indexed="10"/>
      <name val="Arial"/>
      <family val="2"/>
      <charset val="238"/>
    </font>
    <font>
      <b/>
      <sz val="10"/>
      <color indexed="10"/>
      <name val="Arial"/>
      <family val="2"/>
      <charset val="238"/>
    </font>
    <font>
      <b/>
      <sz val="12"/>
      <name val="Arial"/>
      <family val="2"/>
      <charset val="238"/>
    </font>
    <font>
      <i/>
      <sz val="10"/>
      <name val="Arial"/>
      <family val="2"/>
      <charset val="238"/>
    </font>
    <font>
      <sz val="10"/>
      <name val="Arial"/>
      <family val="2"/>
      <charset val="238"/>
    </font>
    <font>
      <sz val="10"/>
      <color indexed="81"/>
      <name val="Tahoma"/>
      <family val="2"/>
      <charset val="238"/>
    </font>
    <font>
      <b/>
      <sz val="10"/>
      <color indexed="53"/>
      <name val="Arial"/>
      <family val="2"/>
      <charset val="238"/>
    </font>
    <font>
      <sz val="10"/>
      <name val="Geneva"/>
      <charset val="238"/>
    </font>
    <font>
      <sz val="10"/>
      <name val="Arial CE"/>
      <charset val="238"/>
    </font>
    <font>
      <b/>
      <sz val="12"/>
      <name val="Arial CE"/>
      <family val="2"/>
      <charset val="238"/>
    </font>
    <font>
      <b/>
      <sz val="10"/>
      <name val="Arial CE"/>
      <charset val="238"/>
    </font>
    <font>
      <b/>
      <sz val="10"/>
      <name val="Arial CE"/>
      <family val="2"/>
      <charset val="238"/>
    </font>
    <font>
      <b/>
      <sz val="16"/>
      <name val="Arial CE"/>
      <family val="2"/>
      <charset val="238"/>
    </font>
    <font>
      <b/>
      <sz val="12"/>
      <name val="Arial CE"/>
      <charset val="238"/>
    </font>
    <font>
      <sz val="11"/>
      <name val="Arial CE"/>
      <charset val="238"/>
    </font>
    <font>
      <sz val="12"/>
      <name val="Arial CE"/>
      <charset val="238"/>
    </font>
    <font>
      <sz val="12"/>
      <name val="Arial CE"/>
      <family val="2"/>
      <charset val="238"/>
    </font>
    <font>
      <b/>
      <sz val="9"/>
      <name val="Arial CE"/>
      <family val="2"/>
      <charset val="238"/>
    </font>
    <font>
      <sz val="10"/>
      <name val="Arial CE"/>
      <family val="2"/>
      <charset val="238"/>
    </font>
    <font>
      <sz val="10"/>
      <name val="Wingdings"/>
      <charset val="2"/>
    </font>
    <font>
      <sz val="12"/>
      <name val="Geneva"/>
      <charset val="238"/>
    </font>
    <font>
      <b/>
      <sz val="10"/>
      <color indexed="9"/>
      <name val="Arial"/>
      <family val="2"/>
      <charset val="238"/>
    </font>
    <font>
      <b/>
      <sz val="16"/>
      <color indexed="12"/>
      <name val="Arial"/>
      <family val="2"/>
      <charset val="238"/>
    </font>
    <font>
      <b/>
      <sz val="12"/>
      <color indexed="60"/>
      <name val="Arial"/>
      <family val="2"/>
      <charset val="238"/>
    </font>
    <font>
      <b/>
      <sz val="12"/>
      <color indexed="57"/>
      <name val="Arial"/>
      <family val="2"/>
      <charset val="238"/>
    </font>
    <font>
      <b/>
      <sz val="14"/>
      <color indexed="57"/>
      <name val="Arial"/>
      <family val="2"/>
      <charset val="238"/>
    </font>
    <font>
      <b/>
      <sz val="14"/>
      <color indexed="60"/>
      <name val="Arial"/>
      <family val="2"/>
      <charset val="238"/>
    </font>
    <font>
      <sz val="10"/>
      <color indexed="60"/>
      <name val="Arial"/>
      <family val="2"/>
      <charset val="238"/>
    </font>
    <font>
      <sz val="12"/>
      <name val="Arial"/>
      <family val="2"/>
      <charset val="238"/>
    </font>
    <font>
      <sz val="9"/>
      <name val="Arial"/>
      <family val="2"/>
      <charset val="238"/>
    </font>
    <font>
      <sz val="10"/>
      <name val="Arial"/>
      <family val="2"/>
    </font>
    <font>
      <sz val="10"/>
      <color indexed="10"/>
      <name val="Arial"/>
      <family val="2"/>
      <charset val="238"/>
    </font>
    <font>
      <b/>
      <sz val="10"/>
      <color indexed="51"/>
      <name val="Arial"/>
      <family val="2"/>
      <charset val="238"/>
    </font>
    <font>
      <b/>
      <sz val="14"/>
      <color indexed="51"/>
      <name val="Arial"/>
      <family val="2"/>
      <charset val="238"/>
    </font>
    <font>
      <b/>
      <sz val="12"/>
      <color indexed="10"/>
      <name val="Arial"/>
      <family val="2"/>
      <charset val="238"/>
    </font>
    <font>
      <sz val="20"/>
      <color indexed="10"/>
      <name val="Arial"/>
      <family val="2"/>
      <charset val="238"/>
    </font>
    <font>
      <b/>
      <sz val="20"/>
      <color indexed="10"/>
      <name val="Arial"/>
      <family val="2"/>
      <charset val="238"/>
    </font>
    <font>
      <sz val="10"/>
      <color indexed="60"/>
      <name val="Arial"/>
      <family val="2"/>
      <charset val="238"/>
    </font>
    <font>
      <i/>
      <sz val="10"/>
      <color indexed="17"/>
      <name val="Arial"/>
      <family val="2"/>
      <charset val="238"/>
    </font>
    <font>
      <b/>
      <sz val="14"/>
      <name val="Arial CE"/>
      <family val="2"/>
      <charset val="238"/>
    </font>
    <font>
      <sz val="12"/>
      <color indexed="10"/>
      <name val="Times New Roman"/>
      <family val="1"/>
      <charset val="238"/>
    </font>
    <font>
      <b/>
      <sz val="12"/>
      <color indexed="53"/>
      <name val="Arial"/>
      <family val="2"/>
      <charset val="238"/>
    </font>
    <font>
      <b/>
      <u/>
      <sz val="16"/>
      <name val="Arial"/>
      <family val="2"/>
      <charset val="238"/>
    </font>
    <font>
      <sz val="16"/>
      <name val="Arial"/>
      <family val="2"/>
      <charset val="238"/>
    </font>
    <font>
      <sz val="10"/>
      <color indexed="51"/>
      <name val="Arial"/>
      <family val="2"/>
      <charset val="238"/>
    </font>
    <font>
      <b/>
      <sz val="14"/>
      <color indexed="13"/>
      <name val="Arial"/>
      <family val="2"/>
      <charset val="238"/>
    </font>
    <font>
      <sz val="10"/>
      <color indexed="64"/>
      <name val="Microsoft Sans Serif"/>
      <family val="2"/>
      <charset val="238"/>
    </font>
    <font>
      <sz val="10"/>
      <color indexed="64"/>
      <name val="Microsoft Sans Serif"/>
      <family val="2"/>
      <charset val="238"/>
    </font>
    <font>
      <sz val="10"/>
      <color indexed="64"/>
      <name val="Arial"/>
      <family val="2"/>
      <charset val="238"/>
    </font>
    <font>
      <b/>
      <u/>
      <sz val="14"/>
      <name val="Arial"/>
      <family val="2"/>
      <charset val="238"/>
    </font>
    <font>
      <sz val="10"/>
      <color indexed="55"/>
      <name val="Arial"/>
      <family val="2"/>
      <charset val="238"/>
    </font>
    <font>
      <sz val="10"/>
      <color indexed="55"/>
      <name val="Arial"/>
      <family val="2"/>
      <charset val="238"/>
    </font>
    <font>
      <sz val="10"/>
      <color indexed="9"/>
      <name val="Arial"/>
      <family val="2"/>
      <charset val="238"/>
    </font>
    <font>
      <b/>
      <sz val="10"/>
      <color indexed="9"/>
      <name val="Arial"/>
      <family val="2"/>
    </font>
    <font>
      <b/>
      <sz val="20"/>
      <color indexed="21"/>
      <name val="Book Antiqua"/>
      <family val="1"/>
      <charset val="238"/>
    </font>
    <font>
      <b/>
      <sz val="10"/>
      <color indexed="17"/>
      <name val="Arial"/>
      <family val="2"/>
      <charset val="238"/>
    </font>
    <font>
      <b/>
      <sz val="12"/>
      <color indexed="9"/>
      <name val="CG Times"/>
      <family val="1"/>
    </font>
    <font>
      <i/>
      <sz val="10"/>
      <color indexed="10"/>
      <name val="Arial"/>
      <family val="2"/>
      <charset val="238"/>
    </font>
    <font>
      <sz val="12"/>
      <name val="Arial"/>
      <family val="2"/>
      <charset val="238"/>
    </font>
    <font>
      <b/>
      <sz val="22"/>
      <color indexed="9"/>
      <name val="Book Antiqua"/>
      <family val="1"/>
      <charset val="238"/>
    </font>
    <font>
      <i/>
      <sz val="8"/>
      <name val="Arial"/>
      <family val="2"/>
      <charset val="238"/>
    </font>
    <font>
      <b/>
      <sz val="10"/>
      <color indexed="60"/>
      <name val="Arial"/>
      <family val="2"/>
      <charset val="238"/>
    </font>
    <font>
      <sz val="12"/>
      <name val="Times New Roman"/>
      <family val="1"/>
      <charset val="238"/>
    </font>
    <font>
      <b/>
      <sz val="12"/>
      <color indexed="9"/>
      <name val="Arial"/>
      <family val="2"/>
      <charset val="238"/>
    </font>
    <font>
      <sz val="12"/>
      <color indexed="9"/>
      <name val="Times New Roman"/>
      <family val="1"/>
      <charset val="238"/>
    </font>
    <font>
      <sz val="14"/>
      <name val="Arial"/>
      <family val="2"/>
      <charset val="238"/>
    </font>
    <font>
      <sz val="12"/>
      <color indexed="42"/>
      <name val="Garamond"/>
      <family val="1"/>
      <charset val="238"/>
    </font>
    <font>
      <sz val="11"/>
      <color indexed="81"/>
      <name val="Tahoma"/>
      <family val="2"/>
      <charset val="238"/>
    </font>
    <font>
      <b/>
      <i/>
      <sz val="10"/>
      <color indexed="10"/>
      <name val="Arial"/>
      <family val="2"/>
      <charset val="238"/>
    </font>
    <font>
      <b/>
      <sz val="10"/>
      <color indexed="81"/>
      <name val="Tahoma"/>
      <family val="2"/>
      <charset val="238"/>
    </font>
    <font>
      <sz val="16"/>
      <color indexed="9"/>
      <name val="Tahoma"/>
      <family val="2"/>
      <charset val="238"/>
    </font>
    <font>
      <b/>
      <sz val="16"/>
      <color indexed="9"/>
      <name val="Tahoma"/>
      <family val="2"/>
      <charset val="238"/>
    </font>
    <font>
      <b/>
      <sz val="12"/>
      <color indexed="9"/>
      <name val="Tahoma"/>
      <family val="2"/>
      <charset val="238"/>
    </font>
    <font>
      <sz val="6"/>
      <color indexed="8"/>
      <name val="Arial CE"/>
      <family val="2"/>
      <charset val="238"/>
    </font>
    <font>
      <b/>
      <sz val="10"/>
      <color indexed="13"/>
      <name val="Arial"/>
      <family val="2"/>
      <charset val="238"/>
    </font>
    <font>
      <i/>
      <sz val="8"/>
      <color indexed="10"/>
      <name val="Arial"/>
      <family val="2"/>
      <charset val="238"/>
    </font>
    <font>
      <sz val="8"/>
      <color indexed="10"/>
      <name val="Arial"/>
      <family val="2"/>
      <charset val="238"/>
    </font>
    <font>
      <sz val="10"/>
      <color indexed="10"/>
      <name val="Arial"/>
      <family val="2"/>
    </font>
    <font>
      <b/>
      <sz val="10"/>
      <name val="Geneva"/>
      <charset val="238"/>
    </font>
    <font>
      <b/>
      <sz val="11"/>
      <color indexed="57"/>
      <name val="Arial"/>
      <family val="2"/>
      <charset val="238"/>
    </font>
    <font>
      <b/>
      <sz val="8"/>
      <name val="Arial"/>
      <family val="2"/>
    </font>
    <font>
      <b/>
      <sz val="10"/>
      <color indexed="48"/>
      <name val="Arial"/>
      <family val="2"/>
    </font>
    <font>
      <i/>
      <sz val="10"/>
      <color indexed="60"/>
      <name val="Arial"/>
      <family val="2"/>
      <charset val="238"/>
    </font>
    <font>
      <b/>
      <i/>
      <sz val="10"/>
      <color indexed="60"/>
      <name val="Arial"/>
      <family val="2"/>
      <charset val="238"/>
    </font>
    <font>
      <b/>
      <sz val="20"/>
      <color indexed="57"/>
      <name val="Arial"/>
      <family val="2"/>
      <charset val="238"/>
    </font>
    <font>
      <b/>
      <sz val="10"/>
      <color indexed="57"/>
      <name val="Arial"/>
      <family val="2"/>
      <charset val="238"/>
    </font>
    <font>
      <sz val="20"/>
      <color indexed="57"/>
      <name val="Arial"/>
      <family val="2"/>
      <charset val="238"/>
    </font>
    <font>
      <sz val="9"/>
      <name val="Arial"/>
      <family val="2"/>
    </font>
    <font>
      <b/>
      <sz val="10"/>
      <color indexed="57"/>
      <name val="Arial Black"/>
      <family val="2"/>
      <charset val="238"/>
    </font>
    <font>
      <b/>
      <sz val="26"/>
      <color indexed="57"/>
      <name val="Franklin Gothic Medium"/>
      <family val="2"/>
      <charset val="238"/>
    </font>
    <font>
      <sz val="10"/>
      <color indexed="81"/>
      <name val="Arial"/>
      <family val="2"/>
      <charset val="238"/>
    </font>
    <font>
      <i/>
      <sz val="8"/>
      <color indexed="60"/>
      <name val="Arial"/>
      <family val="2"/>
      <charset val="238"/>
    </font>
    <font>
      <b/>
      <sz val="22"/>
      <color indexed="57"/>
      <name val="Lucida Sans Unicode"/>
      <family val="2"/>
      <charset val="238"/>
    </font>
    <font>
      <b/>
      <sz val="10"/>
      <name val="Arial"/>
      <family val="2"/>
      <charset val="238"/>
    </font>
    <font>
      <sz val="10"/>
      <name val="Arial"/>
      <family val="2"/>
      <charset val="238"/>
    </font>
    <font>
      <b/>
      <sz val="12"/>
      <color indexed="17"/>
      <name val="Courier"/>
      <family val="1"/>
      <charset val="238"/>
    </font>
    <font>
      <b/>
      <sz val="12"/>
      <color indexed="13"/>
      <name val="Arial"/>
      <family val="2"/>
      <charset val="238"/>
    </font>
    <font>
      <b/>
      <sz val="14"/>
      <color indexed="10"/>
      <name val="Arial"/>
      <family val="2"/>
      <charset val="238"/>
    </font>
    <font>
      <sz val="14"/>
      <color indexed="10"/>
      <name val="Arial"/>
      <family val="2"/>
      <charset val="238"/>
    </font>
    <font>
      <sz val="10"/>
      <color indexed="59"/>
      <name val="Arial"/>
      <family val="2"/>
      <charset val="238"/>
    </font>
    <font>
      <b/>
      <sz val="12"/>
      <color indexed="59"/>
      <name val="Arial"/>
      <family val="2"/>
      <charset val="238"/>
    </font>
    <font>
      <b/>
      <sz val="12"/>
      <color indexed="11"/>
      <name val="Arial"/>
      <family val="2"/>
      <charset val="238"/>
    </font>
    <font>
      <i/>
      <sz val="10"/>
      <color indexed="16"/>
      <name val="Arial"/>
      <family val="2"/>
      <charset val="238"/>
    </font>
    <font>
      <i/>
      <sz val="8"/>
      <color indexed="16"/>
      <name val="Arial"/>
      <family val="2"/>
      <charset val="238"/>
    </font>
    <font>
      <sz val="10"/>
      <color indexed="8"/>
      <name val="Arial"/>
      <family val="2"/>
      <charset val="238"/>
    </font>
    <font>
      <sz val="12"/>
      <color indexed="10"/>
      <name val="Arial"/>
      <family val="2"/>
      <charset val="238"/>
    </font>
    <font>
      <b/>
      <sz val="10"/>
      <color indexed="9"/>
      <name val="Arial"/>
      <family val="2"/>
      <charset val="238"/>
    </font>
    <font>
      <sz val="10"/>
      <color indexed="12"/>
      <name val="Arial"/>
      <family val="2"/>
      <charset val="238"/>
    </font>
    <font>
      <sz val="10"/>
      <name val="Arial"/>
      <family val="2"/>
      <charset val="238"/>
    </font>
    <font>
      <sz val="16"/>
      <name val="Aston-F1"/>
    </font>
    <font>
      <sz val="10"/>
      <name val="Microsoft Sans Serif"/>
      <family val="2"/>
      <charset val="238"/>
    </font>
    <font>
      <b/>
      <sz val="12"/>
      <name val="Arial"/>
      <family val="2"/>
      <charset val="238"/>
    </font>
    <font>
      <sz val="10"/>
      <name val="Arial"/>
      <family val="2"/>
      <charset val="238"/>
    </font>
    <font>
      <sz val="12"/>
      <name val="Arial"/>
      <family val="2"/>
    </font>
    <font>
      <sz val="10"/>
      <name val="Microsoft Sans Serif"/>
      <family val="2"/>
      <charset val="238"/>
    </font>
    <font>
      <b/>
      <sz val="10"/>
      <color indexed="43"/>
      <name val="Arial"/>
      <family val="2"/>
      <charset val="238"/>
    </font>
    <font>
      <b/>
      <sz val="10"/>
      <color indexed="12"/>
      <name val="Arial"/>
      <family val="2"/>
      <charset val="238"/>
    </font>
    <font>
      <sz val="10"/>
      <color indexed="23"/>
      <name val="Arial"/>
      <family val="2"/>
      <charset val="238"/>
    </font>
    <font>
      <b/>
      <sz val="12"/>
      <color indexed="10"/>
      <name val="Arial CE"/>
      <charset val="238"/>
    </font>
    <font>
      <i/>
      <sz val="10"/>
      <color indexed="52"/>
      <name val="Arial"/>
      <family val="2"/>
      <charset val="238"/>
    </font>
    <font>
      <sz val="10"/>
      <color indexed="12"/>
      <name val="Arial"/>
      <family val="2"/>
      <charset val="238"/>
    </font>
    <font>
      <b/>
      <sz val="9"/>
      <name val="Arial"/>
      <family val="2"/>
    </font>
    <font>
      <sz val="8"/>
      <color indexed="8"/>
      <name val="Arial CE"/>
      <charset val="238"/>
    </font>
    <font>
      <b/>
      <sz val="10"/>
      <color indexed="17"/>
      <name val="Arial CE"/>
      <charset val="238"/>
    </font>
    <font>
      <b/>
      <sz val="12"/>
      <color indexed="17"/>
      <name val="Arial"/>
      <family val="2"/>
    </font>
    <font>
      <b/>
      <sz val="20"/>
      <name val="Arial"/>
      <family val="2"/>
      <charset val="238"/>
    </font>
    <font>
      <sz val="9"/>
      <name val="Arial"/>
      <family val="2"/>
      <charset val="238"/>
    </font>
    <font>
      <sz val="6"/>
      <name val="Arial"/>
      <family val="2"/>
      <charset val="238"/>
    </font>
    <font>
      <sz val="8"/>
      <color indexed="10"/>
      <name val="Arial"/>
      <family val="2"/>
      <charset val="238"/>
    </font>
    <font>
      <b/>
      <sz val="8"/>
      <color indexed="81"/>
      <name val="Tahoma"/>
      <family val="2"/>
      <charset val="238"/>
    </font>
    <font>
      <b/>
      <sz val="12"/>
      <color indexed="51"/>
      <name val="Arial"/>
      <family val="2"/>
      <charset val="238"/>
    </font>
    <font>
      <b/>
      <sz val="12"/>
      <color indexed="81"/>
      <name val="Tahoma"/>
      <family val="2"/>
      <charset val="238"/>
    </font>
    <font>
      <b/>
      <sz val="10"/>
      <color indexed="16"/>
      <name val="Arial"/>
      <family val="2"/>
      <charset val="238"/>
    </font>
    <font>
      <b/>
      <sz val="10"/>
      <color indexed="10"/>
      <name val="Arial"/>
      <family val="2"/>
      <charset val="238"/>
    </font>
    <font>
      <sz val="10"/>
      <color indexed="14"/>
      <name val="Arial"/>
      <family val="2"/>
      <charset val="238"/>
    </font>
    <font>
      <sz val="12"/>
      <color indexed="14"/>
      <name val="Times New Roman"/>
      <family val="1"/>
      <charset val="238"/>
    </font>
    <font>
      <sz val="10"/>
      <color indexed="9"/>
      <name val="Tahoma"/>
      <family val="2"/>
      <charset val="238"/>
    </font>
    <font>
      <sz val="12"/>
      <color indexed="9"/>
      <name val="Tahoma"/>
      <family val="2"/>
      <charset val="238"/>
    </font>
    <font>
      <b/>
      <sz val="10"/>
      <color indexed="55"/>
      <name val="Arial"/>
      <family val="2"/>
      <charset val="238"/>
    </font>
    <font>
      <sz val="10"/>
      <color indexed="57"/>
      <name val="Arial"/>
      <family val="2"/>
      <charset val="238"/>
    </font>
    <font>
      <sz val="10"/>
      <color indexed="57"/>
      <name val="Arial"/>
      <family val="2"/>
    </font>
    <font>
      <b/>
      <sz val="11"/>
      <color indexed="10"/>
      <name val="Arial"/>
      <family val="2"/>
      <charset val="238"/>
    </font>
    <font>
      <b/>
      <sz val="16"/>
      <color indexed="62"/>
      <name val="Arial"/>
      <family val="2"/>
      <charset val="238"/>
    </font>
    <font>
      <sz val="10"/>
      <color indexed="62"/>
      <name val="Arial"/>
      <family val="2"/>
      <charset val="238"/>
    </font>
    <font>
      <sz val="10"/>
      <color indexed="62"/>
      <name val="Arial"/>
      <family val="2"/>
      <charset val="238"/>
    </font>
    <font>
      <b/>
      <sz val="10"/>
      <color indexed="62"/>
      <name val="Arial"/>
      <family val="2"/>
      <charset val="238"/>
    </font>
    <font>
      <b/>
      <sz val="10"/>
      <color indexed="46"/>
      <name val="Arial"/>
      <family val="2"/>
      <charset val="238"/>
    </font>
    <font>
      <b/>
      <sz val="12"/>
      <color indexed="61"/>
      <name val="Arial"/>
      <family val="2"/>
      <charset val="238"/>
    </font>
    <font>
      <b/>
      <sz val="10"/>
      <color indexed="18"/>
      <name val="Arial"/>
      <family val="2"/>
      <charset val="238"/>
    </font>
    <font>
      <sz val="10"/>
      <color indexed="18"/>
      <name val="Arial"/>
      <family val="2"/>
      <charset val="238"/>
    </font>
    <font>
      <sz val="10"/>
      <color indexed="57"/>
      <name val="Arial"/>
      <family val="2"/>
      <charset val="238"/>
    </font>
    <font>
      <b/>
      <sz val="10"/>
      <color indexed="57"/>
      <name val="Arial"/>
      <family val="2"/>
      <charset val="238"/>
    </font>
    <font>
      <sz val="10"/>
      <color indexed="17"/>
      <name val="Arial"/>
      <family val="2"/>
      <charset val="238"/>
    </font>
    <font>
      <sz val="10"/>
      <color indexed="21"/>
      <name val="Arial"/>
      <family val="2"/>
      <charset val="238"/>
    </font>
    <font>
      <sz val="10"/>
      <color indexed="17"/>
      <name val="Arial"/>
      <family val="2"/>
      <charset val="238"/>
    </font>
    <font>
      <sz val="12"/>
      <color indexed="17"/>
      <name val="Times New Roman"/>
      <family val="1"/>
      <charset val="238"/>
    </font>
    <font>
      <sz val="16"/>
      <color indexed="51"/>
      <name val="Verdana"/>
      <family val="2"/>
      <charset val="238"/>
    </font>
    <font>
      <b/>
      <sz val="10"/>
      <color indexed="51"/>
      <name val="Verdana"/>
      <family val="2"/>
      <charset val="238"/>
    </font>
    <font>
      <sz val="14"/>
      <color indexed="51"/>
      <name val="Verdana"/>
      <family val="2"/>
      <charset val="238"/>
    </font>
    <font>
      <b/>
      <sz val="12"/>
      <color indexed="51"/>
      <name val="Verdana"/>
      <family val="2"/>
      <charset val="238"/>
    </font>
    <font>
      <sz val="8"/>
      <color indexed="17"/>
      <name val="Arial"/>
      <family val="2"/>
      <charset val="238"/>
    </font>
    <font>
      <b/>
      <sz val="8"/>
      <color indexed="17"/>
      <name val="Arial"/>
      <family val="2"/>
      <charset val="238"/>
    </font>
    <font>
      <b/>
      <sz val="10"/>
      <color indexed="12"/>
      <name val="Arial"/>
      <family val="2"/>
      <charset val="238"/>
    </font>
    <font>
      <b/>
      <sz val="10"/>
      <color indexed="8"/>
      <name val="Arial CE"/>
      <charset val="238"/>
    </font>
    <font>
      <sz val="8"/>
      <color indexed="57"/>
      <name val="Arial"/>
      <family val="2"/>
      <charset val="238"/>
    </font>
    <font>
      <b/>
      <sz val="24"/>
      <name val="Arial"/>
      <family val="2"/>
    </font>
    <font>
      <b/>
      <sz val="12"/>
      <name val="Geneva"/>
      <charset val="238"/>
    </font>
    <font>
      <sz val="10"/>
      <color indexed="10"/>
      <name val="Geneva"/>
      <charset val="238"/>
    </font>
    <font>
      <b/>
      <sz val="10"/>
      <color indexed="10"/>
      <name val="Geneva"/>
      <charset val="238"/>
    </font>
    <font>
      <b/>
      <sz val="12"/>
      <color indexed="57"/>
      <name val="Geneva"/>
      <charset val="238"/>
    </font>
    <font>
      <b/>
      <sz val="12"/>
      <color indexed="62"/>
      <name val="Arial"/>
      <family val="2"/>
      <charset val="238"/>
    </font>
    <font>
      <b/>
      <sz val="14"/>
      <color indexed="12"/>
      <name val="Arial"/>
      <family val="2"/>
      <charset val="238"/>
    </font>
    <font>
      <b/>
      <sz val="12"/>
      <name val="Arial"/>
      <family val="2"/>
    </font>
    <font>
      <b/>
      <sz val="14"/>
      <color indexed="17"/>
      <name val="Arial"/>
      <family val="2"/>
      <charset val="238"/>
    </font>
    <font>
      <b/>
      <sz val="10"/>
      <color indexed="21"/>
      <name val="Arial"/>
      <family val="2"/>
      <charset val="238"/>
    </font>
    <font>
      <b/>
      <sz val="12"/>
      <color indexed="17"/>
      <name val="Arial"/>
      <family val="2"/>
      <charset val="238"/>
    </font>
    <font>
      <b/>
      <i/>
      <sz val="10"/>
      <name val="Arial"/>
      <family val="2"/>
      <charset val="238"/>
    </font>
    <font>
      <b/>
      <sz val="12"/>
      <name val="Book Antiqua"/>
      <family val="1"/>
      <charset val="238"/>
    </font>
    <font>
      <sz val="10"/>
      <color indexed="12"/>
      <name val="Geneva"/>
      <charset val="238"/>
    </font>
    <font>
      <b/>
      <sz val="18"/>
      <name val="Arial CE"/>
      <family val="2"/>
      <charset val="238"/>
    </font>
    <font>
      <b/>
      <sz val="18"/>
      <name val="Arial CE"/>
      <charset val="238"/>
    </font>
    <font>
      <b/>
      <sz val="14"/>
      <name val="Book Antiqua"/>
      <family val="1"/>
      <charset val="238"/>
    </font>
    <font>
      <sz val="14"/>
      <name val="Arial"/>
      <family val="2"/>
      <charset val="238"/>
    </font>
    <font>
      <b/>
      <sz val="10"/>
      <color indexed="58"/>
      <name val="Arial"/>
      <family val="2"/>
      <charset val="238"/>
    </font>
    <font>
      <b/>
      <sz val="10"/>
      <color indexed="15"/>
      <name val="Arial"/>
      <family val="2"/>
      <charset val="238"/>
    </font>
    <font>
      <sz val="10"/>
      <color indexed="12"/>
      <name val="Arial"/>
      <family val="2"/>
    </font>
    <font>
      <sz val="12"/>
      <color indexed="12"/>
      <name val="Times New Roman"/>
      <family val="1"/>
      <charset val="238"/>
    </font>
    <font>
      <b/>
      <sz val="10"/>
      <color indexed="12"/>
      <name val="Arial"/>
      <family val="2"/>
    </font>
    <font>
      <sz val="9"/>
      <color indexed="12"/>
      <name val="Arial"/>
      <family val="2"/>
      <charset val="238"/>
    </font>
    <font>
      <b/>
      <sz val="9"/>
      <color indexed="12"/>
      <name val="Arial"/>
      <family val="2"/>
      <charset val="238"/>
    </font>
    <font>
      <sz val="8"/>
      <color indexed="12"/>
      <name val="Arial"/>
      <family val="2"/>
      <charset val="238"/>
    </font>
    <font>
      <b/>
      <sz val="8"/>
      <color indexed="12"/>
      <name val="Arial"/>
      <family val="2"/>
    </font>
    <font>
      <b/>
      <sz val="12"/>
      <color indexed="12"/>
      <name val="Arial"/>
      <family val="2"/>
      <charset val="238"/>
    </font>
    <font>
      <i/>
      <sz val="14"/>
      <color indexed="18"/>
      <name val="Arial"/>
      <family val="2"/>
      <charset val="238"/>
    </font>
    <font>
      <b/>
      <sz val="10"/>
      <color indexed="12"/>
      <name val="Geneva"/>
      <charset val="238"/>
    </font>
    <font>
      <b/>
      <sz val="12"/>
      <color indexed="12"/>
      <name val="Arial CE"/>
      <charset val="238"/>
    </font>
    <font>
      <i/>
      <sz val="10"/>
      <color indexed="22"/>
      <name val="Arial"/>
      <family val="2"/>
      <charset val="238"/>
    </font>
    <font>
      <sz val="10"/>
      <color indexed="22"/>
      <name val="Arial"/>
      <family val="2"/>
      <charset val="238"/>
    </font>
    <font>
      <sz val="10"/>
      <color indexed="42"/>
      <name val="Arial"/>
      <family val="2"/>
      <charset val="238"/>
    </font>
    <font>
      <i/>
      <sz val="10"/>
      <color indexed="12"/>
      <name val="Arial"/>
      <family val="2"/>
      <charset val="238"/>
    </font>
    <font>
      <i/>
      <sz val="12"/>
      <color indexed="12"/>
      <name val="Times New Roman"/>
      <family val="1"/>
      <charset val="238"/>
    </font>
    <font>
      <b/>
      <sz val="16"/>
      <color indexed="13"/>
      <name val="Geneva"/>
      <charset val="238"/>
    </font>
    <font>
      <b/>
      <sz val="12"/>
      <color indexed="10"/>
      <name val="Tahoma"/>
      <family val="2"/>
      <charset val="238"/>
    </font>
    <font>
      <sz val="11"/>
      <color indexed="13"/>
      <name val="Arial"/>
      <family val="2"/>
      <charset val="238"/>
    </font>
    <font>
      <i/>
      <sz val="9"/>
      <name val="Arial"/>
      <family val="2"/>
      <charset val="238"/>
    </font>
    <font>
      <b/>
      <sz val="12"/>
      <color indexed="9"/>
      <name val="Times New Roman"/>
      <family val="1"/>
      <charset val="238"/>
    </font>
    <font>
      <b/>
      <sz val="9"/>
      <color indexed="81"/>
      <name val="Tahoma"/>
      <family val="2"/>
      <charset val="238"/>
    </font>
    <font>
      <b/>
      <sz val="10"/>
      <color indexed="10"/>
      <name val="Arial CE"/>
      <charset val="238"/>
    </font>
    <font>
      <b/>
      <sz val="12"/>
      <color indexed="10"/>
      <name val="Geneva"/>
      <charset val="238"/>
    </font>
    <font>
      <b/>
      <sz val="14"/>
      <color indexed="10"/>
      <name val="Geneva"/>
      <charset val="238"/>
    </font>
    <font>
      <b/>
      <sz val="12"/>
      <color indexed="12"/>
      <name val="Geneva"/>
      <charset val="238"/>
    </font>
    <font>
      <b/>
      <sz val="14"/>
      <color indexed="12"/>
      <name val="Geneva"/>
      <charset val="238"/>
    </font>
    <font>
      <sz val="7"/>
      <color indexed="10"/>
      <name val="Arial"/>
      <family val="2"/>
      <charset val="238"/>
    </font>
    <font>
      <sz val="9"/>
      <color indexed="81"/>
      <name val="Tahoma"/>
      <family val="2"/>
      <charset val="238"/>
    </font>
    <font>
      <i/>
      <sz val="9"/>
      <color indexed="60"/>
      <name val="Arial"/>
      <family val="2"/>
      <charset val="238"/>
    </font>
    <font>
      <sz val="12"/>
      <color indexed="8"/>
      <name val="Arial CE"/>
      <family val="2"/>
      <charset val="238"/>
    </font>
    <font>
      <sz val="14"/>
      <color indexed="17"/>
      <name val="Arial"/>
      <family val="2"/>
      <charset val="238"/>
    </font>
    <font>
      <b/>
      <sz val="14"/>
      <color indexed="10"/>
      <name val="Times New Roman"/>
      <family val="1"/>
      <charset val="238"/>
    </font>
    <font>
      <sz val="10"/>
      <color indexed="10"/>
      <name val="Times New Roman"/>
      <family val="1"/>
      <charset val="238"/>
    </font>
    <font>
      <b/>
      <i/>
      <sz val="10"/>
      <name val="Geneva"/>
      <charset val="238"/>
    </font>
    <font>
      <b/>
      <sz val="8"/>
      <color indexed="62"/>
      <name val="Arial"/>
      <family val="2"/>
      <charset val="238"/>
    </font>
    <font>
      <sz val="9"/>
      <color indexed="10"/>
      <name val="Arial"/>
      <family val="2"/>
      <charset val="238"/>
    </font>
    <font>
      <sz val="8"/>
      <name val="Arial"/>
      <family val="2"/>
    </font>
    <font>
      <sz val="10"/>
      <name val="Arial"/>
      <family val="2"/>
      <charset val="238"/>
    </font>
    <font>
      <b/>
      <sz val="10"/>
      <color indexed="57"/>
      <name val="Arial"/>
      <family val="2"/>
    </font>
    <font>
      <sz val="10"/>
      <color indexed="11"/>
      <name val="Arial"/>
      <family val="2"/>
      <charset val="238"/>
    </font>
    <font>
      <b/>
      <sz val="9"/>
      <color indexed="57"/>
      <name val="Arial"/>
      <family val="2"/>
      <charset val="238"/>
    </font>
    <font>
      <sz val="10"/>
      <color indexed="36"/>
      <name val="Arial"/>
      <family val="2"/>
      <charset val="238"/>
    </font>
    <font>
      <b/>
      <sz val="10"/>
      <color indexed="36"/>
      <name val="Arial"/>
      <family val="2"/>
      <charset val="238"/>
    </font>
    <font>
      <b/>
      <sz val="12"/>
      <color indexed="36"/>
      <name val="Arial"/>
      <family val="2"/>
      <charset val="238"/>
    </font>
    <font>
      <sz val="12"/>
      <color indexed="36"/>
      <name val="Arial"/>
      <family val="2"/>
      <charset val="238"/>
    </font>
    <font>
      <sz val="8"/>
      <name val="Geneva"/>
      <charset val="238"/>
    </font>
    <font>
      <b/>
      <sz val="16"/>
      <color indexed="28"/>
      <name val="Arial"/>
      <family val="2"/>
      <charset val="238"/>
    </font>
    <font>
      <sz val="10"/>
      <color indexed="28"/>
      <name val="Arial"/>
      <family val="2"/>
      <charset val="238"/>
    </font>
    <font>
      <sz val="10"/>
      <color indexed="30"/>
      <name val="Arial"/>
      <family val="2"/>
      <charset val="238"/>
    </font>
    <font>
      <b/>
      <sz val="18"/>
      <color indexed="36"/>
      <name val="Arial CE"/>
      <charset val="238"/>
    </font>
    <font>
      <b/>
      <sz val="10"/>
      <color indexed="36"/>
      <name val="Arial CE"/>
      <charset val="238"/>
    </font>
    <font>
      <sz val="12"/>
      <color indexed="10"/>
      <name val="Tahoma"/>
      <family val="2"/>
      <charset val="238"/>
    </font>
    <font>
      <sz val="10"/>
      <name val="Arial"/>
      <family val="2"/>
      <charset val="238"/>
    </font>
    <font>
      <sz val="11"/>
      <name val="Calibri"/>
      <family val="2"/>
      <charset val="238"/>
    </font>
    <font>
      <sz val="11"/>
      <color theme="1"/>
      <name val="Calibri"/>
      <family val="2"/>
      <charset val="238"/>
      <scheme val="minor"/>
    </font>
    <font>
      <sz val="11"/>
      <color rgb="FFFF0000"/>
      <name val="Calibri"/>
      <family val="2"/>
      <charset val="238"/>
      <scheme val="minor"/>
    </font>
    <font>
      <sz val="6"/>
      <color rgb="FFFF0000"/>
      <name val="Arial"/>
      <family val="2"/>
      <charset val="238"/>
    </font>
    <font>
      <sz val="10"/>
      <color rgb="FFFF0000"/>
      <name val="Arial"/>
      <family val="2"/>
    </font>
    <font>
      <b/>
      <sz val="10"/>
      <color rgb="FFFF0000"/>
      <name val="Arial"/>
      <family val="2"/>
      <charset val="238"/>
    </font>
    <font>
      <sz val="10"/>
      <color rgb="FFFF0000"/>
      <name val="Arial"/>
      <family val="2"/>
      <charset val="238"/>
    </font>
    <font>
      <b/>
      <sz val="9"/>
      <color rgb="FFFF0000"/>
      <name val="Arial"/>
      <family val="2"/>
      <charset val="238"/>
    </font>
    <font>
      <b/>
      <sz val="8"/>
      <color rgb="FFFF0000"/>
      <name val="Arial"/>
      <family val="2"/>
    </font>
    <font>
      <b/>
      <sz val="12"/>
      <color rgb="FFFF0000"/>
      <name val="Arial"/>
      <family val="2"/>
      <charset val="238"/>
    </font>
    <font>
      <b/>
      <sz val="14"/>
      <color rgb="FFFF0000"/>
      <name val="Arial"/>
      <family val="2"/>
      <charset val="238"/>
    </font>
    <font>
      <sz val="12"/>
      <color rgb="FFFF0000"/>
      <name val="Times New Roman"/>
      <family val="1"/>
      <charset val="238"/>
    </font>
    <font>
      <sz val="10"/>
      <color rgb="FFFF0000"/>
      <name val="Geneva"/>
      <charset val="238"/>
    </font>
    <font>
      <b/>
      <sz val="12"/>
      <color rgb="FFFF0000"/>
      <name val="Geneva"/>
      <charset val="238"/>
    </font>
    <font>
      <b/>
      <i/>
      <sz val="10"/>
      <color rgb="FFFF0000"/>
      <name val="Geneva"/>
      <charset val="238"/>
    </font>
    <font>
      <b/>
      <sz val="12"/>
      <color theme="0"/>
      <name val="Geneva"/>
      <charset val="238"/>
    </font>
    <font>
      <b/>
      <sz val="10"/>
      <color rgb="FFFF0000"/>
      <name val="Geneva"/>
      <charset val="238"/>
    </font>
    <font>
      <i/>
      <sz val="10"/>
      <color theme="9" tint="-0.249977111117893"/>
      <name val="Arial"/>
      <family val="2"/>
      <charset val="238"/>
    </font>
    <font>
      <sz val="10"/>
      <color rgb="FF0070C0"/>
      <name val="Arial"/>
      <family val="2"/>
      <charset val="238"/>
    </font>
    <font>
      <sz val="10"/>
      <color rgb="FF0070C0"/>
      <name val="Geneva"/>
      <charset val="238"/>
    </font>
    <font>
      <b/>
      <sz val="10"/>
      <color theme="1"/>
      <name val="Arial"/>
      <family val="2"/>
      <charset val="238"/>
    </font>
    <font>
      <sz val="10"/>
      <color theme="1"/>
      <name val="Arial"/>
      <family val="2"/>
      <charset val="238"/>
    </font>
    <font>
      <b/>
      <sz val="10"/>
      <color rgb="FF00B050"/>
      <name val="Arial"/>
      <family val="2"/>
      <charset val="238"/>
    </font>
    <font>
      <b/>
      <sz val="12"/>
      <color rgb="FF00B050"/>
      <name val="Arial"/>
      <family val="2"/>
      <charset val="238"/>
    </font>
    <font>
      <sz val="10"/>
      <color rgb="FF00B050"/>
      <name val="Geneva"/>
      <charset val="238"/>
    </font>
    <font>
      <b/>
      <sz val="10"/>
      <color rgb="FF00B050"/>
      <name val="Geneva"/>
      <charset val="238"/>
    </font>
    <font>
      <b/>
      <sz val="12"/>
      <color rgb="FF00B050"/>
      <name val="Geneva"/>
      <charset val="238"/>
    </font>
    <font>
      <sz val="11"/>
      <color rgb="FF00B050"/>
      <name val="Calibri"/>
      <family val="2"/>
      <charset val="238"/>
      <scheme val="minor"/>
    </font>
    <font>
      <sz val="8"/>
      <color rgb="FF00B050"/>
      <name val="Geneva"/>
      <charset val="238"/>
    </font>
    <font>
      <b/>
      <sz val="8"/>
      <color rgb="FF00B050"/>
      <name val="Arial"/>
      <family val="2"/>
      <charset val="238"/>
    </font>
    <font>
      <sz val="10"/>
      <color rgb="FF476D2D"/>
      <name val="Arial"/>
      <family val="2"/>
      <charset val="238"/>
    </font>
    <font>
      <sz val="10"/>
      <color rgb="FF00B050"/>
      <name val="Arial"/>
      <family val="2"/>
      <charset val="238"/>
    </font>
    <font>
      <sz val="10"/>
      <color rgb="FF00B050"/>
      <name val="Arial"/>
      <family val="2"/>
    </font>
    <font>
      <sz val="9"/>
      <color rgb="FF00B050"/>
      <name val="Arial"/>
      <family val="2"/>
    </font>
    <font>
      <b/>
      <sz val="10"/>
      <color rgb="FF00B050"/>
      <name val="Arial"/>
      <family val="2"/>
    </font>
    <font>
      <sz val="12"/>
      <color rgb="FF00B050"/>
      <name val="Times New Roman"/>
      <family val="1"/>
      <charset val="238"/>
    </font>
    <font>
      <b/>
      <sz val="10"/>
      <color rgb="FFC00000"/>
      <name val="Arial"/>
      <family val="2"/>
      <charset val="238"/>
    </font>
    <font>
      <sz val="11"/>
      <color rgb="FF00B050"/>
      <name val="Calibri"/>
      <family val="2"/>
      <charset val="238"/>
    </font>
    <font>
      <sz val="12"/>
      <color rgb="FF008000"/>
      <name val="Times New Roman"/>
      <family val="1"/>
      <charset val="238"/>
    </font>
    <font>
      <b/>
      <sz val="12"/>
      <color rgb="FF0070C0"/>
      <name val="Arial"/>
      <family val="2"/>
      <charset val="238"/>
    </font>
    <font>
      <b/>
      <sz val="12"/>
      <color rgb="FFFFFF00"/>
      <name val="Arial"/>
      <family val="2"/>
      <charset val="238"/>
    </font>
    <font>
      <b/>
      <sz val="12"/>
      <color rgb="FFFF0000"/>
      <name val="Times New Roman"/>
      <family val="1"/>
      <charset val="238"/>
    </font>
    <font>
      <b/>
      <sz val="10"/>
      <color rgb="FFFF0000"/>
      <name val="Arial"/>
      <family val="2"/>
    </font>
    <font>
      <b/>
      <sz val="16"/>
      <color rgb="FFFF0000"/>
      <name val="Arial"/>
      <family val="2"/>
      <charset val="238"/>
    </font>
    <font>
      <b/>
      <sz val="11"/>
      <color rgb="FF00B050"/>
      <name val="Calibri"/>
      <family val="2"/>
      <charset val="238"/>
      <scheme val="minor"/>
    </font>
    <font>
      <sz val="12"/>
      <color rgb="FFFF0000"/>
      <name val="Arial"/>
      <family val="2"/>
      <charset val="238"/>
    </font>
    <font>
      <sz val="10"/>
      <color rgb="FF0070C0"/>
      <name val="Arial"/>
      <family val="2"/>
    </font>
    <font>
      <b/>
      <i/>
      <sz val="10"/>
      <color rgb="FFFF0000"/>
      <name val="Arial"/>
      <family val="2"/>
      <charset val="238"/>
    </font>
    <font>
      <i/>
      <sz val="8"/>
      <color rgb="FFFF0000"/>
      <name val="Arial"/>
      <family val="2"/>
      <charset val="238"/>
    </font>
    <font>
      <sz val="9"/>
      <color rgb="FFFF0000"/>
      <name val="Arial"/>
      <family val="2"/>
      <charset val="238"/>
    </font>
    <font>
      <b/>
      <sz val="10"/>
      <color theme="9" tint="-0.249977111117893"/>
      <name val="Arial"/>
      <family val="2"/>
      <charset val="238"/>
    </font>
    <font>
      <sz val="10"/>
      <color theme="9" tint="-0.249977111117893"/>
      <name val="Arial"/>
      <family val="2"/>
      <charset val="238"/>
    </font>
    <font>
      <sz val="12"/>
      <color theme="9" tint="-0.249977111117893"/>
      <name val="Arial"/>
      <family val="2"/>
      <charset val="238"/>
    </font>
    <font>
      <b/>
      <sz val="12"/>
      <color theme="9" tint="-0.249977111117893"/>
      <name val="Arial"/>
      <family val="2"/>
      <charset val="238"/>
    </font>
    <font>
      <b/>
      <sz val="10"/>
      <color theme="9" tint="-0.249977111117893"/>
      <name val="Arial CE"/>
      <charset val="238"/>
    </font>
    <font>
      <b/>
      <sz val="10"/>
      <color theme="9" tint="-0.249977111117893"/>
      <name val="Geneva"/>
      <charset val="238"/>
    </font>
    <font>
      <sz val="11"/>
      <color theme="9" tint="-0.249977111117893"/>
      <name val="Calibri"/>
      <family val="2"/>
      <charset val="238"/>
    </font>
    <font>
      <sz val="12"/>
      <color rgb="FF538135"/>
      <name val="Times New Roman"/>
      <family val="1"/>
      <charset val="238"/>
    </font>
    <font>
      <sz val="10"/>
      <color theme="9" tint="-0.249977111117893"/>
      <name val="Arial"/>
      <family val="2"/>
    </font>
    <font>
      <sz val="8"/>
      <color theme="9" tint="-0.249977111117893"/>
      <name val="Arial"/>
      <family val="2"/>
      <charset val="238"/>
    </font>
    <font>
      <b/>
      <sz val="8"/>
      <color theme="9" tint="-0.249977111117893"/>
      <name val="Arial"/>
      <family val="2"/>
      <charset val="238"/>
    </font>
    <font>
      <b/>
      <sz val="10"/>
      <color theme="9" tint="-0.249977111117893"/>
      <name val="Arial"/>
      <family val="2"/>
    </font>
    <font>
      <sz val="11"/>
      <color rgb="FF538135"/>
      <name val="Calibri"/>
      <family val="2"/>
      <charset val="238"/>
    </font>
    <font>
      <b/>
      <sz val="14"/>
      <color theme="9" tint="-0.249977111117893"/>
      <name val="Arial"/>
      <family val="2"/>
    </font>
    <font>
      <b/>
      <sz val="12"/>
      <color theme="9" tint="-0.249977111117893"/>
      <name val="Microsoft Sans Serif"/>
      <family val="2"/>
      <charset val="238"/>
    </font>
    <font>
      <b/>
      <sz val="10"/>
      <color theme="9" tint="-0.249977111117893"/>
      <name val="Microsoft Sans Serif"/>
      <family val="2"/>
      <charset val="238"/>
    </font>
    <font>
      <sz val="10"/>
      <color theme="9" tint="-0.249977111117893"/>
      <name val="Geneva"/>
      <charset val="238"/>
    </font>
    <font>
      <b/>
      <i/>
      <sz val="11"/>
      <color rgb="FFFF0000"/>
      <name val="Calibri"/>
      <family val="2"/>
      <charset val="238"/>
      <scheme val="minor"/>
    </font>
    <font>
      <b/>
      <sz val="11"/>
      <color theme="9" tint="-0.249977111117893"/>
      <name val="Calibri"/>
      <family val="2"/>
      <charset val="238"/>
      <scheme val="minor"/>
    </font>
    <font>
      <b/>
      <sz val="12"/>
      <color theme="9" tint="-0.249977111117893"/>
      <name val="Geneva"/>
      <charset val="238"/>
    </font>
    <font>
      <b/>
      <sz val="10"/>
      <color theme="8" tint="-0.249977111117893"/>
      <name val="Arial"/>
      <family val="2"/>
      <charset val="238"/>
    </font>
    <font>
      <sz val="10"/>
      <color theme="8" tint="-0.249977111117893"/>
      <name val="Arial"/>
      <family val="2"/>
      <charset val="238"/>
    </font>
    <font>
      <sz val="12"/>
      <color rgb="FF00B050"/>
      <name val="Arial"/>
      <family val="2"/>
      <charset val="238"/>
    </font>
    <font>
      <sz val="10"/>
      <color rgb="FFFFFF00"/>
      <name val="Arial"/>
      <family val="2"/>
      <charset val="238"/>
    </font>
    <font>
      <sz val="10"/>
      <color rgb="FF7030A0"/>
      <name val="Arial"/>
      <family val="2"/>
      <charset val="238"/>
    </font>
    <font>
      <b/>
      <sz val="12"/>
      <color rgb="FF7030A0"/>
      <name val="Arial"/>
      <family val="2"/>
      <charset val="238"/>
    </font>
    <font>
      <b/>
      <sz val="10"/>
      <color rgb="FF7030A0"/>
      <name val="Arial"/>
      <family val="2"/>
      <charset val="238"/>
    </font>
    <font>
      <sz val="10"/>
      <color rgb="FF7030A0"/>
      <name val="Arial"/>
      <family val="2"/>
    </font>
    <font>
      <sz val="12"/>
      <color rgb="FF7030A0"/>
      <name val="Times New Roman"/>
      <family val="1"/>
      <charset val="238"/>
    </font>
    <font>
      <b/>
      <sz val="14"/>
      <color rgb="FF7030A0"/>
      <name val="Arial"/>
      <family val="2"/>
      <charset val="238"/>
    </font>
    <font>
      <sz val="11"/>
      <color rgb="FF7030A0"/>
      <name val="Calibri"/>
      <family val="2"/>
      <charset val="238"/>
    </font>
    <font>
      <sz val="12"/>
      <color rgb="FF7030A0"/>
      <name val="Arial"/>
      <family val="2"/>
      <charset val="238"/>
    </font>
    <font>
      <i/>
      <sz val="10"/>
      <color rgb="FF7030A0"/>
      <name val="Arial"/>
      <family val="2"/>
      <charset val="238"/>
    </font>
    <font>
      <b/>
      <sz val="10"/>
      <color rgb="FF7030A0"/>
      <name val="Geneva"/>
      <charset val="238"/>
    </font>
    <font>
      <sz val="10"/>
      <color rgb="FF7030A0"/>
      <name val="Geneva"/>
      <charset val="238"/>
    </font>
    <font>
      <sz val="11"/>
      <color rgb="FF7030A0"/>
      <name val="Calibri"/>
      <family val="2"/>
      <charset val="238"/>
      <scheme val="minor"/>
    </font>
    <font>
      <b/>
      <sz val="20"/>
      <color rgb="FF7030A0"/>
      <name val="Arial"/>
      <family val="2"/>
      <charset val="238"/>
    </font>
    <font>
      <b/>
      <i/>
      <sz val="11"/>
      <color rgb="FF7030A0"/>
      <name val="Calibri"/>
      <family val="2"/>
      <charset val="238"/>
      <scheme val="minor"/>
    </font>
    <font>
      <sz val="10"/>
      <color theme="9" tint="0.39997558519241921"/>
      <name val="Geneva"/>
      <charset val="238"/>
    </font>
    <font>
      <b/>
      <sz val="11"/>
      <color rgb="FF7030A0"/>
      <name val="Calibri"/>
      <family val="2"/>
      <charset val="238"/>
      <scheme val="minor"/>
    </font>
    <font>
      <b/>
      <i/>
      <sz val="10"/>
      <color rgb="FF7030A0"/>
      <name val="Geneva"/>
      <charset val="238"/>
    </font>
    <font>
      <b/>
      <sz val="11"/>
      <color rgb="FF7030A0"/>
      <name val="Arial"/>
      <family val="2"/>
      <charset val="238"/>
    </font>
    <font>
      <b/>
      <sz val="11"/>
      <color rgb="FFFF0000"/>
      <name val="Arial"/>
      <family val="2"/>
      <charset val="238"/>
    </font>
    <font>
      <b/>
      <sz val="10"/>
      <color rgb="FF0070C0"/>
      <name val="Geneva"/>
      <charset val="238"/>
    </font>
    <font>
      <sz val="10"/>
      <color theme="0" tint="-0.499984740745262"/>
      <name val="Arial"/>
      <family val="2"/>
      <charset val="238"/>
    </font>
    <font>
      <sz val="12"/>
      <color rgb="FF7030A0"/>
      <name val="Geneva"/>
      <charset val="238"/>
    </font>
    <font>
      <b/>
      <sz val="14"/>
      <color rgb="FF7030A0"/>
      <name val="Geneva"/>
      <charset val="238"/>
    </font>
    <font>
      <b/>
      <sz val="10"/>
      <color rgb="FF7030A0"/>
      <name val="Arial"/>
      <family val="2"/>
    </font>
    <font>
      <sz val="10"/>
      <color rgb="FF00B0F0"/>
      <name val="Arial"/>
      <family val="2"/>
    </font>
    <font>
      <b/>
      <sz val="10"/>
      <color rgb="FF00B0F0"/>
      <name val="Arial"/>
      <family val="2"/>
      <charset val="238"/>
    </font>
    <font>
      <b/>
      <sz val="10"/>
      <color rgb="FF00B0F0"/>
      <name val="Arial"/>
      <family val="2"/>
    </font>
    <font>
      <b/>
      <i/>
      <sz val="10"/>
      <color rgb="FF00B0F0"/>
      <name val="Arial"/>
      <family val="2"/>
      <charset val="238"/>
    </font>
    <font>
      <b/>
      <sz val="12"/>
      <color rgb="FF00B0F0"/>
      <name val="Arial"/>
      <family val="2"/>
      <charset val="238"/>
    </font>
    <font>
      <sz val="11"/>
      <color theme="4" tint="-0.249977111117893"/>
      <name val="Calibri"/>
      <family val="2"/>
      <charset val="238"/>
      <scheme val="minor"/>
    </font>
    <font>
      <sz val="8"/>
      <color rgb="FF00B050"/>
      <name val="Arial"/>
      <family val="2"/>
      <charset val="238"/>
    </font>
    <font>
      <sz val="10"/>
      <color theme="9" tint="-0.499984740745262"/>
      <name val="Arial"/>
      <family val="2"/>
      <charset val="238"/>
    </font>
    <font>
      <b/>
      <sz val="14"/>
      <color theme="9" tint="-0.499984740745262"/>
      <name val="Arial"/>
      <family val="2"/>
      <charset val="238"/>
    </font>
    <font>
      <sz val="12"/>
      <color rgb="FFFFFF00"/>
      <name val="Arial"/>
      <family val="2"/>
      <charset val="238"/>
    </font>
  </fonts>
  <fills count="59">
    <fill>
      <patternFill patternType="none"/>
    </fill>
    <fill>
      <patternFill patternType="gray125"/>
    </fill>
    <fill>
      <patternFill patternType="solid">
        <fgColor indexed="43"/>
        <bgColor indexed="64"/>
      </patternFill>
    </fill>
    <fill>
      <patternFill patternType="solid">
        <fgColor indexed="46"/>
        <bgColor indexed="64"/>
      </patternFill>
    </fill>
    <fill>
      <patternFill patternType="solid">
        <fgColor indexed="45"/>
        <bgColor indexed="64"/>
      </patternFill>
    </fill>
    <fill>
      <patternFill patternType="solid">
        <fgColor indexed="50"/>
        <bgColor indexed="64"/>
      </patternFill>
    </fill>
    <fill>
      <patternFill patternType="solid">
        <fgColor indexed="57"/>
        <bgColor indexed="64"/>
      </patternFill>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51"/>
        <bgColor indexed="64"/>
      </patternFill>
    </fill>
    <fill>
      <patternFill patternType="solid">
        <fgColor indexed="9"/>
        <bgColor indexed="64"/>
      </patternFill>
    </fill>
    <fill>
      <patternFill patternType="solid">
        <fgColor indexed="48"/>
        <bgColor indexed="64"/>
      </patternFill>
    </fill>
    <fill>
      <patternFill patternType="solid">
        <fgColor indexed="15"/>
        <bgColor indexed="64"/>
      </patternFill>
    </fill>
    <fill>
      <patternFill patternType="solid">
        <fgColor indexed="44"/>
        <bgColor indexed="64"/>
      </patternFill>
    </fill>
    <fill>
      <patternFill patternType="solid">
        <fgColor indexed="14"/>
        <bgColor indexed="64"/>
      </patternFill>
    </fill>
    <fill>
      <patternFill patternType="solid">
        <fgColor indexed="13"/>
        <bgColor indexed="64"/>
      </patternFill>
    </fill>
    <fill>
      <patternFill patternType="solid">
        <fgColor indexed="12"/>
        <bgColor indexed="64"/>
      </patternFill>
    </fill>
    <fill>
      <patternFill patternType="solid">
        <fgColor indexed="22"/>
        <bgColor indexed="64"/>
      </patternFill>
    </fill>
    <fill>
      <patternFill patternType="solid">
        <fgColor indexed="40"/>
        <bgColor indexed="64"/>
      </patternFill>
    </fill>
    <fill>
      <patternFill patternType="solid">
        <fgColor indexed="62"/>
        <bgColor indexed="64"/>
      </patternFill>
    </fill>
    <fill>
      <patternFill patternType="solid">
        <fgColor indexed="60"/>
        <bgColor indexed="64"/>
      </patternFill>
    </fill>
    <fill>
      <patternFill patternType="solid">
        <fgColor indexed="52"/>
        <bgColor indexed="64"/>
      </patternFill>
    </fill>
    <fill>
      <patternFill patternType="solid">
        <fgColor indexed="8"/>
        <bgColor indexed="64"/>
      </patternFill>
    </fill>
    <fill>
      <patternFill patternType="solid">
        <fgColor indexed="17"/>
        <bgColor indexed="64"/>
      </patternFill>
    </fill>
    <fill>
      <patternFill patternType="solid">
        <fgColor indexed="55"/>
        <bgColor indexed="64"/>
      </patternFill>
    </fill>
    <fill>
      <patternFill patternType="solid">
        <fgColor indexed="23"/>
        <bgColor indexed="64"/>
      </patternFill>
    </fill>
    <fill>
      <patternFill patternType="solid">
        <fgColor indexed="18"/>
        <bgColor indexed="64"/>
      </patternFill>
    </fill>
    <fill>
      <patternFill patternType="solid">
        <fgColor indexed="1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rgb="FFFFFF66"/>
        <bgColor indexed="64"/>
      </patternFill>
    </fill>
    <fill>
      <patternFill patternType="solid">
        <fgColor rgb="FFFF9900"/>
        <bgColor indexed="64"/>
      </patternFill>
    </fill>
    <fill>
      <patternFill patternType="solid">
        <fgColor theme="7"/>
        <bgColor indexed="64"/>
      </patternFill>
    </fill>
    <fill>
      <patternFill patternType="solid">
        <fgColor theme="0"/>
        <bgColor indexed="64"/>
      </patternFill>
    </fill>
    <fill>
      <patternFill patternType="solid">
        <fgColor theme="5" tint="0.39997558519241921"/>
        <bgColor indexed="64"/>
      </patternFill>
    </fill>
    <fill>
      <patternFill patternType="solid">
        <fgColor rgb="FFFF00FF"/>
        <bgColor indexed="64"/>
      </patternFill>
    </fill>
    <fill>
      <patternFill patternType="solid">
        <fgColor rgb="FF00FF00"/>
        <bgColor indexed="64"/>
      </patternFill>
    </fill>
    <fill>
      <patternFill patternType="solid">
        <fgColor theme="1"/>
        <bgColor indexed="64"/>
      </patternFill>
    </fill>
    <fill>
      <patternFill patternType="solid">
        <fgColor rgb="FFFF00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00B050"/>
        <bgColor indexed="64"/>
      </patternFill>
    </fill>
    <fill>
      <patternFill patternType="solid">
        <fgColor rgb="FF50EF25"/>
        <bgColor indexed="64"/>
      </patternFill>
    </fill>
    <fill>
      <patternFill patternType="solid">
        <fgColor rgb="FFFF99FF"/>
        <bgColor indexed="64"/>
      </patternFill>
    </fill>
    <fill>
      <patternFill patternType="solid">
        <fgColor rgb="FFBFF2F7"/>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s>
  <borders count="56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ck">
        <color indexed="64"/>
      </bottom>
      <diagonal/>
    </border>
    <border>
      <left style="thin">
        <color indexed="17"/>
      </left>
      <right style="thin">
        <color indexed="17"/>
      </right>
      <top style="thin">
        <color indexed="17"/>
      </top>
      <bottom style="thin">
        <color indexed="17"/>
      </bottom>
      <diagonal/>
    </border>
    <border>
      <left style="thick">
        <color indexed="21"/>
      </left>
      <right style="thin">
        <color indexed="17"/>
      </right>
      <top style="thin">
        <color indexed="17"/>
      </top>
      <bottom style="thin">
        <color indexed="17"/>
      </bottom>
      <diagonal/>
    </border>
    <border>
      <left style="thick">
        <color indexed="21"/>
      </left>
      <right/>
      <top/>
      <bottom/>
      <diagonal/>
    </border>
    <border>
      <left style="thick">
        <color indexed="21"/>
      </left>
      <right/>
      <top style="thin">
        <color indexed="17"/>
      </top>
      <bottom style="thin">
        <color indexed="17"/>
      </bottom>
      <diagonal/>
    </border>
    <border>
      <left/>
      <right/>
      <top style="thin">
        <color indexed="17"/>
      </top>
      <bottom style="thin">
        <color indexed="17"/>
      </bottom>
      <diagonal/>
    </border>
    <border>
      <left/>
      <right style="thick">
        <color indexed="21"/>
      </right>
      <top/>
      <bottom/>
      <diagonal/>
    </border>
    <border>
      <left style="thick">
        <color indexed="21"/>
      </left>
      <right style="thin">
        <color indexed="21"/>
      </right>
      <top style="thin">
        <color indexed="21"/>
      </top>
      <bottom style="thick">
        <color indexed="21"/>
      </bottom>
      <diagonal/>
    </border>
    <border>
      <left style="thin">
        <color indexed="21"/>
      </left>
      <right style="thin">
        <color indexed="21"/>
      </right>
      <top style="thin">
        <color indexed="21"/>
      </top>
      <bottom style="thick">
        <color indexed="21"/>
      </bottom>
      <diagonal/>
    </border>
    <border>
      <left style="thin">
        <color indexed="21"/>
      </left>
      <right style="thick">
        <color indexed="21"/>
      </right>
      <top style="thin">
        <color indexed="21"/>
      </top>
      <bottom style="thick">
        <color indexed="21"/>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double">
        <color indexed="64"/>
      </left>
      <right style="medium">
        <color indexed="64"/>
      </right>
      <top style="thin">
        <color indexed="64"/>
      </top>
      <bottom style="double">
        <color indexed="64"/>
      </bottom>
      <diagonal/>
    </border>
    <border>
      <left style="medium">
        <color indexed="64"/>
      </left>
      <right/>
      <top/>
      <bottom style="medium">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ck">
        <color indexed="8"/>
      </left>
      <right/>
      <top/>
      <bottom/>
      <diagonal/>
    </border>
    <border>
      <left style="thick">
        <color indexed="8"/>
      </left>
      <right/>
      <top/>
      <bottom style="thick">
        <color indexed="8"/>
      </bottom>
      <diagonal/>
    </border>
    <border>
      <left style="thin">
        <color indexed="64"/>
      </left>
      <right/>
      <top style="thin">
        <color indexed="64"/>
      </top>
      <bottom style="thin">
        <color indexed="64"/>
      </bottom>
      <diagonal/>
    </border>
    <border>
      <left style="thick">
        <color indexed="21"/>
      </left>
      <right/>
      <top style="thick">
        <color indexed="21"/>
      </top>
      <bottom style="thick">
        <color indexed="21"/>
      </bottom>
      <diagonal/>
    </border>
    <border>
      <left/>
      <right/>
      <top style="thick">
        <color indexed="21"/>
      </top>
      <bottom style="thick">
        <color indexed="21"/>
      </bottom>
      <diagonal/>
    </border>
    <border>
      <left/>
      <right style="thick">
        <color indexed="21"/>
      </right>
      <top style="thick">
        <color indexed="21"/>
      </top>
      <bottom style="thick">
        <color indexed="21"/>
      </bottom>
      <diagonal/>
    </border>
    <border>
      <left style="medium">
        <color indexed="64"/>
      </left>
      <right/>
      <top/>
      <bottom style="double">
        <color indexed="64"/>
      </bottom>
      <diagonal/>
    </border>
    <border>
      <left style="thick">
        <color indexed="12"/>
      </left>
      <right style="thin">
        <color indexed="12"/>
      </right>
      <top style="thin">
        <color indexed="12"/>
      </top>
      <bottom style="thin">
        <color indexed="12"/>
      </bottom>
      <diagonal/>
    </border>
    <border>
      <left style="thick">
        <color indexed="12"/>
      </left>
      <right style="thin">
        <color indexed="12"/>
      </right>
      <top style="thick">
        <color indexed="12"/>
      </top>
      <bottom style="thin">
        <color indexed="12"/>
      </bottom>
      <diagonal/>
    </border>
    <border>
      <left style="thick">
        <color indexed="12"/>
      </left>
      <right/>
      <top style="thin">
        <color indexed="12"/>
      </top>
      <bottom style="thin">
        <color indexed="12"/>
      </bottom>
      <diagonal/>
    </border>
    <border>
      <left/>
      <right/>
      <top style="thin">
        <color indexed="12"/>
      </top>
      <bottom style="thin">
        <color indexed="12"/>
      </bottom>
      <diagonal/>
    </border>
    <border>
      <left style="thin">
        <color indexed="12"/>
      </left>
      <right style="thin">
        <color indexed="12"/>
      </right>
      <top style="thin">
        <color indexed="12"/>
      </top>
      <bottom style="thin">
        <color indexed="12"/>
      </bottom>
      <diagonal/>
    </border>
    <border>
      <left style="thick">
        <color indexed="12"/>
      </left>
      <right/>
      <top/>
      <bottom style="thin">
        <color indexed="12"/>
      </bottom>
      <diagonal/>
    </border>
    <border>
      <left/>
      <right/>
      <top/>
      <bottom style="thin">
        <color indexed="12"/>
      </bottom>
      <diagonal/>
    </border>
    <border>
      <left/>
      <right style="thick">
        <color indexed="12"/>
      </right>
      <top/>
      <bottom style="thin">
        <color indexed="12"/>
      </bottom>
      <diagonal/>
    </border>
    <border>
      <left style="thin">
        <color indexed="12"/>
      </left>
      <right style="thick">
        <color indexed="12"/>
      </right>
      <top style="thin">
        <color indexed="12"/>
      </top>
      <bottom style="thick">
        <color indexed="12"/>
      </bottom>
      <diagonal/>
    </border>
    <border>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12"/>
      </left>
      <right style="thin">
        <color indexed="12"/>
      </right>
      <top style="thick">
        <color indexed="12"/>
      </top>
      <bottom style="thin">
        <color indexed="12"/>
      </bottom>
      <diagonal/>
    </border>
    <border>
      <left style="thick">
        <color indexed="18"/>
      </left>
      <right style="thin">
        <color indexed="18"/>
      </right>
      <top style="thick">
        <color indexed="18"/>
      </top>
      <bottom style="thin">
        <color indexed="18"/>
      </bottom>
      <diagonal/>
    </border>
    <border>
      <left style="thin">
        <color indexed="18"/>
      </left>
      <right style="thin">
        <color indexed="18"/>
      </right>
      <top style="thick">
        <color indexed="18"/>
      </top>
      <bottom style="thin">
        <color indexed="18"/>
      </bottom>
      <diagonal/>
    </border>
    <border>
      <left style="thick">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ck">
        <color indexed="60"/>
      </left>
      <right/>
      <top style="thick">
        <color indexed="60"/>
      </top>
      <bottom/>
      <diagonal/>
    </border>
    <border>
      <left/>
      <right/>
      <top style="thick">
        <color indexed="60"/>
      </top>
      <bottom/>
      <diagonal/>
    </border>
    <border>
      <left/>
      <right style="thick">
        <color indexed="60"/>
      </right>
      <top style="thick">
        <color indexed="60"/>
      </top>
      <bottom/>
      <diagonal/>
    </border>
    <border>
      <left style="thin">
        <color indexed="60"/>
      </left>
      <right style="thick">
        <color indexed="60"/>
      </right>
      <top style="thin">
        <color indexed="60"/>
      </top>
      <bottom/>
      <diagonal/>
    </border>
    <border>
      <left style="thick">
        <color indexed="60"/>
      </left>
      <right style="thin">
        <color indexed="60"/>
      </right>
      <top style="thin">
        <color indexed="60"/>
      </top>
      <bottom style="thin">
        <color indexed="60"/>
      </bottom>
      <diagonal/>
    </border>
    <border>
      <left style="thin">
        <color indexed="60"/>
      </left>
      <right style="thick">
        <color indexed="60"/>
      </right>
      <top/>
      <bottom/>
      <diagonal/>
    </border>
    <border>
      <left style="thin">
        <color indexed="60"/>
      </left>
      <right style="thin">
        <color indexed="60"/>
      </right>
      <top style="thin">
        <color indexed="60"/>
      </top>
      <bottom style="thin">
        <color indexed="60"/>
      </bottom>
      <diagonal/>
    </border>
    <border>
      <left style="thick">
        <color indexed="60"/>
      </left>
      <right/>
      <top/>
      <bottom/>
      <diagonal/>
    </border>
    <border>
      <left/>
      <right style="thick">
        <color indexed="60"/>
      </right>
      <top/>
      <bottom/>
      <diagonal/>
    </border>
    <border>
      <left style="thin">
        <color indexed="60"/>
      </left>
      <right style="thick">
        <color indexed="60"/>
      </right>
      <top style="thin">
        <color indexed="60"/>
      </top>
      <bottom style="thin">
        <color indexed="60"/>
      </bottom>
      <diagonal/>
    </border>
    <border>
      <left style="thick">
        <color indexed="60"/>
      </left>
      <right style="thin">
        <color indexed="60"/>
      </right>
      <top style="thin">
        <color indexed="60"/>
      </top>
      <bottom style="thick">
        <color indexed="60"/>
      </bottom>
      <diagonal/>
    </border>
    <border>
      <left style="thin">
        <color indexed="60"/>
      </left>
      <right style="thin">
        <color indexed="60"/>
      </right>
      <top style="thin">
        <color indexed="60"/>
      </top>
      <bottom style="thick">
        <color indexed="60"/>
      </bottom>
      <diagonal/>
    </border>
    <border>
      <left style="thin">
        <color indexed="60"/>
      </left>
      <right style="thick">
        <color indexed="60"/>
      </right>
      <top style="thin">
        <color indexed="60"/>
      </top>
      <bottom style="thick">
        <color indexed="60"/>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ck">
        <color indexed="21"/>
      </right>
      <top style="thin">
        <color indexed="17"/>
      </top>
      <bottom style="thin">
        <color indexed="17"/>
      </bottom>
      <diagonal/>
    </border>
    <border>
      <left style="thin">
        <color indexed="17"/>
      </left>
      <right style="thick">
        <color indexed="21"/>
      </right>
      <top style="thin">
        <color indexed="17"/>
      </top>
      <bottom style="thin">
        <color indexed="17"/>
      </bottom>
      <diagonal/>
    </border>
    <border>
      <left style="thin">
        <color indexed="12"/>
      </left>
      <right style="thick">
        <color indexed="12"/>
      </right>
      <top style="thin">
        <color indexed="12"/>
      </top>
      <bottom style="thin">
        <color indexed="12"/>
      </bottom>
      <diagonal/>
    </border>
    <border>
      <left/>
      <right style="thick">
        <color indexed="12"/>
      </right>
      <top style="thin">
        <color indexed="12"/>
      </top>
      <bottom style="thin">
        <color indexed="12"/>
      </bottom>
      <diagonal/>
    </border>
    <border>
      <left style="thick">
        <color indexed="17"/>
      </left>
      <right style="thin">
        <color indexed="17"/>
      </right>
      <top style="thick">
        <color indexed="17"/>
      </top>
      <bottom style="thin">
        <color indexed="17"/>
      </bottom>
      <diagonal/>
    </border>
    <border>
      <left style="thin">
        <color indexed="17"/>
      </left>
      <right style="thin">
        <color indexed="17"/>
      </right>
      <top style="thick">
        <color indexed="17"/>
      </top>
      <bottom style="thin">
        <color indexed="17"/>
      </bottom>
      <diagonal/>
    </border>
    <border>
      <left style="thick">
        <color indexed="17"/>
      </left>
      <right style="thin">
        <color indexed="17"/>
      </right>
      <top style="thin">
        <color indexed="17"/>
      </top>
      <bottom style="thin">
        <color indexed="17"/>
      </bottom>
      <diagonal/>
    </border>
    <border>
      <left style="thin">
        <color indexed="17"/>
      </left>
      <right style="thick">
        <color indexed="17"/>
      </right>
      <top style="thin">
        <color indexed="17"/>
      </top>
      <bottom style="thin">
        <color indexed="17"/>
      </bottom>
      <diagonal/>
    </border>
    <border>
      <left style="thin">
        <color indexed="64"/>
      </left>
      <right style="medium">
        <color indexed="64"/>
      </right>
      <top style="thin">
        <color indexed="64"/>
      </top>
      <bottom style="thin">
        <color indexed="64"/>
      </bottom>
      <diagonal/>
    </border>
    <border>
      <left/>
      <right/>
      <top style="thick">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12"/>
      </left>
      <right style="thick">
        <color indexed="12"/>
      </right>
      <top style="thick">
        <color indexed="12"/>
      </top>
      <bottom style="thin">
        <color indexed="12"/>
      </bottom>
      <diagonal/>
    </border>
    <border>
      <left style="thin">
        <color indexed="12"/>
      </left>
      <right style="thin">
        <color indexed="12"/>
      </right>
      <top style="thin">
        <color indexed="12"/>
      </top>
      <bottom style="thick">
        <color indexed="12"/>
      </bottom>
      <diagonal/>
    </border>
    <border>
      <left style="thick">
        <color indexed="12"/>
      </left>
      <right style="thin">
        <color indexed="12"/>
      </right>
      <top style="thin">
        <color indexed="12"/>
      </top>
      <bottom style="thick">
        <color indexed="12"/>
      </bottom>
      <diagonal/>
    </border>
    <border>
      <left style="thin">
        <color indexed="12"/>
      </left>
      <right style="thick">
        <color indexed="12"/>
      </right>
      <top/>
      <bottom style="thin">
        <color indexed="12"/>
      </bottom>
      <diagonal/>
    </border>
    <border>
      <left style="thick">
        <color indexed="21"/>
      </left>
      <right style="thin">
        <color indexed="21"/>
      </right>
      <top style="thick">
        <color indexed="21"/>
      </top>
      <bottom style="thin">
        <color indexed="21"/>
      </bottom>
      <diagonal/>
    </border>
    <border>
      <left style="thin">
        <color indexed="21"/>
      </left>
      <right style="thin">
        <color indexed="21"/>
      </right>
      <top style="thick">
        <color indexed="21"/>
      </top>
      <bottom style="thin">
        <color indexed="21"/>
      </bottom>
      <diagonal/>
    </border>
    <border>
      <left style="thin">
        <color indexed="21"/>
      </left>
      <right style="thick">
        <color indexed="21"/>
      </right>
      <top style="thick">
        <color indexed="21"/>
      </top>
      <bottom style="thin">
        <color indexed="21"/>
      </bottom>
      <diagonal/>
    </border>
    <border>
      <left style="thick">
        <color indexed="21"/>
      </left>
      <right style="thin">
        <color indexed="21"/>
      </right>
      <top style="thin">
        <color indexed="21"/>
      </top>
      <bottom style="thin">
        <color indexed="21"/>
      </bottom>
      <diagonal/>
    </border>
    <border>
      <left style="thin">
        <color indexed="21"/>
      </left>
      <right style="thick">
        <color indexed="21"/>
      </right>
      <top style="thin">
        <color indexed="21"/>
      </top>
      <bottom style="thin">
        <color indexed="21"/>
      </bottom>
      <diagonal/>
    </border>
    <border>
      <left/>
      <right style="thick">
        <color indexed="21"/>
      </right>
      <top style="thin">
        <color indexed="21"/>
      </top>
      <bottom style="thin">
        <color indexed="57"/>
      </bottom>
      <diagonal/>
    </border>
    <border>
      <left style="thick">
        <color indexed="21"/>
      </left>
      <right/>
      <top style="thin">
        <color indexed="21"/>
      </top>
      <bottom style="thin">
        <color indexed="57"/>
      </bottom>
      <diagonal/>
    </border>
    <border>
      <left style="thick">
        <color indexed="12"/>
      </left>
      <right/>
      <top/>
      <bottom/>
      <diagonal/>
    </border>
    <border>
      <left/>
      <right style="thick">
        <color indexed="12"/>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12"/>
      </left>
      <right style="medium">
        <color indexed="12"/>
      </right>
      <top style="medium">
        <color indexed="12"/>
      </top>
      <bottom/>
      <diagonal/>
    </border>
    <border>
      <left style="thick">
        <color indexed="23"/>
      </left>
      <right style="thin">
        <color indexed="23"/>
      </right>
      <top style="thick">
        <color indexed="23"/>
      </top>
      <bottom style="thin">
        <color indexed="23"/>
      </bottom>
      <diagonal/>
    </border>
    <border>
      <left style="thin">
        <color indexed="23"/>
      </left>
      <right style="thin">
        <color indexed="23"/>
      </right>
      <top style="thick">
        <color indexed="23"/>
      </top>
      <bottom style="thin">
        <color indexed="23"/>
      </bottom>
      <diagonal/>
    </border>
    <border>
      <left style="thin">
        <color indexed="23"/>
      </left>
      <right style="thick">
        <color indexed="23"/>
      </right>
      <top style="thick">
        <color indexed="23"/>
      </top>
      <bottom style="thin">
        <color indexed="23"/>
      </bottom>
      <diagonal/>
    </border>
    <border>
      <left style="thick">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thin">
        <color indexed="64"/>
      </left>
      <right style="medium">
        <color indexed="64"/>
      </right>
      <top style="thin">
        <color indexed="64"/>
      </top>
      <bottom style="medium">
        <color indexed="64"/>
      </bottom>
      <diagonal/>
    </border>
    <border>
      <left style="thick">
        <color indexed="64"/>
      </left>
      <right style="thin">
        <color indexed="60"/>
      </right>
      <top style="thick">
        <color indexed="64"/>
      </top>
      <bottom style="thin">
        <color indexed="60"/>
      </bottom>
      <diagonal/>
    </border>
    <border>
      <left style="thin">
        <color indexed="60"/>
      </left>
      <right style="thin">
        <color indexed="60"/>
      </right>
      <top style="thick">
        <color indexed="64"/>
      </top>
      <bottom style="thin">
        <color indexed="60"/>
      </bottom>
      <diagonal/>
    </border>
    <border>
      <left style="thin">
        <color indexed="60"/>
      </left>
      <right style="thick">
        <color indexed="64"/>
      </right>
      <top style="thick">
        <color indexed="64"/>
      </top>
      <bottom style="thin">
        <color indexed="60"/>
      </bottom>
      <diagonal/>
    </border>
    <border>
      <left style="thin">
        <color indexed="60"/>
      </left>
      <right style="thick">
        <color indexed="64"/>
      </right>
      <top style="thin">
        <color indexed="60"/>
      </top>
      <bottom style="thin">
        <color indexed="60"/>
      </bottom>
      <diagonal/>
    </border>
    <border>
      <left style="thick">
        <color indexed="64"/>
      </left>
      <right style="thin">
        <color indexed="60"/>
      </right>
      <top style="thin">
        <color indexed="60"/>
      </top>
      <bottom style="thin">
        <color indexed="60"/>
      </bottom>
      <diagonal/>
    </border>
    <border>
      <left style="thin">
        <color indexed="64"/>
      </left>
      <right style="thick">
        <color indexed="64"/>
      </right>
      <top style="thin">
        <color indexed="64"/>
      </top>
      <bottom style="thin">
        <color indexed="64"/>
      </bottom>
      <diagonal/>
    </border>
    <border>
      <left/>
      <right style="thin">
        <color indexed="18"/>
      </right>
      <top/>
      <bottom style="thin">
        <color indexed="18"/>
      </bottom>
      <diagonal/>
    </border>
    <border>
      <left style="thin">
        <color indexed="18"/>
      </left>
      <right style="thin">
        <color indexed="18"/>
      </right>
      <top/>
      <bottom style="thin">
        <color indexed="18"/>
      </bottom>
      <diagonal/>
    </border>
    <border>
      <left style="thin">
        <color indexed="18"/>
      </left>
      <right/>
      <top/>
      <bottom style="thin">
        <color indexed="18"/>
      </bottom>
      <diagonal/>
    </border>
    <border>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style="thin">
        <color indexed="18"/>
      </top>
      <bottom/>
      <diagonal/>
    </border>
    <border>
      <left style="thin">
        <color indexed="18"/>
      </left>
      <right style="thin">
        <color indexed="18"/>
      </right>
      <top style="thin">
        <color indexed="18"/>
      </top>
      <bottom/>
      <diagonal/>
    </border>
    <border>
      <left style="thin">
        <color indexed="18"/>
      </left>
      <right/>
      <top style="thin">
        <color indexed="18"/>
      </top>
      <bottom/>
      <diagonal/>
    </border>
    <border>
      <left style="thin">
        <color indexed="64"/>
      </left>
      <right/>
      <top style="thick">
        <color indexed="64"/>
      </top>
      <bottom/>
      <diagonal/>
    </border>
    <border>
      <left style="thin">
        <color indexed="18"/>
      </left>
      <right style="thick">
        <color indexed="18"/>
      </right>
      <top/>
      <bottom style="thin">
        <color indexed="18"/>
      </bottom>
      <diagonal/>
    </border>
    <border>
      <left style="thin">
        <color indexed="18"/>
      </left>
      <right style="thick">
        <color indexed="18"/>
      </right>
      <top style="thin">
        <color indexed="18"/>
      </top>
      <bottom style="thin">
        <color indexed="18"/>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ck">
        <color indexed="64"/>
      </left>
      <right style="thin">
        <color indexed="60"/>
      </right>
      <top/>
      <bottom style="thick">
        <color indexed="64"/>
      </bottom>
      <diagonal/>
    </border>
    <border>
      <left style="thin">
        <color indexed="60"/>
      </left>
      <right style="thin">
        <color indexed="60"/>
      </right>
      <top/>
      <bottom style="thick">
        <color indexed="64"/>
      </bottom>
      <diagonal/>
    </border>
    <border>
      <left style="thin">
        <color indexed="60"/>
      </left>
      <right style="thick">
        <color indexed="64"/>
      </right>
      <top/>
      <bottom style="thick">
        <color indexed="64"/>
      </bottom>
      <diagonal/>
    </border>
    <border>
      <left style="thick">
        <color indexed="64"/>
      </left>
      <right style="thin">
        <color indexed="23"/>
      </right>
      <top style="thin">
        <color indexed="23"/>
      </top>
      <bottom style="thin">
        <color indexed="23"/>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ck">
        <color indexed="10"/>
      </top>
      <bottom/>
      <diagonal/>
    </border>
    <border>
      <left/>
      <right/>
      <top/>
      <bottom style="thick">
        <color indexed="10"/>
      </bottom>
      <diagonal/>
    </border>
    <border>
      <left style="thick">
        <color indexed="17"/>
      </left>
      <right style="thin">
        <color indexed="17"/>
      </right>
      <top style="thin">
        <color indexed="17"/>
      </top>
      <bottom style="thick">
        <color indexed="17"/>
      </bottom>
      <diagonal/>
    </border>
    <border>
      <left style="thin">
        <color indexed="17"/>
      </left>
      <right style="thin">
        <color indexed="17"/>
      </right>
      <top style="thin">
        <color indexed="17"/>
      </top>
      <bottom style="thick">
        <color indexed="17"/>
      </bottom>
      <diagonal/>
    </border>
    <border>
      <left/>
      <right style="thick">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diagonal/>
    </border>
    <border>
      <left/>
      <right style="thick">
        <color indexed="64"/>
      </right>
      <top style="thick">
        <color indexed="64"/>
      </top>
      <bottom/>
      <diagonal/>
    </border>
    <border>
      <left style="thick">
        <color indexed="64"/>
      </left>
      <right style="thin">
        <color indexed="64"/>
      </right>
      <top/>
      <bottom/>
      <diagonal/>
    </border>
    <border>
      <left style="thick">
        <color indexed="64"/>
      </left>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58"/>
      </left>
      <right style="thin">
        <color indexed="64"/>
      </right>
      <top style="thin">
        <color indexed="64"/>
      </top>
      <bottom style="medium">
        <color indexed="64"/>
      </bottom>
      <diagonal/>
    </border>
    <border>
      <left style="thin">
        <color indexed="64"/>
      </left>
      <right style="thick">
        <color indexed="58"/>
      </right>
      <top style="thin">
        <color indexed="64"/>
      </top>
      <bottom style="medium">
        <color indexed="64"/>
      </bottom>
      <diagonal/>
    </border>
    <border>
      <left style="thick">
        <color indexed="58"/>
      </left>
      <right style="thin">
        <color indexed="64"/>
      </right>
      <top style="thin">
        <color indexed="64"/>
      </top>
      <bottom style="thin">
        <color indexed="64"/>
      </bottom>
      <diagonal/>
    </border>
    <border>
      <left style="thin">
        <color indexed="64"/>
      </left>
      <right style="thick">
        <color indexed="58"/>
      </right>
      <top style="thin">
        <color indexed="64"/>
      </top>
      <bottom style="thin">
        <color indexed="64"/>
      </bottom>
      <diagonal/>
    </border>
    <border>
      <left style="thick">
        <color indexed="58"/>
      </left>
      <right style="thin">
        <color indexed="64"/>
      </right>
      <top style="thin">
        <color indexed="64"/>
      </top>
      <bottom style="thick">
        <color indexed="58"/>
      </bottom>
      <diagonal/>
    </border>
    <border>
      <left style="thin">
        <color indexed="64"/>
      </left>
      <right style="thick">
        <color indexed="64"/>
      </right>
      <top style="thin">
        <color indexed="64"/>
      </top>
      <bottom style="thick">
        <color indexed="64"/>
      </bottom>
      <diagonal/>
    </border>
    <border>
      <left style="thick">
        <color indexed="59"/>
      </left>
      <right style="thin">
        <color indexed="59"/>
      </right>
      <top style="thin">
        <color indexed="59"/>
      </top>
      <bottom style="thin">
        <color indexed="59"/>
      </bottom>
      <diagonal/>
    </border>
    <border>
      <left style="thin">
        <color indexed="59"/>
      </left>
      <right style="thick">
        <color indexed="59"/>
      </right>
      <top style="thin">
        <color indexed="59"/>
      </top>
      <bottom style="thin">
        <color indexed="59"/>
      </bottom>
      <diagonal/>
    </border>
    <border>
      <left style="thick">
        <color indexed="59"/>
      </left>
      <right style="thin">
        <color indexed="59"/>
      </right>
      <top style="thin">
        <color indexed="59"/>
      </top>
      <bottom style="thick">
        <color indexed="59"/>
      </bottom>
      <diagonal/>
    </border>
    <border>
      <left style="medium">
        <color indexed="64"/>
      </left>
      <right style="thin">
        <color indexed="64"/>
      </right>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17"/>
      </left>
      <right style="thick">
        <color indexed="17"/>
      </right>
      <top style="thin">
        <color indexed="17"/>
      </top>
      <bottom style="thick">
        <color indexed="17"/>
      </bottom>
      <diagonal/>
    </border>
    <border>
      <left style="thick">
        <color indexed="58"/>
      </left>
      <right style="thin">
        <color indexed="58"/>
      </right>
      <top style="thin">
        <color indexed="58"/>
      </top>
      <bottom style="thin">
        <color indexed="58"/>
      </bottom>
      <diagonal/>
    </border>
    <border>
      <left style="thin">
        <color indexed="58"/>
      </left>
      <right style="thin">
        <color indexed="58"/>
      </right>
      <top style="thin">
        <color indexed="58"/>
      </top>
      <bottom style="thin">
        <color indexed="58"/>
      </bottom>
      <diagonal/>
    </border>
    <border>
      <left style="thick">
        <color indexed="59"/>
      </left>
      <right style="thin">
        <color indexed="59"/>
      </right>
      <top style="thick">
        <color indexed="59"/>
      </top>
      <bottom style="thin">
        <color indexed="59"/>
      </bottom>
      <diagonal/>
    </border>
    <border>
      <left style="thin">
        <color indexed="59"/>
      </left>
      <right style="thin">
        <color indexed="59"/>
      </right>
      <top style="thick">
        <color indexed="59"/>
      </top>
      <bottom style="thin">
        <color indexed="59"/>
      </bottom>
      <diagonal/>
    </border>
    <border>
      <left style="thin">
        <color indexed="59"/>
      </left>
      <right style="thin">
        <color indexed="59"/>
      </right>
      <top style="thin">
        <color indexed="59"/>
      </top>
      <bottom style="thin">
        <color indexed="59"/>
      </bottom>
      <diagonal/>
    </border>
    <border>
      <left style="thick">
        <color indexed="58"/>
      </left>
      <right/>
      <top style="thick">
        <color indexed="58"/>
      </top>
      <bottom/>
      <diagonal/>
    </border>
    <border>
      <left style="thick">
        <color indexed="58"/>
      </left>
      <right/>
      <top/>
      <bottom/>
      <diagonal/>
    </border>
    <border>
      <left/>
      <right style="thick">
        <color indexed="58"/>
      </right>
      <top/>
      <bottom/>
      <diagonal/>
    </border>
    <border>
      <left/>
      <right/>
      <top/>
      <bottom style="thick">
        <color indexed="59"/>
      </bottom>
      <diagonal/>
    </border>
    <border>
      <left/>
      <right style="thick">
        <color indexed="58"/>
      </right>
      <top/>
      <bottom style="thick">
        <color indexed="59"/>
      </bottom>
      <diagonal/>
    </border>
    <border>
      <left/>
      <right/>
      <top style="thick">
        <color indexed="59"/>
      </top>
      <bottom/>
      <diagonal/>
    </border>
    <border>
      <left/>
      <right style="thick">
        <color indexed="58"/>
      </right>
      <top style="thick">
        <color indexed="59"/>
      </top>
      <bottom/>
      <diagonal/>
    </border>
    <border>
      <left style="thin">
        <color indexed="21"/>
      </left>
      <right style="thin">
        <color indexed="21"/>
      </right>
      <top style="thin">
        <color indexed="57"/>
      </top>
      <bottom style="thin">
        <color indexed="21"/>
      </bottom>
      <diagonal/>
    </border>
    <border>
      <left style="thin">
        <color indexed="21"/>
      </left>
      <right style="thick">
        <color indexed="21"/>
      </right>
      <top style="thin">
        <color indexed="57"/>
      </top>
      <bottom style="thin">
        <color indexed="21"/>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thin">
        <color indexed="21"/>
      </top>
      <bottom style="thin">
        <color indexed="57"/>
      </bottom>
      <diagonal/>
    </border>
    <border>
      <left style="thick">
        <color indexed="21"/>
      </left>
      <right style="thin">
        <color indexed="21"/>
      </right>
      <top style="thin">
        <color indexed="57"/>
      </top>
      <bottom style="thin">
        <color indexed="21"/>
      </bottom>
      <diagonal/>
    </border>
    <border>
      <left style="thick">
        <color indexed="12"/>
      </left>
      <right style="thin">
        <color indexed="12"/>
      </right>
      <top/>
      <bottom style="thin">
        <color indexed="12"/>
      </bottom>
      <diagonal/>
    </border>
    <border>
      <left style="thin">
        <color indexed="12"/>
      </left>
      <right style="thin">
        <color indexed="12"/>
      </right>
      <top/>
      <bottom style="thin">
        <color indexed="12"/>
      </bottom>
      <diagonal/>
    </border>
    <border>
      <left style="thin">
        <color indexed="18"/>
      </left>
      <right style="thick">
        <color indexed="18"/>
      </right>
      <top style="thin">
        <color indexed="18"/>
      </top>
      <bottom/>
      <diagonal/>
    </border>
    <border>
      <left style="thin">
        <color indexed="10"/>
      </left>
      <right style="thin">
        <color indexed="10"/>
      </right>
      <top style="thick">
        <color indexed="10"/>
      </top>
      <bottom style="thin">
        <color indexed="10"/>
      </bottom>
      <diagonal/>
    </border>
    <border>
      <left style="thin">
        <color indexed="10"/>
      </left>
      <right style="thick">
        <color indexed="10"/>
      </right>
      <top style="thick">
        <color indexed="10"/>
      </top>
      <bottom style="thin">
        <color indexed="10"/>
      </bottom>
      <diagonal/>
    </border>
    <border>
      <left style="thick">
        <color indexed="10"/>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style="thick">
        <color indexed="10"/>
      </right>
      <top style="thin">
        <color indexed="10"/>
      </top>
      <bottom style="thin">
        <color indexed="10"/>
      </bottom>
      <diagonal/>
    </border>
    <border>
      <left style="thin">
        <color indexed="10"/>
      </left>
      <right style="thin">
        <color indexed="10"/>
      </right>
      <top style="thin">
        <color indexed="10"/>
      </top>
      <bottom style="thick">
        <color indexed="10"/>
      </bottom>
      <diagonal/>
    </border>
    <border>
      <left style="thin">
        <color indexed="10"/>
      </left>
      <right style="thick">
        <color indexed="10"/>
      </right>
      <top style="thin">
        <color indexed="10"/>
      </top>
      <bottom style="thick">
        <color indexed="10"/>
      </bottom>
      <diagonal/>
    </border>
    <border>
      <left style="thin">
        <color indexed="10"/>
      </left>
      <right style="thin">
        <color indexed="10"/>
      </right>
      <top style="thick">
        <color indexed="10"/>
      </top>
      <bottom style="thick">
        <color indexed="10"/>
      </bottom>
      <diagonal/>
    </border>
    <border>
      <left style="thin">
        <color indexed="10"/>
      </left>
      <right style="thick">
        <color indexed="10"/>
      </right>
      <top style="thick">
        <color indexed="10"/>
      </top>
      <bottom style="thick">
        <color indexed="10"/>
      </bottom>
      <diagonal/>
    </border>
    <border>
      <left style="thick">
        <color indexed="10"/>
      </left>
      <right style="thin">
        <color indexed="10"/>
      </right>
      <top style="thick">
        <color indexed="10"/>
      </top>
      <bottom style="thick">
        <color indexed="10"/>
      </bottom>
      <diagonal/>
    </border>
    <border>
      <left/>
      <right style="thick">
        <color indexed="10"/>
      </right>
      <top style="thick">
        <color indexed="10"/>
      </top>
      <bottom style="thick">
        <color indexed="10"/>
      </bottom>
      <diagonal/>
    </border>
    <border>
      <left style="thick">
        <color indexed="10"/>
      </left>
      <right/>
      <top style="thick">
        <color indexed="10"/>
      </top>
      <bottom style="thick">
        <color indexed="10"/>
      </bottom>
      <diagonal/>
    </border>
    <border>
      <left style="thick">
        <color indexed="12"/>
      </left>
      <right style="thin">
        <color indexed="12"/>
      </right>
      <top style="thin">
        <color indexed="12"/>
      </top>
      <bottom/>
      <diagonal/>
    </border>
    <border>
      <left style="thin">
        <color indexed="12"/>
      </left>
      <right style="thick">
        <color indexed="12"/>
      </right>
      <top style="thin">
        <color indexed="12"/>
      </top>
      <bottom/>
      <diagonal/>
    </border>
    <border>
      <left style="thin">
        <color indexed="12"/>
      </left>
      <right style="thin">
        <color indexed="12"/>
      </right>
      <top style="thin">
        <color indexed="12"/>
      </top>
      <bottom/>
      <diagonal/>
    </border>
    <border>
      <left/>
      <right/>
      <top style="double">
        <color indexed="64"/>
      </top>
      <bottom/>
      <diagonal/>
    </border>
    <border>
      <left/>
      <right/>
      <top style="medium">
        <color indexed="64"/>
      </top>
      <bottom/>
      <diagonal/>
    </border>
    <border>
      <left/>
      <right/>
      <top/>
      <bottom style="thick">
        <color indexed="21"/>
      </bottom>
      <diagonal/>
    </border>
    <border>
      <left/>
      <right style="thick">
        <color indexed="21"/>
      </right>
      <top/>
      <bottom style="thick">
        <color indexed="21"/>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21"/>
      </left>
      <right style="thick">
        <color indexed="21"/>
      </right>
      <top style="thin">
        <color indexed="21"/>
      </top>
      <bottom style="thin">
        <color indexed="57"/>
      </bottom>
      <diagonal/>
    </border>
    <border>
      <left style="thin">
        <color indexed="21"/>
      </left>
      <right style="thick">
        <color indexed="21"/>
      </right>
      <top/>
      <bottom style="thin">
        <color indexed="21"/>
      </bottom>
      <diagonal/>
    </border>
    <border>
      <left style="thin">
        <color indexed="21"/>
      </left>
      <right style="thick">
        <color indexed="21"/>
      </right>
      <top style="thin">
        <color indexed="21"/>
      </top>
      <bottom style="thin">
        <color indexed="17"/>
      </bottom>
      <diagonal/>
    </border>
    <border>
      <left style="thick">
        <color indexed="21"/>
      </left>
      <right style="thin">
        <color indexed="21"/>
      </right>
      <top/>
      <bottom style="thin">
        <color indexed="21"/>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top style="thick">
        <color indexed="64"/>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21"/>
      </top>
      <bottom style="thin">
        <color indexed="57"/>
      </bottom>
      <diagonal/>
    </border>
    <border>
      <left style="thin">
        <color indexed="21"/>
      </left>
      <right style="thin">
        <color indexed="21"/>
      </right>
      <top/>
      <bottom style="thin">
        <color indexed="21"/>
      </bottom>
      <diagonal/>
    </border>
    <border>
      <left style="thin">
        <color indexed="21"/>
      </left>
      <right style="thin">
        <color indexed="21"/>
      </right>
      <top style="thin">
        <color indexed="21"/>
      </top>
      <bottom style="thin">
        <color indexed="17"/>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thick">
        <color indexed="10"/>
      </left>
      <right style="thick">
        <color indexed="10"/>
      </right>
      <top style="thick">
        <color indexed="10"/>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diagonal/>
    </border>
    <border>
      <left/>
      <right style="thick">
        <color indexed="10"/>
      </right>
      <top/>
      <bottom/>
      <diagonal/>
    </border>
    <border>
      <left style="thick">
        <color indexed="10"/>
      </left>
      <right/>
      <top/>
      <bottom style="thick">
        <color indexed="10"/>
      </bottom>
      <diagonal/>
    </border>
    <border>
      <left/>
      <right style="thick">
        <color indexed="10"/>
      </right>
      <top/>
      <bottom style="thick">
        <color indexed="10"/>
      </bottom>
      <diagonal/>
    </border>
    <border>
      <left/>
      <right/>
      <top style="thick">
        <color indexed="10"/>
      </top>
      <bottom style="thick">
        <color indexed="10"/>
      </bottom>
      <diagonal/>
    </border>
    <border>
      <left style="thin">
        <color indexed="10"/>
      </left>
      <right style="thin">
        <color indexed="10"/>
      </right>
      <top/>
      <bottom style="thin">
        <color indexed="10"/>
      </bottom>
      <diagonal/>
    </border>
    <border>
      <left style="thin">
        <color indexed="10"/>
      </left>
      <right style="thick">
        <color indexed="10"/>
      </right>
      <top/>
      <bottom style="thin">
        <color indexed="10"/>
      </bottom>
      <diagonal/>
    </border>
    <border>
      <left style="thick">
        <color indexed="10"/>
      </left>
      <right style="thin">
        <color indexed="10"/>
      </right>
      <top style="thick">
        <color indexed="10"/>
      </top>
      <bottom style="thin">
        <color indexed="10"/>
      </bottom>
      <diagonal/>
    </border>
    <border>
      <left style="thick">
        <color indexed="64"/>
      </left>
      <right style="thin">
        <color indexed="64"/>
      </right>
      <top style="thin">
        <color indexed="64"/>
      </top>
      <bottom/>
      <diagonal/>
    </border>
    <border>
      <left style="thin">
        <color indexed="10"/>
      </left>
      <right/>
      <top style="thick">
        <color indexed="10"/>
      </top>
      <bottom style="thin">
        <color indexed="10"/>
      </bottom>
      <diagonal/>
    </border>
    <border>
      <left style="thin">
        <color indexed="10"/>
      </left>
      <right/>
      <top style="thin">
        <color indexed="10"/>
      </top>
      <bottom style="thin">
        <color indexed="10"/>
      </bottom>
      <diagonal/>
    </border>
    <border>
      <left style="thin">
        <color indexed="10"/>
      </left>
      <right/>
      <top style="thin">
        <color indexed="10"/>
      </top>
      <bottom style="thick">
        <color indexed="10"/>
      </bottom>
      <diagonal/>
    </border>
    <border>
      <left style="thick">
        <color indexed="64"/>
      </left>
      <right/>
      <top style="thin">
        <color indexed="64"/>
      </top>
      <bottom style="thin">
        <color indexed="64"/>
      </bottom>
      <diagonal/>
    </border>
    <border>
      <left style="thick">
        <color indexed="64"/>
      </left>
      <right style="thin">
        <color indexed="64"/>
      </right>
      <top/>
      <bottom style="thin">
        <color indexed="64"/>
      </bottom>
      <diagonal/>
    </border>
    <border>
      <left style="thick">
        <color indexed="10"/>
      </left>
      <right style="thick">
        <color indexed="10"/>
      </right>
      <top style="thin">
        <color indexed="10"/>
      </top>
      <bottom style="thick">
        <color indexed="10"/>
      </bottom>
      <diagonal/>
    </border>
    <border>
      <left/>
      <right/>
      <top/>
      <bottom style="medium">
        <color indexed="64"/>
      </bottom>
      <diagonal/>
    </border>
    <border>
      <left style="thick">
        <color indexed="12"/>
      </left>
      <right style="thick">
        <color indexed="12"/>
      </right>
      <top style="thick">
        <color indexed="12"/>
      </top>
      <bottom style="thin">
        <color indexed="12"/>
      </bottom>
      <diagonal/>
    </border>
    <border>
      <left style="thick">
        <color indexed="12"/>
      </left>
      <right style="thick">
        <color indexed="12"/>
      </right>
      <top style="thin">
        <color indexed="12"/>
      </top>
      <bottom style="thin">
        <color indexed="12"/>
      </bottom>
      <diagonal/>
    </border>
    <border>
      <left style="medium">
        <color indexed="12"/>
      </left>
      <right style="medium">
        <color indexed="12"/>
      </right>
      <top/>
      <bottom style="medium">
        <color indexed="12"/>
      </bottom>
      <diagonal/>
    </border>
    <border>
      <left style="thick">
        <color indexed="23"/>
      </left>
      <right style="thick">
        <color indexed="23"/>
      </right>
      <top style="thick">
        <color indexed="23"/>
      </top>
      <bottom style="thin">
        <color indexed="23"/>
      </bottom>
      <diagonal/>
    </border>
    <border>
      <left style="thick">
        <color indexed="18"/>
      </left>
      <right style="thin">
        <color indexed="18"/>
      </right>
      <top/>
      <bottom style="thick">
        <color indexed="18"/>
      </bottom>
      <diagonal/>
    </border>
    <border>
      <left style="thin">
        <color indexed="18"/>
      </left>
      <right style="thin">
        <color indexed="18"/>
      </right>
      <top/>
      <bottom style="thick">
        <color indexed="18"/>
      </bottom>
      <diagonal/>
    </border>
    <border>
      <left style="thin">
        <color indexed="18"/>
      </left>
      <right style="thick">
        <color indexed="18"/>
      </right>
      <top/>
      <bottom style="thick">
        <color indexed="18"/>
      </bottom>
      <diagonal/>
    </border>
    <border>
      <left style="thin">
        <color indexed="18"/>
      </left>
      <right style="thick">
        <color indexed="18"/>
      </right>
      <top style="thick">
        <color indexed="18"/>
      </top>
      <bottom style="thin">
        <color indexed="18"/>
      </bottom>
      <diagonal/>
    </border>
    <border>
      <left/>
      <right/>
      <top style="thick">
        <color indexed="12"/>
      </top>
      <bottom/>
      <diagonal/>
    </border>
    <border>
      <left/>
      <right style="thick">
        <color indexed="12"/>
      </right>
      <top style="thick">
        <color indexed="12"/>
      </top>
      <bottom/>
      <diagonal/>
    </border>
    <border>
      <left style="thick">
        <color indexed="12"/>
      </left>
      <right/>
      <top/>
      <bottom style="thick">
        <color indexed="12"/>
      </bottom>
      <diagonal/>
    </border>
    <border>
      <left/>
      <right/>
      <top/>
      <bottom style="thick">
        <color indexed="12"/>
      </bottom>
      <diagonal/>
    </border>
    <border>
      <left/>
      <right style="thick">
        <color indexed="12"/>
      </right>
      <top/>
      <bottom style="thick">
        <color indexed="12"/>
      </bottom>
      <diagonal/>
    </border>
    <border>
      <left/>
      <right/>
      <top style="thick">
        <color indexed="64"/>
      </top>
      <bottom/>
      <diagonal/>
    </border>
    <border>
      <left style="thick">
        <color indexed="18"/>
      </left>
      <right style="thin">
        <color indexed="18"/>
      </right>
      <top style="thin">
        <color indexed="18"/>
      </top>
      <bottom style="thick">
        <color indexed="18"/>
      </bottom>
      <diagonal/>
    </border>
    <border>
      <left style="thin">
        <color indexed="18"/>
      </left>
      <right style="thin">
        <color indexed="18"/>
      </right>
      <top style="thick">
        <color indexed="18"/>
      </top>
      <bottom style="thick">
        <color indexed="18"/>
      </bottom>
      <diagonal/>
    </border>
    <border>
      <left style="thick">
        <color indexed="18"/>
      </left>
      <right/>
      <top style="thin">
        <color indexed="18"/>
      </top>
      <bottom style="thin">
        <color indexed="18"/>
      </bottom>
      <diagonal/>
    </border>
    <border>
      <left style="thick">
        <color indexed="18"/>
      </left>
      <right/>
      <top style="thin">
        <color indexed="18"/>
      </top>
      <bottom style="thick">
        <color indexed="18"/>
      </bottom>
      <diagonal/>
    </border>
    <border>
      <left style="thick">
        <color indexed="10"/>
      </left>
      <right style="thin">
        <color indexed="10"/>
      </right>
      <top style="thin">
        <color indexed="10"/>
      </top>
      <bottom style="thick">
        <color indexed="10"/>
      </bottom>
      <diagonal/>
    </border>
    <border>
      <left style="thick">
        <color indexed="18"/>
      </left>
      <right style="thick">
        <color indexed="18"/>
      </right>
      <top style="thick">
        <color indexed="18"/>
      </top>
      <bottom style="thin">
        <color indexed="18"/>
      </bottom>
      <diagonal/>
    </border>
    <border>
      <left style="thick">
        <color indexed="18"/>
      </left>
      <right style="thick">
        <color indexed="18"/>
      </right>
      <top style="thin">
        <color indexed="18"/>
      </top>
      <bottom style="thin">
        <color indexed="18"/>
      </bottom>
      <diagonal/>
    </border>
    <border>
      <left style="thick">
        <color indexed="18"/>
      </left>
      <right style="thick">
        <color indexed="18"/>
      </right>
      <top style="thin">
        <color indexed="18"/>
      </top>
      <bottom style="thick">
        <color indexed="18"/>
      </bottom>
      <diagonal/>
    </border>
    <border>
      <left style="thick">
        <color indexed="23"/>
      </left>
      <right style="thick">
        <color indexed="23"/>
      </right>
      <top/>
      <bottom/>
      <diagonal/>
    </border>
    <border>
      <left style="thick">
        <color indexed="23"/>
      </left>
      <right style="thick">
        <color indexed="23"/>
      </right>
      <top/>
      <bottom style="thick">
        <color indexed="23"/>
      </bottom>
      <diagonal/>
    </border>
    <border>
      <left style="thick">
        <color indexed="17"/>
      </left>
      <right style="thick">
        <color indexed="17"/>
      </right>
      <top style="thick">
        <color indexed="17"/>
      </top>
      <bottom style="thin">
        <color indexed="42"/>
      </bottom>
      <diagonal/>
    </border>
    <border>
      <left style="thick">
        <color indexed="17"/>
      </left>
      <right style="thick">
        <color indexed="17"/>
      </right>
      <top style="thin">
        <color indexed="42"/>
      </top>
      <bottom style="thin">
        <color indexed="42"/>
      </bottom>
      <diagonal/>
    </border>
    <border>
      <left style="thick">
        <color indexed="17"/>
      </left>
      <right style="thick">
        <color indexed="17"/>
      </right>
      <top style="thin">
        <color indexed="42"/>
      </top>
      <bottom style="thick">
        <color indexed="17"/>
      </bottom>
      <diagonal/>
    </border>
    <border>
      <left style="thick">
        <color indexed="12"/>
      </left>
      <right style="thick">
        <color indexed="12"/>
      </right>
      <top style="thin">
        <color indexed="12"/>
      </top>
      <bottom style="thick">
        <color indexed="12"/>
      </bottom>
      <diagonal/>
    </border>
    <border>
      <left style="thick">
        <color indexed="12"/>
      </left>
      <right/>
      <top style="thin">
        <color indexed="12"/>
      </top>
      <bottom/>
      <diagonal/>
    </border>
    <border>
      <left style="thin">
        <color indexed="64"/>
      </left>
      <right style="thick">
        <color indexed="64"/>
      </right>
      <top style="thick">
        <color indexed="64"/>
      </top>
      <bottom style="thick">
        <color indexed="64"/>
      </bottom>
      <diagonal/>
    </border>
    <border>
      <left style="thick">
        <color indexed="64"/>
      </left>
      <right style="thin">
        <color indexed="12"/>
      </right>
      <top style="thin">
        <color indexed="12"/>
      </top>
      <bottom style="thin">
        <color indexed="12"/>
      </bottom>
      <diagonal/>
    </border>
    <border>
      <left/>
      <right style="thick">
        <color indexed="12"/>
      </right>
      <top style="thin">
        <color indexed="12"/>
      </top>
      <bottom/>
      <diagonal/>
    </border>
    <border>
      <left/>
      <right/>
      <top style="thin">
        <color indexed="12"/>
      </top>
      <bottom/>
      <diagonal/>
    </border>
    <border>
      <left/>
      <right style="thick">
        <color indexed="64"/>
      </right>
      <top style="thick">
        <color indexed="64"/>
      </top>
      <bottom style="thin">
        <color indexed="64"/>
      </bottom>
      <diagonal/>
    </border>
    <border>
      <left style="medium">
        <color indexed="51"/>
      </left>
      <right style="thin">
        <color indexed="51"/>
      </right>
      <top/>
      <bottom style="thick">
        <color indexed="58"/>
      </bottom>
      <diagonal/>
    </border>
    <border>
      <left style="thin">
        <color indexed="51"/>
      </left>
      <right style="medium">
        <color indexed="51"/>
      </right>
      <top/>
      <bottom style="thick">
        <color indexed="58"/>
      </bottom>
      <diagonal/>
    </border>
    <border>
      <left style="thick">
        <color indexed="18"/>
      </left>
      <right style="thin">
        <color indexed="18"/>
      </right>
      <top style="thick">
        <color indexed="18"/>
      </top>
      <bottom style="thick">
        <color indexed="18"/>
      </bottom>
      <diagonal/>
    </border>
    <border>
      <left/>
      <right style="thick">
        <color indexed="10"/>
      </right>
      <top style="thick">
        <color indexed="10"/>
      </top>
      <bottom style="thin">
        <color indexed="10"/>
      </bottom>
      <diagonal/>
    </border>
    <border>
      <left style="medium">
        <color indexed="51"/>
      </left>
      <right style="medium">
        <color indexed="51"/>
      </right>
      <top style="thick">
        <color indexed="64"/>
      </top>
      <bottom style="thin">
        <color indexed="64"/>
      </bottom>
      <diagonal/>
    </border>
    <border>
      <left style="medium">
        <color indexed="51"/>
      </left>
      <right style="medium">
        <color indexed="51"/>
      </right>
      <top/>
      <bottom style="thin">
        <color indexed="64"/>
      </bottom>
      <diagonal/>
    </border>
    <border>
      <left/>
      <right/>
      <top style="thick">
        <color indexed="10"/>
      </top>
      <bottom style="thin">
        <color indexed="10"/>
      </bottom>
      <diagonal/>
    </border>
    <border>
      <left style="medium">
        <color indexed="17"/>
      </left>
      <right style="medium">
        <color indexed="17"/>
      </right>
      <top/>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0"/>
      </right>
      <top style="thin">
        <color indexed="60"/>
      </top>
      <bottom style="thick">
        <color indexed="64"/>
      </bottom>
      <diagonal/>
    </border>
    <border>
      <left style="thin">
        <color indexed="60"/>
      </left>
      <right style="thin">
        <color indexed="60"/>
      </right>
      <top style="thin">
        <color indexed="60"/>
      </top>
      <bottom style="thick">
        <color indexed="64"/>
      </bottom>
      <diagonal/>
    </border>
    <border>
      <left style="thin">
        <color indexed="60"/>
      </left>
      <right style="thick">
        <color indexed="64"/>
      </right>
      <top style="thin">
        <color indexed="60"/>
      </top>
      <bottom style="thick">
        <color indexed="64"/>
      </bottom>
      <diagonal/>
    </border>
    <border>
      <left style="thick">
        <color indexed="60"/>
      </left>
      <right style="thick">
        <color indexed="60"/>
      </right>
      <top style="thick">
        <color indexed="60"/>
      </top>
      <bottom style="thin">
        <color indexed="60"/>
      </bottom>
      <diagonal/>
    </border>
    <border>
      <left style="thick">
        <color indexed="60"/>
      </left>
      <right style="thick">
        <color indexed="60"/>
      </right>
      <top style="thin">
        <color indexed="60"/>
      </top>
      <bottom style="thin">
        <color indexed="60"/>
      </bottom>
      <diagonal/>
    </border>
    <border>
      <left style="thin">
        <color indexed="64"/>
      </left>
      <right style="thin">
        <color indexed="64"/>
      </right>
      <top/>
      <bottom style="thick">
        <color indexed="64"/>
      </bottom>
      <diagonal/>
    </border>
    <border>
      <left style="thick">
        <color indexed="60"/>
      </left>
      <right style="thick">
        <color indexed="60"/>
      </right>
      <top style="thin">
        <color indexed="60"/>
      </top>
      <bottom style="thick">
        <color indexed="60"/>
      </bottom>
      <diagonal/>
    </border>
    <border>
      <left style="thick">
        <color indexed="17"/>
      </left>
      <right style="thick">
        <color indexed="17"/>
      </right>
      <top style="thick">
        <color indexed="17"/>
      </top>
      <bottom style="thin">
        <color indexed="17"/>
      </bottom>
      <diagonal/>
    </border>
    <border>
      <left style="thick">
        <color indexed="17"/>
      </left>
      <right style="thick">
        <color indexed="17"/>
      </right>
      <top style="thin">
        <color indexed="17"/>
      </top>
      <bottom style="thin">
        <color indexed="17"/>
      </bottom>
      <diagonal/>
    </border>
    <border>
      <left style="thick">
        <color indexed="17"/>
      </left>
      <right style="thick">
        <color indexed="17"/>
      </right>
      <top style="thin">
        <color indexed="17"/>
      </top>
      <bottom style="thick">
        <color indexed="17"/>
      </bottom>
      <diagonal/>
    </border>
    <border>
      <left style="thick">
        <color indexed="21"/>
      </left>
      <right/>
      <top/>
      <bottom style="thick">
        <color indexed="21"/>
      </bottom>
      <diagonal/>
    </border>
    <border>
      <left style="thick">
        <color indexed="21"/>
      </left>
      <right style="thin">
        <color indexed="21"/>
      </right>
      <top style="thin">
        <color indexed="21"/>
      </top>
      <bottom style="thin">
        <color indexed="57"/>
      </bottom>
      <diagonal/>
    </border>
    <border>
      <left style="thick">
        <color indexed="21"/>
      </left>
      <right style="thin">
        <color indexed="21"/>
      </right>
      <top style="thin">
        <color indexed="21"/>
      </top>
      <bottom style="thin">
        <color indexed="17"/>
      </bottom>
      <diagonal/>
    </border>
    <border>
      <left style="thick">
        <color indexed="21"/>
      </left>
      <right style="thick">
        <color indexed="21"/>
      </right>
      <top style="thick">
        <color indexed="21"/>
      </top>
      <bottom style="thin">
        <color indexed="21"/>
      </bottom>
      <diagonal/>
    </border>
    <border>
      <left style="thick">
        <color indexed="21"/>
      </left>
      <right style="thick">
        <color indexed="21"/>
      </right>
      <top style="thin">
        <color indexed="21"/>
      </top>
      <bottom style="thin">
        <color indexed="21"/>
      </bottom>
      <diagonal/>
    </border>
    <border>
      <left style="thick">
        <color indexed="60"/>
      </left>
      <right style="thin">
        <color indexed="60"/>
      </right>
      <top style="thick">
        <color indexed="60"/>
      </top>
      <bottom style="thin">
        <color indexed="60"/>
      </bottom>
      <diagonal/>
    </border>
    <border>
      <left style="thin">
        <color indexed="60"/>
      </left>
      <right style="thick">
        <color indexed="60"/>
      </right>
      <top style="thick">
        <color indexed="60"/>
      </top>
      <bottom style="thin">
        <color indexed="60"/>
      </bottom>
      <diagonal/>
    </border>
    <border>
      <left style="thin">
        <color indexed="60"/>
      </left>
      <right style="thin">
        <color indexed="60"/>
      </right>
      <top style="thick">
        <color indexed="60"/>
      </top>
      <bottom style="thin">
        <color indexed="60"/>
      </bottom>
      <diagonal/>
    </border>
    <border>
      <left style="thin">
        <color indexed="60"/>
      </left>
      <right style="thick">
        <color indexed="60"/>
      </right>
      <top style="thick">
        <color indexed="60"/>
      </top>
      <bottom/>
      <diagonal/>
    </border>
    <border>
      <left style="thin">
        <color indexed="60"/>
      </left>
      <right style="thick">
        <color indexed="60"/>
      </right>
      <top/>
      <bottom style="thick">
        <color indexed="60"/>
      </bottom>
      <diagonal/>
    </border>
    <border>
      <left style="thick">
        <color indexed="10"/>
      </left>
      <right style="thick">
        <color indexed="10"/>
      </right>
      <top style="thick">
        <color indexed="10"/>
      </top>
      <bottom style="thin">
        <color indexed="10"/>
      </bottom>
      <diagonal/>
    </border>
    <border>
      <left style="thick">
        <color indexed="10"/>
      </left>
      <right style="thick">
        <color indexed="10"/>
      </right>
      <top style="thin">
        <color indexed="10"/>
      </top>
      <bottom style="thin">
        <color indexed="10"/>
      </bottom>
      <diagonal/>
    </border>
    <border>
      <left style="thin">
        <color indexed="58"/>
      </left>
      <right style="thick">
        <color indexed="58"/>
      </right>
      <top style="thin">
        <color indexed="58"/>
      </top>
      <bottom style="thin">
        <color indexed="58"/>
      </bottom>
      <diagonal/>
    </border>
    <border>
      <left style="thick">
        <color indexed="58"/>
      </left>
      <right style="thin">
        <color indexed="58"/>
      </right>
      <top style="thin">
        <color indexed="58"/>
      </top>
      <bottom style="thick">
        <color indexed="58"/>
      </bottom>
      <diagonal/>
    </border>
    <border>
      <left style="thin">
        <color indexed="58"/>
      </left>
      <right style="thick">
        <color indexed="58"/>
      </right>
      <top style="thin">
        <color indexed="58"/>
      </top>
      <bottom style="thick">
        <color indexed="58"/>
      </bottom>
      <diagonal/>
    </border>
    <border>
      <left style="thick">
        <color indexed="58"/>
      </left>
      <right style="thin">
        <color indexed="58"/>
      </right>
      <top style="thick">
        <color indexed="58"/>
      </top>
      <bottom style="thin">
        <color indexed="58"/>
      </bottom>
      <diagonal/>
    </border>
    <border>
      <left style="thin">
        <color indexed="58"/>
      </left>
      <right style="thick">
        <color indexed="58"/>
      </right>
      <top style="thick">
        <color indexed="58"/>
      </top>
      <bottom style="thin">
        <color indexed="58"/>
      </bottom>
      <diagonal/>
    </border>
    <border>
      <left style="thick">
        <color indexed="58"/>
      </left>
      <right/>
      <top style="thin">
        <color indexed="64"/>
      </top>
      <bottom style="thin">
        <color indexed="64"/>
      </bottom>
      <diagonal/>
    </border>
    <border>
      <left/>
      <right style="thick">
        <color indexed="58"/>
      </right>
      <top style="thin">
        <color indexed="64"/>
      </top>
      <bottom style="thin">
        <color indexed="64"/>
      </bottom>
      <diagonal/>
    </border>
    <border>
      <left style="thin">
        <color indexed="64"/>
      </left>
      <right style="thin">
        <color indexed="64"/>
      </right>
      <top style="thin">
        <color indexed="64"/>
      </top>
      <bottom style="thick">
        <color indexed="58"/>
      </bottom>
      <diagonal/>
    </border>
    <border>
      <left style="thin">
        <color indexed="64"/>
      </left>
      <right style="thick">
        <color indexed="58"/>
      </right>
      <top style="thin">
        <color indexed="64"/>
      </top>
      <bottom style="thick">
        <color indexed="58"/>
      </bottom>
      <diagonal/>
    </border>
    <border>
      <left style="thick">
        <color indexed="58"/>
      </left>
      <right style="thin">
        <color indexed="58"/>
      </right>
      <top style="thin">
        <color indexed="58"/>
      </top>
      <bottom/>
      <diagonal/>
    </border>
    <border>
      <left style="thin">
        <color indexed="58"/>
      </left>
      <right style="thin">
        <color indexed="58"/>
      </right>
      <top style="thin">
        <color indexed="58"/>
      </top>
      <bottom/>
      <diagonal/>
    </border>
    <border>
      <left style="thin">
        <color indexed="59"/>
      </left>
      <right style="thin">
        <color indexed="59"/>
      </right>
      <top style="thin">
        <color indexed="59"/>
      </top>
      <bottom style="thick">
        <color indexed="59"/>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17"/>
      </left>
      <right style="thick">
        <color indexed="10"/>
      </right>
      <top style="thick">
        <color indexed="10"/>
      </top>
      <bottom style="thick">
        <color indexed="10"/>
      </bottom>
      <diagonal/>
    </border>
    <border>
      <left style="thick">
        <color indexed="10"/>
      </left>
      <right style="thin">
        <color indexed="17"/>
      </right>
      <top style="thick">
        <color indexed="10"/>
      </top>
      <bottom style="thick">
        <color indexed="10"/>
      </bottom>
      <diagonal/>
    </border>
    <border>
      <left style="thick">
        <color indexed="10"/>
      </left>
      <right style="thin">
        <color indexed="10"/>
      </right>
      <top style="thin">
        <color indexed="10"/>
      </top>
      <bottom/>
      <diagonal/>
    </border>
    <border>
      <left style="thick">
        <color indexed="21"/>
      </left>
      <right/>
      <top style="thick">
        <color indexed="21"/>
      </top>
      <bottom/>
      <diagonal/>
    </border>
    <border>
      <left/>
      <right/>
      <top style="thick">
        <color indexed="21"/>
      </top>
      <bottom/>
      <diagonal/>
    </border>
    <border>
      <left/>
      <right style="thick">
        <color indexed="21"/>
      </right>
      <top style="thick">
        <color indexed="21"/>
      </top>
      <bottom/>
      <diagonal/>
    </border>
    <border>
      <left style="thin">
        <color indexed="17"/>
      </left>
      <right/>
      <top style="thick">
        <color indexed="17"/>
      </top>
      <bottom style="thin">
        <color indexed="17"/>
      </bottom>
      <diagonal/>
    </border>
    <border>
      <left style="thin">
        <color indexed="17"/>
      </left>
      <right/>
      <top style="thin">
        <color indexed="17"/>
      </top>
      <bottom style="thin">
        <color indexed="17"/>
      </bottom>
      <diagonal/>
    </border>
    <border>
      <left style="thick">
        <color indexed="17"/>
      </left>
      <right style="thick">
        <color indexed="17"/>
      </right>
      <top style="thick">
        <color indexed="17"/>
      </top>
      <bottom/>
      <diagonal/>
    </border>
    <border>
      <left style="thick">
        <color indexed="17"/>
      </left>
      <right style="thick">
        <color indexed="17"/>
      </right>
      <top/>
      <bottom/>
      <diagonal/>
    </border>
    <border>
      <left style="thick">
        <color indexed="17"/>
      </left>
      <right style="thick">
        <color indexed="17"/>
      </right>
      <top style="thin">
        <color indexed="17"/>
      </top>
      <bottom/>
      <diagonal/>
    </border>
    <border>
      <left style="double">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indexed="17"/>
      </left>
      <right style="thick">
        <color indexed="17"/>
      </right>
      <top/>
      <bottom style="thin">
        <color indexed="17"/>
      </bottom>
      <diagonal/>
    </border>
    <border>
      <left style="thick">
        <color indexed="17"/>
      </left>
      <right style="thin">
        <color indexed="17"/>
      </right>
      <top/>
      <bottom style="thin">
        <color indexed="17"/>
      </bottom>
      <diagonal/>
    </border>
    <border>
      <left style="thin">
        <color indexed="17"/>
      </left>
      <right style="thin">
        <color indexed="17"/>
      </right>
      <top/>
      <bottom style="thin">
        <color indexed="17"/>
      </bottom>
      <diagonal/>
    </border>
    <border>
      <left style="thin">
        <color indexed="17"/>
      </left>
      <right style="thick">
        <color indexed="17"/>
      </right>
      <top/>
      <bottom style="thin">
        <color indexed="17"/>
      </bottom>
      <diagonal/>
    </border>
    <border>
      <left style="thick">
        <color indexed="17"/>
      </left>
      <right style="thin">
        <color indexed="17"/>
      </right>
      <top style="thick">
        <color indexed="17"/>
      </top>
      <bottom/>
      <diagonal/>
    </border>
    <border>
      <left style="thin">
        <color indexed="17"/>
      </left>
      <right style="thin">
        <color indexed="17"/>
      </right>
      <top style="thick">
        <color indexed="17"/>
      </top>
      <bottom/>
      <diagonal/>
    </border>
    <border>
      <left style="thin">
        <color indexed="17"/>
      </left>
      <right style="thick">
        <color indexed="17"/>
      </right>
      <top style="thick">
        <color indexed="17"/>
      </top>
      <bottom/>
      <diagonal/>
    </border>
    <border>
      <left style="thin">
        <color indexed="17"/>
      </left>
      <right style="thick">
        <color indexed="17"/>
      </right>
      <top style="thick">
        <color indexed="17"/>
      </top>
      <bottom style="thin">
        <color indexed="17"/>
      </bottom>
      <diagonal/>
    </border>
    <border>
      <left style="thick">
        <color indexed="17"/>
      </left>
      <right style="thin">
        <color indexed="17"/>
      </right>
      <top/>
      <bottom style="thick">
        <color indexed="17"/>
      </bottom>
      <diagonal/>
    </border>
    <border>
      <left style="thin">
        <color indexed="17"/>
      </left>
      <right style="thick">
        <color indexed="17"/>
      </right>
      <top/>
      <bottom style="thick">
        <color indexed="17"/>
      </bottom>
      <diagonal/>
    </border>
    <border>
      <left style="thin">
        <color indexed="17"/>
      </left>
      <right style="thin">
        <color indexed="17"/>
      </right>
      <top/>
      <bottom style="thick">
        <color indexed="17"/>
      </bottom>
      <diagonal/>
    </border>
    <border>
      <left style="thin">
        <color indexed="18"/>
      </left>
      <right style="thick">
        <color indexed="18"/>
      </right>
      <top/>
      <bottom/>
      <diagonal/>
    </border>
    <border>
      <left/>
      <right style="thin">
        <color indexed="46"/>
      </right>
      <top style="thick">
        <color indexed="46"/>
      </top>
      <bottom style="thin">
        <color indexed="46"/>
      </bottom>
      <diagonal/>
    </border>
    <border>
      <left style="thick">
        <color indexed="18"/>
      </left>
      <right style="thin">
        <color indexed="18"/>
      </right>
      <top/>
      <bottom style="thin">
        <color indexed="18"/>
      </bottom>
      <diagonal/>
    </border>
    <border>
      <left style="thin">
        <color indexed="18"/>
      </left>
      <right style="thick">
        <color indexed="18"/>
      </right>
      <top style="thick">
        <color indexed="18"/>
      </top>
      <bottom style="thick">
        <color indexed="18"/>
      </bottom>
      <diagonal/>
    </border>
    <border>
      <left style="thin">
        <color indexed="12"/>
      </left>
      <right/>
      <top style="thin">
        <color indexed="12"/>
      </top>
      <bottom style="thin">
        <color indexed="12"/>
      </bottom>
      <diagonal/>
    </border>
    <border>
      <left style="thick">
        <color indexed="16"/>
      </left>
      <right style="thin">
        <color indexed="16"/>
      </right>
      <top style="thick">
        <color indexed="16"/>
      </top>
      <bottom style="thin">
        <color indexed="16"/>
      </bottom>
      <diagonal/>
    </border>
    <border>
      <left style="thin">
        <color indexed="16"/>
      </left>
      <right style="thin">
        <color indexed="16"/>
      </right>
      <top style="thick">
        <color indexed="16"/>
      </top>
      <bottom style="thin">
        <color indexed="16"/>
      </bottom>
      <diagonal/>
    </border>
    <border>
      <left style="thick">
        <color indexed="16"/>
      </left>
      <right style="thin">
        <color indexed="16"/>
      </right>
      <top style="thin">
        <color indexed="16"/>
      </top>
      <bottom style="thin">
        <color indexed="16"/>
      </bottom>
      <diagonal/>
    </border>
    <border>
      <left style="thin">
        <color indexed="16"/>
      </left>
      <right style="thin">
        <color indexed="16"/>
      </right>
      <top style="thin">
        <color indexed="16"/>
      </top>
      <bottom style="thin">
        <color indexed="16"/>
      </bottom>
      <diagonal/>
    </border>
    <border>
      <left style="thick">
        <color indexed="16"/>
      </left>
      <right style="thin">
        <color indexed="16"/>
      </right>
      <top style="thin">
        <color indexed="16"/>
      </top>
      <bottom style="thick">
        <color indexed="16"/>
      </bottom>
      <diagonal/>
    </border>
    <border>
      <left style="thin">
        <color indexed="16"/>
      </left>
      <right style="thin">
        <color indexed="16"/>
      </right>
      <top style="thin">
        <color indexed="16"/>
      </top>
      <bottom style="thick">
        <color indexed="16"/>
      </bottom>
      <diagonal/>
    </border>
    <border>
      <left style="thin">
        <color indexed="16"/>
      </left>
      <right/>
      <top style="thick">
        <color indexed="16"/>
      </top>
      <bottom style="thin">
        <color indexed="16"/>
      </bottom>
      <diagonal/>
    </border>
    <border>
      <left style="thin">
        <color indexed="16"/>
      </left>
      <right/>
      <top style="thin">
        <color indexed="16"/>
      </top>
      <bottom style="thin">
        <color indexed="16"/>
      </bottom>
      <diagonal/>
    </border>
    <border>
      <left style="thick">
        <color indexed="12"/>
      </left>
      <right style="thick">
        <color indexed="12"/>
      </right>
      <top/>
      <bottom/>
      <diagonal/>
    </border>
    <border>
      <left style="thick">
        <color indexed="12"/>
      </left>
      <right style="thick">
        <color indexed="12"/>
      </right>
      <top style="thick">
        <color indexed="10"/>
      </top>
      <bottom style="thin">
        <color indexed="10"/>
      </bottom>
      <diagonal/>
    </border>
    <border>
      <left style="thick">
        <color indexed="12"/>
      </left>
      <right style="thick">
        <color indexed="12"/>
      </right>
      <top/>
      <bottom style="thick">
        <color indexed="12"/>
      </bottom>
      <diagonal/>
    </border>
    <border>
      <left style="thick">
        <color indexed="12"/>
      </left>
      <right style="thick">
        <color indexed="12"/>
      </right>
      <top style="thick">
        <color indexed="12"/>
      </top>
      <bottom/>
      <diagonal/>
    </border>
    <border>
      <left style="medium">
        <color indexed="51"/>
      </left>
      <right/>
      <top style="thick">
        <color indexed="64"/>
      </top>
      <bottom/>
      <diagonal/>
    </border>
    <border>
      <left style="thick">
        <color indexed="17"/>
      </left>
      <right style="thin">
        <color indexed="17"/>
      </right>
      <top style="thick">
        <color indexed="17"/>
      </top>
      <bottom style="thick">
        <color indexed="17"/>
      </bottom>
      <diagonal/>
    </border>
    <border>
      <left style="thin">
        <color indexed="17"/>
      </left>
      <right style="thin">
        <color indexed="17"/>
      </right>
      <top style="thick">
        <color indexed="17"/>
      </top>
      <bottom style="thick">
        <color indexed="17"/>
      </bottom>
      <diagonal/>
    </border>
    <border>
      <left style="thin">
        <color indexed="17"/>
      </left>
      <right style="thick">
        <color indexed="17"/>
      </right>
      <top style="thick">
        <color indexed="17"/>
      </top>
      <bottom style="thick">
        <color indexed="17"/>
      </bottom>
      <diagonal/>
    </border>
    <border>
      <left style="thick">
        <color indexed="17"/>
      </left>
      <right/>
      <top style="thick">
        <color indexed="17"/>
      </top>
      <bottom style="thick">
        <color indexed="17"/>
      </bottom>
      <diagonal/>
    </border>
    <border>
      <left/>
      <right/>
      <top style="thick">
        <color indexed="17"/>
      </top>
      <bottom style="thick">
        <color indexed="17"/>
      </bottom>
      <diagonal/>
    </border>
    <border>
      <left style="thick">
        <color indexed="17"/>
      </left>
      <right style="thick">
        <color indexed="17"/>
      </right>
      <top style="thick">
        <color indexed="17"/>
      </top>
      <bottom style="thick">
        <color indexed="17"/>
      </bottom>
      <diagonal/>
    </border>
    <border>
      <left style="medium">
        <color indexed="17"/>
      </left>
      <right style="medium">
        <color indexed="17"/>
      </right>
      <top style="medium">
        <color indexed="17"/>
      </top>
      <bottom style="thin">
        <color indexed="10"/>
      </bottom>
      <diagonal/>
    </border>
    <border>
      <left style="thick">
        <color indexed="18"/>
      </left>
      <right style="thin">
        <color indexed="18"/>
      </right>
      <top style="thick">
        <color indexed="18"/>
      </top>
      <bottom/>
      <diagonal/>
    </border>
    <border>
      <left style="thin">
        <color indexed="18"/>
      </left>
      <right style="thick">
        <color indexed="18"/>
      </right>
      <top style="thick">
        <color indexed="18"/>
      </top>
      <bottom/>
      <diagonal/>
    </border>
    <border>
      <left style="thick">
        <color indexed="18"/>
      </left>
      <right style="thin">
        <color indexed="18"/>
      </right>
      <top style="thin">
        <color indexed="18"/>
      </top>
      <bottom/>
      <diagonal/>
    </border>
    <border>
      <left style="thick">
        <color indexed="12"/>
      </left>
      <right style="dashed">
        <color indexed="12"/>
      </right>
      <top style="thick">
        <color indexed="12"/>
      </top>
      <bottom style="dashed">
        <color indexed="12"/>
      </bottom>
      <diagonal/>
    </border>
    <border>
      <left style="dashed">
        <color indexed="12"/>
      </left>
      <right style="dashed">
        <color indexed="12"/>
      </right>
      <top style="thick">
        <color indexed="12"/>
      </top>
      <bottom style="dashed">
        <color indexed="12"/>
      </bottom>
      <diagonal/>
    </border>
    <border>
      <left style="thick">
        <color indexed="12"/>
      </left>
      <right style="dashed">
        <color indexed="12"/>
      </right>
      <top style="dashed">
        <color indexed="12"/>
      </top>
      <bottom style="thick">
        <color indexed="12"/>
      </bottom>
      <diagonal/>
    </border>
    <border>
      <left style="dashed">
        <color indexed="12"/>
      </left>
      <right style="dashed">
        <color indexed="12"/>
      </right>
      <top style="dashed">
        <color indexed="12"/>
      </top>
      <bottom style="thick">
        <color indexed="12"/>
      </bottom>
      <diagonal/>
    </border>
    <border>
      <left style="thick">
        <color indexed="12"/>
      </left>
      <right style="hair">
        <color indexed="12"/>
      </right>
      <top style="thick">
        <color indexed="12"/>
      </top>
      <bottom style="hair">
        <color indexed="12"/>
      </bottom>
      <diagonal/>
    </border>
    <border>
      <left style="hair">
        <color indexed="12"/>
      </left>
      <right style="hair">
        <color indexed="12"/>
      </right>
      <top style="thick">
        <color indexed="12"/>
      </top>
      <bottom style="hair">
        <color indexed="12"/>
      </bottom>
      <diagonal/>
    </border>
    <border>
      <left style="hair">
        <color indexed="12"/>
      </left>
      <right style="thick">
        <color indexed="12"/>
      </right>
      <top style="thick">
        <color indexed="12"/>
      </top>
      <bottom style="hair">
        <color indexed="12"/>
      </bottom>
      <diagonal/>
    </border>
    <border>
      <left style="thick">
        <color indexed="12"/>
      </left>
      <right style="hair">
        <color indexed="12"/>
      </right>
      <top style="hair">
        <color indexed="12"/>
      </top>
      <bottom style="thick">
        <color indexed="12"/>
      </bottom>
      <diagonal/>
    </border>
    <border>
      <left style="hair">
        <color indexed="12"/>
      </left>
      <right style="hair">
        <color indexed="12"/>
      </right>
      <top style="hair">
        <color indexed="12"/>
      </top>
      <bottom style="thick">
        <color indexed="12"/>
      </bottom>
      <diagonal/>
    </border>
    <border>
      <left style="dashed">
        <color indexed="12"/>
      </left>
      <right style="thick">
        <color indexed="12"/>
      </right>
      <top style="dashed">
        <color indexed="12"/>
      </top>
      <bottom style="thick">
        <color indexed="12"/>
      </bottom>
      <diagonal/>
    </border>
    <border>
      <left style="hair">
        <color indexed="12"/>
      </left>
      <right style="thick">
        <color indexed="12"/>
      </right>
      <top style="hair">
        <color indexed="12"/>
      </top>
      <bottom style="thick">
        <color indexed="12"/>
      </bottom>
      <diagonal/>
    </border>
    <border>
      <left/>
      <right style="thin">
        <color indexed="21"/>
      </right>
      <top style="thick">
        <color indexed="21"/>
      </top>
      <bottom style="thick">
        <color indexed="21"/>
      </bottom>
      <diagonal/>
    </border>
    <border>
      <left style="thin">
        <color indexed="12"/>
      </left>
      <right style="thin">
        <color indexed="12"/>
      </right>
      <top style="thick">
        <color indexed="12"/>
      </top>
      <bottom style="thick">
        <color indexed="12"/>
      </bottom>
      <diagonal/>
    </border>
    <border>
      <left style="thick">
        <color indexed="12"/>
      </left>
      <right style="thin">
        <color indexed="12"/>
      </right>
      <top style="thick">
        <color indexed="12"/>
      </top>
      <bottom style="thick">
        <color indexed="12"/>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12"/>
      </right>
      <top style="thick">
        <color indexed="64"/>
      </top>
      <bottom style="thin">
        <color indexed="12"/>
      </bottom>
      <diagonal/>
    </border>
    <border>
      <left style="thick">
        <color indexed="23"/>
      </left>
      <right style="thin">
        <color indexed="23"/>
      </right>
      <top style="thin">
        <color indexed="23"/>
      </top>
      <bottom/>
      <diagonal/>
    </border>
    <border>
      <left style="thin">
        <color indexed="23"/>
      </left>
      <right style="thin">
        <color indexed="23"/>
      </right>
      <top style="thin">
        <color indexed="23"/>
      </top>
      <bottom/>
      <diagonal/>
    </border>
    <border>
      <left style="thin">
        <color indexed="23"/>
      </left>
      <right style="thick">
        <color indexed="23"/>
      </right>
      <top style="thin">
        <color indexed="23"/>
      </top>
      <bottom/>
      <diagonal/>
    </border>
    <border>
      <left style="thick">
        <color indexed="12"/>
      </left>
      <right style="thick">
        <color indexed="12"/>
      </right>
      <top style="thin">
        <color indexed="12"/>
      </top>
      <bottom/>
      <diagonal/>
    </border>
    <border>
      <left style="thin">
        <color indexed="12"/>
      </left>
      <right style="thick">
        <color indexed="12"/>
      </right>
      <top style="thick">
        <color indexed="12"/>
      </top>
      <bottom style="thick">
        <color indexed="12"/>
      </bottom>
      <diagonal/>
    </border>
    <border>
      <left style="thin">
        <color indexed="18"/>
      </left>
      <right style="thin">
        <color indexed="18"/>
      </right>
      <top style="thin">
        <color indexed="18"/>
      </top>
      <bottom style="thick">
        <color indexed="18"/>
      </bottom>
      <diagonal/>
    </border>
    <border>
      <left style="thick">
        <color indexed="60"/>
      </left>
      <right style="thin">
        <color indexed="60"/>
      </right>
      <top style="thin">
        <color indexed="60"/>
      </top>
      <bottom/>
      <diagonal/>
    </border>
    <border>
      <left style="thick">
        <color indexed="60"/>
      </left>
      <right/>
      <top style="thin">
        <color indexed="60"/>
      </top>
      <bottom style="thin">
        <color indexed="60"/>
      </bottom>
      <diagonal/>
    </border>
    <border>
      <left/>
      <right/>
      <top style="thin">
        <color indexed="60"/>
      </top>
      <bottom style="thin">
        <color indexed="60"/>
      </bottom>
      <diagonal/>
    </border>
    <border>
      <left/>
      <right style="thick">
        <color indexed="60"/>
      </right>
      <top style="thin">
        <color indexed="60"/>
      </top>
      <bottom style="thin">
        <color indexed="60"/>
      </bottom>
      <diagonal/>
    </border>
    <border>
      <left style="thick">
        <color indexed="64"/>
      </left>
      <right/>
      <top/>
      <bottom style="thin">
        <color indexed="64"/>
      </bottom>
      <diagonal/>
    </border>
    <border>
      <left style="medium">
        <color indexed="17"/>
      </left>
      <right style="medium">
        <color indexed="17"/>
      </right>
      <top/>
      <bottom style="medium">
        <color indexed="17"/>
      </bottom>
      <diagonal/>
    </border>
    <border>
      <left style="thick">
        <color indexed="64"/>
      </left>
      <right style="thin">
        <color indexed="60"/>
      </right>
      <top/>
      <bottom style="thin">
        <color indexed="60"/>
      </bottom>
      <diagonal/>
    </border>
    <border>
      <left style="thin">
        <color indexed="60"/>
      </left>
      <right style="thin">
        <color indexed="60"/>
      </right>
      <top/>
      <bottom style="thin">
        <color indexed="60"/>
      </bottom>
      <diagonal/>
    </border>
    <border>
      <left style="thin">
        <color indexed="60"/>
      </left>
      <right style="thick">
        <color indexed="64"/>
      </right>
      <top/>
      <bottom style="thin">
        <color indexed="60"/>
      </bottom>
      <diagonal/>
    </border>
    <border>
      <left style="thick">
        <color indexed="17"/>
      </left>
      <right/>
      <top style="thin">
        <color indexed="17"/>
      </top>
      <bottom style="thin">
        <color indexed="17"/>
      </bottom>
      <diagonal/>
    </border>
    <border>
      <left/>
      <right style="thin">
        <color indexed="17"/>
      </right>
      <top style="thin">
        <color indexed="17"/>
      </top>
      <bottom style="thin">
        <color indexed="17"/>
      </bottom>
      <diagonal/>
    </border>
    <border>
      <left style="thick">
        <color indexed="21"/>
      </left>
      <right/>
      <top style="thick">
        <color indexed="21"/>
      </top>
      <bottom style="thin">
        <color indexed="17"/>
      </bottom>
      <diagonal/>
    </border>
    <border>
      <left/>
      <right/>
      <top style="thick">
        <color indexed="21"/>
      </top>
      <bottom style="thin">
        <color indexed="17"/>
      </bottom>
      <diagonal/>
    </border>
    <border>
      <left/>
      <right style="thick">
        <color indexed="21"/>
      </right>
      <top style="thick">
        <color indexed="21"/>
      </top>
      <bottom style="thin">
        <color indexed="17"/>
      </bottom>
      <diagonal/>
    </border>
    <border>
      <left/>
      <right/>
      <top style="thin">
        <color indexed="18"/>
      </top>
      <bottom style="thin">
        <color indexed="18"/>
      </bottom>
      <diagonal/>
    </border>
    <border>
      <left/>
      <right style="thick">
        <color indexed="18"/>
      </right>
      <top style="thin">
        <color indexed="18"/>
      </top>
      <bottom style="thin">
        <color indexed="18"/>
      </bottom>
      <diagonal/>
    </border>
    <border>
      <left style="thick">
        <color indexed="21"/>
      </left>
      <right style="thick">
        <color indexed="21"/>
      </right>
      <top style="thin">
        <color indexed="21"/>
      </top>
      <bottom style="thick">
        <color indexed="21"/>
      </bottom>
      <diagonal/>
    </border>
    <border>
      <left/>
      <right style="thin">
        <color indexed="10"/>
      </right>
      <top style="thin">
        <color indexed="10"/>
      </top>
      <bottom style="thin">
        <color indexed="10"/>
      </bottom>
      <diagonal/>
    </border>
    <border>
      <left/>
      <right style="thin">
        <color indexed="10"/>
      </right>
      <top style="thin">
        <color indexed="10"/>
      </top>
      <bottom style="thick">
        <color indexed="10"/>
      </bottom>
      <diagonal/>
    </border>
    <border>
      <left style="thin">
        <color indexed="64"/>
      </left>
      <right style="thick">
        <color indexed="64"/>
      </right>
      <top/>
      <bottom style="thin">
        <color indexed="64"/>
      </bottom>
      <diagonal/>
    </border>
    <border>
      <left style="dashed">
        <color indexed="12"/>
      </left>
      <right style="thick">
        <color indexed="12"/>
      </right>
      <top style="thick">
        <color indexed="12"/>
      </top>
      <bottom style="dashed">
        <color indexed="12"/>
      </bottom>
      <diagonal/>
    </border>
    <border>
      <left style="thick">
        <color indexed="12"/>
      </left>
      <right style="dashed">
        <color indexed="12"/>
      </right>
      <top style="dashed">
        <color indexed="12"/>
      </top>
      <bottom style="dashed">
        <color indexed="12"/>
      </bottom>
      <diagonal/>
    </border>
    <border>
      <left style="dashed">
        <color indexed="12"/>
      </left>
      <right style="dashed">
        <color indexed="12"/>
      </right>
      <top style="dashed">
        <color indexed="12"/>
      </top>
      <bottom style="dashed">
        <color indexed="12"/>
      </bottom>
      <diagonal/>
    </border>
    <border>
      <left style="dashed">
        <color indexed="12"/>
      </left>
      <right/>
      <top style="dashed">
        <color indexed="12"/>
      </top>
      <bottom style="dashed">
        <color indexed="12"/>
      </bottom>
      <diagonal/>
    </border>
    <border>
      <left style="dashed">
        <color indexed="12"/>
      </left>
      <right style="dashed">
        <color indexed="12"/>
      </right>
      <top/>
      <bottom style="thick">
        <color indexed="12"/>
      </bottom>
      <diagonal/>
    </border>
    <border>
      <left style="dashed">
        <color indexed="12"/>
      </left>
      <right style="thick">
        <color indexed="12"/>
      </right>
      <top/>
      <bottom style="thick">
        <color indexed="12"/>
      </bottom>
      <diagonal/>
    </border>
    <border>
      <left/>
      <right style="thin">
        <color indexed="10"/>
      </right>
      <top style="thick">
        <color indexed="10"/>
      </top>
      <bottom style="thick">
        <color indexed="10"/>
      </bottom>
      <diagonal/>
    </border>
    <border>
      <left style="thick">
        <color indexed="64"/>
      </left>
      <right style="thick">
        <color indexed="64"/>
      </right>
      <top style="thin">
        <color indexed="64"/>
      </top>
      <bottom/>
      <diagonal/>
    </border>
    <border>
      <left style="thin">
        <color indexed="10"/>
      </left>
      <right style="thin">
        <color indexed="10"/>
      </right>
      <top style="thick">
        <color indexed="10"/>
      </top>
      <bottom/>
      <diagonal/>
    </border>
    <border>
      <left/>
      <right/>
      <top style="thick">
        <color indexed="17"/>
      </top>
      <bottom style="thin">
        <color indexed="17"/>
      </bottom>
      <diagonal/>
    </border>
    <border>
      <left style="thick">
        <color indexed="12"/>
      </left>
      <right style="thick">
        <color indexed="12"/>
      </right>
      <top/>
      <bottom style="thin">
        <color indexed="12"/>
      </bottom>
      <diagonal/>
    </border>
    <border>
      <left style="thin">
        <color indexed="64"/>
      </left>
      <right style="thick">
        <color indexed="64"/>
      </right>
      <top style="thin">
        <color indexed="64"/>
      </top>
      <bottom/>
      <diagonal/>
    </border>
    <border>
      <left style="thick">
        <color indexed="10"/>
      </left>
      <right/>
      <top style="thick">
        <color indexed="10"/>
      </top>
      <bottom style="thin">
        <color indexed="10"/>
      </bottom>
      <diagonal/>
    </border>
    <border>
      <left style="thin">
        <color indexed="58"/>
      </left>
      <right style="thin">
        <color indexed="58"/>
      </right>
      <top style="thick">
        <color indexed="58"/>
      </top>
      <bottom style="thin">
        <color indexed="58"/>
      </bottom>
      <diagonal/>
    </border>
    <border>
      <left style="thin">
        <color indexed="21"/>
      </left>
      <right/>
      <top style="thick">
        <color indexed="21"/>
      </top>
      <bottom style="thick">
        <color indexed="21"/>
      </bottom>
      <diagonal/>
    </border>
    <border>
      <left style="thin">
        <color indexed="10"/>
      </left>
      <right/>
      <top/>
      <bottom style="thin">
        <color indexed="10"/>
      </bottom>
      <diagonal/>
    </border>
    <border>
      <left style="dashed">
        <color indexed="12"/>
      </left>
      <right style="dashed">
        <color indexed="12"/>
      </right>
      <top style="thick">
        <color indexed="12"/>
      </top>
      <bottom/>
      <diagonal/>
    </border>
    <border>
      <left style="dashed">
        <color indexed="12"/>
      </left>
      <right style="thick">
        <color indexed="12"/>
      </right>
      <top style="thick">
        <color indexed="12"/>
      </top>
      <bottom/>
      <diagonal/>
    </border>
    <border>
      <left/>
      <right/>
      <top style="medium">
        <color indexed="64"/>
      </top>
      <bottom style="medium">
        <color indexed="64"/>
      </bottom>
      <diagonal/>
    </border>
    <border>
      <left style="thin">
        <color indexed="17"/>
      </left>
      <right/>
      <top style="thin">
        <color indexed="17"/>
      </top>
      <bottom style="thick">
        <color indexed="17"/>
      </bottom>
      <diagonal/>
    </border>
    <border>
      <left/>
      <right style="thin">
        <color indexed="46"/>
      </right>
      <top style="thin">
        <color indexed="46"/>
      </top>
      <bottom style="thin">
        <color indexed="46"/>
      </bottom>
      <diagonal/>
    </border>
    <border>
      <left/>
      <right style="thin">
        <color indexed="46"/>
      </right>
      <top style="thin">
        <color indexed="46"/>
      </top>
      <bottom style="thick">
        <color indexed="46"/>
      </bottom>
      <diagonal/>
    </border>
    <border>
      <left style="thin">
        <color indexed="46"/>
      </left>
      <right/>
      <top style="thick">
        <color indexed="46"/>
      </top>
      <bottom style="thin">
        <color indexed="46"/>
      </bottom>
      <diagonal/>
    </border>
    <border>
      <left style="thin">
        <color indexed="46"/>
      </left>
      <right/>
      <top style="thin">
        <color indexed="46"/>
      </top>
      <bottom style="thin">
        <color indexed="46"/>
      </bottom>
      <diagonal/>
    </border>
    <border>
      <left style="thin">
        <color indexed="46"/>
      </left>
      <right/>
      <top style="thin">
        <color indexed="46"/>
      </top>
      <bottom style="thick">
        <color indexed="46"/>
      </bottom>
      <diagonal/>
    </border>
    <border>
      <left/>
      <right style="thick">
        <color indexed="46"/>
      </right>
      <top style="thick">
        <color indexed="46"/>
      </top>
      <bottom style="thin">
        <color indexed="46"/>
      </bottom>
      <diagonal/>
    </border>
    <border>
      <left/>
      <right style="thick">
        <color indexed="46"/>
      </right>
      <top style="thin">
        <color indexed="46"/>
      </top>
      <bottom style="thin">
        <color indexed="46"/>
      </bottom>
      <diagonal/>
    </border>
    <border>
      <left/>
      <right style="thick">
        <color indexed="46"/>
      </right>
      <top style="thin">
        <color indexed="46"/>
      </top>
      <bottom style="thick">
        <color indexed="46"/>
      </bottom>
      <diagonal/>
    </border>
    <border>
      <left style="thick">
        <color indexed="10"/>
      </left>
      <right style="thick">
        <color indexed="10"/>
      </right>
      <top/>
      <bottom/>
      <diagonal/>
    </border>
    <border>
      <left style="thick">
        <color indexed="12"/>
      </left>
      <right style="thin">
        <color indexed="12"/>
      </right>
      <top/>
      <bottom style="thick">
        <color indexed="12"/>
      </bottom>
      <diagonal/>
    </border>
    <border>
      <left style="thin">
        <color indexed="12"/>
      </left>
      <right style="thick">
        <color indexed="12"/>
      </right>
      <top/>
      <bottom style="thick">
        <color indexed="12"/>
      </bottom>
      <diagonal/>
    </border>
    <border>
      <left style="thick">
        <color indexed="21"/>
      </left>
      <right/>
      <top style="thin">
        <color indexed="17"/>
      </top>
      <bottom/>
      <diagonal/>
    </border>
    <border>
      <left/>
      <right/>
      <top style="thin">
        <color indexed="17"/>
      </top>
      <bottom/>
      <diagonal/>
    </border>
    <border>
      <left/>
      <right style="thick">
        <color indexed="21"/>
      </right>
      <top style="thin">
        <color indexed="17"/>
      </top>
      <bottom/>
      <diagonal/>
    </border>
    <border>
      <left style="thick">
        <color indexed="59"/>
      </left>
      <right/>
      <top style="thick">
        <color indexed="59"/>
      </top>
      <bottom style="thin">
        <color indexed="59"/>
      </bottom>
      <diagonal/>
    </border>
    <border>
      <left/>
      <right style="thick">
        <color indexed="59"/>
      </right>
      <top style="thick">
        <color indexed="59"/>
      </top>
      <bottom style="thin">
        <color indexed="59"/>
      </bottom>
      <diagonal/>
    </border>
    <border>
      <left style="thick">
        <color indexed="58"/>
      </left>
      <right/>
      <top/>
      <bottom style="thin">
        <color indexed="64"/>
      </bottom>
      <diagonal/>
    </border>
    <border>
      <left/>
      <right style="thick">
        <color indexed="58"/>
      </right>
      <top/>
      <bottom style="thin">
        <color indexed="64"/>
      </bottom>
      <diagonal/>
    </border>
    <border>
      <left/>
      <right style="thick">
        <color indexed="17"/>
      </right>
      <top style="thick">
        <color indexed="17"/>
      </top>
      <bottom style="thin">
        <color indexed="17"/>
      </bottom>
      <diagonal/>
    </border>
    <border>
      <left style="thick">
        <color indexed="18"/>
      </left>
      <right/>
      <top style="thin">
        <color indexed="18"/>
      </top>
      <bottom/>
      <diagonal/>
    </border>
    <border>
      <left/>
      <right/>
      <top style="thin">
        <color indexed="18"/>
      </top>
      <bottom/>
      <diagonal/>
    </border>
    <border>
      <left/>
      <right/>
      <top style="thick">
        <color indexed="64"/>
      </top>
      <bottom style="thick">
        <color indexed="64"/>
      </bottom>
      <diagonal/>
    </border>
    <border>
      <left style="medium">
        <color indexed="51"/>
      </left>
      <right/>
      <top style="medium">
        <color indexed="64"/>
      </top>
      <bottom/>
      <diagonal/>
    </border>
    <border>
      <left/>
      <right style="medium">
        <color indexed="51"/>
      </right>
      <top style="medium">
        <color indexed="64"/>
      </top>
      <bottom/>
      <diagonal/>
    </border>
    <border>
      <left style="thick">
        <color indexed="58"/>
      </left>
      <right/>
      <top style="thick">
        <color indexed="58"/>
      </top>
      <bottom style="thin">
        <color indexed="64"/>
      </bottom>
      <diagonal/>
    </border>
    <border>
      <left/>
      <right/>
      <top style="thick">
        <color indexed="58"/>
      </top>
      <bottom style="thin">
        <color indexed="64"/>
      </bottom>
      <diagonal/>
    </border>
    <border>
      <left style="thick">
        <color indexed="18"/>
      </left>
      <right/>
      <top style="thick">
        <color indexed="18"/>
      </top>
      <bottom/>
      <diagonal/>
    </border>
    <border>
      <left/>
      <right/>
      <top style="thick">
        <color indexed="18"/>
      </top>
      <bottom/>
      <diagonal/>
    </border>
    <border>
      <left/>
      <right style="thick">
        <color indexed="18"/>
      </right>
      <top style="thick">
        <color indexed="18"/>
      </top>
      <bottom/>
      <diagonal/>
    </border>
    <border>
      <left style="thick">
        <color indexed="58"/>
      </left>
      <right style="thin">
        <color indexed="58"/>
      </right>
      <top style="thick">
        <color indexed="58"/>
      </top>
      <bottom style="thick">
        <color indexed="58"/>
      </bottom>
      <diagonal/>
    </border>
    <border>
      <left style="thin">
        <color indexed="58"/>
      </left>
      <right style="thin">
        <color indexed="58"/>
      </right>
      <top style="thick">
        <color indexed="58"/>
      </top>
      <bottom style="thick">
        <color indexed="58"/>
      </bottom>
      <diagonal/>
    </border>
    <border>
      <left style="thin">
        <color indexed="58"/>
      </left>
      <right style="thick">
        <color indexed="58"/>
      </right>
      <top style="thick">
        <color indexed="58"/>
      </top>
      <bottom style="thick">
        <color indexed="58"/>
      </bottom>
      <diagonal/>
    </border>
    <border>
      <left style="thin">
        <color indexed="58"/>
      </left>
      <right/>
      <top style="thick">
        <color indexed="58"/>
      </top>
      <bottom/>
      <diagonal/>
    </border>
    <border>
      <left/>
      <right style="thick">
        <color indexed="58"/>
      </right>
      <top style="thick">
        <color indexed="58"/>
      </top>
      <bottom/>
      <diagonal/>
    </border>
    <border>
      <left style="thin">
        <color indexed="58"/>
      </left>
      <right/>
      <top/>
      <bottom/>
      <diagonal/>
    </border>
    <border>
      <left style="thin">
        <color indexed="58"/>
      </left>
      <right/>
      <top/>
      <bottom style="thick">
        <color indexed="59"/>
      </bottom>
      <diagonal/>
    </border>
    <border>
      <left style="thin">
        <color indexed="59"/>
      </left>
      <right/>
      <top style="thick">
        <color indexed="59"/>
      </top>
      <bottom/>
      <diagonal/>
    </border>
    <border>
      <left style="thin">
        <color indexed="59"/>
      </left>
      <right/>
      <top/>
      <bottom/>
      <diagonal/>
    </border>
    <border>
      <left style="thin">
        <color indexed="59"/>
      </left>
      <right/>
      <top/>
      <bottom style="thick">
        <color indexed="59"/>
      </bottom>
      <diagonal/>
    </border>
    <border>
      <left style="thick">
        <color indexed="59"/>
      </left>
      <right/>
      <top style="thick">
        <color indexed="59"/>
      </top>
      <bottom/>
      <diagonal/>
    </border>
    <border>
      <left style="thick">
        <color indexed="59"/>
      </left>
      <right/>
      <top/>
      <bottom/>
      <diagonal/>
    </border>
    <border>
      <left style="thick">
        <color indexed="59"/>
      </left>
      <right/>
      <top/>
      <bottom style="thick">
        <color indexed="59"/>
      </bottom>
      <diagonal/>
    </border>
    <border>
      <left style="thick">
        <color indexed="64"/>
      </left>
      <right style="thin">
        <color indexed="64"/>
      </right>
      <top/>
      <bottom style="thick">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FF0000"/>
      </left>
      <right style="thin">
        <color rgb="FFFF0000"/>
      </right>
      <top style="thick">
        <color rgb="FFFF0000"/>
      </top>
      <bottom style="thin">
        <color rgb="FFFF0000"/>
      </bottom>
      <diagonal/>
    </border>
    <border>
      <left style="thin">
        <color rgb="FFFF0000"/>
      </left>
      <right style="thick">
        <color rgb="FFFF0000"/>
      </right>
      <top style="thick">
        <color rgb="FFFF0000"/>
      </top>
      <bottom style="thin">
        <color rgb="FFFF0000"/>
      </bottom>
      <diagonal/>
    </border>
    <border>
      <left style="thick">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ck">
        <color rgb="FFFF0000"/>
      </right>
      <top style="thin">
        <color rgb="FFFF0000"/>
      </top>
      <bottom style="thin">
        <color rgb="FFFF0000"/>
      </bottom>
      <diagonal/>
    </border>
    <border>
      <left style="thick">
        <color rgb="FFFF0000"/>
      </left>
      <right style="thin">
        <color rgb="FFFF0000"/>
      </right>
      <top style="thin">
        <color rgb="FFFF0000"/>
      </top>
      <bottom style="thick">
        <color rgb="FFFF0000"/>
      </bottom>
      <diagonal/>
    </border>
    <border>
      <left style="thin">
        <color rgb="FFFF0000"/>
      </left>
      <right style="thin">
        <color rgb="FFFF0000"/>
      </right>
      <top style="thin">
        <color rgb="FFFF0000"/>
      </top>
      <bottom style="thick">
        <color rgb="FFFF0000"/>
      </bottom>
      <diagonal/>
    </border>
    <border>
      <left style="thin">
        <color rgb="FFFF0000"/>
      </left>
      <right style="thick">
        <color rgb="FFFF0000"/>
      </right>
      <top style="thin">
        <color rgb="FFFF0000"/>
      </top>
      <bottom style="thick">
        <color rgb="FFFF0000"/>
      </bottom>
      <diagonal/>
    </border>
    <border>
      <left style="thick">
        <color rgb="FFFF0000"/>
      </left>
      <right style="thin">
        <color rgb="FFFF0000"/>
      </right>
      <top style="thick">
        <color rgb="FFFF0000"/>
      </top>
      <bottom style="thin">
        <color rgb="FFFF0000"/>
      </bottom>
      <diagonal/>
    </border>
    <border>
      <left style="thick">
        <color rgb="FFFF0000"/>
      </left>
      <right style="thick">
        <color rgb="FFFF0000"/>
      </right>
      <top style="thick">
        <color rgb="FFFF0000"/>
      </top>
      <bottom style="thin">
        <color rgb="FFFF0000"/>
      </bottom>
      <diagonal/>
    </border>
    <border>
      <left style="thick">
        <color rgb="FFFF0000"/>
      </left>
      <right style="thick">
        <color rgb="FFFF0000"/>
      </right>
      <top style="thin">
        <color rgb="FFFF0000"/>
      </top>
      <bottom style="thin">
        <color rgb="FFFF0000"/>
      </bottom>
      <diagonal/>
    </border>
    <border>
      <left style="thick">
        <color rgb="FFFF0000"/>
      </left>
      <right style="thick">
        <color rgb="FFFF0000"/>
      </right>
      <top style="thin">
        <color rgb="FFFF0000"/>
      </top>
      <bottom style="thick">
        <color rgb="FFFF0000"/>
      </bottom>
      <diagonal/>
    </border>
    <border>
      <left style="thick">
        <color rgb="FFFF0000"/>
      </left>
      <right style="thin">
        <color rgb="FFFF0000"/>
      </right>
      <top/>
      <bottom style="thin">
        <color rgb="FFFF0000"/>
      </bottom>
      <diagonal/>
    </border>
    <border>
      <left style="thin">
        <color rgb="FFFF0000"/>
      </left>
      <right style="thin">
        <color rgb="FFFF0000"/>
      </right>
      <top/>
      <bottom style="thin">
        <color rgb="FFFF0000"/>
      </bottom>
      <diagonal/>
    </border>
    <border>
      <left style="thin">
        <color rgb="FFFF0000"/>
      </left>
      <right/>
      <top style="thick">
        <color rgb="FFFF0000"/>
      </top>
      <bottom style="thin">
        <color rgb="FFFF0000"/>
      </bottom>
      <diagonal/>
    </border>
    <border>
      <left style="thin">
        <color rgb="FFFF0000"/>
      </left>
      <right/>
      <top style="thin">
        <color rgb="FFFF0000"/>
      </top>
      <bottom style="thin">
        <color rgb="FFFF0000"/>
      </bottom>
      <diagonal/>
    </border>
    <border>
      <left style="thin">
        <color rgb="FFFF0000"/>
      </left>
      <right/>
      <top style="thin">
        <color rgb="FFFF0000"/>
      </top>
      <bottom style="thick">
        <color rgb="FFFF0000"/>
      </bottom>
      <diagonal/>
    </border>
    <border>
      <left style="thick">
        <color theme="5" tint="-0.499984740745262"/>
      </left>
      <right/>
      <top style="thick">
        <color theme="5" tint="-0.499984740745262"/>
      </top>
      <bottom style="thick">
        <color theme="5" tint="-0.499984740745262"/>
      </bottom>
      <diagonal/>
    </border>
    <border>
      <left/>
      <right/>
      <top style="thick">
        <color theme="5" tint="-0.499984740745262"/>
      </top>
      <bottom style="thick">
        <color theme="5" tint="-0.499984740745262"/>
      </bottom>
      <diagonal/>
    </border>
    <border>
      <left/>
      <right style="thick">
        <color theme="5" tint="-0.499984740745262"/>
      </right>
      <top style="thick">
        <color theme="5" tint="-0.499984740745262"/>
      </top>
      <bottom style="thick">
        <color theme="5" tint="-0.499984740745262"/>
      </bottom>
      <diagonal/>
    </border>
    <border>
      <left style="thick">
        <color rgb="FF00B050"/>
      </left>
      <right/>
      <top style="thick">
        <color rgb="FF00B050"/>
      </top>
      <bottom style="thick">
        <color rgb="FF00B050"/>
      </bottom>
      <diagonal/>
    </border>
    <border>
      <left/>
      <right/>
      <top style="thick">
        <color rgb="FF00B050"/>
      </top>
      <bottom style="thick">
        <color rgb="FF00B050"/>
      </bottom>
      <diagonal/>
    </border>
    <border>
      <left/>
      <right style="thick">
        <color rgb="FF00B050"/>
      </right>
      <top style="thick">
        <color rgb="FF00B050"/>
      </top>
      <bottom style="thick">
        <color rgb="FF00B050"/>
      </bottom>
      <diagonal/>
    </border>
    <border>
      <left/>
      <right style="thin">
        <color rgb="FFFF0000"/>
      </right>
      <top style="thin">
        <color rgb="FFFF0000"/>
      </top>
      <bottom style="thin">
        <color rgb="FFFF0000"/>
      </bottom>
      <diagonal/>
    </border>
    <border>
      <left/>
      <right style="thin">
        <color rgb="FFFF0000"/>
      </right>
      <top style="thin">
        <color rgb="FFFF0000"/>
      </top>
      <bottom style="thick">
        <color rgb="FFFF0000"/>
      </bottom>
      <diagonal/>
    </border>
    <border>
      <left style="thick">
        <color rgb="FF00B050"/>
      </left>
      <right style="thin">
        <color rgb="FF00B050"/>
      </right>
      <top style="thick">
        <color rgb="FF00B050"/>
      </top>
      <bottom style="thin">
        <color rgb="FF00B050"/>
      </bottom>
      <diagonal/>
    </border>
    <border>
      <left style="thin">
        <color rgb="FF00B050"/>
      </left>
      <right style="thin">
        <color rgb="FF00B050"/>
      </right>
      <top style="thick">
        <color rgb="FF00B050"/>
      </top>
      <bottom style="thin">
        <color rgb="FF00B050"/>
      </bottom>
      <diagonal/>
    </border>
    <border>
      <left style="thin">
        <color rgb="FF00B050"/>
      </left>
      <right style="thick">
        <color rgb="FF00B050"/>
      </right>
      <top style="thick">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style="thick">
        <color rgb="FF00B050"/>
      </right>
      <top style="thin">
        <color rgb="FF00B050"/>
      </top>
      <bottom style="thin">
        <color rgb="FF00B050"/>
      </bottom>
      <diagonal/>
    </border>
    <border>
      <left style="thick">
        <color rgb="FF00B050"/>
      </left>
      <right style="thin">
        <color rgb="FF00B050"/>
      </right>
      <top style="thin">
        <color rgb="FF00B050"/>
      </top>
      <bottom style="thin">
        <color rgb="FF00B050"/>
      </bottom>
      <diagonal/>
    </border>
    <border>
      <left style="thin">
        <color rgb="FF00B050"/>
      </left>
      <right style="thin">
        <color rgb="FF00B050"/>
      </right>
      <top style="thin">
        <color rgb="FF00B050"/>
      </top>
      <bottom style="thick">
        <color rgb="FF00B050"/>
      </bottom>
      <diagonal/>
    </border>
    <border>
      <left style="thin">
        <color rgb="FF00B050"/>
      </left>
      <right style="thick">
        <color rgb="FF00B050"/>
      </right>
      <top style="thin">
        <color rgb="FF00B050"/>
      </top>
      <bottom style="thick">
        <color rgb="FF00B050"/>
      </bottom>
      <diagonal/>
    </border>
    <border>
      <left/>
      <right style="thin">
        <color rgb="FF00B050"/>
      </right>
      <top style="thick">
        <color rgb="FF00B050"/>
      </top>
      <bottom style="thin">
        <color rgb="FF00B050"/>
      </bottom>
      <diagonal/>
    </border>
    <border>
      <left/>
      <right style="thin">
        <color rgb="FF00B050"/>
      </right>
      <top style="thin">
        <color rgb="FF00B050"/>
      </top>
      <bottom style="thin">
        <color rgb="FF00B050"/>
      </bottom>
      <diagonal/>
    </border>
    <border>
      <left/>
      <right style="thin">
        <color rgb="FF00B050"/>
      </right>
      <top style="thin">
        <color rgb="FF00B050"/>
      </top>
      <bottom style="thick">
        <color rgb="FF00B050"/>
      </bottom>
      <diagonal/>
    </border>
    <border>
      <left style="thick">
        <color rgb="FF00B050"/>
      </left>
      <right style="dashed">
        <color rgb="FF00B050"/>
      </right>
      <top style="thick">
        <color rgb="FF00B050"/>
      </top>
      <bottom style="thick">
        <color rgb="FF00B050"/>
      </bottom>
      <diagonal/>
    </border>
    <border>
      <left style="dashed">
        <color rgb="FF00B050"/>
      </left>
      <right style="thick">
        <color rgb="FF00B050"/>
      </right>
      <top style="thick">
        <color rgb="FF00B050"/>
      </top>
      <bottom style="thick">
        <color rgb="FF00B050"/>
      </bottom>
      <diagonal/>
    </border>
    <border>
      <left style="thick">
        <color rgb="FF00B050"/>
      </left>
      <right style="thin">
        <color rgb="FF00B050"/>
      </right>
      <top style="thin">
        <color rgb="FF00B050"/>
      </top>
      <bottom style="thick">
        <color rgb="FF00B050"/>
      </bottom>
      <diagonal/>
    </border>
    <border>
      <left/>
      <right/>
      <top style="thick">
        <color rgb="FF00B050"/>
      </top>
      <bottom style="thin">
        <color rgb="FF00B050"/>
      </bottom>
      <diagonal/>
    </border>
    <border>
      <left/>
      <right/>
      <top style="thin">
        <color rgb="FF00B050"/>
      </top>
      <bottom style="thin">
        <color rgb="FF00B050"/>
      </bottom>
      <diagonal/>
    </border>
    <border>
      <left style="thick">
        <color rgb="FFFF0000"/>
      </left>
      <right style="thin">
        <color rgb="FFFF0000"/>
      </right>
      <top style="thick">
        <color rgb="FFFF0000"/>
      </top>
      <bottom style="thick">
        <color rgb="FFFF0000"/>
      </bottom>
      <diagonal/>
    </border>
    <border>
      <left style="thin">
        <color rgb="FFFF0000"/>
      </left>
      <right style="thick">
        <color rgb="FFFF0000"/>
      </right>
      <top style="thick">
        <color rgb="FFFF0000"/>
      </top>
      <bottom style="thick">
        <color rgb="FFFF000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right style="thin">
        <color rgb="FF7030A0"/>
      </right>
      <top/>
      <bottom style="medium">
        <color indexed="64"/>
      </bottom>
      <diagonal/>
    </border>
    <border>
      <left style="medium">
        <color rgb="FF00B050"/>
      </left>
      <right style="thin">
        <color rgb="FF00B050"/>
      </right>
      <top style="medium">
        <color rgb="FF00B050"/>
      </top>
      <bottom style="thin">
        <color rgb="FF00B050"/>
      </bottom>
      <diagonal/>
    </border>
    <border>
      <left style="thin">
        <color rgb="FF00B050"/>
      </left>
      <right style="thin">
        <color rgb="FF00B050"/>
      </right>
      <top style="medium">
        <color rgb="FF00B050"/>
      </top>
      <bottom style="thin">
        <color rgb="FF00B050"/>
      </bottom>
      <diagonal/>
    </border>
    <border>
      <left style="thin">
        <color rgb="FF00B050"/>
      </left>
      <right style="medium">
        <color rgb="FF00B050"/>
      </right>
      <top style="medium">
        <color rgb="FF00B050"/>
      </top>
      <bottom style="thin">
        <color rgb="FF00B050"/>
      </bottom>
      <diagonal/>
    </border>
    <border>
      <left style="thin">
        <color rgb="FF00B050"/>
      </left>
      <right style="medium">
        <color rgb="FF00B050"/>
      </right>
      <top style="thin">
        <color rgb="FF00B050"/>
      </top>
      <bottom style="thin">
        <color rgb="FF00B050"/>
      </bottom>
      <diagonal/>
    </border>
    <border>
      <left style="medium">
        <color rgb="FF00B050"/>
      </left>
      <right style="thin">
        <color rgb="FF00B050"/>
      </right>
      <top style="thin">
        <color rgb="FF00B050"/>
      </top>
      <bottom style="thin">
        <color rgb="FF00B050"/>
      </bottom>
      <diagonal/>
    </border>
    <border>
      <left style="medium">
        <color rgb="FF00B050"/>
      </left>
      <right style="thin">
        <color rgb="FF00B050"/>
      </right>
      <top style="thin">
        <color rgb="FF00B050"/>
      </top>
      <bottom style="medium">
        <color rgb="FF00B050"/>
      </bottom>
      <diagonal/>
    </border>
  </borders>
  <cellStyleXfs count="11">
    <xf numFmtId="0" fontId="0" fillId="0" borderId="0"/>
    <xf numFmtId="164" fontId="1" fillId="0" borderId="0" applyFont="0" applyFill="0" applyBorder="0" applyAlignment="0" applyProtection="0"/>
    <xf numFmtId="0" fontId="26" fillId="0" borderId="0"/>
    <xf numFmtId="0" fontId="5" fillId="0" borderId="0"/>
    <xf numFmtId="0" fontId="245" fillId="0" borderId="0"/>
    <xf numFmtId="0" fontId="262" fillId="0" borderId="0"/>
    <xf numFmtId="0" fontId="30" fillId="0" borderId="0"/>
    <xf numFmtId="0" fontId="245" fillId="0" borderId="0"/>
    <xf numFmtId="0" fontId="1" fillId="0" borderId="0"/>
    <xf numFmtId="9" fontId="1" fillId="0" borderId="0" applyFont="0" applyFill="0" applyBorder="0" applyAlignment="0" applyProtection="0"/>
    <xf numFmtId="9" fontId="245" fillId="0" borderId="0" applyFont="0" applyFill="0" applyBorder="0" applyAlignment="0" applyProtection="0"/>
  </cellStyleXfs>
  <cellXfs count="3622">
    <xf numFmtId="0" fontId="0" fillId="0" borderId="0" xfId="0"/>
    <xf numFmtId="0" fontId="0" fillId="0" borderId="0" xfId="2" applyFont="1" applyAlignment="1">
      <alignment wrapText="1"/>
    </xf>
    <xf numFmtId="0" fontId="2" fillId="0" borderId="0" xfId="2" applyFont="1"/>
    <xf numFmtId="0" fontId="2" fillId="0" borderId="0" xfId="2" applyFont="1" applyAlignment="1">
      <alignment horizontal="center" vertical="center" wrapText="1"/>
    </xf>
    <xf numFmtId="0" fontId="0" fillId="0" borderId="2" xfId="2" applyFont="1" applyBorder="1" applyProtection="1">
      <protection locked="0"/>
    </xf>
    <xf numFmtId="0" fontId="0" fillId="0" borderId="0" xfId="2" applyFont="1" applyProtection="1">
      <protection locked="0"/>
    </xf>
    <xf numFmtId="0" fontId="10" fillId="0" borderId="0" xfId="2" applyFont="1" applyAlignment="1" applyProtection="1">
      <alignment vertical="top" wrapText="1"/>
      <protection locked="0"/>
    </xf>
    <xf numFmtId="0" fontId="12" fillId="0" borderId="0" xfId="2" applyFont="1" applyAlignment="1" applyProtection="1">
      <alignment vertical="top" wrapText="1"/>
      <protection locked="0"/>
    </xf>
    <xf numFmtId="0" fontId="0" fillId="0" borderId="0" xfId="2" applyFont="1" applyProtection="1"/>
    <xf numFmtId="0" fontId="3" fillId="2" borderId="2" xfId="2" applyFont="1" applyFill="1" applyBorder="1" applyAlignment="1" applyProtection="1">
      <alignment horizontal="center" vertical="center" wrapText="1"/>
    </xf>
    <xf numFmtId="0" fontId="3" fillId="3" borderId="2" xfId="2" applyFont="1" applyFill="1" applyBorder="1" applyAlignment="1" applyProtection="1">
      <alignment horizontal="center" vertical="center" wrapText="1"/>
    </xf>
    <xf numFmtId="0" fontId="3" fillId="4" borderId="2" xfId="2" applyFont="1" applyFill="1" applyBorder="1" applyAlignment="1" applyProtection="1">
      <alignment horizontal="center" vertical="center" wrapText="1"/>
    </xf>
    <xf numFmtId="0" fontId="9" fillId="0" borderId="0" xfId="2" applyFont="1" applyAlignment="1" applyProtection="1">
      <alignment horizontal="center" vertical="center" wrapText="1"/>
    </xf>
    <xf numFmtId="0" fontId="9" fillId="2" borderId="2" xfId="2" applyFont="1" applyFill="1" applyBorder="1" applyAlignment="1" applyProtection="1">
      <alignment horizontal="center" vertical="center" wrapText="1"/>
    </xf>
    <xf numFmtId="0" fontId="9" fillId="3" borderId="2" xfId="2" applyFont="1" applyFill="1" applyBorder="1" applyAlignment="1" applyProtection="1">
      <alignment horizontal="center" vertical="center" wrapText="1"/>
    </xf>
    <xf numFmtId="0" fontId="9" fillId="4" borderId="2" xfId="2" applyFont="1" applyFill="1" applyBorder="1" applyAlignment="1" applyProtection="1">
      <alignment horizontal="center" vertical="center" wrapText="1"/>
    </xf>
    <xf numFmtId="0" fontId="9" fillId="5" borderId="2" xfId="2" applyFont="1" applyFill="1" applyBorder="1" applyAlignment="1" applyProtection="1">
      <alignment horizontal="center" vertical="center" wrapText="1"/>
    </xf>
    <xf numFmtId="0" fontId="2" fillId="0" borderId="0" xfId="2" applyFont="1" applyAlignment="1" applyProtection="1">
      <alignment horizontal="center" vertical="center" wrapText="1"/>
    </xf>
    <xf numFmtId="0" fontId="2" fillId="0" borderId="2" xfId="2" applyFont="1" applyBorder="1" applyAlignment="1" applyProtection="1">
      <alignment horizontal="center" vertical="center" wrapText="1"/>
    </xf>
    <xf numFmtId="3" fontId="0" fillId="3" borderId="2" xfId="2" applyNumberFormat="1" applyFont="1" applyFill="1" applyBorder="1" applyProtection="1"/>
    <xf numFmtId="0" fontId="0" fillId="3" borderId="2" xfId="2" applyFont="1" applyFill="1" applyBorder="1" applyProtection="1"/>
    <xf numFmtId="0" fontId="0" fillId="4" borderId="2" xfId="2" applyFont="1" applyFill="1" applyBorder="1" applyProtection="1"/>
    <xf numFmtId="0" fontId="0" fillId="6" borderId="2" xfId="2" applyNumberFormat="1" applyFont="1" applyFill="1" applyBorder="1" applyProtection="1"/>
    <xf numFmtId="0" fontId="0" fillId="7" borderId="2" xfId="2" applyFont="1" applyFill="1" applyBorder="1" applyProtection="1"/>
    <xf numFmtId="0" fontId="0" fillId="8" borderId="2" xfId="2" applyFont="1" applyFill="1" applyBorder="1" applyProtection="1"/>
    <xf numFmtId="0" fontId="0" fillId="2" borderId="2" xfId="2" applyFont="1" applyFill="1" applyBorder="1" applyProtection="1"/>
    <xf numFmtId="0" fontId="0" fillId="0" borderId="2" xfId="2" applyFont="1" applyBorder="1" applyProtection="1"/>
    <xf numFmtId="3" fontId="0" fillId="4" borderId="2" xfId="2" applyNumberFormat="1" applyFont="1" applyFill="1" applyBorder="1" applyProtection="1"/>
    <xf numFmtId="0" fontId="0" fillId="0" borderId="2" xfId="2" applyFont="1" applyFill="1" applyBorder="1" applyProtection="1"/>
    <xf numFmtId="0" fontId="3" fillId="9" borderId="2" xfId="2" applyFont="1" applyFill="1" applyBorder="1" applyProtection="1"/>
    <xf numFmtId="0" fontId="0" fillId="6" borderId="0" xfId="2" applyFont="1" applyFill="1" applyProtection="1"/>
    <xf numFmtId="0" fontId="0" fillId="5" borderId="2" xfId="2" applyFont="1" applyFill="1" applyBorder="1" applyProtection="1"/>
    <xf numFmtId="0" fontId="3" fillId="10" borderId="2" xfId="2" applyFont="1" applyFill="1" applyBorder="1" applyProtection="1"/>
    <xf numFmtId="0" fontId="0" fillId="6" borderId="2" xfId="2" applyFont="1" applyFill="1" applyBorder="1" applyProtection="1"/>
    <xf numFmtId="3" fontId="0" fillId="0" borderId="0" xfId="2" applyNumberFormat="1" applyFont="1" applyBorder="1" applyProtection="1"/>
    <xf numFmtId="0" fontId="0" fillId="3" borderId="2" xfId="2" applyNumberFormat="1" applyFont="1" applyFill="1" applyBorder="1" applyProtection="1"/>
    <xf numFmtId="0" fontId="0" fillId="10" borderId="2" xfId="2" applyFont="1" applyFill="1" applyBorder="1" applyProtection="1"/>
    <xf numFmtId="0" fontId="0" fillId="4" borderId="2" xfId="2" applyNumberFormat="1" applyFont="1" applyFill="1" applyBorder="1" applyProtection="1"/>
    <xf numFmtId="0" fontId="0" fillId="0" borderId="0" xfId="2" applyFont="1" applyFill="1" applyBorder="1" applyProtection="1"/>
    <xf numFmtId="0" fontId="0" fillId="0" borderId="3" xfId="2" applyNumberFormat="1" applyFont="1" applyFill="1" applyBorder="1" applyProtection="1"/>
    <xf numFmtId="0" fontId="0" fillId="0" borderId="0" xfId="2" applyNumberFormat="1" applyFont="1" applyBorder="1" applyProtection="1"/>
    <xf numFmtId="0" fontId="0" fillId="0" borderId="0" xfId="2" applyNumberFormat="1" applyFont="1" applyFill="1" applyBorder="1" applyProtection="1"/>
    <xf numFmtId="3" fontId="0" fillId="0" borderId="0" xfId="2" applyNumberFormat="1" applyFont="1" applyFill="1" applyBorder="1" applyProtection="1"/>
    <xf numFmtId="0" fontId="0" fillId="5" borderId="0" xfId="2" applyFont="1" applyFill="1" applyBorder="1" applyProtection="1"/>
    <xf numFmtId="0" fontId="0" fillId="8" borderId="0" xfId="2" applyFont="1" applyFill="1" applyBorder="1" applyProtection="1"/>
    <xf numFmtId="0" fontId="0" fillId="0" borderId="0" xfId="2" applyFont="1" applyBorder="1" applyProtection="1"/>
    <xf numFmtId="0" fontId="2" fillId="0" borderId="0" xfId="2" applyFont="1" applyProtection="1"/>
    <xf numFmtId="0" fontId="0" fillId="0" borderId="0" xfId="2" applyFont="1" applyAlignment="1" applyProtection="1">
      <alignment wrapText="1"/>
    </xf>
    <xf numFmtId="0" fontId="3" fillId="0" borderId="0" xfId="2" applyFont="1" applyAlignment="1" applyProtection="1">
      <alignment vertical="top" wrapText="1"/>
      <protection locked="0"/>
    </xf>
    <xf numFmtId="0" fontId="3" fillId="0" borderId="0" xfId="2" applyFont="1" applyAlignment="1" applyProtection="1">
      <alignment horizontal="center"/>
    </xf>
    <xf numFmtId="0" fontId="3" fillId="0" borderId="0" xfId="2" applyFont="1" applyFill="1" applyBorder="1" applyAlignment="1" applyProtection="1">
      <alignment horizontal="center"/>
    </xf>
    <xf numFmtId="0" fontId="5" fillId="3" borderId="2" xfId="2" applyFont="1" applyFill="1" applyBorder="1" applyAlignment="1" applyProtection="1">
      <alignment horizontal="center" vertical="center" wrapText="1"/>
    </xf>
    <xf numFmtId="0" fontId="5" fillId="4" borderId="2" xfId="2" applyFont="1" applyFill="1" applyBorder="1" applyAlignment="1" applyProtection="1">
      <alignment horizontal="center" vertical="center" wrapText="1"/>
    </xf>
    <xf numFmtId="0" fontId="0" fillId="9" borderId="2" xfId="2" applyFont="1" applyFill="1" applyBorder="1" applyProtection="1"/>
    <xf numFmtId="0" fontId="2" fillId="0" borderId="2" xfId="2" applyFont="1" applyBorder="1" applyAlignment="1">
      <alignment horizontal="center" vertical="center" wrapText="1"/>
    </xf>
    <xf numFmtId="0" fontId="0" fillId="2" borderId="2" xfId="2" applyFont="1" applyFill="1" applyBorder="1"/>
    <xf numFmtId="0" fontId="0" fillId="9" borderId="2" xfId="2" applyFont="1" applyFill="1" applyBorder="1"/>
    <xf numFmtId="0" fontId="0" fillId="10" borderId="2" xfId="2" applyFont="1" applyFill="1" applyBorder="1"/>
    <xf numFmtId="0" fontId="7" fillId="0" borderId="0" xfId="2" applyFont="1" applyAlignment="1" applyProtection="1">
      <alignment vertical="top" wrapText="1"/>
      <protection locked="0"/>
    </xf>
    <xf numFmtId="0" fontId="0" fillId="0" borderId="0" xfId="2" applyFont="1" applyAlignment="1" applyProtection="1">
      <alignment vertical="top"/>
      <protection locked="0"/>
    </xf>
    <xf numFmtId="0" fontId="5" fillId="0" borderId="0" xfId="2" applyFont="1"/>
    <xf numFmtId="1" fontId="21" fillId="0" borderId="0" xfId="2" applyNumberFormat="1" applyFont="1"/>
    <xf numFmtId="0" fontId="9" fillId="5" borderId="0" xfId="2" applyFont="1" applyFill="1" applyBorder="1" applyAlignment="1" applyProtection="1">
      <alignment horizontal="center" vertical="center" wrapText="1"/>
    </xf>
    <xf numFmtId="0" fontId="0" fillId="10" borderId="0" xfId="2" applyFont="1" applyFill="1" applyBorder="1" applyProtection="1"/>
    <xf numFmtId="3" fontId="2" fillId="11" borderId="4" xfId="2" applyNumberFormat="1" applyFont="1" applyFill="1" applyBorder="1" applyProtection="1">
      <protection hidden="1"/>
    </xf>
    <xf numFmtId="3" fontId="0" fillId="3" borderId="0" xfId="2" applyNumberFormat="1" applyFont="1" applyFill="1" applyBorder="1" applyProtection="1"/>
    <xf numFmtId="0" fontId="0" fillId="6" borderId="3" xfId="2" applyNumberFormat="1" applyFont="1" applyFill="1" applyBorder="1" applyProtection="1"/>
    <xf numFmtId="0" fontId="3" fillId="10" borderId="0" xfId="2" applyFont="1" applyFill="1" applyBorder="1" applyProtection="1"/>
    <xf numFmtId="0" fontId="0" fillId="10" borderId="0" xfId="2" applyFont="1" applyFill="1" applyBorder="1"/>
    <xf numFmtId="0" fontId="0" fillId="12" borderId="0" xfId="2" applyFont="1" applyFill="1" applyProtection="1"/>
    <xf numFmtId="0" fontId="0" fillId="12" borderId="0" xfId="2" applyFont="1" applyFill="1" applyBorder="1" applyProtection="1"/>
    <xf numFmtId="0" fontId="0" fillId="12" borderId="0" xfId="2" applyFont="1" applyFill="1"/>
    <xf numFmtId="0" fontId="0" fillId="0" borderId="2" xfId="2" applyFont="1" applyBorder="1"/>
    <xf numFmtId="3" fontId="0" fillId="0" borderId="0" xfId="2" applyNumberFormat="1" applyFont="1"/>
    <xf numFmtId="0" fontId="1" fillId="0" borderId="0" xfId="2" applyFont="1"/>
    <xf numFmtId="0" fontId="26" fillId="0" borderId="0" xfId="2" applyFont="1"/>
    <xf numFmtId="0" fontId="0" fillId="0" borderId="0" xfId="2" applyFont="1" applyFill="1"/>
    <xf numFmtId="0" fontId="5" fillId="0" borderId="0" xfId="2" applyFont="1" applyFill="1"/>
    <xf numFmtId="0" fontId="26" fillId="0" borderId="0" xfId="2" applyFont="1" applyAlignment="1">
      <alignment horizontal="center"/>
    </xf>
    <xf numFmtId="0" fontId="3" fillId="0" borderId="0" xfId="2" applyFont="1" applyProtection="1">
      <protection hidden="1"/>
    </xf>
    <xf numFmtId="0" fontId="0" fillId="0" borderId="0" xfId="2" applyFont="1" applyProtection="1">
      <protection hidden="1"/>
    </xf>
    <xf numFmtId="0" fontId="1" fillId="0" borderId="0" xfId="2" applyFont="1" applyProtection="1">
      <protection hidden="1"/>
    </xf>
    <xf numFmtId="0" fontId="1" fillId="0" borderId="0" xfId="2" applyFont="1" applyAlignment="1" applyProtection="1">
      <alignment horizontal="center"/>
      <protection hidden="1"/>
    </xf>
    <xf numFmtId="0" fontId="5" fillId="0" borderId="0" xfId="2" applyFont="1" applyProtection="1">
      <protection hidden="1"/>
    </xf>
    <xf numFmtId="0" fontId="26" fillId="0" borderId="0" xfId="2" applyFont="1" applyProtection="1">
      <protection hidden="1"/>
    </xf>
    <xf numFmtId="1" fontId="21" fillId="0" borderId="0" xfId="2" applyNumberFormat="1" applyFont="1" applyProtection="1">
      <protection hidden="1"/>
    </xf>
    <xf numFmtId="0" fontId="26" fillId="0" borderId="5" xfId="2" applyFont="1" applyFill="1" applyBorder="1" applyProtection="1">
      <protection locked="0"/>
    </xf>
    <xf numFmtId="0" fontId="5" fillId="8" borderId="6" xfId="2" applyFont="1" applyFill="1" applyBorder="1" applyProtection="1">
      <protection hidden="1"/>
    </xf>
    <xf numFmtId="0" fontId="5" fillId="8" borderId="6" xfId="2" applyFont="1" applyFill="1" applyBorder="1" applyAlignment="1" applyProtection="1">
      <alignment vertical="center" wrapText="1"/>
      <protection hidden="1"/>
    </xf>
    <xf numFmtId="0" fontId="26" fillId="0" borderId="0" xfId="2" applyFont="1" applyBorder="1" applyProtection="1">
      <protection hidden="1"/>
    </xf>
    <xf numFmtId="0" fontId="5" fillId="0" borderId="7" xfId="2" applyFont="1" applyFill="1" applyBorder="1" applyProtection="1">
      <protection hidden="1"/>
    </xf>
    <xf numFmtId="0" fontId="3" fillId="8" borderId="8" xfId="2" applyFont="1" applyFill="1" applyBorder="1" applyProtection="1">
      <protection hidden="1"/>
    </xf>
    <xf numFmtId="0" fontId="26" fillId="8" borderId="9" xfId="2" applyFont="1" applyFill="1" applyBorder="1" applyProtection="1">
      <protection hidden="1"/>
    </xf>
    <xf numFmtId="0" fontId="3" fillId="8" borderId="6" xfId="2" applyFont="1" applyFill="1" applyBorder="1" applyAlignment="1" applyProtection="1">
      <alignment vertical="center" wrapText="1"/>
      <protection hidden="1"/>
    </xf>
    <xf numFmtId="0" fontId="5" fillId="2" borderId="7" xfId="2" applyFont="1" applyFill="1" applyBorder="1" applyProtection="1">
      <protection hidden="1"/>
    </xf>
    <xf numFmtId="0" fontId="26" fillId="2" borderId="0" xfId="2" applyFont="1" applyFill="1" applyBorder="1" applyProtection="1">
      <protection hidden="1"/>
    </xf>
    <xf numFmtId="166" fontId="26" fillId="2" borderId="10" xfId="2" applyNumberFormat="1" applyFont="1" applyFill="1" applyBorder="1" applyAlignment="1" applyProtection="1">
      <alignment horizontal="center"/>
      <protection hidden="1"/>
    </xf>
    <xf numFmtId="0" fontId="5" fillId="2" borderId="7" xfId="2" applyFont="1" applyFill="1" applyBorder="1" applyAlignment="1" applyProtection="1">
      <alignment vertical="center" wrapText="1"/>
      <protection hidden="1"/>
    </xf>
    <xf numFmtId="166" fontId="26" fillId="2" borderId="0" xfId="2" applyNumberFormat="1" applyFont="1" applyFill="1" applyBorder="1" applyAlignment="1" applyProtection="1">
      <alignment horizontal="center"/>
      <protection hidden="1"/>
    </xf>
    <xf numFmtId="0" fontId="3" fillId="8" borderId="11" xfId="2" applyFont="1" applyFill="1" applyBorder="1" applyAlignment="1" applyProtection="1">
      <alignment vertical="center"/>
      <protection hidden="1"/>
    </xf>
    <xf numFmtId="0" fontId="3" fillId="8" borderId="12" xfId="2" applyFont="1" applyFill="1" applyBorder="1" applyAlignment="1" applyProtection="1">
      <alignment horizontal="center" vertical="center"/>
      <protection hidden="1"/>
    </xf>
    <xf numFmtId="0" fontId="26" fillId="8" borderId="13" xfId="2" applyFont="1" applyFill="1" applyBorder="1" applyAlignment="1" applyProtection="1">
      <alignment vertical="center"/>
      <protection hidden="1"/>
    </xf>
    <xf numFmtId="0" fontId="18" fillId="0" borderId="2" xfId="2" applyFont="1" applyFill="1" applyBorder="1" applyAlignment="1" applyProtection="1">
      <alignment horizontal="center" vertical="center" wrapText="1"/>
      <protection hidden="1"/>
    </xf>
    <xf numFmtId="0" fontId="16" fillId="13" borderId="2" xfId="2" applyFont="1" applyFill="1" applyBorder="1" applyAlignment="1" applyProtection="1">
      <alignment horizontal="center" vertical="center" wrapText="1"/>
      <protection hidden="1"/>
    </xf>
    <xf numFmtId="0" fontId="13" fillId="0" borderId="2" xfId="2" applyFont="1" applyFill="1" applyBorder="1" applyAlignment="1" applyProtection="1">
      <alignment horizontal="center" vertical="center" wrapText="1"/>
      <protection hidden="1"/>
    </xf>
    <xf numFmtId="0" fontId="14" fillId="6" borderId="2" xfId="2" applyFont="1" applyFill="1" applyBorder="1" applyAlignment="1" applyProtection="1">
      <alignment horizontal="center" vertical="center" wrapText="1"/>
      <protection hidden="1"/>
    </xf>
    <xf numFmtId="0" fontId="5" fillId="2" borderId="14" xfId="2" applyFont="1" applyFill="1" applyBorder="1" applyProtection="1">
      <protection hidden="1"/>
    </xf>
    <xf numFmtId="3" fontId="0" fillId="8" borderId="2" xfId="2" applyNumberFormat="1" applyFont="1" applyFill="1" applyBorder="1" applyProtection="1">
      <protection hidden="1"/>
    </xf>
    <xf numFmtId="3" fontId="0" fillId="6" borderId="2" xfId="2" applyNumberFormat="1" applyFont="1" applyFill="1" applyBorder="1" applyProtection="1">
      <protection hidden="1"/>
    </xf>
    <xf numFmtId="3" fontId="1" fillId="8" borderId="2" xfId="2" applyNumberFormat="1" applyFont="1" applyFill="1" applyBorder="1" applyProtection="1">
      <protection hidden="1"/>
    </xf>
    <xf numFmtId="0" fontId="5" fillId="2" borderId="14" xfId="2" applyFont="1" applyFill="1" applyBorder="1" applyAlignment="1" applyProtection="1">
      <alignment wrapText="1"/>
      <protection hidden="1"/>
    </xf>
    <xf numFmtId="0" fontId="25" fillId="10" borderId="14" xfId="2" applyFont="1" applyFill="1" applyBorder="1" applyAlignment="1" applyProtection="1">
      <alignment wrapText="1"/>
      <protection hidden="1"/>
    </xf>
    <xf numFmtId="3" fontId="1" fillId="6" borderId="2" xfId="2" applyNumberFormat="1" applyFont="1" applyFill="1" applyBorder="1" applyProtection="1">
      <protection hidden="1"/>
    </xf>
    <xf numFmtId="0" fontId="25" fillId="14" borderId="14" xfId="2" applyFont="1" applyFill="1" applyBorder="1" applyAlignment="1" applyProtection="1">
      <alignment wrapText="1"/>
      <protection hidden="1"/>
    </xf>
    <xf numFmtId="0" fontId="0" fillId="2" borderId="14" xfId="2" applyFont="1" applyFill="1" applyBorder="1" applyProtection="1">
      <protection hidden="1"/>
    </xf>
    <xf numFmtId="0" fontId="5" fillId="2" borderId="14" xfId="2" applyFont="1" applyFill="1" applyBorder="1" applyAlignment="1" applyProtection="1">
      <alignment vertical="top" wrapText="1"/>
      <protection hidden="1"/>
    </xf>
    <xf numFmtId="0" fontId="0" fillId="11" borderId="14" xfId="2" applyFont="1" applyFill="1" applyBorder="1" applyProtection="1">
      <protection hidden="1"/>
    </xf>
    <xf numFmtId="0" fontId="0" fillId="11" borderId="2" xfId="2" applyFont="1" applyFill="1" applyBorder="1" applyProtection="1">
      <protection hidden="1"/>
    </xf>
    <xf numFmtId="3" fontId="0" fillId="11" borderId="2" xfId="2" applyNumberFormat="1" applyFont="1" applyFill="1" applyBorder="1" applyProtection="1">
      <protection hidden="1"/>
    </xf>
    <xf numFmtId="3" fontId="5" fillId="11" borderId="2" xfId="2" applyNumberFormat="1" applyFont="1" applyFill="1" applyBorder="1" applyProtection="1">
      <protection hidden="1"/>
    </xf>
    <xf numFmtId="3" fontId="1" fillId="11" borderId="2" xfId="2" applyNumberFormat="1" applyFont="1" applyFill="1" applyBorder="1" applyProtection="1">
      <protection hidden="1"/>
    </xf>
    <xf numFmtId="166" fontId="0" fillId="8" borderId="2" xfId="2" applyNumberFormat="1" applyFont="1" applyFill="1" applyBorder="1" applyProtection="1">
      <protection hidden="1"/>
    </xf>
    <xf numFmtId="166" fontId="5" fillId="8" borderId="2" xfId="2" applyNumberFormat="1" applyFont="1" applyFill="1" applyBorder="1" applyProtection="1">
      <protection hidden="1"/>
    </xf>
    <xf numFmtId="166" fontId="26" fillId="8" borderId="2" xfId="2" applyNumberFormat="1" applyFont="1" applyFill="1" applyBorder="1" applyProtection="1">
      <protection hidden="1"/>
    </xf>
    <xf numFmtId="0" fontId="6" fillId="11" borderId="15" xfId="2" applyFont="1" applyFill="1" applyBorder="1" applyProtection="1">
      <protection hidden="1"/>
    </xf>
    <xf numFmtId="0" fontId="32" fillId="0" borderId="16" xfId="2" applyFont="1" applyFill="1" applyBorder="1" applyAlignment="1" applyProtection="1">
      <alignment horizontal="left"/>
      <protection locked="0"/>
    </xf>
    <xf numFmtId="0" fontId="32" fillId="0" borderId="17" xfId="2" applyFont="1" applyFill="1" applyBorder="1" applyAlignment="1" applyProtection="1">
      <alignment horizontal="left"/>
      <protection locked="0"/>
    </xf>
    <xf numFmtId="0" fontId="32" fillId="0" borderId="18" xfId="2" applyFont="1" applyFill="1" applyBorder="1" applyAlignment="1" applyProtection="1">
      <alignment horizontal="left"/>
      <protection locked="0"/>
    </xf>
    <xf numFmtId="0" fontId="35" fillId="0" borderId="19" xfId="2" applyFont="1" applyFill="1" applyBorder="1" applyAlignment="1" applyProtection="1">
      <alignment horizontal="centerContinuous" vertical="center"/>
      <protection locked="0"/>
    </xf>
    <xf numFmtId="0" fontId="35" fillId="0" borderId="0" xfId="2" applyFont="1" applyFill="1" applyBorder="1" applyAlignment="1" applyProtection="1">
      <alignment horizontal="left" vertical="center"/>
      <protection locked="0"/>
    </xf>
    <xf numFmtId="0" fontId="32" fillId="0" borderId="0" xfId="2" applyFont="1" applyFill="1" applyBorder="1" applyAlignment="1" applyProtection="1">
      <alignment horizontal="centerContinuous" vertical="center" wrapText="1"/>
      <protection locked="0"/>
    </xf>
    <xf numFmtId="0" fontId="32" fillId="0" borderId="20" xfId="2" applyFont="1" applyFill="1" applyBorder="1" applyAlignment="1" applyProtection="1">
      <alignment horizontal="centerContinuous" vertical="center" wrapText="1"/>
      <protection locked="0"/>
    </xf>
    <xf numFmtId="0" fontId="35" fillId="0" borderId="21" xfId="2" applyFont="1" applyFill="1" applyBorder="1" applyAlignment="1" applyProtection="1">
      <alignment horizontal="centerContinuous" vertical="center"/>
      <protection locked="0"/>
    </xf>
    <xf numFmtId="0" fontId="35" fillId="0" borderId="22" xfId="2" applyFont="1" applyFill="1" applyBorder="1" applyAlignment="1" applyProtection="1">
      <alignment horizontal="left" vertical="center"/>
      <protection locked="0"/>
    </xf>
    <xf numFmtId="0" fontId="32" fillId="0" borderId="22" xfId="2" applyFont="1" applyFill="1" applyBorder="1" applyAlignment="1" applyProtection="1">
      <alignment horizontal="centerContinuous" vertical="center" wrapText="1"/>
      <protection locked="0"/>
    </xf>
    <xf numFmtId="0" fontId="32" fillId="0" borderId="23" xfId="2" applyFont="1" applyFill="1" applyBorder="1" applyAlignment="1" applyProtection="1">
      <alignment horizontal="centerContinuous" vertical="center" wrapText="1"/>
      <protection locked="0"/>
    </xf>
    <xf numFmtId="0" fontId="31" fillId="15" borderId="24" xfId="2" applyFont="1" applyFill="1" applyBorder="1" applyAlignment="1">
      <alignment horizontal="centerContinuous" vertical="center"/>
    </xf>
    <xf numFmtId="0" fontId="31" fillId="15" borderId="25" xfId="2" applyFont="1" applyFill="1" applyBorder="1" applyAlignment="1">
      <alignment horizontal="centerContinuous" vertical="center"/>
    </xf>
    <xf numFmtId="0" fontId="32" fillId="0" borderId="26" xfId="2" applyFont="1" applyFill="1" applyBorder="1" applyAlignment="1">
      <alignment horizontal="centerContinuous" vertical="center" wrapText="1"/>
    </xf>
    <xf numFmtId="0" fontId="33" fillId="15" borderId="27" xfId="2" applyFont="1" applyFill="1" applyBorder="1" applyAlignment="1">
      <alignment horizontal="centerContinuous" vertical="center" wrapText="1"/>
    </xf>
    <xf numFmtId="0" fontId="33" fillId="15" borderId="0" xfId="2" applyFont="1" applyFill="1" applyBorder="1" applyAlignment="1">
      <alignment horizontal="centerContinuous" vertical="center" wrapText="1"/>
    </xf>
    <xf numFmtId="0" fontId="33" fillId="15" borderId="28" xfId="2" applyFont="1" applyFill="1" applyBorder="1" applyAlignment="1">
      <alignment horizontal="centerContinuous" vertical="center" wrapText="1"/>
    </xf>
    <xf numFmtId="0" fontId="33" fillId="15" borderId="29" xfId="2" applyFont="1" applyFill="1" applyBorder="1" applyAlignment="1">
      <alignment horizontal="centerContinuous" vertical="center" wrapText="1"/>
    </xf>
    <xf numFmtId="0" fontId="31" fillId="12" borderId="0" xfId="2" applyFont="1" applyFill="1" applyBorder="1" applyAlignment="1">
      <alignment vertical="center" wrapText="1"/>
    </xf>
    <xf numFmtId="0" fontId="31" fillId="12" borderId="0" xfId="2" applyFont="1" applyFill="1" applyBorder="1" applyAlignment="1">
      <alignment horizontal="centerContinuous" vertical="center" wrapText="1"/>
    </xf>
    <xf numFmtId="0" fontId="32" fillId="0" borderId="30" xfId="2" applyFont="1" applyFill="1" applyBorder="1" applyAlignment="1">
      <alignment horizontal="centerContinuous" vertical="center" wrapText="1"/>
    </xf>
    <xf numFmtId="0" fontId="33" fillId="15" borderId="2" xfId="2" applyFont="1" applyFill="1" applyBorder="1" applyAlignment="1">
      <alignment horizontal="centerContinuous" vertical="center" wrapText="1"/>
    </xf>
    <xf numFmtId="0" fontId="33" fillId="15" borderId="31" xfId="2" applyFont="1" applyFill="1" applyBorder="1" applyAlignment="1">
      <alignment horizontal="centerContinuous" vertical="center" wrapText="1"/>
    </xf>
    <xf numFmtId="0" fontId="38" fillId="12" borderId="0" xfId="2" applyFont="1" applyFill="1" applyBorder="1" applyAlignment="1">
      <alignment vertical="center" wrapText="1"/>
    </xf>
    <xf numFmtId="0" fontId="31" fillId="0" borderId="32" xfId="2" applyFont="1" applyBorder="1" applyAlignment="1">
      <alignment horizontal="center"/>
    </xf>
    <xf numFmtId="0" fontId="33" fillId="0" borderId="33" xfId="2" applyFont="1" applyBorder="1" applyAlignment="1">
      <alignment horizontal="center" wrapText="1"/>
    </xf>
    <xf numFmtId="0" fontId="32" fillId="0" borderId="33" xfId="2" applyFont="1" applyFill="1" applyBorder="1" applyAlignment="1">
      <alignment horizontal="center" vertical="center" wrapText="1"/>
    </xf>
    <xf numFmtId="0" fontId="33" fillId="15" borderId="34" xfId="2" applyFont="1" applyFill="1" applyBorder="1" applyAlignment="1">
      <alignment horizontal="centerContinuous" vertical="center" wrapText="1"/>
    </xf>
    <xf numFmtId="0" fontId="33" fillId="15" borderId="35" xfId="2" applyFont="1" applyFill="1" applyBorder="1" applyAlignment="1">
      <alignment horizontal="centerContinuous" vertical="center" wrapText="1"/>
    </xf>
    <xf numFmtId="0" fontId="33" fillId="12" borderId="0" xfId="2" applyFont="1" applyFill="1" applyBorder="1" applyAlignment="1">
      <alignment horizontal="center" vertical="center" wrapText="1"/>
    </xf>
    <xf numFmtId="0" fontId="31" fillId="0" borderId="36" xfId="2" applyNumberFormat="1" applyFont="1" applyFill="1" applyBorder="1" applyAlignment="1"/>
    <xf numFmtId="3" fontId="31" fillId="0" borderId="37" xfId="2" applyNumberFormat="1" applyFont="1" applyBorder="1" applyAlignment="1" applyProtection="1">
      <alignment horizontal="center"/>
      <protection hidden="1"/>
    </xf>
    <xf numFmtId="9" fontId="31" fillId="0" borderId="38" xfId="9" applyNumberFormat="1" applyFont="1" applyBorder="1" applyAlignment="1" applyProtection="1">
      <alignment horizontal="center"/>
      <protection hidden="1"/>
    </xf>
    <xf numFmtId="3" fontId="35" fillId="0" borderId="37" xfId="2" applyNumberFormat="1" applyFont="1" applyBorder="1" applyAlignment="1" applyProtection="1">
      <alignment horizontal="center"/>
      <protection locked="0"/>
    </xf>
    <xf numFmtId="0" fontId="31" fillId="0" borderId="39" xfId="2" applyNumberFormat="1" applyFont="1" applyFill="1" applyBorder="1" applyAlignment="1"/>
    <xf numFmtId="3" fontId="35" fillId="0" borderId="40" xfId="2" applyNumberFormat="1" applyFont="1" applyBorder="1" applyAlignment="1" applyProtection="1">
      <alignment horizontal="center"/>
      <protection locked="0"/>
    </xf>
    <xf numFmtId="0" fontId="31" fillId="0" borderId="41" xfId="2" applyNumberFormat="1" applyFont="1" applyFill="1" applyBorder="1" applyAlignment="1"/>
    <xf numFmtId="3" fontId="35" fillId="0" borderId="42" xfId="2" applyNumberFormat="1" applyFont="1" applyBorder="1" applyAlignment="1" applyProtection="1">
      <alignment horizontal="center"/>
      <protection locked="0"/>
    </xf>
    <xf numFmtId="3" fontId="35" fillId="12" borderId="0" xfId="2" applyNumberFormat="1" applyFont="1" applyFill="1" applyBorder="1" applyAlignment="1">
      <alignment horizontal="centerContinuous" vertical="center"/>
    </xf>
    <xf numFmtId="0" fontId="31" fillId="15" borderId="36" xfId="2" applyFont="1" applyFill="1" applyBorder="1" applyAlignment="1">
      <alignment horizontal="left"/>
    </xf>
    <xf numFmtId="9" fontId="31" fillId="15" borderId="38" xfId="9" applyNumberFormat="1" applyFont="1" applyFill="1" applyBorder="1" applyAlignment="1" applyProtection="1">
      <alignment horizontal="center"/>
      <protection hidden="1"/>
    </xf>
    <xf numFmtId="0" fontId="35" fillId="15" borderId="37" xfId="2" applyFont="1" applyFill="1" applyBorder="1" applyAlignment="1" applyProtection="1">
      <alignment horizontal="center"/>
      <protection locked="0"/>
    </xf>
    <xf numFmtId="0" fontId="31" fillId="0" borderId="39" xfId="2" applyFont="1" applyBorder="1" applyAlignment="1">
      <alignment horizontal="left"/>
    </xf>
    <xf numFmtId="0" fontId="31" fillId="0" borderId="41" xfId="2" applyFont="1" applyBorder="1" applyAlignment="1">
      <alignment horizontal="left"/>
    </xf>
    <xf numFmtId="0" fontId="31" fillId="0" borderId="32" xfId="2" applyFont="1" applyBorder="1" applyAlignment="1">
      <alignment horizontal="left"/>
    </xf>
    <xf numFmtId="3" fontId="35" fillId="0" borderId="43" xfId="2" applyNumberFormat="1" applyFont="1" applyBorder="1" applyAlignment="1" applyProtection="1">
      <alignment horizontal="center"/>
      <protection locked="0"/>
    </xf>
    <xf numFmtId="3" fontId="31" fillId="15" borderId="38" xfId="2" applyNumberFormat="1" applyFont="1" applyFill="1" applyBorder="1" applyAlignment="1" applyProtection="1">
      <alignment horizontal="center"/>
      <protection hidden="1"/>
    </xf>
    <xf numFmtId="0" fontId="35" fillId="15" borderId="44" xfId="2" applyFont="1" applyFill="1" applyBorder="1" applyAlignment="1" applyProtection="1">
      <alignment horizontal="center"/>
      <protection locked="0"/>
    </xf>
    <xf numFmtId="3" fontId="35" fillId="0" borderId="40" xfId="2" applyNumberFormat="1" applyFont="1" applyFill="1" applyBorder="1" applyAlignment="1" applyProtection="1">
      <alignment horizontal="center"/>
      <protection locked="0"/>
    </xf>
    <xf numFmtId="3" fontId="35" fillId="0" borderId="42" xfId="2" applyNumberFormat="1" applyFont="1" applyFill="1" applyBorder="1" applyAlignment="1" applyProtection="1">
      <alignment horizontal="center"/>
      <protection locked="0"/>
    </xf>
    <xf numFmtId="0" fontId="31" fillId="0" borderId="36" xfId="2" applyFont="1" applyBorder="1" applyAlignment="1">
      <alignment horizontal="left"/>
    </xf>
    <xf numFmtId="3" fontId="35" fillId="0" borderId="45" xfId="2" applyNumberFormat="1" applyFont="1" applyBorder="1" applyAlignment="1" applyProtection="1">
      <alignment horizontal="center"/>
      <protection locked="0"/>
    </xf>
    <xf numFmtId="0" fontId="31" fillId="0" borderId="46" xfId="2" applyFont="1" applyBorder="1" applyAlignment="1">
      <alignment horizontal="left"/>
    </xf>
    <xf numFmtId="3" fontId="35" fillId="15" borderId="37" xfId="2" applyNumberFormat="1" applyFont="1" applyFill="1" applyBorder="1" applyAlignment="1" applyProtection="1">
      <alignment horizontal="center"/>
      <protection locked="0"/>
    </xf>
    <xf numFmtId="0" fontId="35" fillId="0" borderId="47" xfId="2" applyFont="1" applyFill="1" applyBorder="1"/>
    <xf numFmtId="0" fontId="31" fillId="0" borderId="48" xfId="2" applyFont="1" applyBorder="1" applyAlignment="1">
      <alignment horizontal="left"/>
    </xf>
    <xf numFmtId="3" fontId="35" fillId="0" borderId="49" xfId="2" applyNumberFormat="1" applyFont="1" applyBorder="1" applyAlignment="1" applyProtection="1">
      <alignment horizontal="center"/>
      <protection locked="0"/>
    </xf>
    <xf numFmtId="0" fontId="31" fillId="0" borderId="0" xfId="2" applyFont="1" applyBorder="1" applyAlignment="1">
      <alignment horizontal="left"/>
    </xf>
    <xf numFmtId="3" fontId="31" fillId="0" borderId="50" xfId="2" applyNumberFormat="1" applyFont="1" applyBorder="1" applyAlignment="1" applyProtection="1">
      <alignment horizontal="right"/>
      <protection hidden="1"/>
    </xf>
    <xf numFmtId="3" fontId="31" fillId="0" borderId="51" xfId="2" applyNumberFormat="1" applyFont="1" applyBorder="1" applyAlignment="1" applyProtection="1">
      <alignment horizontal="right"/>
      <protection hidden="1"/>
    </xf>
    <xf numFmtId="3" fontId="31" fillId="0" borderId="26" xfId="2" applyNumberFormat="1" applyFont="1" applyFill="1" applyBorder="1" applyAlignment="1" applyProtection="1">
      <alignment horizontal="center"/>
      <protection locked="0"/>
    </xf>
    <xf numFmtId="3" fontId="35" fillId="0" borderId="51" xfId="2" applyNumberFormat="1" applyFont="1" applyBorder="1" applyAlignment="1" applyProtection="1">
      <alignment horizontal="centerContinuous"/>
      <protection hidden="1"/>
    </xf>
    <xf numFmtId="3" fontId="31" fillId="0" borderId="52" xfId="2" applyNumberFormat="1" applyFont="1" applyBorder="1" applyAlignment="1" applyProtection="1">
      <alignment horizontal="centerContinuous"/>
      <protection hidden="1"/>
    </xf>
    <xf numFmtId="3" fontId="31" fillId="0" borderId="53" xfId="2" applyNumberFormat="1" applyFont="1" applyBorder="1" applyAlignment="1" applyProtection="1">
      <alignment horizontal="centerContinuous"/>
      <protection hidden="1"/>
    </xf>
    <xf numFmtId="3" fontId="31" fillId="12" borderId="0" xfId="2" applyNumberFormat="1" applyFont="1" applyFill="1" applyBorder="1" applyAlignment="1">
      <alignment horizontal="center"/>
    </xf>
    <xf numFmtId="0" fontId="39" fillId="12" borderId="0" xfId="2" applyFont="1" applyFill="1" applyBorder="1" applyAlignment="1">
      <alignment horizontal="left"/>
    </xf>
    <xf numFmtId="0" fontId="40" fillId="0" borderId="0" xfId="2" applyFont="1" applyFill="1"/>
    <xf numFmtId="0" fontId="40" fillId="0" borderId="0" xfId="2" applyFont="1" applyFill="1" applyAlignment="1">
      <alignment horizontal="center"/>
    </xf>
    <xf numFmtId="0" fontId="40" fillId="0" borderId="0" xfId="2" applyFont="1" applyBorder="1"/>
    <xf numFmtId="9" fontId="40" fillId="0" borderId="0" xfId="2" applyNumberFormat="1" applyFont="1" applyBorder="1"/>
    <xf numFmtId="0" fontId="40" fillId="0" borderId="0" xfId="2" applyFont="1" applyFill="1" applyBorder="1"/>
    <xf numFmtId="0" fontId="3" fillId="0" borderId="0" xfId="2" applyFont="1" applyFill="1" applyAlignment="1">
      <alignment horizontal="center"/>
    </xf>
    <xf numFmtId="0" fontId="30" fillId="0" borderId="0" xfId="2" applyFont="1" applyFill="1"/>
    <xf numFmtId="3" fontId="40" fillId="0" borderId="0" xfId="2" applyNumberFormat="1" applyFont="1" applyFill="1" applyBorder="1"/>
    <xf numFmtId="0" fontId="29" fillId="0" borderId="0" xfId="2" applyFont="1"/>
    <xf numFmtId="1" fontId="40" fillId="0" borderId="54" xfId="2" applyNumberFormat="1" applyFont="1" applyFill="1" applyBorder="1"/>
    <xf numFmtId="9" fontId="40" fillId="0" borderId="0" xfId="2" applyNumberFormat="1" applyFont="1" applyFill="1" applyBorder="1"/>
    <xf numFmtId="0" fontId="31" fillId="0" borderId="0" xfId="2" applyFont="1" applyFill="1" applyBorder="1" applyAlignment="1">
      <alignment horizontal="left"/>
    </xf>
    <xf numFmtId="1" fontId="40" fillId="0" borderId="55" xfId="2" applyNumberFormat="1" applyFont="1" applyFill="1" applyBorder="1"/>
    <xf numFmtId="1" fontId="40" fillId="0" borderId="56" xfId="2" applyNumberFormat="1" applyFont="1" applyFill="1" applyBorder="1"/>
    <xf numFmtId="0" fontId="30" fillId="0" borderId="55" xfId="2" applyFont="1" applyFill="1" applyBorder="1"/>
    <xf numFmtId="1" fontId="40" fillId="0" borderId="57" xfId="2" applyNumberFormat="1" applyFont="1" applyFill="1" applyBorder="1"/>
    <xf numFmtId="0" fontId="30" fillId="0" borderId="0" xfId="2" applyFont="1" applyFill="1" applyBorder="1"/>
    <xf numFmtId="0" fontId="40" fillId="12" borderId="0" xfId="2" applyFont="1" applyFill="1" applyBorder="1"/>
    <xf numFmtId="3" fontId="40" fillId="12" borderId="0" xfId="2" applyNumberFormat="1" applyFont="1" applyFill="1" applyBorder="1"/>
    <xf numFmtId="3" fontId="40" fillId="12" borderId="0" xfId="2" applyNumberFormat="1" applyFont="1" applyFill="1" applyBorder="1" applyAlignment="1">
      <alignment horizontal="center"/>
    </xf>
    <xf numFmtId="0" fontId="40" fillId="12" borderId="0" xfId="2" applyFont="1" applyFill="1" applyBorder="1" applyAlignment="1">
      <alignment horizontal="center"/>
    </xf>
    <xf numFmtId="1" fontId="40" fillId="6" borderId="58" xfId="2" applyNumberFormat="1" applyFont="1" applyFill="1" applyBorder="1"/>
    <xf numFmtId="0" fontId="30" fillId="0" borderId="0" xfId="2" applyFont="1" applyFill="1" applyAlignment="1">
      <alignment horizontal="center"/>
    </xf>
    <xf numFmtId="1" fontId="40" fillId="7" borderId="58" xfId="2" applyNumberFormat="1" applyFont="1" applyFill="1" applyBorder="1"/>
    <xf numFmtId="1" fontId="40" fillId="0" borderId="58" xfId="2" applyNumberFormat="1" applyFont="1" applyFill="1" applyBorder="1"/>
    <xf numFmtId="0" fontId="41" fillId="0" borderId="0" xfId="2" applyFont="1" applyFill="1"/>
    <xf numFmtId="1" fontId="40" fillId="16" borderId="58" xfId="2" applyNumberFormat="1" applyFont="1" applyFill="1" applyBorder="1"/>
    <xf numFmtId="1" fontId="40" fillId="16" borderId="59" xfId="2" applyNumberFormat="1" applyFont="1" applyFill="1" applyBorder="1"/>
    <xf numFmtId="0" fontId="37" fillId="0" borderId="0" xfId="2" applyFont="1" applyBorder="1"/>
    <xf numFmtId="0" fontId="42" fillId="0" borderId="0" xfId="2" applyFont="1" applyBorder="1" applyAlignment="1">
      <alignment horizontal="center" vertical="center" wrapText="1"/>
    </xf>
    <xf numFmtId="1" fontId="30" fillId="0" borderId="0" xfId="2" applyNumberFormat="1" applyFont="1" applyFill="1"/>
    <xf numFmtId="9" fontId="30" fillId="0" borderId="0" xfId="2" applyNumberFormat="1" applyFont="1" applyFill="1" applyAlignment="1">
      <alignment horizontal="center"/>
    </xf>
    <xf numFmtId="9" fontId="30" fillId="0" borderId="0" xfId="2" applyNumberFormat="1" applyFont="1" applyFill="1"/>
    <xf numFmtId="3" fontId="1" fillId="8" borderId="60" xfId="2" applyNumberFormat="1" applyFont="1" applyFill="1" applyBorder="1" applyProtection="1">
      <protection hidden="1"/>
    </xf>
    <xf numFmtId="3" fontId="1" fillId="6" borderId="60" xfId="2" applyNumberFormat="1" applyFont="1" applyFill="1" applyBorder="1" applyProtection="1">
      <protection hidden="1"/>
    </xf>
    <xf numFmtId="3" fontId="1" fillId="11" borderId="60" xfId="2" applyNumberFormat="1" applyFont="1" applyFill="1" applyBorder="1" applyProtection="1">
      <protection hidden="1"/>
    </xf>
    <xf numFmtId="0" fontId="1" fillId="0" borderId="0" xfId="2" applyFont="1" applyFill="1" applyBorder="1" applyProtection="1">
      <protection hidden="1"/>
    </xf>
    <xf numFmtId="0" fontId="3" fillId="0" borderId="0" xfId="2" applyFont="1" applyFill="1" applyBorder="1" applyProtection="1">
      <protection hidden="1"/>
    </xf>
    <xf numFmtId="0" fontId="28" fillId="0" borderId="0" xfId="2" applyFont="1" applyFill="1" applyBorder="1" applyProtection="1">
      <protection hidden="1"/>
    </xf>
    <xf numFmtId="0" fontId="1" fillId="0" borderId="0" xfId="2" applyFont="1" applyFill="1" applyBorder="1" applyAlignment="1" applyProtection="1">
      <alignment horizontal="center"/>
      <protection hidden="1"/>
    </xf>
    <xf numFmtId="0" fontId="5" fillId="0" borderId="0" xfId="2" applyFont="1" applyFill="1" applyBorder="1" applyProtection="1">
      <protection hidden="1"/>
    </xf>
    <xf numFmtId="0" fontId="26" fillId="0" borderId="0" xfId="2" applyFont="1" applyFill="1" applyBorder="1" applyProtection="1">
      <protection hidden="1"/>
    </xf>
    <xf numFmtId="0" fontId="26" fillId="0" borderId="0" xfId="2" applyFont="1" applyFill="1" applyBorder="1"/>
    <xf numFmtId="0" fontId="0" fillId="0" borderId="0" xfId="2" applyFont="1" applyFill="1" applyBorder="1"/>
    <xf numFmtId="0" fontId="5" fillId="0" borderId="0" xfId="2" applyFont="1" applyFill="1" applyBorder="1"/>
    <xf numFmtId="0" fontId="28" fillId="2" borderId="61" xfId="2" applyFont="1" applyFill="1" applyBorder="1" applyProtection="1">
      <protection hidden="1"/>
    </xf>
    <xf numFmtId="0" fontId="1" fillId="2" borderId="62" xfId="2" applyFont="1" applyFill="1" applyBorder="1" applyProtection="1">
      <protection hidden="1"/>
    </xf>
    <xf numFmtId="0" fontId="1" fillId="2" borderId="63" xfId="2" applyFont="1" applyFill="1" applyBorder="1" applyAlignment="1" applyProtection="1">
      <alignment horizontal="center"/>
      <protection hidden="1"/>
    </xf>
    <xf numFmtId="0" fontId="44" fillId="0" borderId="60" xfId="2" applyFont="1" applyFill="1" applyBorder="1" applyAlignment="1" applyProtection="1">
      <alignment horizontal="center" vertical="center" wrapText="1"/>
      <protection hidden="1"/>
    </xf>
    <xf numFmtId="3" fontId="45" fillId="8" borderId="2" xfId="2" applyNumberFormat="1" applyFont="1" applyFill="1" applyBorder="1" applyAlignment="1" applyProtection="1">
      <alignment horizontal="center" vertical="center"/>
      <protection hidden="1"/>
    </xf>
    <xf numFmtId="0" fontId="46" fillId="0" borderId="2" xfId="2" applyFont="1" applyFill="1" applyBorder="1" applyAlignment="1" applyProtection="1">
      <alignment horizontal="center" vertical="center"/>
      <protection locked="0"/>
    </xf>
    <xf numFmtId="0" fontId="47" fillId="2" borderId="14" xfId="2" applyFont="1" applyFill="1" applyBorder="1" applyProtection="1">
      <protection hidden="1"/>
    </xf>
    <xf numFmtId="49" fontId="29" fillId="0" borderId="0" xfId="2" applyNumberFormat="1" applyFont="1"/>
    <xf numFmtId="0" fontId="29" fillId="17" borderId="0" xfId="2" applyFont="1" applyFill="1"/>
    <xf numFmtId="0" fontId="29" fillId="0" borderId="0" xfId="2" applyFont="1" applyAlignment="1">
      <alignment wrapText="1"/>
    </xf>
    <xf numFmtId="3" fontId="35" fillId="0" borderId="64" xfId="2" applyNumberFormat="1" applyFont="1" applyBorder="1" applyAlignment="1" applyProtection="1">
      <protection hidden="1"/>
    </xf>
    <xf numFmtId="3" fontId="31" fillId="0" borderId="52" xfId="2" applyNumberFormat="1" applyFont="1" applyBorder="1" applyAlignment="1" applyProtection="1">
      <alignment horizontal="left"/>
      <protection hidden="1"/>
    </xf>
    <xf numFmtId="0" fontId="30" fillId="0" borderId="0" xfId="2" applyFont="1" applyFill="1" applyAlignment="1">
      <alignment horizontal="left"/>
    </xf>
    <xf numFmtId="0" fontId="30" fillId="0" borderId="0" xfId="2" applyFont="1" applyFill="1" applyAlignment="1">
      <alignment horizontal="right"/>
    </xf>
    <xf numFmtId="0" fontId="24" fillId="0" borderId="2" xfId="2" applyFont="1" applyFill="1" applyBorder="1" applyAlignment="1" applyProtection="1">
      <alignment horizontal="center" vertical="center" wrapText="1"/>
      <protection hidden="1"/>
    </xf>
    <xf numFmtId="0" fontId="0" fillId="17" borderId="0" xfId="2" applyFont="1" applyFill="1"/>
    <xf numFmtId="0" fontId="0" fillId="2" borderId="0" xfId="2" applyFont="1" applyFill="1"/>
    <xf numFmtId="0" fontId="5" fillId="15" borderId="65" xfId="2" applyFont="1" applyFill="1" applyBorder="1" applyProtection="1">
      <protection hidden="1"/>
    </xf>
    <xf numFmtId="0" fontId="43" fillId="18" borderId="66" xfId="2" applyFont="1" applyFill="1" applyBorder="1" applyProtection="1">
      <protection hidden="1"/>
    </xf>
    <xf numFmtId="0" fontId="5" fillId="2" borderId="67" xfId="2" applyFont="1" applyFill="1" applyBorder="1" applyProtection="1">
      <protection hidden="1"/>
    </xf>
    <xf numFmtId="0" fontId="3" fillId="15" borderId="65" xfId="2" applyFont="1" applyFill="1" applyBorder="1" applyProtection="1">
      <protection hidden="1"/>
    </xf>
    <xf numFmtId="0" fontId="0" fillId="10" borderId="14" xfId="2" applyFont="1" applyFill="1" applyBorder="1" applyProtection="1">
      <protection hidden="1"/>
    </xf>
    <xf numFmtId="0" fontId="0" fillId="10" borderId="14" xfId="2" applyFont="1" applyFill="1" applyBorder="1" applyAlignment="1" applyProtection="1">
      <alignment wrapText="1"/>
      <protection hidden="1"/>
    </xf>
    <xf numFmtId="0" fontId="26" fillId="2" borderId="68" xfId="2" applyFont="1" applyFill="1" applyBorder="1" applyProtection="1">
      <protection hidden="1"/>
    </xf>
    <xf numFmtId="0" fontId="26" fillId="15" borderId="69" xfId="2" applyFont="1" applyFill="1" applyBorder="1" applyAlignment="1" applyProtection="1">
      <alignment horizontal="center"/>
      <protection hidden="1"/>
    </xf>
    <xf numFmtId="1" fontId="21" fillId="0" borderId="0" xfId="2" applyNumberFormat="1" applyFont="1" applyAlignment="1" applyProtection="1">
      <alignment horizontal="left"/>
      <protection hidden="1"/>
    </xf>
    <xf numFmtId="0" fontId="5" fillId="2" borderId="70" xfId="2" applyFont="1" applyFill="1" applyBorder="1" applyProtection="1">
      <protection hidden="1"/>
    </xf>
    <xf numFmtId="0" fontId="26" fillId="2" borderId="71" xfId="2" applyFont="1" applyFill="1" applyBorder="1" applyProtection="1">
      <protection hidden="1"/>
    </xf>
    <xf numFmtId="0" fontId="26" fillId="2" borderId="72" xfId="2" applyFont="1" applyFill="1" applyBorder="1" applyAlignment="1" applyProtection="1">
      <alignment horizontal="center"/>
      <protection hidden="1"/>
    </xf>
    <xf numFmtId="0" fontId="26" fillId="15" borderId="73" xfId="2" applyFont="1" applyFill="1" applyBorder="1" applyAlignment="1" applyProtection="1">
      <alignment horizontal="center"/>
      <protection hidden="1"/>
    </xf>
    <xf numFmtId="0" fontId="26" fillId="0" borderId="0" xfId="2" applyFont="1" applyAlignment="1" applyProtection="1">
      <alignment horizontal="center"/>
      <protection hidden="1"/>
    </xf>
    <xf numFmtId="0" fontId="26" fillId="0" borderId="69" xfId="2" applyFont="1" applyBorder="1" applyProtection="1">
      <protection locked="0"/>
    </xf>
    <xf numFmtId="0" fontId="0" fillId="10" borderId="2" xfId="2" applyFont="1" applyFill="1" applyBorder="1" applyProtection="1">
      <protection locked="0"/>
    </xf>
    <xf numFmtId="0" fontId="0" fillId="19" borderId="2" xfId="2" applyFont="1" applyFill="1" applyBorder="1" applyProtection="1">
      <protection locked="0"/>
    </xf>
    <xf numFmtId="0" fontId="0" fillId="10" borderId="0" xfId="2" applyFont="1" applyFill="1"/>
    <xf numFmtId="0" fontId="0" fillId="19" borderId="2" xfId="2" applyFont="1" applyFill="1" applyBorder="1"/>
    <xf numFmtId="0" fontId="0" fillId="8" borderId="0" xfId="2" applyFont="1" applyFill="1"/>
    <xf numFmtId="0" fontId="3" fillId="0" borderId="0" xfId="2" applyFont="1"/>
    <xf numFmtId="0" fontId="26" fillId="10" borderId="0" xfId="2" applyFont="1" applyFill="1"/>
    <xf numFmtId="0" fontId="26" fillId="10" borderId="0" xfId="2" applyFont="1" applyFill="1" applyAlignment="1">
      <alignment horizontal="center"/>
    </xf>
    <xf numFmtId="0" fontId="26" fillId="2" borderId="0" xfId="2" applyFont="1" applyFill="1" applyAlignment="1">
      <alignment horizontal="center"/>
    </xf>
    <xf numFmtId="0" fontId="26" fillId="2" borderId="0" xfId="2" applyFont="1" applyFill="1"/>
    <xf numFmtId="0" fontId="0" fillId="2" borderId="74" xfId="2" applyFont="1" applyFill="1" applyBorder="1" applyProtection="1">
      <protection hidden="1"/>
    </xf>
    <xf numFmtId="0" fontId="0" fillId="10" borderId="74" xfId="2" applyFont="1" applyFill="1" applyBorder="1" applyProtection="1">
      <protection hidden="1"/>
    </xf>
    <xf numFmtId="0" fontId="0" fillId="10" borderId="74" xfId="2" applyFont="1" applyFill="1" applyBorder="1" applyAlignment="1" applyProtection="1">
      <alignment wrapText="1"/>
      <protection hidden="1"/>
    </xf>
    <xf numFmtId="0" fontId="5" fillId="2" borderId="74" xfId="2" applyFont="1" applyFill="1" applyBorder="1" applyAlignment="1" applyProtection="1">
      <alignment vertical="top" wrapText="1"/>
      <protection hidden="1"/>
    </xf>
    <xf numFmtId="0" fontId="0" fillId="7" borderId="0" xfId="2" applyFont="1" applyFill="1"/>
    <xf numFmtId="0" fontId="2" fillId="2" borderId="60" xfId="2" applyFont="1" applyFill="1" applyBorder="1" applyAlignment="1" applyProtection="1">
      <alignment horizontal="center" vertical="center" wrapText="1"/>
      <protection hidden="1"/>
    </xf>
    <xf numFmtId="0" fontId="0" fillId="0" borderId="60" xfId="2" applyFont="1" applyBorder="1" applyProtection="1">
      <protection locked="0"/>
    </xf>
    <xf numFmtId="0" fontId="56" fillId="2" borderId="14" xfId="2" applyFont="1" applyFill="1" applyBorder="1" applyAlignment="1" applyProtection="1">
      <alignment horizontal="center" vertical="center" wrapText="1"/>
      <protection hidden="1"/>
    </xf>
    <xf numFmtId="0" fontId="0" fillId="11" borderId="60" xfId="2" applyFont="1" applyFill="1" applyBorder="1" applyProtection="1">
      <protection hidden="1"/>
    </xf>
    <xf numFmtId="0" fontId="2" fillId="11" borderId="75" xfId="2" applyFont="1" applyFill="1" applyBorder="1" applyProtection="1">
      <protection hidden="1"/>
    </xf>
    <xf numFmtId="0" fontId="2" fillId="11" borderId="76" xfId="2" applyFont="1" applyFill="1" applyBorder="1" applyProtection="1">
      <protection hidden="1"/>
    </xf>
    <xf numFmtId="0" fontId="2" fillId="11" borderId="77" xfId="2" applyFont="1" applyFill="1" applyBorder="1" applyProtection="1">
      <protection hidden="1"/>
    </xf>
    <xf numFmtId="0" fontId="0" fillId="11" borderId="0" xfId="2" applyFont="1" applyFill="1"/>
    <xf numFmtId="0" fontId="5" fillId="0" borderId="0" xfId="2" applyFont="1" applyFill="1" applyBorder="1" applyProtection="1">
      <protection locked="0"/>
    </xf>
    <xf numFmtId="0" fontId="0" fillId="0" borderId="0" xfId="2" applyFont="1" applyFill="1" applyBorder="1" applyAlignment="1" applyProtection="1">
      <protection locked="0"/>
    </xf>
    <xf numFmtId="0" fontId="57" fillId="0" borderId="2" xfId="2" applyFont="1" applyFill="1" applyBorder="1" applyAlignment="1" applyProtection="1">
      <alignment horizontal="center" vertical="center" wrapText="1"/>
      <protection locked="0"/>
    </xf>
    <xf numFmtId="1" fontId="45" fillId="8" borderId="2" xfId="2" applyNumberFormat="1" applyFont="1" applyFill="1" applyBorder="1" applyAlignment="1" applyProtection="1">
      <alignment horizontal="center" vertical="center"/>
      <protection hidden="1"/>
    </xf>
    <xf numFmtId="0" fontId="58" fillId="8" borderId="60" xfId="2" applyFont="1" applyFill="1" applyBorder="1" applyAlignment="1" applyProtection="1">
      <alignment horizontal="center" vertical="center"/>
      <protection hidden="1"/>
    </xf>
    <xf numFmtId="0" fontId="0" fillId="0" borderId="0" xfId="2" applyFont="1" applyBorder="1"/>
    <xf numFmtId="0" fontId="0" fillId="9" borderId="0" xfId="2" applyFont="1" applyFill="1" applyBorder="1"/>
    <xf numFmtId="2" fontId="26" fillId="0" borderId="0" xfId="2" applyNumberFormat="1" applyFont="1"/>
    <xf numFmtId="0" fontId="0" fillId="14" borderId="0" xfId="2" applyFont="1" applyFill="1"/>
    <xf numFmtId="49" fontId="26" fillId="0" borderId="0" xfId="2" applyNumberFormat="1" applyFont="1" applyAlignment="1">
      <alignment horizontal="center"/>
    </xf>
    <xf numFmtId="166" fontId="26" fillId="2" borderId="0" xfId="2" applyNumberFormat="1" applyFont="1" applyFill="1" applyAlignment="1">
      <alignment horizontal="center"/>
    </xf>
    <xf numFmtId="0" fontId="1" fillId="8" borderId="0" xfId="2" applyFont="1" applyFill="1"/>
    <xf numFmtId="0" fontId="26" fillId="20" borderId="78" xfId="2" applyFont="1" applyFill="1" applyBorder="1" applyProtection="1">
      <protection hidden="1"/>
    </xf>
    <xf numFmtId="0" fontId="43" fillId="21" borderId="79" xfId="2" applyFont="1" applyFill="1" applyBorder="1" applyProtection="1">
      <protection hidden="1"/>
    </xf>
    <xf numFmtId="0" fontId="26" fillId="14" borderId="80" xfId="2" applyFont="1" applyFill="1" applyBorder="1" applyProtection="1">
      <protection hidden="1"/>
    </xf>
    <xf numFmtId="0" fontId="0" fillId="14" borderId="81" xfId="2" applyFont="1" applyFill="1" applyBorder="1" applyProtection="1">
      <protection hidden="1"/>
    </xf>
    <xf numFmtId="2" fontId="26" fillId="0" borderId="82" xfId="2" applyNumberFormat="1" applyFont="1" applyBorder="1" applyAlignment="1" applyProtection="1">
      <alignment horizontal="center"/>
      <protection locked="0"/>
    </xf>
    <xf numFmtId="0" fontId="43" fillId="22" borderId="83" xfId="2" applyFont="1" applyFill="1" applyBorder="1" applyAlignment="1" applyProtection="1">
      <alignment vertical="center"/>
      <protection hidden="1"/>
    </xf>
    <xf numFmtId="0" fontId="26" fillId="23" borderId="84" xfId="2" applyFont="1" applyFill="1" applyBorder="1" applyProtection="1">
      <protection hidden="1"/>
    </xf>
    <xf numFmtId="0" fontId="26" fillId="23" borderId="85" xfId="2" applyFont="1" applyFill="1" applyBorder="1" applyAlignment="1" applyProtection="1">
      <alignment horizontal="center"/>
      <protection hidden="1"/>
    </xf>
    <xf numFmtId="0" fontId="26" fillId="23" borderId="86" xfId="2" applyFont="1" applyFill="1" applyBorder="1" applyAlignment="1" applyProtection="1">
      <alignment horizontal="center"/>
      <protection hidden="1"/>
    </xf>
    <xf numFmtId="0" fontId="0" fillId="23" borderId="87" xfId="2" applyFont="1" applyFill="1" applyBorder="1" applyProtection="1">
      <protection hidden="1"/>
    </xf>
    <xf numFmtId="0" fontId="26" fillId="23" borderId="88" xfId="2" applyFont="1" applyFill="1" applyBorder="1" applyAlignment="1" applyProtection="1">
      <alignment horizontal="center"/>
      <protection hidden="1"/>
    </xf>
    <xf numFmtId="0" fontId="60" fillId="23" borderId="87" xfId="2" applyFont="1" applyFill="1" applyBorder="1" applyAlignment="1" applyProtection="1">
      <alignment horizontal="right"/>
      <protection hidden="1"/>
    </xf>
    <xf numFmtId="166" fontId="26" fillId="23" borderId="89" xfId="2" applyNumberFormat="1" applyFont="1" applyFill="1" applyBorder="1" applyProtection="1">
      <protection hidden="1"/>
    </xf>
    <xf numFmtId="0" fontId="0" fillId="2" borderId="90" xfId="2" applyFont="1" applyFill="1" applyBorder="1" applyProtection="1">
      <protection hidden="1"/>
    </xf>
    <xf numFmtId="166" fontId="26" fillId="2" borderId="0" xfId="2" applyNumberFormat="1" applyFont="1" applyFill="1" applyBorder="1" applyProtection="1">
      <protection hidden="1"/>
    </xf>
    <xf numFmtId="0" fontId="26" fillId="2" borderId="91" xfId="2" applyFont="1" applyFill="1" applyBorder="1" applyAlignment="1" applyProtection="1">
      <alignment horizontal="center"/>
      <protection hidden="1"/>
    </xf>
    <xf numFmtId="0" fontId="26" fillId="23" borderId="92" xfId="2" applyFont="1" applyFill="1" applyBorder="1" applyAlignment="1" applyProtection="1">
      <alignment horizontal="center"/>
      <protection hidden="1"/>
    </xf>
    <xf numFmtId="0" fontId="3" fillId="23" borderId="93" xfId="2" applyFont="1" applyFill="1" applyBorder="1" applyProtection="1">
      <protection hidden="1"/>
    </xf>
    <xf numFmtId="0" fontId="3" fillId="23" borderId="94" xfId="2" applyFont="1" applyFill="1" applyBorder="1" applyAlignment="1" applyProtection="1">
      <alignment horizontal="center"/>
      <protection hidden="1"/>
    </xf>
    <xf numFmtId="0" fontId="26" fillId="23" borderId="95" xfId="2" applyFont="1" applyFill="1" applyBorder="1" applyAlignment="1" applyProtection="1">
      <alignment horizontal="center"/>
      <protection hidden="1"/>
    </xf>
    <xf numFmtId="166" fontId="26" fillId="0" borderId="89" xfId="2" applyNumberFormat="1" applyFont="1" applyBorder="1" applyAlignment="1" applyProtection="1">
      <alignment horizontal="center"/>
      <protection locked="0"/>
    </xf>
    <xf numFmtId="0" fontId="28" fillId="0" borderId="0" xfId="2" applyFont="1" applyAlignment="1">
      <alignment horizontal="center"/>
    </xf>
    <xf numFmtId="0" fontId="29" fillId="0" borderId="0" xfId="2" applyFont="1" applyFill="1" applyAlignment="1"/>
    <xf numFmtId="0" fontId="40" fillId="0" borderId="0" xfId="2" applyFont="1" applyFill="1" applyAlignment="1"/>
    <xf numFmtId="0" fontId="31" fillId="0" borderId="0" xfId="2" applyFont="1" applyFill="1" applyBorder="1" applyAlignment="1">
      <alignment horizontal="center"/>
    </xf>
    <xf numFmtId="0" fontId="32" fillId="0" borderId="0" xfId="2" applyFont="1" applyFill="1" applyBorder="1" applyAlignment="1"/>
    <xf numFmtId="0" fontId="33" fillId="0" borderId="0" xfId="2" applyFont="1" applyFill="1"/>
    <xf numFmtId="9" fontId="34" fillId="0" borderId="0" xfId="2" applyNumberFormat="1" applyFont="1" applyFill="1" applyBorder="1" applyAlignment="1">
      <alignment horizontal="center" vertical="center"/>
    </xf>
    <xf numFmtId="0" fontId="31" fillId="0" borderId="0" xfId="2" applyFont="1" applyFill="1" applyBorder="1" applyAlignment="1">
      <alignment vertical="center"/>
    </xf>
    <xf numFmtId="0" fontId="32" fillId="0" borderId="0" xfId="2" applyFont="1" applyFill="1" applyBorder="1" applyAlignment="1">
      <alignment wrapText="1"/>
    </xf>
    <xf numFmtId="0" fontId="35" fillId="0" borderId="0" xfId="2" applyFont="1" applyFill="1" applyAlignment="1">
      <alignment horizontal="left"/>
    </xf>
    <xf numFmtId="0" fontId="61" fillId="0" borderId="0" xfId="2" applyFont="1" applyFill="1" applyBorder="1" applyAlignment="1">
      <alignment horizontal="left" wrapText="1"/>
    </xf>
    <xf numFmtId="0" fontId="35" fillId="0" borderId="0" xfId="2" applyFont="1" applyFill="1" applyBorder="1" applyAlignment="1">
      <alignment horizontal="left" vertical="center" wrapText="1"/>
    </xf>
    <xf numFmtId="0" fontId="36" fillId="0" borderId="51" xfId="2" applyFont="1" applyFill="1" applyBorder="1" applyAlignment="1">
      <alignment vertical="center"/>
    </xf>
    <xf numFmtId="0" fontId="29" fillId="0" borderId="0" xfId="2" applyFont="1" applyFill="1" applyBorder="1" applyAlignment="1">
      <alignment horizontal="center" vertical="center"/>
    </xf>
    <xf numFmtId="0" fontId="29" fillId="0" borderId="51" xfId="2" applyFont="1" applyFill="1" applyBorder="1" applyAlignment="1">
      <alignment horizontal="center"/>
    </xf>
    <xf numFmtId="0" fontId="29" fillId="0" borderId="51" xfId="2" applyFont="1" applyFill="1" applyBorder="1" applyAlignment="1">
      <alignment vertical="center" wrapText="1"/>
    </xf>
    <xf numFmtId="0" fontId="29" fillId="0" borderId="0" xfId="2" applyFont="1" applyFill="1" applyAlignment="1">
      <alignment vertical="center" wrapText="1"/>
    </xf>
    <xf numFmtId="0" fontId="29" fillId="0" borderId="0" xfId="2" applyFont="1" applyFill="1" applyBorder="1" applyAlignment="1">
      <alignment vertical="center" wrapText="1"/>
    </xf>
    <xf numFmtId="0" fontId="33" fillId="0" borderId="0" xfId="2" applyFont="1" applyFill="1" applyBorder="1" applyAlignment="1">
      <alignment horizontal="left" wrapText="1"/>
    </xf>
    <xf numFmtId="0" fontId="33" fillId="0" borderId="0" xfId="2" applyFont="1" applyFill="1" applyBorder="1" applyAlignment="1">
      <alignment horizontal="left"/>
    </xf>
    <xf numFmtId="0" fontId="35" fillId="10" borderId="0" xfId="2" applyFont="1" applyFill="1" applyAlignment="1">
      <alignment horizontal="left"/>
    </xf>
    <xf numFmtId="0" fontId="32" fillId="10" borderId="0" xfId="2" applyFont="1" applyFill="1" applyBorder="1" applyAlignment="1">
      <alignment horizontal="left" vertical="center" wrapText="1"/>
    </xf>
    <xf numFmtId="0" fontId="0" fillId="10" borderId="0" xfId="2" applyFont="1" applyFill="1" applyBorder="1" applyProtection="1">
      <protection hidden="1"/>
    </xf>
    <xf numFmtId="1" fontId="45" fillId="11" borderId="60" xfId="2" applyNumberFormat="1" applyFont="1" applyFill="1" applyBorder="1" applyAlignment="1" applyProtection="1">
      <alignment horizontal="center" vertical="center"/>
      <protection hidden="1"/>
    </xf>
    <xf numFmtId="1" fontId="45" fillId="11" borderId="96" xfId="2" applyNumberFormat="1" applyFont="1" applyFill="1" applyBorder="1" applyAlignment="1" applyProtection="1">
      <alignment horizontal="center" vertical="center"/>
      <protection hidden="1"/>
    </xf>
    <xf numFmtId="1" fontId="45" fillId="11" borderId="74" xfId="2" applyNumberFormat="1" applyFont="1" applyFill="1" applyBorder="1" applyAlignment="1" applyProtection="1">
      <alignment horizontal="center" vertical="center"/>
      <protection hidden="1"/>
    </xf>
    <xf numFmtId="0" fontId="46" fillId="11" borderId="96" xfId="2" applyFont="1" applyFill="1" applyBorder="1" applyAlignment="1" applyProtection="1">
      <alignment horizontal="center" vertical="center"/>
      <protection hidden="1"/>
    </xf>
    <xf numFmtId="0" fontId="46" fillId="11" borderId="74" xfId="2" applyFont="1" applyFill="1" applyBorder="1" applyAlignment="1" applyProtection="1">
      <alignment horizontal="center" vertical="center"/>
      <protection hidden="1"/>
    </xf>
    <xf numFmtId="0" fontId="3" fillId="0" borderId="56" xfId="2" applyFont="1" applyBorder="1" applyAlignment="1" applyProtection="1">
      <alignment horizontal="center" vertical="center"/>
      <protection hidden="1"/>
    </xf>
    <xf numFmtId="0" fontId="3" fillId="0" borderId="55" xfId="2" applyFont="1" applyBorder="1" applyAlignment="1" applyProtection="1">
      <alignment horizontal="center" vertical="center"/>
      <protection hidden="1"/>
    </xf>
    <xf numFmtId="0" fontId="3" fillId="0" borderId="97" xfId="2" applyFont="1" applyBorder="1" applyAlignment="1" applyProtection="1">
      <alignment horizontal="right"/>
      <protection hidden="1"/>
    </xf>
    <xf numFmtId="0" fontId="0" fillId="0" borderId="98" xfId="2" applyFont="1" applyBorder="1" applyAlignment="1" applyProtection="1">
      <alignment horizontal="center"/>
      <protection hidden="1"/>
    </xf>
    <xf numFmtId="1" fontId="0" fillId="0" borderId="98" xfId="2" applyNumberFormat="1" applyFont="1" applyBorder="1" applyAlignment="1" applyProtection="1">
      <alignment horizontal="center"/>
      <protection hidden="1"/>
    </xf>
    <xf numFmtId="0" fontId="0" fillId="0" borderId="55" xfId="2" applyFont="1" applyBorder="1" applyAlignment="1" applyProtection="1">
      <alignment horizontal="center"/>
      <protection hidden="1"/>
    </xf>
    <xf numFmtId="0" fontId="18" fillId="0" borderId="97" xfId="2" applyFont="1" applyFill="1" applyBorder="1" applyAlignment="1" applyProtection="1">
      <alignment horizontal="center" vertical="center" wrapText="1"/>
      <protection hidden="1"/>
    </xf>
    <xf numFmtId="0" fontId="16" fillId="13" borderId="97" xfId="2" applyFont="1" applyFill="1" applyBorder="1" applyAlignment="1" applyProtection="1">
      <alignment horizontal="center" vertical="center" wrapText="1"/>
      <protection hidden="1"/>
    </xf>
    <xf numFmtId="0" fontId="13" fillId="0" borderId="97" xfId="2" applyFont="1" applyFill="1" applyBorder="1" applyAlignment="1" applyProtection="1">
      <alignment horizontal="center" vertical="center" wrapText="1"/>
      <protection hidden="1"/>
    </xf>
    <xf numFmtId="0" fontId="14" fillId="6" borderId="97" xfId="2" applyFont="1" applyFill="1" applyBorder="1" applyAlignment="1" applyProtection="1">
      <alignment horizontal="center" vertical="center" wrapText="1"/>
      <protection hidden="1"/>
    </xf>
    <xf numFmtId="0" fontId="44" fillId="0" borderId="99" xfId="2" applyFont="1" applyFill="1" applyBorder="1" applyAlignment="1" applyProtection="1">
      <alignment horizontal="center" vertical="center" wrapText="1"/>
      <protection hidden="1"/>
    </xf>
    <xf numFmtId="0" fontId="66" fillId="24" borderId="0" xfId="2" applyFont="1" applyFill="1"/>
    <xf numFmtId="49" fontId="68" fillId="0" borderId="0" xfId="2" applyNumberFormat="1" applyFont="1"/>
    <xf numFmtId="0" fontId="29" fillId="0" borderId="0" xfId="2" applyFont="1" applyAlignment="1">
      <alignment horizontal="center"/>
    </xf>
    <xf numFmtId="0" fontId="29" fillId="0" borderId="0" xfId="2" applyNumberFormat="1" applyFont="1"/>
    <xf numFmtId="49" fontId="69" fillId="0" borderId="0" xfId="2" applyNumberFormat="1" applyFont="1"/>
    <xf numFmtId="0" fontId="70" fillId="0" borderId="0" xfId="2" applyFont="1"/>
    <xf numFmtId="0" fontId="70" fillId="0" borderId="0" xfId="2" applyNumberFormat="1" applyFont="1"/>
    <xf numFmtId="3" fontId="0" fillId="11" borderId="74" xfId="2" applyNumberFormat="1" applyFont="1" applyFill="1" applyBorder="1" applyProtection="1">
      <protection hidden="1"/>
    </xf>
    <xf numFmtId="3" fontId="0" fillId="6" borderId="74" xfId="2" applyNumberFormat="1" applyFont="1" applyFill="1" applyBorder="1" applyProtection="1">
      <protection hidden="1"/>
    </xf>
    <xf numFmtId="166" fontId="72" fillId="2" borderId="10" xfId="2" applyNumberFormat="1" applyFont="1" applyFill="1" applyBorder="1" applyAlignment="1" applyProtection="1">
      <alignment horizontal="center"/>
      <protection hidden="1"/>
    </xf>
    <xf numFmtId="166" fontId="72" fillId="8" borderId="100" xfId="2" applyNumberFormat="1" applyFont="1" applyFill="1" applyBorder="1" applyAlignment="1" applyProtection="1">
      <alignment horizontal="center"/>
      <protection hidden="1"/>
    </xf>
    <xf numFmtId="166" fontId="72" fillId="8" borderId="101" xfId="2" applyNumberFormat="1" applyFont="1" applyFill="1" applyBorder="1" applyAlignment="1" applyProtection="1">
      <alignment horizontal="center"/>
      <protection hidden="1"/>
    </xf>
    <xf numFmtId="0" fontId="72" fillId="2" borderId="10" xfId="2" applyFont="1" applyFill="1" applyBorder="1" applyProtection="1">
      <protection hidden="1"/>
    </xf>
    <xf numFmtId="0" fontId="73" fillId="15" borderId="102" xfId="2" applyFont="1" applyFill="1" applyBorder="1" applyAlignment="1" applyProtection="1">
      <alignment horizontal="center"/>
      <protection hidden="1"/>
    </xf>
    <xf numFmtId="0" fontId="73" fillId="2" borderId="103" xfId="2" applyFont="1" applyFill="1" applyBorder="1" applyAlignment="1" applyProtection="1">
      <alignment horizontal="center"/>
      <protection hidden="1"/>
    </xf>
    <xf numFmtId="0" fontId="0" fillId="0" borderId="0" xfId="2" applyFont="1" applyBorder="1" applyAlignment="1">
      <alignment wrapText="1"/>
    </xf>
    <xf numFmtId="0" fontId="0" fillId="0" borderId="0" xfId="2" applyFont="1" applyFill="1" applyBorder="1" applyProtection="1">
      <protection locked="0"/>
    </xf>
    <xf numFmtId="3" fontId="1" fillId="19" borderId="60" xfId="2" applyNumberFormat="1" applyFont="1" applyFill="1" applyBorder="1" applyProtection="1">
      <protection hidden="1"/>
    </xf>
    <xf numFmtId="0" fontId="1" fillId="8" borderId="0" xfId="2" applyFont="1" applyFill="1" applyAlignment="1">
      <alignment horizontal="center"/>
    </xf>
    <xf numFmtId="0" fontId="1" fillId="0" borderId="0" xfId="2" applyFont="1" applyAlignment="1">
      <alignment horizontal="center"/>
    </xf>
    <xf numFmtId="0" fontId="32" fillId="0" borderId="19" xfId="2" applyFont="1" applyFill="1" applyBorder="1" applyAlignment="1" applyProtection="1">
      <alignment horizontal="left"/>
      <protection locked="0"/>
    </xf>
    <xf numFmtId="0" fontId="32" fillId="0" borderId="0" xfId="2" applyFont="1" applyFill="1" applyBorder="1" applyAlignment="1" applyProtection="1">
      <alignment horizontal="left"/>
      <protection locked="0"/>
    </xf>
    <xf numFmtId="0" fontId="32" fillId="0" borderId="20" xfId="2" applyFont="1" applyFill="1" applyBorder="1" applyAlignment="1" applyProtection="1">
      <alignment horizontal="left"/>
      <protection locked="0"/>
    </xf>
    <xf numFmtId="0" fontId="36" fillId="0" borderId="0" xfId="2" applyFont="1" applyFill="1" applyBorder="1" applyAlignment="1">
      <alignment vertical="center"/>
    </xf>
    <xf numFmtId="0" fontId="29" fillId="0" borderId="0" xfId="2" applyFont="1" applyFill="1" applyBorder="1" applyAlignment="1">
      <alignment horizontal="center"/>
    </xf>
    <xf numFmtId="0" fontId="0" fillId="9" borderId="0" xfId="2" applyFont="1" applyFill="1"/>
    <xf numFmtId="0" fontId="26" fillId="9" borderId="0" xfId="2" applyFont="1" applyFill="1"/>
    <xf numFmtId="0" fontId="0" fillId="0" borderId="0" xfId="2" applyFont="1" applyAlignment="1">
      <alignment horizontal="center"/>
    </xf>
    <xf numFmtId="0" fontId="81" fillId="6" borderId="99" xfId="2" applyFont="1" applyFill="1" applyBorder="1" applyAlignment="1" applyProtection="1">
      <alignment horizontal="center" vertical="center" wrapText="1"/>
      <protection hidden="1"/>
    </xf>
    <xf numFmtId="0" fontId="78" fillId="6" borderId="104" xfId="2" applyFont="1" applyFill="1" applyBorder="1" applyAlignment="1" applyProtection="1">
      <alignment vertical="center" wrapText="1"/>
      <protection hidden="1"/>
    </xf>
    <xf numFmtId="0" fontId="1" fillId="6" borderId="105" xfId="2" applyFont="1" applyFill="1" applyBorder="1" applyProtection="1">
      <protection hidden="1"/>
    </xf>
    <xf numFmtId="0" fontId="1" fillId="5" borderId="106" xfId="2" applyFont="1" applyFill="1" applyBorder="1" applyAlignment="1" applyProtection="1">
      <alignment vertical="center"/>
      <protection hidden="1"/>
    </xf>
    <xf numFmtId="0" fontId="3" fillId="5" borderId="107" xfId="2" applyFont="1" applyFill="1" applyBorder="1" applyAlignment="1" applyProtection="1">
      <alignment horizontal="center" vertical="center"/>
      <protection hidden="1"/>
    </xf>
    <xf numFmtId="0" fontId="0" fillId="5" borderId="106" xfId="2" applyFont="1" applyFill="1" applyBorder="1" applyProtection="1">
      <protection hidden="1"/>
    </xf>
    <xf numFmtId="0" fontId="1" fillId="5" borderId="107" xfId="2" applyFont="1" applyFill="1" applyBorder="1" applyAlignment="1" applyProtection="1">
      <alignment horizontal="center"/>
      <protection hidden="1"/>
    </xf>
    <xf numFmtId="0" fontId="3" fillId="5" borderId="106" xfId="2" applyFont="1" applyFill="1" applyBorder="1" applyAlignment="1" applyProtection="1">
      <alignment wrapText="1"/>
      <protection hidden="1"/>
    </xf>
    <xf numFmtId="0" fontId="23" fillId="5" borderId="107" xfId="2" applyFont="1" applyFill="1" applyBorder="1" applyAlignment="1" applyProtection="1">
      <alignment horizontal="center" vertical="center" wrapText="1"/>
      <protection hidden="1"/>
    </xf>
    <xf numFmtId="0" fontId="5" fillId="5" borderId="106" xfId="2" applyFont="1" applyFill="1" applyBorder="1" applyAlignment="1" applyProtection="1">
      <alignment wrapText="1"/>
      <protection hidden="1"/>
    </xf>
    <xf numFmtId="0" fontId="1" fillId="0" borderId="5" xfId="2" applyFont="1" applyBorder="1" applyAlignment="1" applyProtection="1">
      <alignment vertical="center"/>
      <protection locked="0"/>
    </xf>
    <xf numFmtId="0" fontId="0" fillId="0" borderId="0" xfId="2" applyFont="1" applyBorder="1" applyProtection="1">
      <protection hidden="1"/>
    </xf>
    <xf numFmtId="0" fontId="0" fillId="0" borderId="0" xfId="2" applyFont="1" applyFill="1" applyBorder="1" applyProtection="1">
      <protection hidden="1"/>
    </xf>
    <xf numFmtId="0" fontId="17" fillId="0" borderId="54" xfId="2" applyFont="1" applyFill="1" applyBorder="1" applyProtection="1">
      <protection hidden="1"/>
    </xf>
    <xf numFmtId="0" fontId="17" fillId="0" borderId="2" xfId="2" applyFont="1" applyFill="1" applyBorder="1" applyProtection="1">
      <protection hidden="1"/>
    </xf>
    <xf numFmtId="0" fontId="82" fillId="0" borderId="54" xfId="2" applyFont="1" applyFill="1" applyBorder="1" applyAlignment="1" applyProtection="1">
      <alignment wrapText="1"/>
      <protection hidden="1"/>
    </xf>
    <xf numFmtId="0" fontId="17" fillId="0" borderId="54" xfId="2" applyFont="1" applyFill="1" applyBorder="1" applyAlignment="1" applyProtection="1">
      <alignment wrapText="1"/>
      <protection hidden="1"/>
    </xf>
    <xf numFmtId="0" fontId="17" fillId="0" borderId="2" xfId="2" applyFont="1" applyFill="1" applyBorder="1" applyAlignment="1" applyProtection="1">
      <alignment wrapText="1"/>
      <protection hidden="1"/>
    </xf>
    <xf numFmtId="0" fontId="17" fillId="0" borderId="2" xfId="2" applyFont="1" applyFill="1" applyBorder="1" applyAlignment="1" applyProtection="1">
      <alignment vertical="top" wrapText="1"/>
      <protection hidden="1"/>
    </xf>
    <xf numFmtId="0" fontId="7" fillId="0" borderId="55" xfId="2" applyFont="1" applyFill="1" applyBorder="1" applyProtection="1">
      <protection hidden="1"/>
    </xf>
    <xf numFmtId="0" fontId="17" fillId="0" borderId="2" xfId="2" applyFont="1" applyFill="1" applyBorder="1" applyAlignment="1" applyProtection="1">
      <alignment horizontal="center"/>
      <protection hidden="1"/>
    </xf>
    <xf numFmtId="0" fontId="17" fillId="0" borderId="108" xfId="2" applyFont="1" applyBorder="1" applyAlignment="1" applyProtection="1">
      <alignment horizontal="center"/>
      <protection hidden="1"/>
    </xf>
    <xf numFmtId="0" fontId="6" fillId="11" borderId="109" xfId="2" applyFont="1" applyFill="1" applyBorder="1" applyAlignment="1" applyProtection="1">
      <alignment vertical="center" wrapText="1"/>
      <protection hidden="1"/>
    </xf>
    <xf numFmtId="0" fontId="86" fillId="18" borderId="0" xfId="2" applyFont="1" applyFill="1" applyAlignment="1">
      <alignment vertical="center" wrapText="1"/>
    </xf>
    <xf numFmtId="0" fontId="74" fillId="18" borderId="0" xfId="2" applyFont="1" applyFill="1"/>
    <xf numFmtId="0" fontId="74" fillId="18" borderId="0" xfId="2" applyFont="1" applyFill="1" applyAlignment="1">
      <alignment vertical="center" wrapText="1"/>
    </xf>
    <xf numFmtId="3" fontId="45" fillId="8" borderId="2" xfId="2" applyNumberFormat="1" applyFont="1" applyFill="1" applyBorder="1" applyAlignment="1" applyProtection="1">
      <alignment horizontal="center" vertical="center" wrapText="1"/>
      <protection hidden="1"/>
    </xf>
    <xf numFmtId="0" fontId="17" fillId="0" borderId="110" xfId="2" applyFont="1" applyFill="1" applyBorder="1" applyAlignment="1" applyProtection="1">
      <alignment horizontal="center"/>
      <protection hidden="1"/>
    </xf>
    <xf numFmtId="0" fontId="17" fillId="0" borderId="54" xfId="2" applyFont="1" applyBorder="1" applyAlignment="1" applyProtection="1">
      <alignment horizontal="center" vertical="center" wrapText="1"/>
      <protection hidden="1"/>
    </xf>
    <xf numFmtId="0" fontId="87" fillId="0" borderId="0" xfId="2" applyFont="1"/>
    <xf numFmtId="0" fontId="56" fillId="0" borderId="2" xfId="2" applyFont="1" applyFill="1" applyBorder="1" applyAlignment="1" applyProtection="1">
      <alignment horizontal="center" vertical="center" wrapText="1"/>
      <protection locked="0"/>
    </xf>
    <xf numFmtId="0" fontId="84" fillId="17" borderId="0" xfId="2" applyFont="1" applyFill="1"/>
    <xf numFmtId="0" fontId="62" fillId="17" borderId="0" xfId="2" applyFont="1" applyFill="1"/>
    <xf numFmtId="0" fontId="5" fillId="0" borderId="0" xfId="2" applyFont="1" applyFill="1" applyBorder="1" applyAlignment="1" applyProtection="1">
      <alignment horizontal="center"/>
      <protection hidden="1"/>
    </xf>
    <xf numFmtId="0" fontId="1" fillId="15" borderId="78" xfId="2" applyFont="1" applyFill="1" applyBorder="1" applyProtection="1">
      <protection hidden="1"/>
    </xf>
    <xf numFmtId="0" fontId="1" fillId="15" borderId="111" xfId="2" applyFont="1" applyFill="1" applyBorder="1" applyAlignment="1" applyProtection="1">
      <alignment horizontal="center"/>
      <protection hidden="1"/>
    </xf>
    <xf numFmtId="0" fontId="26" fillId="0" borderId="69" xfId="2" applyFont="1" applyFill="1" applyBorder="1" applyProtection="1">
      <protection locked="0"/>
    </xf>
    <xf numFmtId="0" fontId="5" fillId="2" borderId="65" xfId="2" applyFont="1" applyFill="1" applyBorder="1" applyProtection="1">
      <protection hidden="1"/>
    </xf>
    <xf numFmtId="0" fontId="5" fillId="2" borderId="69" xfId="2" applyFont="1" applyFill="1" applyBorder="1" applyProtection="1">
      <protection hidden="1"/>
    </xf>
    <xf numFmtId="0" fontId="5" fillId="2" borderId="102" xfId="2" applyFont="1" applyFill="1" applyBorder="1" applyAlignment="1" applyProtection="1">
      <alignment horizontal="center"/>
      <protection hidden="1"/>
    </xf>
    <xf numFmtId="0" fontId="3" fillId="15" borderId="112" xfId="2" applyFont="1" applyFill="1" applyBorder="1" applyAlignment="1" applyProtection="1">
      <alignment horizontal="center"/>
      <protection hidden="1"/>
    </xf>
    <xf numFmtId="0" fontId="5" fillId="15" borderId="73" xfId="2" applyFont="1" applyFill="1" applyBorder="1" applyAlignment="1" applyProtection="1">
      <alignment horizontal="center"/>
      <protection hidden="1"/>
    </xf>
    <xf numFmtId="0" fontId="43" fillId="18" borderId="113" xfId="2" applyFont="1" applyFill="1" applyBorder="1" applyProtection="1">
      <protection hidden="1"/>
    </xf>
    <xf numFmtId="0" fontId="1" fillId="15" borderId="114" xfId="2" applyFont="1" applyFill="1" applyBorder="1" applyAlignment="1" applyProtection="1">
      <alignment horizontal="center"/>
      <protection hidden="1"/>
    </xf>
    <xf numFmtId="0" fontId="0" fillId="23" borderId="0" xfId="2" applyFont="1" applyFill="1"/>
    <xf numFmtId="0" fontId="48" fillId="8" borderId="14" xfId="2" applyFont="1" applyFill="1" applyBorder="1" applyAlignment="1" applyProtection="1">
      <alignment wrapText="1"/>
      <protection hidden="1"/>
    </xf>
    <xf numFmtId="3" fontId="22" fillId="8" borderId="0" xfId="2" applyNumberFormat="1" applyFont="1" applyFill="1" applyBorder="1" applyProtection="1"/>
    <xf numFmtId="0" fontId="0" fillId="8" borderId="0" xfId="2" applyFont="1" applyFill="1" applyProtection="1">
      <protection locked="0"/>
    </xf>
    <xf numFmtId="0" fontId="74" fillId="6" borderId="0" xfId="2" applyFont="1" applyFill="1"/>
    <xf numFmtId="0" fontId="74" fillId="6" borderId="0" xfId="2" applyFont="1" applyFill="1" applyAlignment="1">
      <alignment wrapText="1"/>
    </xf>
    <xf numFmtId="4" fontId="0" fillId="0" borderId="0" xfId="2" applyNumberFormat="1" applyFont="1"/>
    <xf numFmtId="0" fontId="0" fillId="0" borderId="0" xfId="2" applyFont="1" applyAlignment="1">
      <alignment horizontal="right"/>
    </xf>
    <xf numFmtId="0" fontId="43" fillId="25" borderId="115" xfId="2" applyFont="1" applyFill="1" applyBorder="1" applyProtection="1">
      <protection hidden="1"/>
    </xf>
    <xf numFmtId="0" fontId="26" fillId="8" borderId="116" xfId="2" applyFont="1" applyFill="1" applyBorder="1" applyProtection="1">
      <protection hidden="1"/>
    </xf>
    <xf numFmtId="0" fontId="5" fillId="8" borderId="117" xfId="2" applyFont="1" applyFill="1" applyBorder="1" applyAlignment="1" applyProtection="1">
      <alignment horizontal="center"/>
      <protection hidden="1"/>
    </xf>
    <xf numFmtId="0" fontId="3" fillId="8" borderId="118" xfId="2" applyFont="1" applyFill="1" applyBorder="1" applyProtection="1">
      <protection hidden="1"/>
    </xf>
    <xf numFmtId="0" fontId="5" fillId="8" borderId="119" xfId="2" applyFont="1" applyFill="1" applyBorder="1" applyAlignment="1" applyProtection="1">
      <alignment horizontal="center"/>
      <protection hidden="1"/>
    </xf>
    <xf numFmtId="0" fontId="5" fillId="2" borderId="120" xfId="2" applyFont="1" applyFill="1" applyBorder="1" applyAlignment="1" applyProtection="1">
      <alignment horizontal="center"/>
      <protection hidden="1"/>
    </xf>
    <xf numFmtId="0" fontId="90" fillId="0" borderId="7" xfId="2" applyFont="1" applyFill="1" applyBorder="1" applyProtection="1">
      <protection hidden="1"/>
    </xf>
    <xf numFmtId="0" fontId="23" fillId="2" borderId="121" xfId="2" applyFont="1" applyFill="1" applyBorder="1" applyAlignment="1" applyProtection="1">
      <alignment horizontal="right"/>
      <protection hidden="1"/>
    </xf>
    <xf numFmtId="0" fontId="5" fillId="2" borderId="74" xfId="2" applyFont="1" applyFill="1" applyBorder="1" applyProtection="1">
      <protection hidden="1"/>
    </xf>
    <xf numFmtId="0" fontId="25" fillId="10" borderId="74" xfId="2" applyFont="1" applyFill="1" applyBorder="1" applyAlignment="1" applyProtection="1">
      <alignment wrapText="1"/>
      <protection hidden="1"/>
    </xf>
    <xf numFmtId="0" fontId="5" fillId="2" borderId="74" xfId="2" applyFont="1" applyFill="1" applyBorder="1" applyAlignment="1" applyProtection="1">
      <alignment wrapText="1"/>
      <protection hidden="1"/>
    </xf>
    <xf numFmtId="0" fontId="5" fillId="2" borderId="122" xfId="2" applyFont="1" applyFill="1" applyBorder="1" applyProtection="1">
      <protection hidden="1"/>
    </xf>
    <xf numFmtId="0" fontId="26" fillId="2" borderId="123" xfId="2" applyFont="1" applyFill="1" applyBorder="1" applyAlignment="1" applyProtection="1">
      <alignment horizontal="center"/>
      <protection hidden="1"/>
    </xf>
    <xf numFmtId="0" fontId="26" fillId="15" borderId="0" xfId="2" applyFont="1" applyFill="1" applyProtection="1">
      <protection hidden="1"/>
    </xf>
    <xf numFmtId="166" fontId="3" fillId="15" borderId="112" xfId="2" applyNumberFormat="1" applyFont="1" applyFill="1" applyBorder="1" applyAlignment="1" applyProtection="1">
      <alignment horizontal="center" vertical="center"/>
      <protection hidden="1"/>
    </xf>
    <xf numFmtId="0" fontId="0" fillId="26" borderId="14" xfId="2" applyFont="1" applyFill="1" applyBorder="1" applyProtection="1">
      <protection hidden="1"/>
    </xf>
    <xf numFmtId="0" fontId="93" fillId="27" borderId="74" xfId="2" applyFont="1" applyFill="1" applyBorder="1" applyAlignment="1" applyProtection="1">
      <alignment horizontal="center" vertical="center" wrapText="1"/>
      <protection hidden="1"/>
    </xf>
    <xf numFmtId="3" fontId="0" fillId="8" borderId="74" xfId="2" applyNumberFormat="1" applyFont="1" applyFill="1" applyBorder="1" applyProtection="1">
      <protection hidden="1"/>
    </xf>
    <xf numFmtId="0" fontId="0" fillId="0" borderId="124" xfId="2" applyFont="1" applyBorder="1" applyAlignment="1">
      <alignment horizontal="center"/>
    </xf>
    <xf numFmtId="0" fontId="0" fillId="0" borderId="26" xfId="2" applyFont="1" applyBorder="1" applyAlignment="1">
      <alignment horizontal="center"/>
    </xf>
    <xf numFmtId="0" fontId="0" fillId="0" borderId="125" xfId="2" applyFont="1" applyBorder="1" applyAlignment="1">
      <alignment horizontal="center"/>
    </xf>
    <xf numFmtId="0" fontId="0" fillId="0" borderId="126" xfId="2" applyFont="1" applyBorder="1" applyAlignment="1">
      <alignment horizontal="center"/>
    </xf>
    <xf numFmtId="1" fontId="95" fillId="2" borderId="0" xfId="2" applyNumberFormat="1" applyFont="1" applyFill="1"/>
    <xf numFmtId="1" fontId="95" fillId="2" borderId="0" xfId="2" applyNumberFormat="1" applyFont="1" applyFill="1" applyAlignment="1">
      <alignment horizontal="left"/>
    </xf>
    <xf numFmtId="0" fontId="22" fillId="0" borderId="0" xfId="2" applyFont="1"/>
    <xf numFmtId="0" fontId="22" fillId="0" borderId="0" xfId="2" applyFont="1" applyProtection="1">
      <protection hidden="1"/>
    </xf>
    <xf numFmtId="0" fontId="94" fillId="27" borderId="127" xfId="2" applyFont="1" applyFill="1" applyBorder="1" applyProtection="1">
      <protection hidden="1"/>
    </xf>
    <xf numFmtId="0" fontId="26" fillId="19" borderId="128" xfId="2" applyFont="1" applyFill="1" applyBorder="1" applyProtection="1">
      <protection hidden="1"/>
    </xf>
    <xf numFmtId="0" fontId="26" fillId="19" borderId="129" xfId="2" applyFont="1" applyFill="1" applyBorder="1" applyAlignment="1" applyProtection="1">
      <alignment horizontal="center"/>
      <protection hidden="1"/>
    </xf>
    <xf numFmtId="0" fontId="0" fillId="19" borderId="130" xfId="2" applyFont="1" applyFill="1" applyBorder="1" applyProtection="1">
      <protection hidden="1"/>
    </xf>
    <xf numFmtId="0" fontId="26" fillId="19" borderId="131" xfId="2" applyFont="1" applyFill="1" applyBorder="1" applyAlignment="1" applyProtection="1">
      <alignment horizontal="center"/>
      <protection hidden="1"/>
    </xf>
    <xf numFmtId="0" fontId="96" fillId="19" borderId="130" xfId="2" applyFont="1" applyFill="1" applyBorder="1" applyAlignment="1" applyProtection="1">
      <alignment horizontal="right"/>
      <protection hidden="1"/>
    </xf>
    <xf numFmtId="0" fontId="96" fillId="19" borderId="1" xfId="2" applyFont="1" applyFill="1" applyBorder="1" applyAlignment="1" applyProtection="1">
      <alignment horizontal="center"/>
      <protection hidden="1"/>
    </xf>
    <xf numFmtId="0" fontId="0" fillId="19" borderId="131" xfId="2" applyFont="1" applyFill="1" applyBorder="1" applyAlignment="1" applyProtection="1">
      <alignment horizontal="center"/>
      <protection hidden="1"/>
    </xf>
    <xf numFmtId="0" fontId="0" fillId="2" borderId="130" xfId="2" applyFont="1" applyFill="1" applyBorder="1" applyProtection="1">
      <protection hidden="1"/>
    </xf>
    <xf numFmtId="0" fontId="26" fillId="2" borderId="1" xfId="2" applyFont="1" applyFill="1" applyBorder="1" applyProtection="1">
      <protection hidden="1"/>
    </xf>
    <xf numFmtId="0" fontId="26" fillId="2" borderId="131" xfId="2" applyFont="1" applyFill="1" applyBorder="1" applyAlignment="1" applyProtection="1">
      <alignment horizontal="center"/>
      <protection hidden="1"/>
    </xf>
    <xf numFmtId="0" fontId="26" fillId="0" borderId="1" xfId="2" applyFont="1" applyBorder="1" applyProtection="1">
      <protection locked="0"/>
    </xf>
    <xf numFmtId="0" fontId="23" fillId="0" borderId="1" xfId="2" applyFont="1" applyBorder="1" applyAlignment="1" applyProtection="1">
      <alignment horizontal="center"/>
      <protection locked="0"/>
    </xf>
    <xf numFmtId="0" fontId="0" fillId="0" borderId="1" xfId="2" applyFont="1" applyBorder="1" applyProtection="1">
      <protection locked="0"/>
    </xf>
    <xf numFmtId="165" fontId="0" fillId="0" borderId="108" xfId="2" applyNumberFormat="1" applyFont="1" applyBorder="1" applyAlignment="1" applyProtection="1">
      <alignment horizontal="center"/>
      <protection hidden="1"/>
    </xf>
    <xf numFmtId="165" fontId="0" fillId="0" borderId="132" xfId="2" applyNumberFormat="1" applyFont="1" applyBorder="1" applyAlignment="1" applyProtection="1">
      <alignment horizontal="center"/>
      <protection hidden="1"/>
    </xf>
    <xf numFmtId="0" fontId="0" fillId="0" borderId="54" xfId="2" applyFont="1" applyBorder="1" applyAlignment="1">
      <alignment horizontal="center"/>
    </xf>
    <xf numFmtId="1" fontId="45" fillId="0" borderId="2" xfId="2" applyNumberFormat="1" applyFont="1" applyFill="1" applyBorder="1" applyAlignment="1" applyProtection="1">
      <alignment horizontal="center" vertical="center"/>
      <protection locked="0"/>
    </xf>
    <xf numFmtId="0" fontId="24" fillId="8" borderId="2" xfId="2" applyFont="1" applyFill="1" applyBorder="1" applyAlignment="1" applyProtection="1">
      <alignment horizontal="center" vertical="center" wrapText="1"/>
      <protection hidden="1"/>
    </xf>
    <xf numFmtId="3" fontId="0" fillId="19" borderId="74" xfId="2" applyNumberFormat="1" applyFont="1" applyFill="1" applyBorder="1" applyProtection="1">
      <protection hidden="1"/>
    </xf>
    <xf numFmtId="3" fontId="0" fillId="19" borderId="2" xfId="2" applyNumberFormat="1" applyFont="1" applyFill="1" applyBorder="1" applyProtection="1">
      <protection hidden="1"/>
    </xf>
    <xf numFmtId="3" fontId="1" fillId="19" borderId="2" xfId="2" applyNumberFormat="1" applyFont="1" applyFill="1" applyBorder="1" applyProtection="1">
      <protection hidden="1"/>
    </xf>
    <xf numFmtId="0" fontId="0" fillId="19" borderId="14" xfId="2" applyFont="1" applyFill="1" applyBorder="1" applyAlignment="1" applyProtection="1">
      <alignment wrapText="1"/>
      <protection hidden="1"/>
    </xf>
    <xf numFmtId="0" fontId="0" fillId="19" borderId="14" xfId="2" applyFont="1" applyFill="1" applyBorder="1" applyProtection="1">
      <protection hidden="1"/>
    </xf>
    <xf numFmtId="0" fontId="55" fillId="24" borderId="0" xfId="2" applyFont="1" applyFill="1" applyAlignment="1">
      <alignment horizontal="left"/>
    </xf>
    <xf numFmtId="0" fontId="0" fillId="0" borderId="0" xfId="2" applyFont="1" applyAlignment="1">
      <alignment horizontal="left"/>
    </xf>
    <xf numFmtId="49" fontId="68" fillId="0" borderId="0" xfId="2" applyNumberFormat="1" applyFont="1" applyAlignment="1">
      <alignment horizontal="left"/>
    </xf>
    <xf numFmtId="0" fontId="29" fillId="0" borderId="0" xfId="2" applyNumberFormat="1" applyFont="1" applyAlignment="1">
      <alignment horizontal="left"/>
    </xf>
    <xf numFmtId="49" fontId="69" fillId="0" borderId="0" xfId="2" applyNumberFormat="1" applyFont="1" applyAlignment="1">
      <alignment horizontal="left"/>
    </xf>
    <xf numFmtId="0" fontId="29" fillId="0" borderId="0" xfId="2" applyFont="1" applyAlignment="1">
      <alignment horizontal="left"/>
    </xf>
    <xf numFmtId="0" fontId="70" fillId="0" borderId="0" xfId="2" applyFont="1" applyAlignment="1">
      <alignment horizontal="left"/>
    </xf>
    <xf numFmtId="0" fontId="17" fillId="2" borderId="14" xfId="2" applyFont="1" applyFill="1" applyBorder="1" applyProtection="1">
      <protection hidden="1"/>
    </xf>
    <xf numFmtId="0" fontId="82" fillId="10" borderId="14" xfId="2" applyFont="1" applyFill="1" applyBorder="1" applyAlignment="1" applyProtection="1">
      <alignment wrapText="1"/>
      <protection hidden="1"/>
    </xf>
    <xf numFmtId="0" fontId="17" fillId="2" borderId="14" xfId="2" applyFont="1" applyFill="1" applyBorder="1" applyAlignment="1" applyProtection="1">
      <alignment wrapText="1"/>
      <protection hidden="1"/>
    </xf>
    <xf numFmtId="0" fontId="17" fillId="19" borderId="14" xfId="2" applyFont="1" applyFill="1" applyBorder="1" applyAlignment="1" applyProtection="1">
      <alignment wrapText="1"/>
      <protection hidden="1"/>
    </xf>
    <xf numFmtId="0" fontId="17" fillId="19" borderId="14" xfId="2" applyFont="1" applyFill="1" applyBorder="1" applyProtection="1">
      <protection hidden="1"/>
    </xf>
    <xf numFmtId="0" fontId="17" fillId="10" borderId="14" xfId="2" applyFont="1" applyFill="1" applyBorder="1" applyAlignment="1" applyProtection="1">
      <alignment wrapText="1"/>
      <protection hidden="1"/>
    </xf>
    <xf numFmtId="0" fontId="17" fillId="26" borderId="14" xfId="2" applyFont="1" applyFill="1" applyBorder="1" applyProtection="1">
      <protection hidden="1"/>
    </xf>
    <xf numFmtId="0" fontId="17" fillId="10" borderId="14" xfId="2" applyFont="1" applyFill="1" applyBorder="1" applyProtection="1">
      <protection hidden="1"/>
    </xf>
    <xf numFmtId="0" fontId="17" fillId="2" borderId="14" xfId="2" applyFont="1" applyFill="1" applyBorder="1" applyAlignment="1" applyProtection="1">
      <alignment vertical="top" wrapText="1"/>
      <protection hidden="1"/>
    </xf>
    <xf numFmtId="0" fontId="2" fillId="0" borderId="0" xfId="2" applyFont="1" applyFill="1" applyBorder="1" applyAlignment="1">
      <alignment horizontal="center" vertical="center" wrapText="1"/>
    </xf>
    <xf numFmtId="0" fontId="0" fillId="0" borderId="74" xfId="2" applyFont="1" applyFill="1" applyBorder="1" applyProtection="1">
      <protection locked="0"/>
    </xf>
    <xf numFmtId="0" fontId="0" fillId="0" borderId="0" xfId="2" applyFont="1" applyFill="1" applyBorder="1" applyAlignment="1">
      <alignment wrapText="1"/>
    </xf>
    <xf numFmtId="0" fontId="7" fillId="0" borderId="0" xfId="2" applyFont="1" applyAlignment="1">
      <alignment vertical="center" wrapText="1"/>
    </xf>
    <xf numFmtId="0" fontId="26" fillId="7" borderId="0" xfId="2" applyFont="1" applyFill="1"/>
    <xf numFmtId="0" fontId="3" fillId="7" borderId="0" xfId="2" applyFont="1" applyFill="1"/>
    <xf numFmtId="0" fontId="54" fillId="24" borderId="133" xfId="2" applyFont="1" applyFill="1" applyBorder="1" applyProtection="1">
      <protection hidden="1"/>
    </xf>
    <xf numFmtId="0" fontId="26" fillId="11" borderId="134" xfId="2" applyFont="1" applyFill="1" applyBorder="1" applyProtection="1">
      <protection hidden="1"/>
    </xf>
    <xf numFmtId="0" fontId="26" fillId="11" borderId="135" xfId="2" applyFont="1" applyFill="1" applyBorder="1" applyAlignment="1" applyProtection="1">
      <alignment horizontal="center"/>
      <protection hidden="1"/>
    </xf>
    <xf numFmtId="0" fontId="26" fillId="11" borderId="136" xfId="2" applyFont="1" applyFill="1" applyBorder="1" applyAlignment="1" applyProtection="1">
      <alignment horizontal="center"/>
      <protection hidden="1"/>
    </xf>
    <xf numFmtId="0" fontId="0" fillId="2" borderId="137" xfId="2" applyFont="1" applyFill="1" applyBorder="1" applyProtection="1">
      <protection hidden="1"/>
    </xf>
    <xf numFmtId="0" fontId="26" fillId="2" borderId="89" xfId="2" applyFont="1" applyFill="1" applyBorder="1" applyProtection="1">
      <protection hidden="1"/>
    </xf>
    <xf numFmtId="0" fontId="26" fillId="2" borderId="136" xfId="2" applyFont="1" applyFill="1" applyBorder="1" applyAlignment="1" applyProtection="1">
      <alignment horizontal="center"/>
      <protection hidden="1"/>
    </xf>
    <xf numFmtId="0" fontId="3" fillId="11" borderId="137" xfId="2" applyFont="1" applyFill="1" applyBorder="1" applyProtection="1">
      <protection hidden="1"/>
    </xf>
    <xf numFmtId="0" fontId="0" fillId="7" borderId="0" xfId="2" applyFont="1" applyFill="1" applyAlignment="1">
      <alignment horizontal="left"/>
    </xf>
    <xf numFmtId="4" fontId="0" fillId="0" borderId="0" xfId="2" applyNumberFormat="1" applyFont="1" applyBorder="1"/>
    <xf numFmtId="0" fontId="83" fillId="11" borderId="1" xfId="2" applyFont="1" applyFill="1" applyBorder="1" applyAlignment="1" applyProtection="1">
      <alignment horizontal="center"/>
      <protection hidden="1"/>
    </xf>
    <xf numFmtId="0" fontId="26" fillId="7" borderId="0" xfId="2" applyFont="1" applyFill="1" applyAlignment="1">
      <alignment horizontal="center"/>
    </xf>
    <xf numFmtId="0" fontId="0" fillId="7" borderId="0" xfId="2" applyFont="1" applyFill="1" applyAlignment="1">
      <alignment vertical="center" wrapText="1"/>
    </xf>
    <xf numFmtId="0" fontId="3" fillId="0" borderId="0" xfId="2" applyFont="1" applyAlignment="1">
      <alignment vertical="center" wrapText="1"/>
    </xf>
    <xf numFmtId="0" fontId="3" fillId="17" borderId="0" xfId="2" applyFont="1" applyFill="1"/>
    <xf numFmtId="0" fontId="23" fillId="0" borderId="0" xfId="2" applyFont="1"/>
    <xf numFmtId="0" fontId="0" fillId="19" borderId="137" xfId="2" applyFont="1" applyFill="1" applyBorder="1" applyProtection="1">
      <protection hidden="1"/>
    </xf>
    <xf numFmtId="0" fontId="26" fillId="19" borderId="136" xfId="2" applyFont="1" applyFill="1" applyBorder="1" applyAlignment="1" applyProtection="1">
      <alignment horizontal="center"/>
      <protection hidden="1"/>
    </xf>
    <xf numFmtId="0" fontId="26" fillId="19" borderId="89" xfId="2" applyFont="1" applyFill="1" applyBorder="1" applyProtection="1">
      <protection hidden="1"/>
    </xf>
    <xf numFmtId="0" fontId="0" fillId="11" borderId="137" xfId="2" applyFont="1" applyFill="1" applyBorder="1" applyProtection="1">
      <protection hidden="1"/>
    </xf>
    <xf numFmtId="0" fontId="26" fillId="2" borderId="89" xfId="2" applyFont="1" applyFill="1" applyBorder="1" applyAlignment="1" applyProtection="1">
      <alignment horizontal="center"/>
      <protection hidden="1"/>
    </xf>
    <xf numFmtId="0" fontId="26" fillId="11" borderId="89" xfId="2" applyFont="1" applyFill="1" applyBorder="1" applyProtection="1">
      <protection hidden="1"/>
    </xf>
    <xf numFmtId="0" fontId="0" fillId="11" borderId="137" xfId="2" applyFont="1" applyFill="1" applyBorder="1" applyAlignment="1" applyProtection="1">
      <alignment vertical="center" wrapText="1"/>
      <protection hidden="1"/>
    </xf>
    <xf numFmtId="0" fontId="49" fillId="2" borderId="137" xfId="2" applyFont="1" applyFill="1" applyBorder="1" applyProtection="1">
      <protection hidden="1"/>
    </xf>
    <xf numFmtId="0" fontId="49" fillId="2" borderId="89" xfId="2" applyFont="1" applyFill="1" applyBorder="1" applyProtection="1">
      <protection hidden="1"/>
    </xf>
    <xf numFmtId="9" fontId="26" fillId="11" borderId="136" xfId="2" applyNumberFormat="1" applyFont="1" applyFill="1" applyBorder="1" applyAlignment="1" applyProtection="1">
      <alignment horizontal="center"/>
      <protection hidden="1"/>
    </xf>
    <xf numFmtId="0" fontId="0" fillId="19" borderId="137" xfId="2" applyFont="1" applyFill="1" applyBorder="1" applyAlignment="1" applyProtection="1">
      <alignment wrapText="1"/>
      <protection hidden="1"/>
    </xf>
    <xf numFmtId="0" fontId="0" fillId="2" borderId="137" xfId="2" applyFont="1" applyFill="1" applyBorder="1" applyAlignment="1" applyProtection="1">
      <alignment wrapText="1"/>
      <protection hidden="1"/>
    </xf>
    <xf numFmtId="0" fontId="26" fillId="0" borderId="89" xfId="2" applyFont="1" applyFill="1" applyBorder="1" applyAlignment="1" applyProtection="1">
      <alignment horizontal="center"/>
      <protection locked="0"/>
    </xf>
    <xf numFmtId="0" fontId="26" fillId="0" borderId="89" xfId="2" applyFont="1" applyBorder="1" applyAlignment="1" applyProtection="1">
      <alignment horizontal="center"/>
      <protection locked="0"/>
    </xf>
    <xf numFmtId="49" fontId="26" fillId="0" borderId="89" xfId="2" applyNumberFormat="1" applyFont="1" applyBorder="1" applyAlignment="1" applyProtection="1">
      <alignment horizontal="center"/>
      <protection locked="0"/>
    </xf>
    <xf numFmtId="0" fontId="1" fillId="0" borderId="5" xfId="2" applyFont="1" applyBorder="1" applyAlignment="1" applyProtection="1">
      <alignment horizontal="center"/>
      <protection locked="0"/>
    </xf>
    <xf numFmtId="0" fontId="26" fillId="0" borderId="1" xfId="2" applyFont="1" applyBorder="1" applyAlignment="1" applyProtection="1">
      <alignment horizontal="center"/>
      <protection locked="0"/>
    </xf>
    <xf numFmtId="0" fontId="0" fillId="19" borderId="138" xfId="2" applyFont="1" applyFill="1" applyBorder="1" applyProtection="1">
      <protection locked="0"/>
    </xf>
    <xf numFmtId="0" fontId="9" fillId="0" borderId="0" xfId="2" applyFont="1"/>
    <xf numFmtId="1" fontId="52" fillId="0" borderId="0" xfId="2" applyNumberFormat="1" applyFont="1"/>
    <xf numFmtId="0" fontId="52" fillId="0" borderId="0" xfId="2" applyNumberFormat="1" applyFont="1"/>
    <xf numFmtId="49" fontId="99" fillId="0" borderId="0" xfId="2" applyNumberFormat="1" applyFont="1"/>
    <xf numFmtId="0" fontId="52" fillId="0" borderId="0" xfId="2" applyFont="1"/>
    <xf numFmtId="1" fontId="52" fillId="0" borderId="0" xfId="2" applyNumberFormat="1" applyFont="1" applyAlignment="1">
      <alignment horizontal="right"/>
    </xf>
    <xf numFmtId="0" fontId="100" fillId="0" borderId="0" xfId="2" applyFont="1" applyAlignment="1">
      <alignment horizontal="center"/>
    </xf>
    <xf numFmtId="1" fontId="2" fillId="0" borderId="0" xfId="2" applyNumberFormat="1" applyFont="1" applyAlignment="1">
      <alignment horizontal="center"/>
    </xf>
    <xf numFmtId="49" fontId="52" fillId="0" borderId="0" xfId="2" applyNumberFormat="1" applyFont="1"/>
    <xf numFmtId="0" fontId="5" fillId="0" borderId="0" xfId="2" applyNumberFormat="1" applyFont="1"/>
    <xf numFmtId="49" fontId="3" fillId="0" borderId="0" xfId="2" applyNumberFormat="1" applyFont="1"/>
    <xf numFmtId="0" fontId="5" fillId="2" borderId="0" xfId="2" applyNumberFormat="1" applyFont="1" applyFill="1"/>
    <xf numFmtId="0" fontId="3" fillId="2" borderId="0" xfId="2" applyFont="1" applyFill="1"/>
    <xf numFmtId="49" fontId="3" fillId="0" borderId="0" xfId="2" applyNumberFormat="1" applyFont="1" applyAlignment="1">
      <alignment horizontal="center"/>
    </xf>
    <xf numFmtId="0" fontId="3" fillId="2" borderId="0" xfId="2" applyNumberFormat="1" applyFont="1" applyFill="1" applyAlignment="1">
      <alignment horizontal="center"/>
    </xf>
    <xf numFmtId="0" fontId="3" fillId="0" borderId="0" xfId="2" applyFont="1" applyAlignment="1">
      <alignment horizontal="center"/>
    </xf>
    <xf numFmtId="0" fontId="0" fillId="19" borderId="0" xfId="2" applyFont="1" applyFill="1"/>
    <xf numFmtId="0" fontId="2" fillId="19" borderId="139" xfId="2" applyFont="1" applyFill="1" applyBorder="1"/>
    <xf numFmtId="0" fontId="2" fillId="19" borderId="140" xfId="2" applyFont="1" applyFill="1" applyBorder="1"/>
    <xf numFmtId="0" fontId="2" fillId="19" borderId="141" xfId="2" applyFont="1" applyFill="1" applyBorder="1"/>
    <xf numFmtId="0" fontId="2" fillId="19" borderId="142" xfId="2" applyFont="1" applyFill="1" applyBorder="1"/>
    <xf numFmtId="0" fontId="2" fillId="19" borderId="82" xfId="2" applyFont="1" applyFill="1" applyBorder="1"/>
    <xf numFmtId="0" fontId="2" fillId="19" borderId="143" xfId="2" applyFont="1" applyFill="1" applyBorder="1"/>
    <xf numFmtId="0" fontId="52" fillId="19" borderId="142" xfId="2" applyFont="1" applyFill="1" applyBorder="1"/>
    <xf numFmtId="0" fontId="52" fillId="19" borderId="82" xfId="2" applyFont="1" applyFill="1" applyBorder="1"/>
    <xf numFmtId="0" fontId="52" fillId="19" borderId="143" xfId="2" applyFont="1" applyFill="1" applyBorder="1"/>
    <xf numFmtId="0" fontId="52" fillId="19" borderId="144" xfId="2" applyFont="1" applyFill="1" applyBorder="1"/>
    <xf numFmtId="0" fontId="52" fillId="19" borderId="145" xfId="2" applyFont="1" applyFill="1" applyBorder="1"/>
    <xf numFmtId="0" fontId="52" fillId="19" borderId="146" xfId="2" applyFont="1" applyFill="1" applyBorder="1"/>
    <xf numFmtId="0" fontId="26" fillId="0" borderId="82" xfId="2" applyFont="1" applyBorder="1" applyAlignment="1" applyProtection="1">
      <alignment horizontal="center"/>
      <protection locked="0"/>
    </xf>
    <xf numFmtId="3" fontId="52" fillId="0" borderId="0" xfId="2" applyNumberFormat="1" applyFont="1"/>
    <xf numFmtId="0" fontId="83" fillId="2" borderId="0" xfId="2" applyFont="1" applyFill="1"/>
    <xf numFmtId="0" fontId="83" fillId="2" borderId="0" xfId="2" applyFont="1" applyFill="1" applyAlignment="1">
      <alignment horizontal="center"/>
    </xf>
    <xf numFmtId="0" fontId="0" fillId="19" borderId="74" xfId="2" applyFont="1" applyFill="1" applyBorder="1" applyProtection="1">
      <protection locked="0"/>
    </xf>
    <xf numFmtId="0" fontId="0" fillId="0" borderId="2" xfId="2" applyFont="1" applyFill="1" applyBorder="1" applyProtection="1">
      <protection locked="0"/>
    </xf>
    <xf numFmtId="0" fontId="0" fillId="0" borderId="138" xfId="2" applyFont="1" applyFill="1" applyBorder="1" applyProtection="1">
      <protection locked="0"/>
    </xf>
    <xf numFmtId="0" fontId="0" fillId="11" borderId="147" xfId="2" applyFont="1" applyFill="1" applyBorder="1" applyAlignment="1" applyProtection="1">
      <alignment horizontal="left" vertical="center"/>
      <protection locked="0"/>
    </xf>
    <xf numFmtId="0" fontId="0" fillId="0" borderId="22" xfId="2" applyFont="1" applyBorder="1" applyAlignment="1" applyProtection="1">
      <alignment horizontal="left" vertical="center" wrapText="1"/>
      <protection hidden="1"/>
    </xf>
    <xf numFmtId="0" fontId="0" fillId="0" borderId="96" xfId="2" applyFont="1" applyBorder="1" applyProtection="1">
      <protection locked="0"/>
    </xf>
    <xf numFmtId="0" fontId="0" fillId="0" borderId="17" xfId="2" applyFont="1" applyBorder="1" applyProtection="1">
      <protection locked="0"/>
    </xf>
    <xf numFmtId="0" fontId="0" fillId="0" borderId="21" xfId="2" applyFont="1" applyBorder="1" applyProtection="1">
      <protection locked="0"/>
    </xf>
    <xf numFmtId="0" fontId="0" fillId="19" borderId="60" xfId="2" applyFont="1" applyFill="1" applyBorder="1" applyProtection="1">
      <protection locked="0"/>
    </xf>
    <xf numFmtId="0" fontId="0" fillId="26" borderId="60" xfId="2" applyFont="1" applyFill="1" applyBorder="1" applyProtection="1">
      <protection locked="0"/>
    </xf>
    <xf numFmtId="1" fontId="45" fillId="0" borderId="60" xfId="2" applyNumberFormat="1" applyFont="1" applyFill="1" applyBorder="1" applyAlignment="1" applyProtection="1">
      <alignment horizontal="center" vertical="center"/>
      <protection locked="0"/>
    </xf>
    <xf numFmtId="0" fontId="46" fillId="0" borderId="60" xfId="2" applyFont="1" applyFill="1" applyBorder="1" applyAlignment="1" applyProtection="1">
      <alignment horizontal="center" vertical="center"/>
      <protection locked="0"/>
    </xf>
    <xf numFmtId="0" fontId="2" fillId="8" borderId="96" xfId="2" applyFont="1" applyFill="1" applyBorder="1" applyAlignment="1" applyProtection="1">
      <alignment horizontal="center" vertical="center" wrapText="1"/>
      <protection hidden="1"/>
    </xf>
    <xf numFmtId="0" fontId="75" fillId="28" borderId="96" xfId="2" applyFont="1" applyFill="1" applyBorder="1" applyAlignment="1" applyProtection="1">
      <alignment horizontal="center" vertical="center" wrapText="1"/>
      <protection hidden="1"/>
    </xf>
    <xf numFmtId="0" fontId="103" fillId="11" borderId="96" xfId="2" applyFont="1" applyFill="1" applyBorder="1" applyAlignment="1" applyProtection="1">
      <alignment horizontal="center" vertical="center" wrapText="1"/>
      <protection hidden="1"/>
    </xf>
    <xf numFmtId="0" fontId="0" fillId="11" borderId="22" xfId="2" applyFont="1" applyFill="1" applyBorder="1" applyProtection="1">
      <protection hidden="1"/>
    </xf>
    <xf numFmtId="0" fontId="0" fillId="11" borderId="23" xfId="2" applyFont="1" applyFill="1" applyBorder="1" applyProtection="1">
      <protection hidden="1"/>
    </xf>
    <xf numFmtId="0" fontId="0" fillId="0" borderId="60" xfId="2" applyFont="1" applyFill="1" applyBorder="1" applyProtection="1">
      <protection locked="0"/>
    </xf>
    <xf numFmtId="9" fontId="3" fillId="14" borderId="148" xfId="2" applyNumberFormat="1" applyFont="1" applyFill="1" applyBorder="1" applyAlignment="1" applyProtection="1">
      <alignment horizontal="center"/>
      <protection hidden="1"/>
    </xf>
    <xf numFmtId="9" fontId="3" fillId="14" borderId="149" xfId="2" applyNumberFormat="1" applyFont="1" applyFill="1" applyBorder="1" applyAlignment="1" applyProtection="1">
      <alignment horizontal="center"/>
      <protection hidden="1"/>
    </xf>
    <xf numFmtId="168" fontId="26" fillId="0" borderId="82" xfId="2" applyNumberFormat="1" applyFont="1" applyBorder="1" applyAlignment="1" applyProtection="1">
      <alignment horizontal="center"/>
      <protection locked="0"/>
    </xf>
    <xf numFmtId="0" fontId="26" fillId="14" borderId="0" xfId="2" applyFont="1" applyFill="1"/>
    <xf numFmtId="0" fontId="26" fillId="14" borderId="0" xfId="2" applyFont="1" applyFill="1" applyAlignment="1">
      <alignment horizontal="center"/>
    </xf>
    <xf numFmtId="168" fontId="26" fillId="14" borderId="0" xfId="2" applyNumberFormat="1" applyFont="1" applyFill="1"/>
    <xf numFmtId="3" fontId="1" fillId="8" borderId="34" xfId="2" applyNumberFormat="1" applyFont="1" applyFill="1" applyBorder="1" applyProtection="1">
      <protection hidden="1"/>
    </xf>
    <xf numFmtId="3" fontId="1" fillId="6" borderId="3" xfId="2" applyNumberFormat="1" applyFont="1" applyFill="1" applyBorder="1" applyProtection="1">
      <protection hidden="1"/>
    </xf>
    <xf numFmtId="3" fontId="1" fillId="19" borderId="3" xfId="2" applyNumberFormat="1" applyFont="1" applyFill="1" applyBorder="1" applyProtection="1">
      <protection hidden="1"/>
    </xf>
    <xf numFmtId="0" fontId="3" fillId="0" borderId="38" xfId="2" applyFont="1" applyBorder="1" applyProtection="1">
      <protection hidden="1"/>
    </xf>
    <xf numFmtId="0" fontId="0" fillId="0" borderId="150" xfId="2" applyFont="1" applyBorder="1" applyProtection="1">
      <protection hidden="1"/>
    </xf>
    <xf numFmtId="0" fontId="0" fillId="0" borderId="151" xfId="2" applyFont="1" applyBorder="1" applyAlignment="1">
      <alignment horizontal="center"/>
    </xf>
    <xf numFmtId="165" fontId="0" fillId="0" borderId="152" xfId="2" applyNumberFormat="1" applyFont="1" applyBorder="1" applyAlignment="1" applyProtection="1">
      <alignment horizontal="center"/>
      <protection hidden="1"/>
    </xf>
    <xf numFmtId="0" fontId="2" fillId="2" borderId="2" xfId="2" applyFont="1" applyFill="1" applyBorder="1" applyAlignment="1" applyProtection="1">
      <alignment horizontal="center" vertical="center" wrapText="1"/>
      <protection hidden="1"/>
    </xf>
    <xf numFmtId="0" fontId="2" fillId="2" borderId="74" xfId="2" applyFont="1" applyFill="1" applyBorder="1" applyAlignment="1" applyProtection="1">
      <alignment horizontal="center" vertical="center" wrapText="1"/>
      <protection hidden="1"/>
    </xf>
    <xf numFmtId="0" fontId="2" fillId="2" borderId="138" xfId="2" applyFont="1" applyFill="1" applyBorder="1" applyAlignment="1" applyProtection="1">
      <alignment horizontal="center" vertical="center" wrapText="1"/>
      <protection hidden="1"/>
    </xf>
    <xf numFmtId="0" fontId="0" fillId="19" borderId="153" xfId="2" applyFont="1" applyFill="1" applyBorder="1" applyAlignment="1" applyProtection="1">
      <alignment wrapText="1"/>
      <protection hidden="1"/>
    </xf>
    <xf numFmtId="0" fontId="26" fillId="19" borderId="154" xfId="2" applyFont="1" applyFill="1" applyBorder="1" applyProtection="1">
      <protection hidden="1"/>
    </xf>
    <xf numFmtId="9" fontId="26" fillId="19" borderId="155" xfId="2" applyNumberFormat="1" applyFont="1" applyFill="1" applyBorder="1" applyAlignment="1" applyProtection="1">
      <alignment horizontal="center"/>
      <protection hidden="1"/>
    </xf>
    <xf numFmtId="0" fontId="83" fillId="11" borderId="156" xfId="2" applyFont="1" applyFill="1" applyBorder="1" applyAlignment="1" applyProtection="1">
      <alignment horizontal="right"/>
      <protection hidden="1"/>
    </xf>
    <xf numFmtId="0" fontId="0" fillId="8" borderId="60" xfId="2" applyFont="1" applyFill="1" applyBorder="1" applyProtection="1">
      <protection hidden="1"/>
    </xf>
    <xf numFmtId="0" fontId="3" fillId="14" borderId="0" xfId="2" applyFont="1" applyFill="1"/>
    <xf numFmtId="0" fontId="106" fillId="8" borderId="74" xfId="2" applyFont="1" applyFill="1" applyBorder="1" applyAlignment="1" applyProtection="1">
      <alignment horizontal="center" vertical="center"/>
      <protection hidden="1"/>
    </xf>
    <xf numFmtId="0" fontId="107" fillId="8" borderId="2" xfId="2" applyFont="1" applyFill="1" applyBorder="1" applyAlignment="1" applyProtection="1">
      <alignment horizontal="center" vertical="center" wrapText="1"/>
      <protection locked="0"/>
    </xf>
    <xf numFmtId="0" fontId="106" fillId="8" borderId="2" xfId="2" applyFont="1" applyFill="1" applyBorder="1" applyAlignment="1" applyProtection="1">
      <alignment horizontal="center" vertical="center"/>
      <protection hidden="1"/>
    </xf>
    <xf numFmtId="0" fontId="106" fillId="8" borderId="60" xfId="2" applyFont="1" applyFill="1" applyBorder="1" applyAlignment="1" applyProtection="1">
      <alignment horizontal="center" vertical="center"/>
      <protection hidden="1"/>
    </xf>
    <xf numFmtId="0" fontId="81" fillId="27" borderId="99" xfId="2" applyFont="1" applyFill="1" applyBorder="1" applyAlignment="1" applyProtection="1">
      <alignment horizontal="center" vertical="center" wrapText="1"/>
      <protection hidden="1"/>
    </xf>
    <xf numFmtId="1" fontId="52" fillId="0" borderId="0" xfId="2" applyNumberFormat="1" applyFont="1" applyFill="1" applyAlignment="1"/>
    <xf numFmtId="0" fontId="109" fillId="0" borderId="19" xfId="2" applyFont="1" applyFill="1" applyBorder="1" applyAlignment="1" applyProtection="1"/>
    <xf numFmtId="0" fontId="109" fillId="0" borderId="3" xfId="2" applyFont="1" applyFill="1" applyBorder="1" applyAlignment="1" applyProtection="1"/>
    <xf numFmtId="0" fontId="109" fillId="0" borderId="0" xfId="2" applyFont="1" applyFill="1" applyAlignment="1" applyProtection="1"/>
    <xf numFmtId="1" fontId="52" fillId="0" borderId="19" xfId="2" applyNumberFormat="1" applyFont="1" applyFill="1" applyBorder="1" applyAlignment="1"/>
    <xf numFmtId="0" fontId="52" fillId="0" borderId="3" xfId="2" applyNumberFormat="1" applyFont="1" applyFill="1" applyBorder="1" applyAlignment="1"/>
    <xf numFmtId="0" fontId="109" fillId="0" borderId="21" xfId="2" applyFont="1" applyFill="1" applyBorder="1" applyAlignment="1" applyProtection="1"/>
    <xf numFmtId="0" fontId="109" fillId="0" borderId="28" xfId="2" applyFont="1" applyFill="1" applyBorder="1" applyAlignment="1" applyProtection="1"/>
    <xf numFmtId="1" fontId="21" fillId="2" borderId="0" xfId="2" applyNumberFormat="1" applyFont="1" applyFill="1"/>
    <xf numFmtId="1" fontId="21" fillId="2" borderId="0" xfId="2" applyNumberFormat="1" applyFont="1" applyFill="1" applyAlignment="1">
      <alignment horizontal="left"/>
    </xf>
    <xf numFmtId="1" fontId="21" fillId="0" borderId="0" xfId="2" applyNumberFormat="1" applyFont="1" applyAlignment="1">
      <alignment horizontal="left"/>
    </xf>
    <xf numFmtId="1" fontId="21" fillId="0" borderId="19" xfId="2" applyNumberFormat="1" applyFont="1" applyBorder="1" applyAlignment="1">
      <alignment horizontal="left"/>
    </xf>
    <xf numFmtId="1" fontId="21" fillId="0" borderId="19" xfId="2" applyNumberFormat="1" applyFont="1" applyBorder="1"/>
    <xf numFmtId="0" fontId="2" fillId="11" borderId="4" xfId="2" applyFont="1" applyFill="1" applyBorder="1" applyProtection="1">
      <protection locked="0"/>
    </xf>
    <xf numFmtId="0" fontId="5" fillId="0" borderId="0" xfId="2" applyFont="1" applyFill="1" applyBorder="1" applyAlignment="1" applyProtection="1">
      <alignment vertical="top" wrapText="1"/>
      <protection hidden="1"/>
    </xf>
    <xf numFmtId="0" fontId="0" fillId="0" borderId="138" xfId="2" applyFont="1" applyBorder="1"/>
    <xf numFmtId="0" fontId="0" fillId="0" borderId="4" xfId="2" applyFont="1" applyBorder="1"/>
    <xf numFmtId="0" fontId="3" fillId="8" borderId="2" xfId="2" applyFont="1" applyFill="1" applyBorder="1" applyAlignment="1">
      <alignment horizontal="center"/>
    </xf>
    <xf numFmtId="0" fontId="0" fillId="0" borderId="0" xfId="2" applyFont="1" applyFill="1" applyBorder="1" applyAlignment="1" applyProtection="1">
      <alignment vertical="center" wrapText="1"/>
      <protection hidden="1"/>
    </xf>
    <xf numFmtId="0" fontId="0" fillId="0" borderId="0" xfId="2" applyFont="1" applyAlignment="1">
      <alignment vertical="center" wrapText="1"/>
    </xf>
    <xf numFmtId="0" fontId="0" fillId="14" borderId="0" xfId="2" applyFont="1" applyFill="1" applyBorder="1" applyAlignment="1" applyProtection="1">
      <alignment wrapText="1"/>
      <protection hidden="1"/>
    </xf>
    <xf numFmtId="0" fontId="3" fillId="14" borderId="0" xfId="2" applyFont="1" applyFill="1" applyBorder="1" applyProtection="1">
      <protection hidden="1"/>
    </xf>
    <xf numFmtId="0" fontId="0" fillId="14" borderId="0" xfId="2" applyFont="1" applyFill="1" applyBorder="1" applyProtection="1">
      <protection hidden="1"/>
    </xf>
    <xf numFmtId="0" fontId="5" fillId="14" borderId="0" xfId="2" applyFont="1" applyFill="1" applyBorder="1" applyProtection="1">
      <protection hidden="1"/>
    </xf>
    <xf numFmtId="0" fontId="3" fillId="0" borderId="0" xfId="2" applyFont="1" applyFill="1" applyBorder="1" applyAlignment="1" applyProtection="1">
      <alignment wrapText="1"/>
      <protection hidden="1"/>
    </xf>
    <xf numFmtId="0" fontId="3" fillId="0" borderId="0" xfId="2" applyFont="1" applyFill="1"/>
    <xf numFmtId="0" fontId="3" fillId="8" borderId="56" xfId="2" applyFont="1" applyFill="1" applyBorder="1" applyAlignment="1">
      <alignment horizontal="center"/>
    </xf>
    <xf numFmtId="0" fontId="3" fillId="8" borderId="54" xfId="2" applyFont="1" applyFill="1" applyBorder="1" applyAlignment="1">
      <alignment horizontal="center"/>
    </xf>
    <xf numFmtId="0" fontId="3" fillId="8" borderId="108" xfId="2" applyFont="1" applyFill="1" applyBorder="1" applyAlignment="1">
      <alignment horizontal="center"/>
    </xf>
    <xf numFmtId="0" fontId="3" fillId="0" borderId="54" xfId="2" applyFont="1" applyFill="1" applyBorder="1"/>
    <xf numFmtId="0" fontId="3" fillId="0" borderId="2" xfId="2" applyFont="1" applyFill="1" applyBorder="1"/>
    <xf numFmtId="0" fontId="3" fillId="0" borderId="108" xfId="2" applyFont="1" applyFill="1" applyBorder="1"/>
    <xf numFmtId="0" fontId="3" fillId="14" borderId="54" xfId="2" applyFont="1" applyFill="1" applyBorder="1"/>
    <xf numFmtId="0" fontId="3" fillId="0" borderId="54" xfId="2" applyFont="1" applyBorder="1"/>
    <xf numFmtId="0" fontId="3" fillId="0" borderId="55" xfId="2" applyFont="1" applyFill="1" applyBorder="1"/>
    <xf numFmtId="0" fontId="5" fillId="0" borderId="54" xfId="2" applyFont="1" applyFill="1" applyBorder="1"/>
    <xf numFmtId="0" fontId="3" fillId="2" borderId="54" xfId="2" applyFont="1" applyFill="1" applyBorder="1" applyAlignment="1">
      <alignment horizontal="center"/>
    </xf>
    <xf numFmtId="0" fontId="3" fillId="2" borderId="2" xfId="2" applyFont="1" applyFill="1" applyBorder="1" applyAlignment="1">
      <alignment horizontal="center"/>
    </xf>
    <xf numFmtId="0" fontId="3" fillId="2" borderId="108" xfId="2" applyFont="1" applyFill="1" applyBorder="1" applyAlignment="1">
      <alignment horizontal="center"/>
    </xf>
    <xf numFmtId="0" fontId="3" fillId="9" borderId="54" xfId="2" applyFont="1" applyFill="1" applyBorder="1" applyAlignment="1">
      <alignment horizontal="center"/>
    </xf>
    <xf numFmtId="0" fontId="3" fillId="9" borderId="2" xfId="2" applyFont="1" applyFill="1" applyBorder="1" applyAlignment="1">
      <alignment horizontal="center"/>
    </xf>
    <xf numFmtId="0" fontId="3" fillId="9" borderId="108" xfId="2" applyFont="1" applyFill="1" applyBorder="1" applyAlignment="1">
      <alignment horizontal="center"/>
    </xf>
    <xf numFmtId="0" fontId="3" fillId="16" borderId="54" xfId="2" applyFont="1" applyFill="1" applyBorder="1" applyAlignment="1">
      <alignment horizontal="center"/>
    </xf>
    <xf numFmtId="0" fontId="3" fillId="16" borderId="2" xfId="2" applyFont="1" applyFill="1" applyBorder="1" applyAlignment="1">
      <alignment horizontal="center"/>
    </xf>
    <xf numFmtId="0" fontId="3" fillId="16" borderId="108" xfId="2" applyFont="1" applyFill="1" applyBorder="1" applyAlignment="1">
      <alignment horizontal="center"/>
    </xf>
    <xf numFmtId="0" fontId="3" fillId="23" borderId="2" xfId="2" applyFont="1" applyFill="1" applyBorder="1" applyAlignment="1">
      <alignment horizontal="center"/>
    </xf>
    <xf numFmtId="0" fontId="3" fillId="23" borderId="108" xfId="2" applyFont="1" applyFill="1" applyBorder="1" applyAlignment="1">
      <alignment horizontal="center"/>
    </xf>
    <xf numFmtId="0" fontId="3" fillId="3" borderId="2" xfId="2" applyFont="1" applyFill="1" applyBorder="1" applyAlignment="1">
      <alignment horizontal="center"/>
    </xf>
    <xf numFmtId="0" fontId="3" fillId="3" borderId="108" xfId="2" applyFont="1" applyFill="1" applyBorder="1" applyAlignment="1">
      <alignment horizontal="center"/>
    </xf>
    <xf numFmtId="0" fontId="3" fillId="7" borderId="2" xfId="2" applyFont="1" applyFill="1" applyBorder="1" applyAlignment="1">
      <alignment horizontal="center"/>
    </xf>
    <xf numFmtId="0" fontId="3" fillId="7" borderId="108" xfId="2" applyFont="1" applyFill="1" applyBorder="1" applyAlignment="1">
      <alignment horizontal="center"/>
    </xf>
    <xf numFmtId="0" fontId="3" fillId="0" borderId="57" xfId="2" applyFont="1" applyFill="1" applyBorder="1"/>
    <xf numFmtId="0" fontId="5" fillId="0" borderId="28" xfId="2" applyFont="1" applyFill="1" applyBorder="1"/>
    <xf numFmtId="0" fontId="0" fillId="8" borderId="55" xfId="2" applyFont="1" applyFill="1" applyBorder="1" applyAlignment="1">
      <alignment horizontal="center"/>
    </xf>
    <xf numFmtId="0" fontId="0" fillId="5" borderId="110" xfId="2" applyFont="1" applyFill="1" applyBorder="1" applyAlignment="1">
      <alignment horizontal="center"/>
    </xf>
    <xf numFmtId="0" fontId="0" fillId="8" borderId="110" xfId="2" applyFont="1" applyFill="1" applyBorder="1" applyAlignment="1">
      <alignment horizontal="center"/>
    </xf>
    <xf numFmtId="0" fontId="0" fillId="8" borderId="132" xfId="2" applyFont="1" applyFill="1" applyBorder="1" applyAlignment="1">
      <alignment horizontal="center"/>
    </xf>
    <xf numFmtId="0" fontId="3" fillId="23" borderId="157" xfId="2" applyFont="1" applyFill="1" applyBorder="1" applyAlignment="1">
      <alignment horizontal="center"/>
    </xf>
    <xf numFmtId="0" fontId="3" fillId="3" borderId="157" xfId="2" applyFont="1" applyFill="1" applyBorder="1" applyAlignment="1">
      <alignment horizontal="center"/>
    </xf>
    <xf numFmtId="0" fontId="3" fillId="5" borderId="158" xfId="2" applyFont="1" applyFill="1" applyBorder="1" applyAlignment="1">
      <alignment horizontal="center"/>
    </xf>
    <xf numFmtId="0" fontId="26" fillId="0" borderId="0" xfId="2" applyFont="1" applyAlignment="1">
      <alignment horizontal="right"/>
    </xf>
    <xf numFmtId="0" fontId="114" fillId="12" borderId="97" xfId="2" applyFont="1" applyFill="1" applyBorder="1" applyAlignment="1" applyProtection="1">
      <alignment horizontal="center" vertical="center" wrapText="1"/>
      <protection hidden="1"/>
    </xf>
    <xf numFmtId="0" fontId="52" fillId="0" borderId="0" xfId="2" applyFont="1" applyFill="1" applyAlignment="1" applyProtection="1"/>
    <xf numFmtId="1" fontId="3" fillId="0" borderId="0" xfId="2" applyNumberFormat="1" applyFont="1" applyFill="1" applyAlignment="1"/>
    <xf numFmtId="0" fontId="3" fillId="0" borderId="0" xfId="2" applyFont="1" applyFill="1" applyAlignment="1" applyProtection="1"/>
    <xf numFmtId="1" fontId="52" fillId="0" borderId="3" xfId="2" applyNumberFormat="1" applyFont="1" applyFill="1" applyBorder="1" applyAlignment="1"/>
    <xf numFmtId="0" fontId="5" fillId="0" borderId="3" xfId="2" applyFont="1" applyFill="1" applyBorder="1"/>
    <xf numFmtId="1" fontId="21" fillId="2" borderId="19" xfId="2" applyNumberFormat="1" applyFont="1" applyFill="1" applyBorder="1" applyAlignment="1">
      <alignment horizontal="left"/>
    </xf>
    <xf numFmtId="0" fontId="52" fillId="0" borderId="19" xfId="2" applyNumberFormat="1" applyFont="1" applyFill="1" applyBorder="1" applyAlignment="1"/>
    <xf numFmtId="0" fontId="5" fillId="0" borderId="19" xfId="2" applyFont="1" applyFill="1" applyBorder="1"/>
    <xf numFmtId="0" fontId="3" fillId="8" borderId="157" xfId="2" applyFont="1" applyFill="1" applyBorder="1" applyAlignment="1">
      <alignment horizontal="center"/>
    </xf>
    <xf numFmtId="0" fontId="3" fillId="8" borderId="96" xfId="2" applyFont="1" applyFill="1" applyBorder="1" applyAlignment="1">
      <alignment horizontal="center"/>
    </xf>
    <xf numFmtId="0" fontId="3" fillId="0" borderId="96" xfId="2" applyFont="1" applyFill="1" applyBorder="1" applyAlignment="1">
      <alignment horizontal="center"/>
    </xf>
    <xf numFmtId="0" fontId="3" fillId="2" borderId="157" xfId="2" applyFont="1" applyFill="1" applyBorder="1" applyAlignment="1">
      <alignment horizontal="center"/>
    </xf>
    <xf numFmtId="0" fontId="3" fillId="2" borderId="96" xfId="2" applyFont="1" applyFill="1" applyBorder="1" applyAlignment="1">
      <alignment horizontal="center"/>
    </xf>
    <xf numFmtId="0" fontId="5" fillId="0" borderId="96" xfId="2" applyFont="1" applyFill="1" applyBorder="1" applyAlignment="1">
      <alignment horizontal="center"/>
    </xf>
    <xf numFmtId="0" fontId="3" fillId="9" borderId="157" xfId="2" applyFont="1" applyFill="1" applyBorder="1" applyAlignment="1">
      <alignment horizontal="center"/>
    </xf>
    <xf numFmtId="0" fontId="3" fillId="9" borderId="96" xfId="2" applyFont="1" applyFill="1" applyBorder="1" applyAlignment="1">
      <alignment horizontal="center"/>
    </xf>
    <xf numFmtId="0" fontId="3" fillId="16" borderId="157" xfId="2" applyFont="1" applyFill="1" applyBorder="1" applyAlignment="1">
      <alignment horizontal="center"/>
    </xf>
    <xf numFmtId="0" fontId="3" fillId="16" borderId="60" xfId="2" applyFont="1" applyFill="1" applyBorder="1" applyAlignment="1">
      <alignment horizontal="center"/>
    </xf>
    <xf numFmtId="0" fontId="3" fillId="23" borderId="60" xfId="2" applyFont="1" applyFill="1" applyBorder="1" applyAlignment="1">
      <alignment horizontal="center"/>
    </xf>
    <xf numFmtId="0" fontId="3" fillId="3" borderId="60" xfId="2" applyFont="1" applyFill="1" applyBorder="1" applyAlignment="1">
      <alignment horizontal="center"/>
    </xf>
    <xf numFmtId="0" fontId="3" fillId="7" borderId="0" xfId="2" applyFont="1" applyFill="1" applyBorder="1" applyAlignment="1">
      <alignment horizontal="center"/>
    </xf>
    <xf numFmtId="0" fontId="3" fillId="0" borderId="0" xfId="2" applyFont="1" applyFill="1" applyBorder="1" applyAlignment="1">
      <alignment horizontal="center"/>
    </xf>
    <xf numFmtId="0" fontId="115" fillId="0" borderId="0" xfId="2" applyFont="1" applyAlignment="1">
      <alignment horizontal="center" vertical="center" wrapText="1"/>
    </xf>
    <xf numFmtId="0" fontId="116" fillId="0" borderId="0" xfId="2" applyFont="1"/>
    <xf numFmtId="0" fontId="116" fillId="12" borderId="0" xfId="2" applyFont="1" applyFill="1"/>
    <xf numFmtId="0" fontId="115" fillId="0" borderId="0" xfId="2" applyFont="1"/>
    <xf numFmtId="0" fontId="116" fillId="0" borderId="0" xfId="2" applyFont="1" applyAlignment="1">
      <alignment wrapText="1"/>
    </xf>
    <xf numFmtId="0" fontId="116" fillId="0" borderId="0" xfId="2" applyFont="1" applyProtection="1">
      <protection locked="0"/>
    </xf>
    <xf numFmtId="0" fontId="31" fillId="0" borderId="47" xfId="2" applyFont="1" applyBorder="1" applyAlignment="1">
      <alignment horizontal="center"/>
    </xf>
    <xf numFmtId="0" fontId="33" fillId="0" borderId="27" xfId="2" applyFont="1" applyBorder="1" applyAlignment="1">
      <alignment horizontal="center" wrapText="1"/>
    </xf>
    <xf numFmtId="0" fontId="32" fillId="0" borderId="27" xfId="2" applyFont="1" applyFill="1" applyBorder="1" applyAlignment="1">
      <alignment horizontal="center" vertical="center" wrapText="1"/>
    </xf>
    <xf numFmtId="0" fontId="33" fillId="15" borderId="20" xfId="2" applyFont="1" applyFill="1" applyBorder="1" applyAlignment="1">
      <alignment horizontal="centerContinuous" vertical="center" wrapText="1"/>
    </xf>
    <xf numFmtId="0" fontId="33" fillId="15" borderId="3" xfId="2" applyFont="1" applyFill="1" applyBorder="1" applyAlignment="1">
      <alignment horizontal="centerContinuous" vertical="center" wrapText="1"/>
    </xf>
    <xf numFmtId="0" fontId="33" fillId="15" borderId="159" xfId="2" applyFont="1" applyFill="1" applyBorder="1" applyAlignment="1">
      <alignment horizontal="centerContinuous" vertical="center" wrapText="1"/>
    </xf>
    <xf numFmtId="0" fontId="5" fillId="0" borderId="22" xfId="2" applyFont="1" applyFill="1" applyBorder="1" applyAlignment="1">
      <alignment horizontal="center"/>
    </xf>
    <xf numFmtId="0" fontId="0" fillId="8" borderId="0" xfId="2" applyFont="1" applyFill="1" applyAlignment="1">
      <alignment horizontal="center"/>
    </xf>
    <xf numFmtId="0" fontId="0" fillId="0" borderId="0" xfId="2" applyFont="1" applyFill="1" applyBorder="1" applyAlignment="1" applyProtection="1">
      <alignment horizontal="right"/>
      <protection hidden="1"/>
    </xf>
    <xf numFmtId="0" fontId="43" fillId="29" borderId="157" xfId="2" applyFont="1" applyFill="1" applyBorder="1" applyAlignment="1">
      <alignment horizontal="center"/>
    </xf>
    <xf numFmtId="0" fontId="3" fillId="29" borderId="96" xfId="2" applyFont="1" applyFill="1" applyBorder="1" applyAlignment="1">
      <alignment horizontal="center"/>
    </xf>
    <xf numFmtId="0" fontId="43" fillId="29" borderId="157" xfId="2" applyFont="1" applyFill="1" applyBorder="1" applyAlignment="1">
      <alignment horizontal="center" wrapText="1"/>
    </xf>
    <xf numFmtId="0" fontId="43" fillId="29" borderId="60" xfId="2" applyFont="1" applyFill="1" applyBorder="1" applyAlignment="1">
      <alignment horizontal="center"/>
    </xf>
    <xf numFmtId="0" fontId="43" fillId="29" borderId="0" xfId="2" applyFont="1" applyFill="1" applyBorder="1" applyProtection="1">
      <protection hidden="1"/>
    </xf>
    <xf numFmtId="0" fontId="3" fillId="8" borderId="37" xfId="2" applyFont="1" applyFill="1" applyBorder="1" applyAlignment="1"/>
    <xf numFmtId="0" fontId="3" fillId="8" borderId="157" xfId="2" applyFont="1" applyFill="1" applyBorder="1" applyAlignment="1"/>
    <xf numFmtId="0" fontId="3" fillId="8" borderId="160" xfId="2" applyFont="1" applyFill="1" applyBorder="1" applyAlignment="1"/>
    <xf numFmtId="0" fontId="3" fillId="5" borderId="45" xfId="2" applyFont="1" applyFill="1" applyBorder="1" applyAlignment="1"/>
    <xf numFmtId="0" fontId="3" fillId="5" borderId="157" xfId="2" applyFont="1" applyFill="1" applyBorder="1" applyAlignment="1"/>
    <xf numFmtId="0" fontId="3" fillId="5" borderId="161" xfId="2" applyFont="1" applyFill="1" applyBorder="1" applyAlignment="1"/>
    <xf numFmtId="0" fontId="43" fillId="29" borderId="162" xfId="2" applyFont="1" applyFill="1" applyBorder="1" applyAlignment="1">
      <alignment horizontal="center" vertical="center" wrapText="1"/>
    </xf>
    <xf numFmtId="0" fontId="0" fillId="0" borderId="163" xfId="2" applyFont="1" applyBorder="1"/>
    <xf numFmtId="0" fontId="111" fillId="8" borderId="104" xfId="2" applyFont="1" applyFill="1" applyBorder="1" applyAlignment="1">
      <alignment horizontal="center" vertical="center" wrapText="1"/>
    </xf>
    <xf numFmtId="0" fontId="0" fillId="8" borderId="106" xfId="2" applyFont="1" applyFill="1" applyBorder="1"/>
    <xf numFmtId="0" fontId="3" fillId="8" borderId="5" xfId="2" applyFont="1" applyFill="1" applyBorder="1" applyAlignment="1">
      <alignment horizontal="center"/>
    </xf>
    <xf numFmtId="0" fontId="3" fillId="8" borderId="107" xfId="2" applyFont="1" applyFill="1" applyBorder="1" applyAlignment="1">
      <alignment horizontal="center"/>
    </xf>
    <xf numFmtId="0" fontId="5" fillId="2" borderId="106" xfId="2" applyFont="1" applyFill="1" applyBorder="1" applyAlignment="1" applyProtection="1">
      <alignment horizontal="right"/>
      <protection hidden="1"/>
    </xf>
    <xf numFmtId="0" fontId="0" fillId="0" borderId="5" xfId="2" applyFont="1" applyBorder="1"/>
    <xf numFmtId="0" fontId="0" fillId="0" borderId="5" xfId="2" applyFont="1" applyFill="1" applyBorder="1"/>
    <xf numFmtId="0" fontId="5" fillId="2" borderId="106" xfId="2" applyFont="1" applyFill="1" applyBorder="1" applyAlignment="1" applyProtection="1">
      <alignment horizontal="right" wrapText="1"/>
      <protection hidden="1"/>
    </xf>
    <xf numFmtId="0" fontId="25" fillId="8" borderId="106" xfId="2" applyFont="1" applyFill="1" applyBorder="1" applyAlignment="1" applyProtection="1">
      <alignment horizontal="right" wrapText="1"/>
      <protection hidden="1"/>
    </xf>
    <xf numFmtId="0" fontId="0" fillId="8" borderId="5" xfId="2" applyFont="1" applyFill="1" applyBorder="1"/>
    <xf numFmtId="0" fontId="0" fillId="2" borderId="106" xfId="2" applyFont="1" applyFill="1" applyBorder="1" applyAlignment="1" applyProtection="1">
      <alignment horizontal="right"/>
      <protection hidden="1"/>
    </xf>
    <xf numFmtId="0" fontId="0" fillId="2" borderId="164" xfId="2" applyFont="1" applyFill="1" applyBorder="1" applyAlignment="1" applyProtection="1">
      <alignment horizontal="right"/>
      <protection hidden="1"/>
    </xf>
    <xf numFmtId="0" fontId="0" fillId="0" borderId="165" xfId="2" applyFont="1" applyBorder="1"/>
    <xf numFmtId="0" fontId="3" fillId="8" borderId="166" xfId="2" applyFont="1" applyFill="1" applyBorder="1" applyAlignment="1">
      <alignment horizontal="center"/>
    </xf>
    <xf numFmtId="166" fontId="0" fillId="0" borderId="0" xfId="2" applyNumberFormat="1" applyFont="1" applyBorder="1"/>
    <xf numFmtId="0" fontId="0" fillId="0" borderId="167" xfId="2" applyFont="1" applyBorder="1" applyAlignment="1"/>
    <xf numFmtId="0" fontId="0" fillId="0" borderId="168" xfId="2" applyFont="1" applyBorder="1" applyAlignment="1"/>
    <xf numFmtId="0" fontId="0" fillId="0" borderId="168" xfId="2" applyFont="1" applyBorder="1" applyAlignment="1">
      <alignment horizontal="center"/>
    </xf>
    <xf numFmtId="0" fontId="0" fillId="0" borderId="169" xfId="2" applyFont="1" applyBorder="1"/>
    <xf numFmtId="0" fontId="0" fillId="0" borderId="14" xfId="2" applyFont="1" applyBorder="1"/>
    <xf numFmtId="0" fontId="0" fillId="0" borderId="14" xfId="2" applyFont="1" applyFill="1" applyBorder="1"/>
    <xf numFmtId="0" fontId="0" fillId="0" borderId="15" xfId="2" applyFont="1" applyBorder="1"/>
    <xf numFmtId="0" fontId="109" fillId="0" borderId="170" xfId="2" applyFont="1" applyFill="1" applyBorder="1" applyAlignment="1" applyProtection="1"/>
    <xf numFmtId="0" fontId="3" fillId="0" borderId="171" xfId="2" applyFont="1" applyFill="1" applyBorder="1" applyAlignment="1">
      <alignment horizontal="center"/>
    </xf>
    <xf numFmtId="0" fontId="109" fillId="0" borderId="172" xfId="2" applyFont="1" applyFill="1" applyBorder="1" applyAlignment="1" applyProtection="1"/>
    <xf numFmtId="0" fontId="3" fillId="0" borderId="166" xfId="2" applyFont="1" applyFill="1" applyBorder="1" applyAlignment="1">
      <alignment horizontal="center"/>
    </xf>
    <xf numFmtId="0" fontId="3" fillId="11" borderId="166" xfId="2" applyFont="1" applyFill="1" applyBorder="1" applyAlignment="1">
      <alignment horizontal="center"/>
    </xf>
    <xf numFmtId="0" fontId="3" fillId="2" borderId="166" xfId="2" applyFont="1" applyFill="1" applyBorder="1" applyAlignment="1">
      <alignment horizontal="center"/>
    </xf>
    <xf numFmtId="0" fontId="3" fillId="0" borderId="166" xfId="2" applyFont="1" applyFill="1" applyBorder="1" applyAlignment="1">
      <alignment horizontal="center" vertical="center" wrapText="1"/>
    </xf>
    <xf numFmtId="0" fontId="109" fillId="0" borderId="173" xfId="2" applyFont="1" applyFill="1" applyBorder="1" applyAlignment="1" applyProtection="1"/>
    <xf numFmtId="0" fontId="5" fillId="0" borderId="173" xfId="2" applyFont="1" applyFill="1" applyBorder="1"/>
    <xf numFmtId="0" fontId="109" fillId="0" borderId="174" xfId="2" applyFont="1" applyFill="1" applyBorder="1" applyAlignment="1" applyProtection="1"/>
    <xf numFmtId="0" fontId="3" fillId="8" borderId="175" xfId="2" applyFont="1" applyFill="1" applyBorder="1" applyAlignment="1">
      <alignment horizontal="center"/>
    </xf>
    <xf numFmtId="0" fontId="0" fillId="19" borderId="138" xfId="2" applyFont="1" applyFill="1" applyBorder="1"/>
    <xf numFmtId="0" fontId="0" fillId="19" borderId="14" xfId="2" applyFont="1" applyFill="1" applyBorder="1"/>
    <xf numFmtId="0" fontId="43" fillId="29" borderId="0" xfId="2" applyFont="1" applyFill="1"/>
    <xf numFmtId="0" fontId="43" fillId="29" borderId="0" xfId="2" applyFont="1" applyFill="1" applyAlignment="1">
      <alignment vertical="center" wrapText="1"/>
    </xf>
    <xf numFmtId="0" fontId="85" fillId="29" borderId="0" xfId="2" applyFont="1" applyFill="1"/>
    <xf numFmtId="3" fontId="85" fillId="29" borderId="0" xfId="2" applyNumberFormat="1" applyFont="1" applyFill="1"/>
    <xf numFmtId="3" fontId="43" fillId="29" borderId="0" xfId="2" applyNumberFormat="1" applyFont="1" applyFill="1" applyBorder="1"/>
    <xf numFmtId="0" fontId="0" fillId="8" borderId="176" xfId="2" applyFont="1" applyFill="1" applyBorder="1" applyAlignment="1">
      <alignment horizontal="center"/>
    </xf>
    <xf numFmtId="0" fontId="0" fillId="8" borderId="177" xfId="2" applyFont="1" applyFill="1" applyBorder="1" applyAlignment="1">
      <alignment horizontal="center"/>
    </xf>
    <xf numFmtId="0" fontId="0" fillId="19" borderId="178" xfId="2" applyFont="1" applyFill="1" applyBorder="1" applyProtection="1">
      <protection locked="0"/>
    </xf>
    <xf numFmtId="0" fontId="0" fillId="19" borderId="179" xfId="2" applyFont="1" applyFill="1" applyBorder="1" applyProtection="1">
      <protection locked="0"/>
    </xf>
    <xf numFmtId="0" fontId="0" fillId="0" borderId="180" xfId="2" applyFont="1" applyBorder="1" applyProtection="1">
      <protection locked="0"/>
    </xf>
    <xf numFmtId="0" fontId="0" fillId="0" borderId="167" xfId="2" applyFont="1" applyBorder="1"/>
    <xf numFmtId="0" fontId="0" fillId="0" borderId="168" xfId="2" applyFont="1" applyBorder="1"/>
    <xf numFmtId="0" fontId="3" fillId="0" borderId="14" xfId="2" applyFont="1" applyBorder="1"/>
    <xf numFmtId="0" fontId="43" fillId="29" borderId="138" xfId="2" applyFont="1" applyFill="1" applyBorder="1"/>
    <xf numFmtId="0" fontId="43" fillId="29" borderId="181" xfId="2" applyFont="1" applyFill="1" applyBorder="1"/>
    <xf numFmtId="0" fontId="43" fillId="29" borderId="138" xfId="2" applyFont="1" applyFill="1" applyBorder="1" applyAlignment="1">
      <alignment horizontal="center"/>
    </xf>
    <xf numFmtId="0" fontId="0" fillId="26" borderId="182" xfId="2" applyFont="1" applyFill="1" applyBorder="1" applyProtection="1">
      <protection locked="0"/>
    </xf>
    <xf numFmtId="0" fontId="0" fillId="26" borderId="183" xfId="2" applyFont="1" applyFill="1" applyBorder="1" applyProtection="1">
      <protection locked="0"/>
    </xf>
    <xf numFmtId="0" fontId="0" fillId="0" borderId="184" xfId="2" applyFont="1" applyBorder="1" applyProtection="1">
      <protection locked="0"/>
    </xf>
    <xf numFmtId="0" fontId="0" fillId="8" borderId="182" xfId="2" applyFont="1" applyFill="1" applyBorder="1" applyAlignment="1" applyProtection="1">
      <alignment horizontal="center"/>
      <protection locked="0"/>
    </xf>
    <xf numFmtId="0" fontId="0" fillId="8" borderId="183" xfId="2" applyFont="1" applyFill="1" applyBorder="1" applyAlignment="1" applyProtection="1">
      <alignment horizontal="center"/>
      <protection locked="0"/>
    </xf>
    <xf numFmtId="0" fontId="3" fillId="0" borderId="169" xfId="2" applyFont="1" applyFill="1" applyBorder="1" applyAlignment="1">
      <alignment horizontal="center"/>
    </xf>
    <xf numFmtId="0" fontId="0" fillId="8" borderId="0" xfId="2" applyFont="1" applyFill="1" applyBorder="1" applyAlignment="1">
      <alignment wrapText="1"/>
    </xf>
    <xf numFmtId="0" fontId="3" fillId="17" borderId="0" xfId="2" applyFont="1" applyFill="1" applyAlignment="1">
      <alignment horizontal="center"/>
    </xf>
    <xf numFmtId="0" fontId="5" fillId="0" borderId="185" xfId="2" applyFont="1" applyFill="1" applyBorder="1"/>
    <xf numFmtId="0" fontId="96" fillId="29" borderId="0" xfId="2" applyFont="1" applyFill="1"/>
    <xf numFmtId="0" fontId="118" fillId="29" borderId="0" xfId="2" applyFont="1" applyFill="1"/>
    <xf numFmtId="3" fontId="118" fillId="29" borderId="0" xfId="2" applyNumberFormat="1" applyFont="1" applyFill="1"/>
    <xf numFmtId="0" fontId="67" fillId="29" borderId="0" xfId="2" applyFont="1" applyFill="1"/>
    <xf numFmtId="3" fontId="67" fillId="29" borderId="0" xfId="2" applyNumberFormat="1" applyFont="1" applyFill="1"/>
    <xf numFmtId="0" fontId="2" fillId="11" borderId="186" xfId="2" applyFont="1" applyFill="1" applyBorder="1" applyProtection="1">
      <protection hidden="1"/>
    </xf>
    <xf numFmtId="0" fontId="2" fillId="11" borderId="187" xfId="2" applyFont="1" applyFill="1" applyBorder="1" applyProtection="1">
      <protection hidden="1"/>
    </xf>
    <xf numFmtId="0" fontId="2" fillId="11" borderId="188" xfId="2" applyFont="1" applyFill="1" applyBorder="1" applyProtection="1">
      <protection hidden="1"/>
    </xf>
    <xf numFmtId="0" fontId="123" fillId="29" borderId="0" xfId="2" applyFont="1" applyFill="1"/>
    <xf numFmtId="3" fontId="123" fillId="29" borderId="0" xfId="2" applyNumberFormat="1" applyFont="1" applyFill="1"/>
    <xf numFmtId="0" fontId="0" fillId="8" borderId="106" xfId="2" applyFont="1" applyFill="1" applyBorder="1" applyProtection="1">
      <protection hidden="1"/>
    </xf>
    <xf numFmtId="0" fontId="26" fillId="8" borderId="107" xfId="2" applyFont="1" applyFill="1" applyBorder="1" applyAlignment="1" applyProtection="1">
      <alignment horizontal="center"/>
      <protection hidden="1"/>
    </xf>
    <xf numFmtId="0" fontId="5" fillId="8" borderId="106" xfId="2" applyFont="1" applyFill="1" applyBorder="1" applyProtection="1">
      <protection hidden="1"/>
    </xf>
    <xf numFmtId="0" fontId="0" fillId="2" borderId="106" xfId="2" applyFont="1" applyFill="1" applyBorder="1" applyProtection="1">
      <protection hidden="1"/>
    </xf>
    <xf numFmtId="0" fontId="26" fillId="2" borderId="5" xfId="2" applyFont="1" applyFill="1" applyBorder="1" applyProtection="1">
      <protection hidden="1"/>
    </xf>
    <xf numFmtId="0" fontId="26" fillId="2" borderId="107" xfId="2" applyFont="1" applyFill="1" applyBorder="1" applyAlignment="1" applyProtection="1">
      <alignment horizontal="center"/>
      <protection hidden="1"/>
    </xf>
    <xf numFmtId="0" fontId="26" fillId="8" borderId="106" xfId="2" applyFont="1" applyFill="1" applyBorder="1" applyProtection="1">
      <protection hidden="1"/>
    </xf>
    <xf numFmtId="0" fontId="77" fillId="8" borderId="164" xfId="2" applyFont="1" applyFill="1" applyBorder="1" applyProtection="1">
      <protection hidden="1"/>
    </xf>
    <xf numFmtId="0" fontId="26" fillId="8" borderId="189" xfId="2" applyFont="1" applyFill="1" applyBorder="1" applyAlignment="1" applyProtection="1">
      <alignment horizontal="center"/>
      <protection hidden="1"/>
    </xf>
    <xf numFmtId="0" fontId="26" fillId="0" borderId="5" xfId="2" applyFont="1" applyBorder="1" applyProtection="1">
      <protection locked="0"/>
    </xf>
    <xf numFmtId="0" fontId="26" fillId="8" borderId="5" xfId="2" applyFont="1" applyFill="1" applyBorder="1" applyAlignment="1" applyProtection="1">
      <alignment horizontal="center"/>
      <protection hidden="1"/>
    </xf>
    <xf numFmtId="0" fontId="26" fillId="8" borderId="5" xfId="2" applyFont="1" applyFill="1" applyBorder="1" applyProtection="1">
      <protection hidden="1"/>
    </xf>
    <xf numFmtId="166" fontId="3" fillId="8" borderId="165" xfId="2" applyNumberFormat="1" applyFont="1" applyFill="1" applyBorder="1" applyAlignment="1" applyProtection="1">
      <alignment horizontal="center"/>
      <protection hidden="1"/>
    </xf>
    <xf numFmtId="0" fontId="3" fillId="8" borderId="2" xfId="2" applyFont="1" applyFill="1" applyBorder="1" applyAlignment="1" applyProtection="1">
      <alignment horizontal="center" wrapText="1"/>
      <protection hidden="1"/>
    </xf>
    <xf numFmtId="0" fontId="0" fillId="8" borderId="190" xfId="2" applyFont="1" applyFill="1" applyBorder="1" applyAlignment="1" applyProtection="1">
      <alignment horizontal="center"/>
      <protection hidden="1"/>
    </xf>
    <xf numFmtId="0" fontId="0" fillId="8" borderId="191" xfId="2" applyFont="1" applyFill="1" applyBorder="1" applyAlignment="1" applyProtection="1">
      <alignment horizontal="center"/>
      <protection hidden="1"/>
    </xf>
    <xf numFmtId="0" fontId="0" fillId="19" borderId="190" xfId="2" applyFont="1" applyFill="1" applyBorder="1" applyProtection="1">
      <protection hidden="1"/>
    </xf>
    <xf numFmtId="0" fontId="0" fillId="19" borderId="191" xfId="2" applyFont="1" applyFill="1" applyBorder="1" applyProtection="1">
      <protection hidden="1"/>
    </xf>
    <xf numFmtId="0" fontId="0" fillId="8" borderId="192" xfId="2" applyFont="1" applyFill="1" applyBorder="1" applyAlignment="1" applyProtection="1">
      <alignment horizontal="center"/>
      <protection hidden="1"/>
    </xf>
    <xf numFmtId="0" fontId="0" fillId="8" borderId="193" xfId="2" applyFont="1" applyFill="1" applyBorder="1" applyAlignment="1" applyProtection="1">
      <alignment horizontal="center"/>
      <protection hidden="1"/>
    </xf>
    <xf numFmtId="0" fontId="0" fillId="26" borderId="182" xfId="2" applyFont="1" applyFill="1" applyBorder="1" applyProtection="1">
      <protection hidden="1"/>
    </xf>
    <xf numFmtId="0" fontId="0" fillId="26" borderId="194" xfId="2" applyFont="1" applyFill="1" applyBorder="1" applyProtection="1">
      <protection hidden="1"/>
    </xf>
    <xf numFmtId="1" fontId="45" fillId="11" borderId="19" xfId="2" applyNumberFormat="1" applyFont="1" applyFill="1" applyBorder="1" applyAlignment="1" applyProtection="1">
      <alignment horizontal="center" vertical="center"/>
      <protection hidden="1"/>
    </xf>
    <xf numFmtId="1" fontId="45" fillId="11" borderId="0" xfId="2" applyNumberFormat="1" applyFont="1" applyFill="1" applyBorder="1" applyAlignment="1" applyProtection="1">
      <alignment horizontal="center" vertical="center"/>
      <protection hidden="1"/>
    </xf>
    <xf numFmtId="1" fontId="45" fillId="11" borderId="20" xfId="2" applyNumberFormat="1" applyFont="1" applyFill="1" applyBorder="1" applyAlignment="1" applyProtection="1">
      <alignment horizontal="center" vertical="center"/>
      <protection hidden="1"/>
    </xf>
    <xf numFmtId="0" fontId="24" fillId="11" borderId="2" xfId="2" applyFont="1" applyFill="1" applyBorder="1" applyProtection="1">
      <protection hidden="1"/>
    </xf>
    <xf numFmtId="0" fontId="0" fillId="6" borderId="195" xfId="2" applyFont="1" applyFill="1" applyBorder="1" applyProtection="1">
      <protection hidden="1"/>
    </xf>
    <xf numFmtId="0" fontId="0" fillId="6" borderId="196" xfId="2" applyFont="1" applyFill="1" applyBorder="1" applyProtection="1">
      <protection hidden="1"/>
    </xf>
    <xf numFmtId="0" fontId="0" fillId="6" borderId="0" xfId="2" applyFont="1" applyFill="1" applyBorder="1" applyProtection="1">
      <protection hidden="1"/>
    </xf>
    <xf numFmtId="0" fontId="0" fillId="6" borderId="197" xfId="2" applyFont="1" applyFill="1" applyBorder="1" applyProtection="1">
      <protection hidden="1"/>
    </xf>
    <xf numFmtId="0" fontId="0" fillId="6" borderId="198" xfId="2" applyFont="1" applyFill="1" applyBorder="1" applyProtection="1">
      <protection hidden="1"/>
    </xf>
    <xf numFmtId="0" fontId="0" fillId="6" borderId="199" xfId="2" applyFont="1" applyFill="1" applyBorder="1" applyProtection="1">
      <protection hidden="1"/>
    </xf>
    <xf numFmtId="0" fontId="0" fillId="6" borderId="200" xfId="2" applyFont="1" applyFill="1" applyBorder="1" applyProtection="1">
      <protection hidden="1"/>
    </xf>
    <xf numFmtId="0" fontId="0" fillId="6" borderId="201" xfId="2" applyFont="1" applyFill="1" applyBorder="1" applyProtection="1">
      <protection hidden="1"/>
    </xf>
    <xf numFmtId="3" fontId="1" fillId="6" borderId="34" xfId="2" applyNumberFormat="1" applyFont="1" applyFill="1" applyBorder="1" applyProtection="1">
      <protection hidden="1"/>
    </xf>
    <xf numFmtId="0" fontId="26" fillId="8" borderId="202" xfId="2" applyFont="1" applyFill="1" applyBorder="1" applyProtection="1">
      <protection hidden="1"/>
    </xf>
    <xf numFmtId="0" fontId="5" fillId="8" borderId="203" xfId="2" applyFont="1" applyFill="1" applyBorder="1" applyAlignment="1" applyProtection="1">
      <alignment horizontal="center"/>
      <protection hidden="1"/>
    </xf>
    <xf numFmtId="0" fontId="26" fillId="0" borderId="204" xfId="2" applyFont="1" applyFill="1" applyBorder="1" applyProtection="1">
      <protection locked="0"/>
    </xf>
    <xf numFmtId="0" fontId="26" fillId="0" borderId="205" xfId="2" applyFont="1" applyFill="1" applyBorder="1" applyProtection="1">
      <protection locked="0"/>
    </xf>
    <xf numFmtId="0" fontId="3" fillId="8" borderId="206" xfId="2" applyFont="1" applyFill="1" applyBorder="1" applyProtection="1">
      <protection hidden="1"/>
    </xf>
    <xf numFmtId="0" fontId="5" fillId="8" borderId="118" xfId="2" applyFont="1" applyFill="1" applyBorder="1" applyProtection="1">
      <protection hidden="1"/>
    </xf>
    <xf numFmtId="0" fontId="53" fillId="8" borderId="119" xfId="2" applyFont="1" applyFill="1" applyBorder="1" applyAlignment="1" applyProtection="1">
      <alignment horizontal="center"/>
      <protection hidden="1"/>
    </xf>
    <xf numFmtId="1" fontId="126" fillId="0" borderId="0" xfId="2" applyNumberFormat="1" applyFont="1" applyFill="1"/>
    <xf numFmtId="1" fontId="126" fillId="0" borderId="0" xfId="2" applyNumberFormat="1" applyFont="1" applyFill="1" applyAlignment="1">
      <alignment horizontal="left"/>
    </xf>
    <xf numFmtId="16" fontId="3" fillId="0" borderId="0" xfId="2" applyNumberFormat="1" applyFont="1"/>
    <xf numFmtId="0" fontId="22" fillId="10" borderId="0" xfId="2" applyFont="1" applyFill="1"/>
    <xf numFmtId="0" fontId="127" fillId="10" borderId="0" xfId="2" applyFont="1" applyFill="1"/>
    <xf numFmtId="0" fontId="73" fillId="15" borderId="103" xfId="2" applyFont="1" applyFill="1" applyBorder="1" applyAlignment="1" applyProtection="1">
      <alignment horizontal="center"/>
      <protection hidden="1"/>
    </xf>
    <xf numFmtId="0" fontId="26" fillId="2" borderId="68" xfId="2" applyFont="1" applyFill="1" applyBorder="1" applyProtection="1">
      <protection locked="0"/>
    </xf>
    <xf numFmtId="0" fontId="22" fillId="15" borderId="103" xfId="2" applyFont="1" applyFill="1" applyBorder="1" applyAlignment="1" applyProtection="1">
      <alignment horizontal="center"/>
      <protection hidden="1"/>
    </xf>
    <xf numFmtId="0" fontId="74" fillId="0" borderId="0" xfId="2" applyFont="1" applyBorder="1"/>
    <xf numFmtId="0" fontId="74" fillId="12" borderId="0" xfId="2" applyFont="1" applyFill="1" applyBorder="1"/>
    <xf numFmtId="0" fontId="74" fillId="0" borderId="0" xfId="2" applyFont="1" applyBorder="1" applyAlignment="1">
      <alignment wrapText="1"/>
    </xf>
    <xf numFmtId="0" fontId="74" fillId="0" borderId="0" xfId="2" applyFont="1" applyBorder="1" applyProtection="1">
      <protection locked="0"/>
    </xf>
    <xf numFmtId="0" fontId="128" fillId="0" borderId="0" xfId="2" applyFont="1" applyBorder="1" applyAlignment="1">
      <alignment horizontal="center" vertical="center" wrapText="1"/>
    </xf>
    <xf numFmtId="0" fontId="128" fillId="0" borderId="0" xfId="2" applyFont="1" applyBorder="1"/>
    <xf numFmtId="0" fontId="26" fillId="0" borderId="68" xfId="2" applyFont="1" applyBorder="1" applyAlignment="1" applyProtection="1">
      <alignment horizontal="center"/>
      <protection locked="0"/>
    </xf>
    <xf numFmtId="0" fontId="26" fillId="0" borderId="69" xfId="2" applyFont="1" applyFill="1" applyBorder="1" applyAlignment="1" applyProtection="1">
      <alignment horizontal="center"/>
      <protection locked="0"/>
    </xf>
    <xf numFmtId="0" fontId="22" fillId="0" borderId="0" xfId="2" applyFont="1" applyAlignment="1">
      <alignment wrapText="1"/>
    </xf>
    <xf numFmtId="0" fontId="2" fillId="0" borderId="0" xfId="2" applyFont="1" applyBorder="1" applyAlignment="1">
      <alignment horizontal="center" vertical="center" wrapText="1"/>
    </xf>
    <xf numFmtId="0" fontId="0" fillId="2" borderId="0" xfId="2" applyFont="1" applyFill="1" applyBorder="1"/>
    <xf numFmtId="0" fontId="43" fillId="2" borderId="207" xfId="2" applyFont="1" applyFill="1" applyBorder="1" applyProtection="1">
      <protection hidden="1"/>
    </xf>
    <xf numFmtId="0" fontId="1" fillId="2" borderId="208" xfId="2" applyFont="1" applyFill="1" applyBorder="1" applyProtection="1">
      <protection hidden="1"/>
    </xf>
    <xf numFmtId="0" fontId="1" fillId="2" borderId="114" xfId="2" applyFont="1" applyFill="1" applyBorder="1" applyAlignment="1" applyProtection="1">
      <alignment horizontal="center"/>
      <protection hidden="1"/>
    </xf>
    <xf numFmtId="0" fontId="3" fillId="15" borderId="207" xfId="2" applyFont="1" applyFill="1" applyBorder="1" applyProtection="1">
      <protection hidden="1"/>
    </xf>
    <xf numFmtId="0" fontId="1" fillId="12" borderId="208" xfId="2" applyFont="1" applyFill="1" applyBorder="1" applyAlignment="1" applyProtection="1">
      <alignment horizontal="center"/>
      <protection locked="0" hidden="1"/>
    </xf>
    <xf numFmtId="0" fontId="84" fillId="0" borderId="0" xfId="2" applyFont="1"/>
    <xf numFmtId="0" fontId="22" fillId="0" borderId="0" xfId="2" applyFont="1" applyFill="1" applyBorder="1"/>
    <xf numFmtId="0" fontId="53" fillId="0" borderId="54" xfId="2" applyFont="1" applyBorder="1"/>
    <xf numFmtId="2" fontId="26" fillId="0" borderId="145" xfId="2" applyNumberFormat="1" applyFont="1" applyBorder="1" applyAlignment="1" applyProtection="1">
      <alignment horizontal="center"/>
      <protection locked="0"/>
    </xf>
    <xf numFmtId="9" fontId="3" fillId="14" borderId="209" xfId="2" applyNumberFormat="1" applyFont="1" applyFill="1" applyBorder="1" applyAlignment="1" applyProtection="1">
      <alignment horizontal="center"/>
      <protection hidden="1"/>
    </xf>
    <xf numFmtId="0" fontId="2" fillId="0" borderId="0" xfId="2" applyFont="1" applyFill="1" applyAlignment="1">
      <alignment horizontal="center" vertical="center" wrapText="1"/>
    </xf>
    <xf numFmtId="0" fontId="102" fillId="0" borderId="0" xfId="2" applyFont="1" applyFill="1" applyAlignment="1">
      <alignment horizontal="center" vertical="center" wrapText="1"/>
    </xf>
    <xf numFmtId="0" fontId="2" fillId="0" borderId="0" xfId="2" applyFont="1" applyFill="1"/>
    <xf numFmtId="0" fontId="52" fillId="0" borderId="0" xfId="2" applyFont="1" applyFill="1"/>
    <xf numFmtId="0" fontId="29" fillId="0" borderId="0" xfId="2" applyFont="1" applyFill="1" applyBorder="1" applyAlignment="1" applyProtection="1">
      <protection hidden="1"/>
    </xf>
    <xf numFmtId="0" fontId="116" fillId="0" borderId="0" xfId="2" applyFont="1" applyFill="1" applyBorder="1" applyProtection="1">
      <protection hidden="1"/>
    </xf>
    <xf numFmtId="0" fontId="116" fillId="0" borderId="0" xfId="2" applyFont="1" applyBorder="1"/>
    <xf numFmtId="0" fontId="130" fillId="22" borderId="0" xfId="2" applyFont="1" applyFill="1" applyBorder="1"/>
    <xf numFmtId="0" fontId="26" fillId="22" borderId="0" xfId="2" applyFont="1" applyFill="1" applyBorder="1"/>
    <xf numFmtId="0" fontId="26" fillId="0" borderId="0" xfId="2" applyFont="1" applyBorder="1"/>
    <xf numFmtId="0" fontId="32" fillId="0" borderId="0" xfId="2" applyFont="1" applyFill="1" applyBorder="1" applyAlignment="1" applyProtection="1">
      <protection hidden="1"/>
    </xf>
    <xf numFmtId="0" fontId="29" fillId="0" borderId="0" xfId="2" applyFont="1" applyFill="1" applyBorder="1" applyProtection="1">
      <protection hidden="1"/>
    </xf>
    <xf numFmtId="0" fontId="2" fillId="0" borderId="0" xfId="2" applyFont="1" applyFill="1" applyBorder="1" applyAlignment="1" applyProtection="1">
      <alignment horizontal="left" vertical="center"/>
      <protection hidden="1"/>
    </xf>
    <xf numFmtId="0" fontId="6" fillId="0" borderId="0" xfId="2" applyFont="1" applyFill="1" applyBorder="1" applyAlignment="1" applyProtection="1">
      <alignment horizontal="center"/>
      <protection hidden="1"/>
    </xf>
    <xf numFmtId="0" fontId="38" fillId="0" borderId="0" xfId="2" applyFont="1" applyBorder="1"/>
    <xf numFmtId="0" fontId="24" fillId="0" borderId="0" xfId="2" applyFont="1" applyBorder="1" applyAlignment="1">
      <alignment horizontal="center"/>
    </xf>
    <xf numFmtId="0" fontId="32" fillId="0" borderId="0" xfId="2" applyFont="1" applyFill="1" applyBorder="1" applyAlignment="1" applyProtection="1">
      <alignment wrapText="1"/>
      <protection hidden="1"/>
    </xf>
    <xf numFmtId="0" fontId="35" fillId="0" borderId="0" xfId="2" applyFont="1" applyFill="1" applyBorder="1" applyAlignment="1" applyProtection="1">
      <alignment wrapText="1"/>
      <protection hidden="1"/>
    </xf>
    <xf numFmtId="0" fontId="2" fillId="0" borderId="0" xfId="2" applyFont="1" applyFill="1" applyBorder="1" applyAlignment="1" applyProtection="1">
      <alignment horizontal="center" vertical="center" wrapText="1"/>
      <protection hidden="1"/>
    </xf>
    <xf numFmtId="0" fontId="24" fillId="0" borderId="0" xfId="2" applyFont="1" applyBorder="1" applyAlignment="1">
      <alignment horizontal="center" vertical="center" wrapText="1"/>
    </xf>
    <xf numFmtId="0" fontId="35" fillId="0" borderId="0" xfId="2" applyFont="1" applyFill="1" applyBorder="1" applyAlignment="1" applyProtection="1">
      <alignment horizontal="left"/>
      <protection hidden="1"/>
    </xf>
    <xf numFmtId="9" fontId="35" fillId="0" borderId="0" xfId="9" applyFont="1" applyFill="1" applyBorder="1" applyAlignment="1" applyProtection="1">
      <alignment horizontal="centerContinuous"/>
      <protection hidden="1"/>
    </xf>
    <xf numFmtId="0" fontId="52" fillId="0" borderId="0" xfId="2" applyFont="1" applyFill="1" applyBorder="1" applyProtection="1">
      <protection hidden="1"/>
    </xf>
    <xf numFmtId="2" fontId="116" fillId="0" borderId="0" xfId="2" applyNumberFormat="1" applyFont="1" applyFill="1" applyBorder="1" applyProtection="1">
      <protection hidden="1"/>
    </xf>
    <xf numFmtId="0" fontId="5" fillId="2" borderId="0" xfId="2" applyFont="1" applyFill="1" applyBorder="1" applyProtection="1">
      <protection hidden="1"/>
    </xf>
    <xf numFmtId="1" fontId="38" fillId="0" borderId="0" xfId="2" applyNumberFormat="1" applyFont="1" applyBorder="1"/>
    <xf numFmtId="1" fontId="38" fillId="0" borderId="0" xfId="2" applyNumberFormat="1" applyFont="1" applyBorder="1" applyAlignment="1">
      <alignment horizontal="left"/>
    </xf>
    <xf numFmtId="0" fontId="35" fillId="0" borderId="0" xfId="2" applyFont="1" applyFill="1" applyBorder="1" applyAlignment="1" applyProtection="1">
      <alignment horizontal="left" vertical="center" wrapText="1"/>
      <protection hidden="1"/>
    </xf>
    <xf numFmtId="0" fontId="5" fillId="2" borderId="0" xfId="2" applyFont="1" applyFill="1" applyBorder="1" applyAlignment="1" applyProtection="1">
      <alignment wrapText="1"/>
      <protection hidden="1"/>
    </xf>
    <xf numFmtId="0" fontId="29" fillId="0" borderId="0" xfId="2" applyFont="1" applyFill="1" applyBorder="1" applyAlignment="1" applyProtection="1">
      <alignment vertical="center" wrapText="1"/>
      <protection hidden="1"/>
    </xf>
    <xf numFmtId="0" fontId="37" fillId="0" borderId="0" xfId="2" applyFont="1" applyFill="1" applyBorder="1" applyAlignment="1" applyProtection="1">
      <alignment vertical="center" wrapText="1"/>
      <protection hidden="1"/>
    </xf>
    <xf numFmtId="0" fontId="25" fillId="10" borderId="0" xfId="2" applyFont="1" applyFill="1" applyBorder="1" applyAlignment="1" applyProtection="1">
      <alignment wrapText="1"/>
      <protection hidden="1"/>
    </xf>
    <xf numFmtId="0" fontId="31" fillId="0" borderId="0" xfId="2" applyFont="1" applyFill="1" applyBorder="1" applyAlignment="1" applyProtection="1">
      <alignment horizontal="centerContinuous" vertical="center" wrapText="1"/>
      <protection hidden="1"/>
    </xf>
    <xf numFmtId="0" fontId="33" fillId="0" borderId="0" xfId="2" applyFont="1" applyFill="1" applyBorder="1" applyAlignment="1" applyProtection="1">
      <alignment horizontal="left" vertical="center" wrapText="1"/>
      <protection hidden="1"/>
    </xf>
    <xf numFmtId="0" fontId="25" fillId="14" borderId="0" xfId="2" applyFont="1" applyFill="1" applyBorder="1" applyAlignment="1" applyProtection="1">
      <alignment wrapText="1"/>
      <protection hidden="1"/>
    </xf>
    <xf numFmtId="0" fontId="116" fillId="2" borderId="0" xfId="2" applyFont="1" applyFill="1" applyBorder="1" applyProtection="1">
      <protection hidden="1"/>
    </xf>
    <xf numFmtId="0" fontId="115" fillId="0" borderId="0" xfId="2" applyFont="1" applyFill="1" applyBorder="1" applyProtection="1">
      <protection hidden="1"/>
    </xf>
    <xf numFmtId="0" fontId="134" fillId="0" borderId="0" xfId="2" applyFont="1" applyFill="1" applyBorder="1" applyProtection="1">
      <protection hidden="1"/>
    </xf>
    <xf numFmtId="0" fontId="134" fillId="2" borderId="0" xfId="2" applyFont="1" applyFill="1" applyBorder="1" applyProtection="1">
      <protection hidden="1"/>
    </xf>
    <xf numFmtId="0" fontId="26" fillId="10" borderId="0" xfId="2" applyFont="1" applyFill="1" applyBorder="1" applyAlignment="1" applyProtection="1">
      <alignment wrapText="1"/>
      <protection hidden="1"/>
    </xf>
    <xf numFmtId="0" fontId="26" fillId="10" borderId="0" xfId="2" applyFont="1" applyFill="1" applyBorder="1" applyProtection="1">
      <protection hidden="1"/>
    </xf>
    <xf numFmtId="2" fontId="26" fillId="0" borderId="0" xfId="2" applyNumberFormat="1" applyFont="1" applyFill="1" applyBorder="1" applyProtection="1">
      <protection hidden="1"/>
    </xf>
    <xf numFmtId="0" fontId="5" fillId="0" borderId="0" xfId="2" applyFont="1" applyFill="1" applyBorder="1" applyAlignment="1" applyProtection="1">
      <alignment wrapText="1"/>
      <protection hidden="1"/>
    </xf>
    <xf numFmtId="0" fontId="3" fillId="2" borderId="0" xfId="2" applyFont="1" applyFill="1" applyBorder="1" applyProtection="1">
      <protection hidden="1"/>
    </xf>
    <xf numFmtId="3" fontId="35" fillId="0" borderId="0" xfId="2" applyNumberFormat="1" applyFont="1" applyFill="1" applyBorder="1" applyAlignment="1" applyProtection="1">
      <alignment horizontal="centerContinuous" vertical="center"/>
      <protection hidden="1"/>
    </xf>
    <xf numFmtId="0" fontId="30" fillId="0" borderId="0" xfId="2" applyFont="1" applyFill="1" applyBorder="1" applyAlignment="1" applyProtection="1">
      <alignment horizontal="left" vertical="center" wrapText="1"/>
      <protection hidden="1"/>
    </xf>
    <xf numFmtId="0" fontId="25" fillId="0" borderId="0" xfId="2" applyFont="1" applyFill="1" applyBorder="1" applyAlignment="1" applyProtection="1">
      <alignment wrapText="1"/>
      <protection hidden="1"/>
    </xf>
    <xf numFmtId="1" fontId="38" fillId="0" borderId="0" xfId="2" applyNumberFormat="1" applyFont="1" applyFill="1" applyBorder="1" applyAlignment="1">
      <alignment horizontal="left"/>
    </xf>
    <xf numFmtId="0" fontId="116" fillId="10" borderId="0" xfId="2" applyFont="1" applyFill="1" applyBorder="1" applyProtection="1">
      <protection hidden="1"/>
    </xf>
    <xf numFmtId="3" fontId="29" fillId="0" borderId="0" xfId="2" applyNumberFormat="1" applyFont="1" applyFill="1" applyBorder="1" applyAlignment="1" applyProtection="1">
      <alignment horizontal="left" vertical="center" wrapText="1"/>
      <protection hidden="1"/>
    </xf>
    <xf numFmtId="1" fontId="38" fillId="8" borderId="0" xfId="2" applyNumberFormat="1" applyFont="1" applyFill="1" applyBorder="1" applyAlignment="1">
      <alignment horizontal="left"/>
    </xf>
    <xf numFmtId="3" fontId="29" fillId="12" borderId="0" xfId="2" applyNumberFormat="1" applyFont="1" applyFill="1" applyBorder="1" applyAlignment="1">
      <alignment horizontal="center"/>
    </xf>
    <xf numFmtId="3" fontId="29" fillId="0" borderId="0" xfId="2" applyNumberFormat="1" applyFont="1" applyFill="1" applyBorder="1" applyAlignment="1" applyProtection="1">
      <alignment horizontal="center"/>
      <protection hidden="1"/>
    </xf>
    <xf numFmtId="3" fontId="33" fillId="0" borderId="0" xfId="2" applyNumberFormat="1" applyFont="1" applyFill="1" applyBorder="1" applyAlignment="1" applyProtection="1">
      <alignment horizontal="center"/>
      <protection hidden="1"/>
    </xf>
    <xf numFmtId="0" fontId="116" fillId="10" borderId="0" xfId="2" applyFont="1" applyFill="1" applyBorder="1" applyAlignment="1" applyProtection="1">
      <alignment wrapText="1"/>
      <protection hidden="1"/>
    </xf>
    <xf numFmtId="0" fontId="5" fillId="2" borderId="0" xfId="2" applyFont="1" applyFill="1" applyBorder="1" applyAlignment="1" applyProtection="1">
      <alignment vertical="top" wrapText="1"/>
      <protection hidden="1"/>
    </xf>
    <xf numFmtId="0" fontId="24" fillId="0" borderId="0" xfId="2" applyFont="1" applyFill="1" applyBorder="1" applyProtection="1">
      <protection hidden="1"/>
    </xf>
    <xf numFmtId="0" fontId="50" fillId="0" borderId="0" xfId="2" applyFont="1" applyFill="1" applyBorder="1" applyProtection="1">
      <protection hidden="1"/>
    </xf>
    <xf numFmtId="0" fontId="116" fillId="12" borderId="0" xfId="2" applyFont="1" applyFill="1" applyBorder="1"/>
    <xf numFmtId="0" fontId="116" fillId="0" borderId="0" xfId="2" applyFont="1" applyFill="1" applyBorder="1"/>
    <xf numFmtId="0" fontId="24" fillId="12" borderId="0" xfId="2" applyFont="1" applyFill="1" applyBorder="1" applyAlignment="1">
      <alignment horizontal="center"/>
    </xf>
    <xf numFmtId="3" fontId="31" fillId="0" borderId="0" xfId="2" applyNumberFormat="1" applyFont="1" applyFill="1" applyBorder="1" applyAlignment="1" applyProtection="1">
      <alignment horizontal="center"/>
      <protection hidden="1"/>
    </xf>
    <xf numFmtId="0" fontId="2" fillId="0" borderId="0" xfId="2" applyFont="1" applyFill="1" applyBorder="1" applyProtection="1">
      <protection hidden="1"/>
    </xf>
    <xf numFmtId="0" fontId="133" fillId="0" borderId="0" xfId="2" applyFont="1" applyFill="1" applyBorder="1" applyProtection="1">
      <protection hidden="1"/>
    </xf>
    <xf numFmtId="0" fontId="2" fillId="0" borderId="0" xfId="2" applyFont="1" applyBorder="1"/>
    <xf numFmtId="0" fontId="2" fillId="0" borderId="0" xfId="2" applyFont="1" applyFill="1" applyBorder="1"/>
    <xf numFmtId="3" fontId="31" fillId="0" borderId="0" xfId="2" applyNumberFormat="1" applyFont="1" applyFill="1" applyBorder="1" applyAlignment="1" applyProtection="1">
      <alignment horizontal="centerContinuous"/>
      <protection hidden="1"/>
    </xf>
    <xf numFmtId="0" fontId="29" fillId="0" borderId="0" xfId="2" applyFont="1" applyFill="1" applyBorder="1" applyAlignment="1" applyProtection="1">
      <alignment horizontal="centerContinuous"/>
      <protection hidden="1"/>
    </xf>
    <xf numFmtId="3" fontId="31" fillId="0" borderId="0" xfId="2" applyNumberFormat="1" applyFont="1" applyFill="1" applyBorder="1" applyAlignment="1" applyProtection="1">
      <alignment horizontal="right"/>
      <protection hidden="1"/>
    </xf>
    <xf numFmtId="0" fontId="29" fillId="12" borderId="0" xfId="2" applyFont="1" applyFill="1"/>
    <xf numFmtId="0" fontId="33" fillId="0" borderId="0" xfId="2" applyFont="1" applyFill="1" applyBorder="1" applyProtection="1">
      <protection hidden="1"/>
    </xf>
    <xf numFmtId="0" fontId="40" fillId="0" borderId="0" xfId="2" applyFont="1" applyFill="1" applyBorder="1" applyProtection="1">
      <protection hidden="1"/>
    </xf>
    <xf numFmtId="0" fontId="116" fillId="0" borderId="0" xfId="2" applyFont="1" applyFill="1" applyBorder="1" applyAlignment="1" applyProtection="1">
      <alignment wrapText="1"/>
      <protection hidden="1"/>
    </xf>
    <xf numFmtId="0" fontId="50" fillId="0" borderId="0" xfId="2" applyFont="1" applyFill="1" applyBorder="1" applyAlignment="1" applyProtection="1">
      <alignment wrapText="1"/>
      <protection hidden="1"/>
    </xf>
    <xf numFmtId="0" fontId="26" fillId="0" borderId="0" xfId="2" applyFont="1" applyBorder="1" applyAlignment="1">
      <alignment wrapText="1"/>
    </xf>
    <xf numFmtId="0" fontId="24" fillId="0" borderId="0" xfId="2" applyFont="1" applyBorder="1" applyAlignment="1">
      <alignment horizontal="center" wrapText="1"/>
    </xf>
    <xf numFmtId="0" fontId="116" fillId="0" borderId="0" xfId="2" applyFont="1" applyBorder="1" applyAlignment="1">
      <alignment wrapText="1"/>
    </xf>
    <xf numFmtId="0" fontId="29" fillId="0" borderId="0" xfId="2" applyFont="1" applyAlignment="1"/>
    <xf numFmtId="0" fontId="3" fillId="0" borderId="0" xfId="2" applyFont="1" applyFill="1" applyBorder="1" applyAlignment="1" applyProtection="1">
      <alignment horizontal="center"/>
      <protection hidden="1"/>
    </xf>
    <xf numFmtId="0" fontId="30" fillId="0" borderId="0" xfId="2" applyFont="1" applyFill="1" applyBorder="1" applyProtection="1">
      <protection hidden="1"/>
    </xf>
    <xf numFmtId="0" fontId="116" fillId="0" borderId="0" xfId="2" applyFont="1" applyFill="1" applyBorder="1" applyAlignment="1">
      <alignment wrapText="1"/>
    </xf>
    <xf numFmtId="0" fontId="26" fillId="0" borderId="0" xfId="2" applyFont="1" applyBorder="1" applyProtection="1">
      <protection locked="0"/>
    </xf>
    <xf numFmtId="0" fontId="24" fillId="0" borderId="0" xfId="2" applyFont="1" applyBorder="1" applyAlignment="1" applyProtection="1">
      <alignment horizontal="center"/>
      <protection locked="0"/>
    </xf>
    <xf numFmtId="0" fontId="116" fillId="0" borderId="0" xfId="2" applyFont="1" applyBorder="1" applyProtection="1">
      <protection locked="0"/>
    </xf>
    <xf numFmtId="0" fontId="116" fillId="0" borderId="0" xfId="2" applyFont="1" applyBorder="1" applyProtection="1">
      <protection hidden="1"/>
    </xf>
    <xf numFmtId="0" fontId="6" fillId="0" borderId="0" xfId="2" applyFont="1" applyFill="1" applyBorder="1" applyProtection="1">
      <protection hidden="1"/>
    </xf>
    <xf numFmtId="0" fontId="30" fillId="0" borderId="0" xfId="2" applyFont="1" applyFill="1" applyBorder="1" applyAlignment="1" applyProtection="1">
      <alignment wrapText="1"/>
      <protection hidden="1"/>
    </xf>
    <xf numFmtId="0" fontId="29" fillId="0" borderId="0" xfId="2" applyFont="1" applyFill="1" applyBorder="1" applyAlignment="1" applyProtection="1">
      <alignment wrapText="1"/>
      <protection hidden="1"/>
    </xf>
    <xf numFmtId="9" fontId="29" fillId="0" borderId="0" xfId="2" applyNumberFormat="1" applyFont="1" applyFill="1" applyBorder="1" applyAlignment="1">
      <alignment horizontal="center"/>
    </xf>
    <xf numFmtId="9" fontId="29" fillId="0" borderId="0" xfId="2" applyNumberFormat="1" applyFont="1" applyBorder="1" applyAlignment="1">
      <alignment horizontal="center"/>
    </xf>
    <xf numFmtId="1" fontId="38" fillId="8" borderId="0" xfId="2" applyNumberFormat="1" applyFont="1" applyFill="1" applyBorder="1"/>
    <xf numFmtId="0" fontId="38" fillId="0" borderId="0" xfId="2" applyNumberFormat="1" applyFont="1" applyBorder="1"/>
    <xf numFmtId="0" fontId="135" fillId="0" borderId="0" xfId="2" applyFont="1" applyBorder="1"/>
    <xf numFmtId="0" fontId="135" fillId="0" borderId="0" xfId="2" applyFont="1" applyFill="1" applyBorder="1"/>
    <xf numFmtId="0" fontId="0" fillId="27" borderId="130" xfId="2" applyFont="1" applyFill="1" applyBorder="1" applyProtection="1">
      <protection hidden="1"/>
    </xf>
    <xf numFmtId="0" fontId="5" fillId="15" borderId="65" xfId="2" applyFont="1" applyFill="1" applyBorder="1" applyAlignment="1" applyProtection="1">
      <alignment vertical="center"/>
      <protection hidden="1"/>
    </xf>
    <xf numFmtId="0" fontId="26" fillId="0" borderId="69" xfId="2" applyFont="1" applyBorder="1" applyAlignment="1" applyProtection="1">
      <alignment horizontal="center" vertical="center"/>
      <protection locked="0"/>
    </xf>
    <xf numFmtId="0" fontId="73" fillId="15" borderId="102" xfId="2" applyFont="1" applyFill="1" applyBorder="1" applyAlignment="1" applyProtection="1">
      <alignment horizontal="center" vertical="center"/>
      <protection hidden="1"/>
    </xf>
    <xf numFmtId="0" fontId="137" fillId="19" borderId="131" xfId="2" applyFont="1" applyFill="1" applyBorder="1" applyAlignment="1" applyProtection="1">
      <alignment horizontal="center"/>
      <protection hidden="1"/>
    </xf>
    <xf numFmtId="0" fontId="138" fillId="10" borderId="67" xfId="2" applyFont="1" applyFill="1" applyBorder="1" applyAlignment="1" applyProtection="1">
      <alignment vertical="center"/>
      <protection hidden="1"/>
    </xf>
    <xf numFmtId="0" fontId="138" fillId="10" borderId="68" xfId="2" applyFont="1" applyFill="1" applyBorder="1" applyAlignment="1" applyProtection="1">
      <alignment horizontal="center" vertical="center"/>
      <protection hidden="1"/>
    </xf>
    <xf numFmtId="0" fontId="138" fillId="10" borderId="103" xfId="2" applyFont="1" applyFill="1" applyBorder="1" applyAlignment="1" applyProtection="1">
      <alignment horizontal="center" vertical="center"/>
      <protection hidden="1"/>
    </xf>
    <xf numFmtId="0" fontId="26" fillId="19" borderId="1" xfId="2" applyFont="1" applyFill="1" applyBorder="1" applyAlignment="1" applyProtection="1">
      <alignment horizontal="center"/>
      <protection hidden="1"/>
    </xf>
    <xf numFmtId="0" fontId="26" fillId="27" borderId="1" xfId="2" applyFont="1" applyFill="1" applyBorder="1" applyAlignment="1" applyProtection="1">
      <alignment horizontal="center"/>
      <protection hidden="1"/>
    </xf>
    <xf numFmtId="0" fontId="139" fillId="27" borderId="131" xfId="2" applyFont="1" applyFill="1" applyBorder="1" applyAlignment="1" applyProtection="1">
      <alignment horizontal="center"/>
      <protection hidden="1"/>
    </xf>
    <xf numFmtId="49" fontId="132" fillId="0" borderId="0" xfId="2" applyNumberFormat="1" applyFont="1" applyFill="1" applyBorder="1"/>
    <xf numFmtId="0" fontId="132" fillId="0" borderId="0" xfId="2" applyNumberFormat="1" applyFont="1" applyFill="1" applyBorder="1"/>
    <xf numFmtId="0" fontId="116" fillId="0" borderId="0" xfId="2" applyFont="1" applyFill="1" applyBorder="1" applyProtection="1">
      <protection locked="0"/>
    </xf>
    <xf numFmtId="0" fontId="132" fillId="0" borderId="0" xfId="2" applyNumberFormat="1" applyFont="1" applyFill="1" applyBorder="1" applyAlignment="1">
      <alignment horizontal="left"/>
    </xf>
    <xf numFmtId="0" fontId="29" fillId="0" borderId="0" xfId="2" applyNumberFormat="1" applyFont="1" applyFill="1" applyBorder="1"/>
    <xf numFmtId="49" fontId="136" fillId="0" borderId="0" xfId="2" applyNumberFormat="1" applyFont="1" applyFill="1" applyBorder="1"/>
    <xf numFmtId="0" fontId="29" fillId="0" borderId="0" xfId="2" applyFont="1" applyFill="1" applyBorder="1"/>
    <xf numFmtId="0" fontId="29" fillId="0" borderId="0" xfId="2" applyFont="1" applyFill="1" applyBorder="1" applyAlignment="1">
      <alignment horizontal="right"/>
    </xf>
    <xf numFmtId="0" fontId="5" fillId="0" borderId="0" xfId="2" applyFont="1" applyFill="1" applyBorder="1" applyAlignment="1">
      <alignment horizontal="right"/>
    </xf>
    <xf numFmtId="0" fontId="5" fillId="0" borderId="0" xfId="2" applyNumberFormat="1" applyFont="1" applyFill="1" applyBorder="1"/>
    <xf numFmtId="0" fontId="6" fillId="0" borderId="0" xfId="2" applyFont="1" applyFill="1" applyBorder="1"/>
    <xf numFmtId="0" fontId="67" fillId="22" borderId="0" xfId="2" applyFont="1" applyFill="1" applyBorder="1"/>
    <xf numFmtId="0" fontId="130" fillId="0" borderId="210" xfId="2" applyFont="1" applyFill="1" applyBorder="1"/>
    <xf numFmtId="0" fontId="130" fillId="0" borderId="210" xfId="2" applyFont="1" applyFill="1" applyBorder="1" applyProtection="1">
      <protection hidden="1"/>
    </xf>
    <xf numFmtId="0" fontId="130" fillId="0" borderId="210" xfId="2" applyFont="1" applyBorder="1"/>
    <xf numFmtId="0" fontId="130" fillId="0" borderId="211" xfId="2" applyFont="1" applyBorder="1"/>
    <xf numFmtId="0" fontId="6" fillId="0" borderId="212" xfId="2" applyFont="1" applyFill="1" applyBorder="1" applyAlignment="1">
      <alignment horizontal="center"/>
    </xf>
    <xf numFmtId="0" fontId="6" fillId="0" borderId="213" xfId="2" applyFont="1" applyFill="1" applyBorder="1" applyAlignment="1">
      <alignment horizontal="center"/>
    </xf>
    <xf numFmtId="0" fontId="6" fillId="0" borderId="213" xfId="2" applyFont="1" applyFill="1" applyBorder="1" applyAlignment="1" applyProtection="1">
      <alignment horizontal="center"/>
      <protection hidden="1"/>
    </xf>
    <xf numFmtId="0" fontId="26" fillId="0" borderId="214" xfId="2" applyFont="1" applyBorder="1"/>
    <xf numFmtId="0" fontId="3" fillId="2" borderId="213" xfId="2" applyFont="1" applyFill="1" applyBorder="1" applyAlignment="1">
      <alignment horizontal="center" vertical="center" wrapText="1"/>
    </xf>
    <xf numFmtId="0" fontId="120" fillId="8" borderId="214" xfId="2" applyFont="1" applyFill="1" applyBorder="1" applyAlignment="1">
      <alignment horizontal="center" vertical="center" wrapText="1"/>
    </xf>
    <xf numFmtId="0" fontId="24" fillId="2" borderId="213" xfId="2" applyFont="1" applyFill="1" applyBorder="1" applyAlignment="1">
      <alignment horizontal="center"/>
    </xf>
    <xf numFmtId="0" fontId="24" fillId="8" borderId="214" xfId="2" applyFont="1" applyFill="1" applyBorder="1" applyAlignment="1">
      <alignment horizontal="center"/>
    </xf>
    <xf numFmtId="0" fontId="6" fillId="8" borderId="214" xfId="2" applyFont="1" applyFill="1" applyBorder="1"/>
    <xf numFmtId="0" fontId="26" fillId="8" borderId="214" xfId="2" applyFont="1" applyFill="1" applyBorder="1"/>
    <xf numFmtId="0" fontId="26" fillId="8" borderId="214" xfId="2" applyFont="1" applyFill="1" applyBorder="1" applyAlignment="1">
      <alignment vertical="center" wrapText="1"/>
    </xf>
    <xf numFmtId="3" fontId="24" fillId="8" borderId="214" xfId="2" applyNumberFormat="1" applyFont="1" applyFill="1" applyBorder="1" applyAlignment="1" applyProtection="1">
      <alignment horizontal="center"/>
      <protection hidden="1"/>
    </xf>
    <xf numFmtId="3" fontId="1" fillId="0" borderId="214" xfId="2" applyNumberFormat="1" applyFont="1" applyFill="1" applyBorder="1" applyProtection="1">
      <protection hidden="1"/>
    </xf>
    <xf numFmtId="0" fontId="24" fillId="2" borderId="215" xfId="2" applyFont="1" applyFill="1" applyBorder="1" applyAlignment="1">
      <alignment horizontal="center"/>
    </xf>
    <xf numFmtId="0" fontId="26" fillId="0" borderId="216" xfId="2" applyFont="1" applyBorder="1"/>
    <xf numFmtId="0" fontId="119" fillId="2" borderId="213" xfId="2" applyFont="1" applyFill="1" applyBorder="1" applyAlignment="1">
      <alignment horizontal="center" wrapText="1"/>
    </xf>
    <xf numFmtId="3" fontId="22" fillId="0" borderId="0" xfId="2" applyNumberFormat="1" applyFont="1" applyFill="1" applyBorder="1" applyProtection="1"/>
    <xf numFmtId="3" fontId="0" fillId="0" borderId="0" xfId="2" applyNumberFormat="1" applyFont="1" applyFill="1" applyBorder="1"/>
    <xf numFmtId="3" fontId="1" fillId="0" borderId="0" xfId="2" applyNumberFormat="1" applyFont="1" applyFill="1" applyBorder="1" applyProtection="1"/>
    <xf numFmtId="0" fontId="1" fillId="0" borderId="0" xfId="2" applyFont="1" applyFill="1"/>
    <xf numFmtId="3" fontId="1" fillId="0" borderId="0" xfId="2" applyNumberFormat="1" applyFont="1" applyFill="1"/>
    <xf numFmtId="0" fontId="22" fillId="0" borderId="217" xfId="2" applyFont="1" applyBorder="1"/>
    <xf numFmtId="0" fontId="22" fillId="0" borderId="218" xfId="2" applyFont="1" applyBorder="1"/>
    <xf numFmtId="0" fontId="22" fillId="0" borderId="219" xfId="2" applyFont="1" applyBorder="1"/>
    <xf numFmtId="0" fontId="0" fillId="0" borderId="220" xfId="2" applyFont="1" applyBorder="1"/>
    <xf numFmtId="0" fontId="22" fillId="0" borderId="221" xfId="2" applyFont="1" applyBorder="1"/>
    <xf numFmtId="0" fontId="119" fillId="0" borderId="210" xfId="2" applyFont="1" applyFill="1" applyBorder="1"/>
    <xf numFmtId="0" fontId="22" fillId="7" borderId="0" xfId="2" applyFont="1" applyFill="1"/>
    <xf numFmtId="3" fontId="1" fillId="0" borderId="2" xfId="2" applyNumberFormat="1" applyFont="1" applyFill="1" applyBorder="1" applyProtection="1">
      <protection hidden="1"/>
    </xf>
    <xf numFmtId="3" fontId="45" fillId="0" borderId="2" xfId="2" applyNumberFormat="1" applyFont="1" applyFill="1" applyBorder="1" applyAlignment="1" applyProtection="1">
      <alignment horizontal="center" vertical="center"/>
      <protection hidden="1"/>
    </xf>
    <xf numFmtId="166" fontId="26" fillId="0" borderId="2" xfId="2" applyNumberFormat="1" applyFont="1" applyFill="1" applyBorder="1" applyProtection="1">
      <protection hidden="1"/>
    </xf>
    <xf numFmtId="3" fontId="0" fillId="6" borderId="34" xfId="2" applyNumberFormat="1" applyFont="1" applyFill="1" applyBorder="1" applyProtection="1">
      <protection hidden="1"/>
    </xf>
    <xf numFmtId="3" fontId="0" fillId="6" borderId="3" xfId="2" applyNumberFormat="1" applyFont="1" applyFill="1" applyBorder="1" applyProtection="1">
      <protection hidden="1"/>
    </xf>
    <xf numFmtId="3" fontId="0" fillId="19" borderId="3" xfId="2" applyNumberFormat="1" applyFont="1" applyFill="1" applyBorder="1" applyProtection="1">
      <protection hidden="1"/>
    </xf>
    <xf numFmtId="3" fontId="0" fillId="6" borderId="28" xfId="2" applyNumberFormat="1" applyFont="1" applyFill="1" applyBorder="1" applyProtection="1">
      <protection hidden="1"/>
    </xf>
    <xf numFmtId="0" fontId="60" fillId="2" borderId="87" xfId="2" applyFont="1" applyFill="1" applyBorder="1" applyAlignment="1" applyProtection="1">
      <alignment horizontal="right"/>
      <protection hidden="1"/>
    </xf>
    <xf numFmtId="166" fontId="26" fillId="2" borderId="89" xfId="2" applyNumberFormat="1" applyFont="1" applyFill="1" applyBorder="1" applyProtection="1">
      <protection hidden="1"/>
    </xf>
    <xf numFmtId="0" fontId="26" fillId="2" borderId="92" xfId="2" applyFont="1" applyFill="1" applyBorder="1" applyAlignment="1" applyProtection="1">
      <alignment horizontal="center"/>
      <protection hidden="1"/>
    </xf>
    <xf numFmtId="0" fontId="5" fillId="23" borderId="87" xfId="2" applyFont="1" applyFill="1" applyBorder="1" applyAlignment="1" applyProtection="1">
      <alignment horizontal="left" vertical="center" wrapText="1"/>
      <protection hidden="1"/>
    </xf>
    <xf numFmtId="166" fontId="26" fillId="0" borderId="89" xfId="2" applyNumberFormat="1" applyFont="1" applyFill="1" applyBorder="1" applyAlignment="1" applyProtection="1">
      <alignment horizontal="center"/>
      <protection locked="0"/>
    </xf>
    <xf numFmtId="49" fontId="26" fillId="2" borderId="0" xfId="2" applyNumberFormat="1" applyFont="1" applyFill="1" applyAlignment="1">
      <alignment horizontal="center"/>
    </xf>
    <xf numFmtId="166" fontId="26" fillId="0" borderId="0" xfId="2" applyNumberFormat="1" applyFont="1" applyAlignment="1">
      <alignment horizontal="center"/>
    </xf>
    <xf numFmtId="3" fontId="79" fillId="0" borderId="0" xfId="2" applyNumberFormat="1" applyFont="1" applyFill="1" applyBorder="1" applyProtection="1"/>
    <xf numFmtId="0" fontId="141" fillId="0" borderId="0" xfId="2" applyFont="1"/>
    <xf numFmtId="0" fontId="141" fillId="0" borderId="0" xfId="2" applyFont="1" applyFill="1"/>
    <xf numFmtId="0" fontId="56" fillId="0" borderId="0" xfId="2" applyFont="1"/>
    <xf numFmtId="3" fontId="22" fillId="0" borderId="0" xfId="2" applyNumberFormat="1" applyFont="1" applyFill="1" applyBorder="1"/>
    <xf numFmtId="4" fontId="22" fillId="0" borderId="0" xfId="2" applyNumberFormat="1" applyFont="1" applyFill="1" applyBorder="1"/>
    <xf numFmtId="3" fontId="56" fillId="0" borderId="0" xfId="2" applyNumberFormat="1" applyFont="1" applyFill="1" applyBorder="1"/>
    <xf numFmtId="0" fontId="106" fillId="8" borderId="2" xfId="2" applyFont="1" applyFill="1" applyBorder="1" applyAlignment="1" applyProtection="1">
      <alignment horizontal="center" vertical="center" wrapText="1"/>
      <protection locked="0"/>
    </xf>
    <xf numFmtId="0" fontId="5" fillId="0" borderId="0" xfId="2" applyFont="1" applyFill="1" applyAlignment="1">
      <alignment horizontal="right"/>
    </xf>
    <xf numFmtId="0" fontId="26" fillId="0" borderId="0" xfId="2" applyFont="1" applyFill="1" applyAlignment="1">
      <alignment vertical="center"/>
    </xf>
    <xf numFmtId="0" fontId="0" fillId="10" borderId="65" xfId="2" applyFont="1" applyFill="1" applyBorder="1" applyProtection="1">
      <protection hidden="1"/>
    </xf>
    <xf numFmtId="0" fontId="26" fillId="0" borderId="69" xfId="2" applyFont="1" applyBorder="1" applyAlignment="1" applyProtection="1">
      <alignment horizontal="center"/>
      <protection locked="0"/>
    </xf>
    <xf numFmtId="0" fontId="26" fillId="10" borderId="102" xfId="2" applyFont="1" applyFill="1" applyBorder="1" applyAlignment="1" applyProtection="1">
      <alignment horizontal="center"/>
      <protection hidden="1"/>
    </xf>
    <xf numFmtId="168" fontId="26" fillId="0" borderId="69" xfId="2" applyNumberFormat="1" applyFont="1" applyBorder="1" applyAlignment="1" applyProtection="1">
      <alignment horizontal="center"/>
      <protection locked="0"/>
    </xf>
    <xf numFmtId="0" fontId="3" fillId="10" borderId="102" xfId="2" applyFont="1" applyFill="1" applyBorder="1" applyAlignment="1" applyProtection="1">
      <alignment horizontal="center"/>
      <protection hidden="1"/>
    </xf>
    <xf numFmtId="0" fontId="26" fillId="10" borderId="78" xfId="2" applyFont="1" applyFill="1" applyBorder="1" applyProtection="1">
      <protection hidden="1"/>
    </xf>
    <xf numFmtId="0" fontId="26" fillId="10" borderId="111" xfId="2" applyFont="1" applyFill="1" applyBorder="1" applyAlignment="1" applyProtection="1">
      <alignment horizontal="center"/>
      <protection hidden="1"/>
    </xf>
    <xf numFmtId="0" fontId="5" fillId="10" borderId="222" xfId="2" applyFont="1" applyFill="1" applyBorder="1" applyAlignment="1" applyProtection="1">
      <alignment horizontal="left"/>
      <protection hidden="1"/>
    </xf>
    <xf numFmtId="0" fontId="26" fillId="10" borderId="223" xfId="2" applyFont="1" applyFill="1" applyBorder="1" applyAlignment="1" applyProtection="1">
      <alignment horizontal="center"/>
      <protection hidden="1"/>
    </xf>
    <xf numFmtId="0" fontId="142" fillId="10" borderId="66" xfId="2" applyFont="1" applyFill="1" applyBorder="1" applyAlignment="1" applyProtection="1">
      <alignment horizontal="right"/>
      <protection hidden="1"/>
    </xf>
    <xf numFmtId="0" fontId="129" fillId="10" borderId="78" xfId="2" applyFont="1" applyFill="1" applyBorder="1" applyAlignment="1" applyProtection="1">
      <alignment horizontal="center"/>
      <protection hidden="1"/>
    </xf>
    <xf numFmtId="0" fontId="142" fillId="10" borderId="65" xfId="2" applyFont="1" applyFill="1" applyBorder="1" applyAlignment="1" applyProtection="1">
      <alignment horizontal="right"/>
      <protection hidden="1"/>
    </xf>
    <xf numFmtId="0" fontId="129" fillId="10" borderId="69" xfId="2" applyFont="1" applyFill="1" applyBorder="1" applyAlignment="1" applyProtection="1">
      <alignment horizontal="center"/>
      <protection hidden="1"/>
    </xf>
    <xf numFmtId="0" fontId="22" fillId="10" borderId="102" xfId="2" applyFont="1" applyFill="1" applyBorder="1" applyAlignment="1" applyProtection="1">
      <alignment horizontal="center"/>
      <protection hidden="1"/>
    </xf>
    <xf numFmtId="0" fontId="129" fillId="10" borderId="113" xfId="2" applyFont="1" applyFill="1" applyBorder="1" applyAlignment="1" applyProtection="1">
      <alignment horizontal="right"/>
      <protection hidden="1"/>
    </xf>
    <xf numFmtId="0" fontId="129" fillId="10" borderId="112" xfId="2" applyFont="1" applyFill="1" applyBorder="1" applyAlignment="1" applyProtection="1">
      <alignment horizontal="center"/>
      <protection hidden="1"/>
    </xf>
    <xf numFmtId="0" fontId="129" fillId="10" borderId="73" xfId="2" applyFont="1" applyFill="1" applyBorder="1" applyAlignment="1" applyProtection="1">
      <alignment horizontal="center"/>
      <protection hidden="1"/>
    </xf>
    <xf numFmtId="0" fontId="129" fillId="10" borderId="114" xfId="2" applyFont="1" applyFill="1" applyBorder="1" applyAlignment="1" applyProtection="1">
      <alignment horizontal="center"/>
      <protection hidden="1"/>
    </xf>
    <xf numFmtId="0" fontId="129" fillId="10" borderId="102" xfId="2" applyFont="1" applyFill="1" applyBorder="1" applyAlignment="1" applyProtection="1">
      <alignment horizontal="center"/>
      <protection hidden="1"/>
    </xf>
    <xf numFmtId="0" fontId="129" fillId="2" borderId="65" xfId="2" applyFont="1" applyFill="1" applyBorder="1" applyAlignment="1" applyProtection="1">
      <alignment horizontal="right"/>
      <protection hidden="1"/>
    </xf>
    <xf numFmtId="0" fontId="129" fillId="2" borderId="69" xfId="2" applyFont="1" applyFill="1" applyBorder="1" applyAlignment="1" applyProtection="1">
      <alignment horizontal="center"/>
      <protection hidden="1"/>
    </xf>
    <xf numFmtId="0" fontId="129" fillId="2" borderId="102" xfId="2" applyFont="1" applyFill="1" applyBorder="1" applyAlignment="1" applyProtection="1">
      <alignment horizontal="center"/>
      <protection hidden="1"/>
    </xf>
    <xf numFmtId="0" fontId="138" fillId="10" borderId="113" xfId="2" applyFont="1" applyFill="1" applyBorder="1" applyAlignment="1" applyProtection="1">
      <alignment horizontal="left"/>
      <protection hidden="1"/>
    </xf>
    <xf numFmtId="0" fontId="26" fillId="0" borderId="224" xfId="2" applyFont="1" applyBorder="1" applyAlignment="1" applyProtection="1">
      <alignment horizontal="center"/>
      <protection locked="0"/>
    </xf>
    <xf numFmtId="0" fontId="1" fillId="0" borderId="208" xfId="2" applyFont="1" applyFill="1" applyBorder="1" applyAlignment="1" applyProtection="1">
      <alignment horizontal="center" vertical="center"/>
      <protection locked="0"/>
    </xf>
    <xf numFmtId="0" fontId="1" fillId="0" borderId="69" xfId="2" applyFont="1" applyFill="1" applyBorder="1" applyAlignment="1" applyProtection="1">
      <alignment horizontal="center" vertical="center"/>
      <protection locked="0"/>
    </xf>
    <xf numFmtId="3" fontId="31" fillId="0" borderId="0" xfId="2" applyNumberFormat="1" applyFont="1" applyFill="1" applyBorder="1" applyAlignment="1">
      <alignment horizontal="right"/>
    </xf>
    <xf numFmtId="3" fontId="31" fillId="0" borderId="0" xfId="2" applyNumberFormat="1" applyFont="1" applyFill="1" applyBorder="1" applyAlignment="1">
      <alignment horizontal="center"/>
    </xf>
    <xf numFmtId="3" fontId="31" fillId="0" borderId="225" xfId="2" applyNumberFormat="1" applyFont="1" applyFill="1" applyBorder="1" applyAlignment="1">
      <alignment horizontal="center"/>
    </xf>
    <xf numFmtId="1" fontId="38" fillId="0" borderId="0" xfId="2" applyNumberFormat="1" applyFont="1" applyFill="1" applyBorder="1"/>
    <xf numFmtId="0" fontId="24" fillId="0" borderId="0" xfId="2" applyFont="1" applyFill="1" applyBorder="1" applyAlignment="1">
      <alignment horizontal="center"/>
    </xf>
    <xf numFmtId="0" fontId="74" fillId="0" borderId="0" xfId="2" applyFont="1" applyFill="1" applyBorder="1"/>
    <xf numFmtId="0" fontId="116" fillId="0" borderId="0" xfId="2" applyFont="1" applyFill="1"/>
    <xf numFmtId="0" fontId="31" fillId="0" borderId="0" xfId="2" applyFont="1" applyFill="1" applyBorder="1" applyAlignment="1">
      <alignment horizontal="right"/>
    </xf>
    <xf numFmtId="14" fontId="31" fillId="0" borderId="0" xfId="2" applyNumberFormat="1" applyFont="1" applyFill="1" applyBorder="1" applyAlignment="1">
      <alignment horizontal="left"/>
    </xf>
    <xf numFmtId="3" fontId="31" fillId="0" borderId="0" xfId="2" applyNumberFormat="1" applyFont="1" applyFill="1" applyBorder="1" applyAlignment="1" applyProtection="1">
      <alignment horizontal="centerContinuous"/>
      <protection locked="0"/>
    </xf>
    <xf numFmtId="0" fontId="4" fillId="0" borderId="226" xfId="2" applyFont="1" applyFill="1" applyBorder="1" applyAlignment="1" applyProtection="1">
      <alignment horizontal="center" vertical="center" wrapText="1"/>
      <protection hidden="1"/>
    </xf>
    <xf numFmtId="1" fontId="52" fillId="0" borderId="0" xfId="2" applyNumberFormat="1" applyFont="1" applyFill="1" applyAlignment="1">
      <alignment horizontal="right"/>
    </xf>
    <xf numFmtId="0" fontId="52" fillId="0" borderId="0" xfId="2" applyFont="1" applyFill="1" applyAlignment="1" applyProtection="1">
      <alignment horizontal="center"/>
    </xf>
    <xf numFmtId="0" fontId="109" fillId="0" borderId="19" xfId="2" applyFont="1" applyFill="1" applyBorder="1" applyAlignment="1" applyProtection="1">
      <alignment horizontal="center"/>
    </xf>
    <xf numFmtId="1" fontId="52" fillId="0" borderId="19" xfId="2" applyNumberFormat="1" applyFont="1" applyFill="1" applyBorder="1" applyAlignment="1">
      <alignment horizontal="center"/>
    </xf>
    <xf numFmtId="0" fontId="109" fillId="0" borderId="21" xfId="2" applyFont="1" applyFill="1" applyBorder="1" applyAlignment="1" applyProtection="1">
      <alignment horizontal="center"/>
    </xf>
    <xf numFmtId="0" fontId="143" fillId="0" borderId="0" xfId="2" applyFont="1" applyFill="1" applyBorder="1" applyAlignment="1" applyProtection="1">
      <alignment horizontal="center"/>
    </xf>
    <xf numFmtId="0" fontId="26" fillId="0" borderId="5" xfId="2" applyFont="1" applyFill="1" applyBorder="1" applyAlignment="1" applyProtection="1">
      <alignment horizontal="center"/>
      <protection locked="0"/>
    </xf>
    <xf numFmtId="0" fontId="77" fillId="8" borderId="6" xfId="2" applyFont="1" applyFill="1" applyBorder="1" applyAlignment="1" applyProtection="1">
      <alignment horizontal="right" vertical="center" wrapText="1"/>
      <protection hidden="1"/>
    </xf>
    <xf numFmtId="166" fontId="72" fillId="8" borderId="10" xfId="2" applyNumberFormat="1" applyFont="1" applyFill="1" applyBorder="1" applyAlignment="1" applyProtection="1">
      <alignment horizontal="center"/>
      <protection hidden="1"/>
    </xf>
    <xf numFmtId="0" fontId="5" fillId="0" borderId="227" xfId="2" applyFont="1" applyFill="1" applyBorder="1" applyAlignment="1" applyProtection="1">
      <alignment horizontal="center"/>
      <protection locked="0"/>
    </xf>
    <xf numFmtId="166" fontId="72" fillId="8" borderId="228" xfId="2" applyNumberFormat="1" applyFont="1" applyFill="1" applyBorder="1" applyAlignment="1" applyProtection="1">
      <alignment horizontal="center"/>
      <protection hidden="1"/>
    </xf>
    <xf numFmtId="0" fontId="5" fillId="0" borderId="0" xfId="2" applyFont="1" applyAlignment="1" applyProtection="1">
      <alignment vertical="center" wrapText="1"/>
      <protection hidden="1"/>
    </xf>
    <xf numFmtId="0" fontId="3" fillId="0" borderId="0" xfId="2" applyFont="1" applyFill="1" applyAlignment="1" applyProtection="1">
      <alignment horizontal="center"/>
    </xf>
    <xf numFmtId="1" fontId="3" fillId="0" borderId="0" xfId="2" applyNumberFormat="1" applyFont="1" applyFill="1" applyAlignment="1">
      <alignment horizontal="center"/>
    </xf>
    <xf numFmtId="0" fontId="5" fillId="4" borderId="0" xfId="2" applyFont="1" applyFill="1" applyAlignment="1" applyProtection="1">
      <alignment vertical="center" wrapText="1"/>
      <protection hidden="1"/>
    </xf>
    <xf numFmtId="0" fontId="5" fillId="17" borderId="124" xfId="2" applyFont="1" applyFill="1" applyBorder="1" applyProtection="1">
      <protection hidden="1"/>
    </xf>
    <xf numFmtId="0" fontId="0" fillId="0" borderId="26" xfId="2" applyFont="1" applyBorder="1"/>
    <xf numFmtId="0" fontId="0" fillId="0" borderId="125" xfId="2" applyFont="1" applyBorder="1"/>
    <xf numFmtId="0" fontId="3" fillId="0" borderId="99" xfId="2" applyFont="1" applyBorder="1" applyAlignment="1" applyProtection="1">
      <alignment vertical="center" wrapText="1"/>
      <protection hidden="1"/>
    </xf>
    <xf numFmtId="0" fontId="3" fillId="0" borderId="229" xfId="2" applyFont="1" applyBorder="1"/>
    <xf numFmtId="0" fontId="5" fillId="0" borderId="124" xfId="2" applyFont="1" applyBorder="1" applyAlignment="1" applyProtection="1">
      <alignment vertical="center" wrapText="1"/>
      <protection hidden="1"/>
    </xf>
    <xf numFmtId="0" fontId="5" fillId="0" borderId="26" xfId="2" applyFont="1" applyBorder="1" applyProtection="1">
      <protection hidden="1"/>
    </xf>
    <xf numFmtId="0" fontId="5" fillId="0" borderId="124" xfId="2" applyFont="1" applyFill="1" applyBorder="1" applyAlignment="1" applyProtection="1">
      <alignment vertical="center" wrapText="1"/>
      <protection hidden="1"/>
    </xf>
    <xf numFmtId="0" fontId="0" fillId="0" borderId="124" xfId="2" applyFont="1" applyBorder="1"/>
    <xf numFmtId="0" fontId="5" fillId="2" borderId="230" xfId="2" applyFont="1" applyFill="1" applyBorder="1" applyProtection="1">
      <protection hidden="1"/>
    </xf>
    <xf numFmtId="0" fontId="25" fillId="10" borderId="230" xfId="2" applyFont="1" applyFill="1" applyBorder="1" applyAlignment="1" applyProtection="1">
      <alignment wrapText="1"/>
      <protection hidden="1"/>
    </xf>
    <xf numFmtId="0" fontId="5" fillId="2" borderId="230" xfId="2" applyFont="1" applyFill="1" applyBorder="1" applyAlignment="1" applyProtection="1">
      <alignment wrapText="1"/>
      <protection hidden="1"/>
    </xf>
    <xf numFmtId="0" fontId="0" fillId="2" borderId="230" xfId="2" applyFont="1" applyFill="1" applyBorder="1" applyProtection="1">
      <protection hidden="1"/>
    </xf>
    <xf numFmtId="0" fontId="0" fillId="19" borderId="230" xfId="2" applyFont="1" applyFill="1" applyBorder="1" applyAlignment="1" applyProtection="1">
      <alignment wrapText="1"/>
      <protection hidden="1"/>
    </xf>
    <xf numFmtId="0" fontId="0" fillId="19" borderId="230" xfId="2" applyFont="1" applyFill="1" applyBorder="1" applyProtection="1">
      <protection hidden="1"/>
    </xf>
    <xf numFmtId="0" fontId="0" fillId="10" borderId="230" xfId="2" applyFont="1" applyFill="1" applyBorder="1" applyAlignment="1" applyProtection="1">
      <alignment wrapText="1"/>
      <protection hidden="1"/>
    </xf>
    <xf numFmtId="0" fontId="0" fillId="26" borderId="230" xfId="2" applyFont="1" applyFill="1" applyBorder="1" applyProtection="1">
      <protection hidden="1"/>
    </xf>
    <xf numFmtId="0" fontId="0" fillId="10" borderId="230" xfId="2" applyFont="1" applyFill="1" applyBorder="1" applyProtection="1">
      <protection hidden="1"/>
    </xf>
    <xf numFmtId="0" fontId="5" fillId="2" borderId="230" xfId="2" applyFont="1" applyFill="1" applyBorder="1" applyAlignment="1" applyProtection="1">
      <alignment vertical="top" wrapText="1"/>
      <protection hidden="1"/>
    </xf>
    <xf numFmtId="0" fontId="0" fillId="2" borderId="150" xfId="2" applyFont="1" applyFill="1" applyBorder="1" applyProtection="1">
      <protection hidden="1"/>
    </xf>
    <xf numFmtId="0" fontId="5" fillId="0" borderId="26" xfId="2" applyFont="1" applyFill="1" applyBorder="1" applyAlignment="1" applyProtection="1">
      <alignment vertical="center" wrapText="1"/>
      <protection hidden="1"/>
    </xf>
    <xf numFmtId="0" fontId="3" fillId="2" borderId="26" xfId="2" applyFont="1" applyFill="1" applyBorder="1" applyProtection="1">
      <protection hidden="1"/>
    </xf>
    <xf numFmtId="4" fontId="3" fillId="0" borderId="0" xfId="2" applyNumberFormat="1" applyFont="1"/>
    <xf numFmtId="2" fontId="72" fillId="8" borderId="119" xfId="2" applyNumberFormat="1" applyFont="1" applyFill="1" applyBorder="1" applyAlignment="1" applyProtection="1">
      <alignment horizontal="center"/>
      <protection hidden="1"/>
    </xf>
    <xf numFmtId="2" fontId="72" fillId="8" borderId="231" xfId="2" applyNumberFormat="1" applyFont="1" applyFill="1" applyBorder="1" applyAlignment="1" applyProtection="1">
      <alignment horizontal="center"/>
      <protection hidden="1"/>
    </xf>
    <xf numFmtId="2" fontId="72" fillId="8" borderId="101" xfId="2" applyNumberFormat="1" applyFont="1" applyFill="1" applyBorder="1" applyAlignment="1" applyProtection="1">
      <alignment horizontal="center"/>
      <protection hidden="1"/>
    </xf>
    <xf numFmtId="0" fontId="1" fillId="8" borderId="7" xfId="2" applyFont="1" applyFill="1" applyBorder="1" applyProtection="1">
      <protection hidden="1"/>
    </xf>
    <xf numFmtId="0" fontId="1" fillId="8" borderId="0" xfId="2" applyFont="1" applyFill="1" applyBorder="1" applyProtection="1">
      <protection hidden="1"/>
    </xf>
    <xf numFmtId="0" fontId="72" fillId="8" borderId="232" xfId="2" applyFont="1" applyFill="1" applyBorder="1" applyAlignment="1" applyProtection="1">
      <alignment horizontal="center"/>
      <protection hidden="1"/>
    </xf>
    <xf numFmtId="0" fontId="72" fillId="8" borderId="233" xfId="2" applyFont="1" applyFill="1" applyBorder="1" applyAlignment="1" applyProtection="1">
      <alignment horizontal="center"/>
      <protection hidden="1"/>
    </xf>
    <xf numFmtId="0" fontId="3" fillId="8" borderId="234" xfId="2" applyFont="1" applyFill="1" applyBorder="1" applyAlignment="1" applyProtection="1">
      <alignment vertical="center" wrapText="1"/>
      <protection hidden="1"/>
    </xf>
    <xf numFmtId="0" fontId="77" fillId="8" borderId="6" xfId="2" applyFont="1" applyFill="1" applyBorder="1" applyAlignment="1" applyProtection="1">
      <alignment horizontal="right"/>
      <protection hidden="1"/>
    </xf>
    <xf numFmtId="0" fontId="5" fillId="0" borderId="6" xfId="2" applyFont="1" applyFill="1" applyBorder="1" applyAlignment="1" applyProtection="1">
      <alignment vertical="center" wrapText="1"/>
      <protection hidden="1"/>
    </xf>
    <xf numFmtId="166" fontId="72" fillId="0" borderId="101" xfId="2" applyNumberFormat="1" applyFont="1" applyFill="1" applyBorder="1" applyAlignment="1" applyProtection="1">
      <alignment horizontal="center"/>
      <protection hidden="1"/>
    </xf>
    <xf numFmtId="0" fontId="0" fillId="0" borderId="34" xfId="2" applyFont="1" applyFill="1" applyBorder="1" applyProtection="1">
      <protection hidden="1"/>
    </xf>
    <xf numFmtId="166" fontId="26" fillId="0" borderId="10" xfId="2" applyNumberFormat="1" applyFont="1" applyFill="1" applyBorder="1" applyAlignment="1" applyProtection="1">
      <alignment horizontal="center"/>
      <protection hidden="1"/>
    </xf>
    <xf numFmtId="0" fontId="26" fillId="0" borderId="0" xfId="2" applyFont="1" applyFill="1" applyBorder="1" applyAlignment="1" applyProtection="1">
      <alignment horizontal="center"/>
      <protection hidden="1"/>
    </xf>
    <xf numFmtId="0" fontId="3" fillId="0" borderId="7" xfId="2" applyFont="1" applyFill="1" applyBorder="1" applyProtection="1">
      <protection hidden="1"/>
    </xf>
    <xf numFmtId="166" fontId="3" fillId="0" borderId="0" xfId="2" applyNumberFormat="1" applyFont="1" applyFill="1" applyBorder="1" applyProtection="1">
      <protection hidden="1"/>
    </xf>
    <xf numFmtId="0" fontId="26" fillId="0" borderId="10" xfId="2" applyFont="1" applyFill="1" applyBorder="1" applyAlignment="1" applyProtection="1">
      <alignment horizontal="left"/>
      <protection hidden="1"/>
    </xf>
    <xf numFmtId="0" fontId="26" fillId="0" borderId="10" xfId="2" applyFont="1" applyFill="1" applyBorder="1" applyAlignment="1" applyProtection="1">
      <alignment horizontal="center"/>
      <protection hidden="1"/>
    </xf>
    <xf numFmtId="49" fontId="5" fillId="0" borderId="7" xfId="2" applyNumberFormat="1" applyFont="1" applyFill="1" applyBorder="1" applyProtection="1">
      <protection hidden="1"/>
    </xf>
    <xf numFmtId="0" fontId="5" fillId="0" borderId="7" xfId="2" applyFont="1" applyFill="1" applyBorder="1" applyAlignment="1" applyProtection="1">
      <alignment vertical="center" wrapText="1"/>
      <protection hidden="1"/>
    </xf>
    <xf numFmtId="0" fontId="22" fillId="0" borderId="235" xfId="2" applyFont="1" applyBorder="1"/>
    <xf numFmtId="0" fontId="0" fillId="0" borderId="236" xfId="2" applyFont="1" applyBorder="1"/>
    <xf numFmtId="0" fontId="0" fillId="0" borderId="237" xfId="2" applyFont="1" applyBorder="1"/>
    <xf numFmtId="0" fontId="5" fillId="0" borderId="238" xfId="2" applyFont="1" applyBorder="1" applyProtection="1">
      <protection hidden="1"/>
    </xf>
    <xf numFmtId="0" fontId="5" fillId="0" borderId="171" xfId="2" applyFont="1" applyBorder="1"/>
    <xf numFmtId="0" fontId="5" fillId="0" borderId="173" xfId="2" applyFont="1" applyBorder="1" applyProtection="1">
      <protection hidden="1"/>
    </xf>
    <xf numFmtId="0" fontId="5" fillId="0" borderId="166" xfId="2" applyFont="1" applyBorder="1"/>
    <xf numFmtId="0" fontId="5" fillId="0" borderId="174" xfId="2" applyFont="1" applyBorder="1" applyProtection="1">
      <protection hidden="1"/>
    </xf>
    <xf numFmtId="0" fontId="5" fillId="0" borderId="175" xfId="2" applyFont="1" applyBorder="1"/>
    <xf numFmtId="0" fontId="0" fillId="5" borderId="0" xfId="2" applyFont="1" applyFill="1"/>
    <xf numFmtId="0" fontId="0" fillId="23" borderId="0" xfId="2" applyFont="1" applyFill="1" applyAlignment="1">
      <alignment vertical="center" wrapText="1"/>
    </xf>
    <xf numFmtId="0" fontId="3" fillId="23" borderId="239" xfId="2" applyFont="1" applyFill="1" applyBorder="1"/>
    <xf numFmtId="0" fontId="3" fillId="23" borderId="240" xfId="2" applyFont="1" applyFill="1" applyBorder="1"/>
    <xf numFmtId="3" fontId="80" fillId="8" borderId="2" xfId="2" applyNumberFormat="1" applyFont="1" applyFill="1" applyBorder="1" applyAlignment="1" applyProtection="1">
      <alignment horizontal="center" vertical="center" wrapText="1"/>
      <protection hidden="1"/>
    </xf>
    <xf numFmtId="0" fontId="108" fillId="0" borderId="16" xfId="2" applyFont="1" applyFill="1" applyBorder="1" applyAlignment="1" applyProtection="1">
      <alignment horizontal="center" vertical="center"/>
      <protection locked="0"/>
    </xf>
    <xf numFmtId="0" fontId="108" fillId="0" borderId="18" xfId="2" applyFont="1" applyFill="1" applyBorder="1" applyAlignment="1" applyProtection="1">
      <alignment horizontal="center" vertical="center"/>
      <protection locked="0"/>
    </xf>
    <xf numFmtId="0" fontId="14" fillId="0" borderId="19" xfId="2" applyFont="1" applyFill="1" applyBorder="1" applyAlignment="1" applyProtection="1">
      <alignment horizontal="center" vertical="center" wrapText="1"/>
      <protection hidden="1"/>
    </xf>
    <xf numFmtId="0" fontId="14" fillId="0" borderId="20" xfId="2" applyFont="1" applyFill="1" applyBorder="1" applyAlignment="1" applyProtection="1">
      <alignment horizontal="center" vertical="center" wrapText="1"/>
      <protection hidden="1"/>
    </xf>
    <xf numFmtId="3" fontId="1" fillId="0" borderId="19" xfId="2" applyNumberFormat="1" applyFont="1" applyFill="1" applyBorder="1" applyProtection="1">
      <protection hidden="1"/>
    </xf>
    <xf numFmtId="3" fontId="1" fillId="0" borderId="20" xfId="2" applyNumberFormat="1" applyFont="1" applyFill="1" applyBorder="1" applyProtection="1">
      <protection hidden="1"/>
    </xf>
    <xf numFmtId="3" fontId="45" fillId="0" borderId="19" xfId="2" applyNumberFormat="1" applyFont="1" applyFill="1" applyBorder="1" applyAlignment="1" applyProtection="1">
      <alignment horizontal="center" vertical="center"/>
      <protection hidden="1"/>
    </xf>
    <xf numFmtId="3" fontId="45" fillId="0" borderId="20" xfId="2" applyNumberFormat="1" applyFont="1" applyFill="1" applyBorder="1" applyAlignment="1" applyProtection="1">
      <alignment horizontal="center" vertical="center"/>
      <protection hidden="1"/>
    </xf>
    <xf numFmtId="0" fontId="23" fillId="0" borderId="239" xfId="2" applyFont="1" applyBorder="1"/>
    <xf numFmtId="0" fontId="23" fillId="0" borderId="240" xfId="2" applyFont="1" applyBorder="1" applyAlignment="1">
      <alignment horizontal="center"/>
    </xf>
    <xf numFmtId="0" fontId="46" fillId="8" borderId="96" xfId="2" applyFont="1" applyFill="1" applyBorder="1" applyAlignment="1" applyProtection="1">
      <alignment horizontal="center" vertical="center"/>
      <protection hidden="1"/>
    </xf>
    <xf numFmtId="0" fontId="52" fillId="0" borderId="0" xfId="2" applyFont="1" applyFill="1" applyBorder="1"/>
    <xf numFmtId="0" fontId="116" fillId="0" borderId="0" xfId="2" applyFont="1" applyFill="1" applyBorder="1" applyAlignment="1">
      <alignment horizontal="center"/>
    </xf>
    <xf numFmtId="0" fontId="1" fillId="0" borderId="0" xfId="2" applyFont="1" applyFill="1" applyBorder="1" applyAlignment="1">
      <alignment horizontal="center"/>
    </xf>
    <xf numFmtId="0" fontId="115" fillId="0" borderId="0" xfId="2" applyFont="1" applyFill="1" applyBorder="1" applyAlignment="1" applyProtection="1">
      <alignment horizontal="center" vertical="center" wrapText="1"/>
      <protection hidden="1"/>
    </xf>
    <xf numFmtId="0" fontId="115" fillId="0" borderId="0" xfId="2" applyFont="1" applyFill="1" applyBorder="1" applyAlignment="1">
      <alignment horizontal="center" vertical="center" wrapText="1"/>
    </xf>
    <xf numFmtId="0" fontId="134" fillId="0" borderId="0" xfId="2" applyFont="1" applyFill="1" applyBorder="1"/>
    <xf numFmtId="9" fontId="115" fillId="0" borderId="0" xfId="2" applyNumberFormat="1" applyFont="1" applyFill="1" applyBorder="1" applyProtection="1">
      <protection hidden="1"/>
    </xf>
    <xf numFmtId="0" fontId="115" fillId="0" borderId="0" xfId="2" applyFont="1" applyFill="1" applyBorder="1"/>
    <xf numFmtId="0" fontId="131" fillId="0" borderId="0" xfId="2" applyFont="1" applyFill="1" applyBorder="1" applyAlignment="1" applyProtection="1">
      <alignment horizontal="center" vertical="center" wrapText="1"/>
    </xf>
    <xf numFmtId="0" fontId="1" fillId="0" borderId="0" xfId="2" applyFont="1" applyFill="1" applyBorder="1"/>
    <xf numFmtId="3" fontId="23" fillId="8" borderId="2" xfId="2" applyNumberFormat="1" applyFont="1" applyFill="1" applyBorder="1" applyProtection="1">
      <protection hidden="1"/>
    </xf>
    <xf numFmtId="0" fontId="77" fillId="8" borderId="5" xfId="2" applyFont="1" applyFill="1" applyBorder="1" applyAlignment="1" applyProtection="1">
      <alignment horizontal="center"/>
      <protection hidden="1"/>
    </xf>
    <xf numFmtId="0" fontId="3" fillId="8" borderId="8" xfId="2" applyFont="1" applyFill="1" applyBorder="1" applyAlignment="1" applyProtection="1">
      <alignment vertical="center" wrapText="1"/>
      <protection hidden="1"/>
    </xf>
    <xf numFmtId="0" fontId="72" fillId="8" borderId="100" xfId="2" applyFont="1" applyFill="1" applyBorder="1" applyAlignment="1" applyProtection="1">
      <alignment horizontal="center"/>
      <protection hidden="1"/>
    </xf>
    <xf numFmtId="0" fontId="26" fillId="2" borderId="10" xfId="2" applyFont="1" applyFill="1" applyBorder="1" applyAlignment="1" applyProtection="1">
      <alignment horizontal="center"/>
      <protection hidden="1"/>
    </xf>
    <xf numFmtId="168" fontId="26" fillId="0" borderId="204" xfId="2" applyNumberFormat="1" applyFont="1" applyFill="1" applyBorder="1" applyProtection="1">
      <protection locked="0"/>
    </xf>
    <xf numFmtId="168" fontId="23" fillId="2" borderId="241" xfId="2" applyNumberFormat="1" applyFont="1" applyFill="1" applyBorder="1" applyAlignment="1" applyProtection="1">
      <alignment horizontal="center"/>
      <protection hidden="1"/>
    </xf>
    <xf numFmtId="166" fontId="26" fillId="0" borderId="242" xfId="2" applyNumberFormat="1" applyFont="1" applyFill="1" applyBorder="1" applyAlignment="1" applyProtection="1">
      <alignment horizontal="center"/>
      <protection locked="0"/>
    </xf>
    <xf numFmtId="166" fontId="26" fillId="0" borderId="243" xfId="2" applyNumberFormat="1" applyFont="1" applyFill="1" applyBorder="1" applyAlignment="1" applyProtection="1">
      <alignment horizontal="center"/>
      <protection locked="0"/>
    </xf>
    <xf numFmtId="166" fontId="26" fillId="0" borderId="9" xfId="2" applyNumberFormat="1" applyFont="1" applyFill="1" applyBorder="1" applyAlignment="1" applyProtection="1">
      <alignment horizontal="center"/>
      <protection locked="0"/>
    </xf>
    <xf numFmtId="0" fontId="23" fillId="0" borderId="54" xfId="2" applyFont="1" applyFill="1" applyBorder="1"/>
    <xf numFmtId="0" fontId="23" fillId="14" borderId="54" xfId="2" applyFont="1" applyFill="1" applyBorder="1"/>
    <xf numFmtId="0" fontId="23" fillId="0" borderId="54" xfId="2" applyFont="1" applyBorder="1"/>
    <xf numFmtId="0" fontId="23" fillId="0" borderId="55" xfId="2" applyFont="1" applyFill="1" applyBorder="1"/>
    <xf numFmtId="0" fontId="23" fillId="0" borderId="2" xfId="2" applyFont="1" applyFill="1" applyBorder="1"/>
    <xf numFmtId="0" fontId="23" fillId="14" borderId="2" xfId="2" applyFont="1" applyFill="1" applyBorder="1"/>
    <xf numFmtId="0" fontId="23" fillId="0" borderId="2" xfId="2" applyFont="1" applyBorder="1"/>
    <xf numFmtId="0" fontId="23" fillId="0" borderId="110" xfId="2" applyFont="1" applyFill="1" applyBorder="1"/>
    <xf numFmtId="0" fontId="23" fillId="0" borderId="108" xfId="2" applyFont="1" applyFill="1" applyBorder="1"/>
    <xf numFmtId="0" fontId="23" fillId="14" borderId="108" xfId="2" applyFont="1" applyFill="1" applyBorder="1"/>
    <xf numFmtId="0" fontId="23" fillId="0" borderId="108" xfId="2" applyFont="1" applyBorder="1"/>
    <xf numFmtId="0" fontId="23" fillId="0" borderId="132" xfId="2" applyFont="1" applyFill="1" applyBorder="1"/>
    <xf numFmtId="0" fontId="53" fillId="0" borderId="54" xfId="2" applyFont="1" applyFill="1" applyBorder="1"/>
    <xf numFmtId="0" fontId="53" fillId="0" borderId="2" xfId="2" applyFont="1" applyFill="1" applyBorder="1"/>
    <xf numFmtId="0" fontId="53" fillId="0" borderId="108" xfId="2" applyFont="1" applyFill="1" applyBorder="1"/>
    <xf numFmtId="0" fontId="53" fillId="14" borderId="54" xfId="2" applyFont="1" applyFill="1" applyBorder="1"/>
    <xf numFmtId="0" fontId="53" fillId="14" borderId="2" xfId="2" applyFont="1" applyFill="1" applyBorder="1"/>
    <xf numFmtId="0" fontId="53" fillId="14" borderId="108" xfId="2" applyFont="1" applyFill="1" applyBorder="1"/>
    <xf numFmtId="0" fontId="53" fillId="0" borderId="2" xfId="2" applyFont="1" applyBorder="1"/>
    <xf numFmtId="0" fontId="53" fillId="0" borderId="108" xfId="2" applyFont="1" applyBorder="1"/>
    <xf numFmtId="0" fontId="53" fillId="0" borderId="55" xfId="2" applyFont="1" applyFill="1" applyBorder="1"/>
    <xf numFmtId="0" fontId="53" fillId="0" borderId="110" xfId="2" applyFont="1" applyFill="1" applyBorder="1"/>
    <xf numFmtId="0" fontId="53" fillId="0" borderId="132" xfId="2" applyFont="1" applyFill="1" applyBorder="1"/>
    <xf numFmtId="0" fontId="23" fillId="0" borderId="60" xfId="2" applyFont="1" applyFill="1" applyBorder="1"/>
    <xf numFmtId="0" fontId="23" fillId="14" borderId="60" xfId="2" applyFont="1" applyFill="1" applyBorder="1"/>
    <xf numFmtId="0" fontId="23" fillId="0" borderId="60" xfId="2" applyFont="1" applyBorder="1"/>
    <xf numFmtId="0" fontId="23" fillId="0" borderId="244" xfId="2" applyFont="1" applyFill="1" applyBorder="1"/>
    <xf numFmtId="0" fontId="53" fillId="17" borderId="2" xfId="2" applyFont="1" applyFill="1" applyBorder="1"/>
    <xf numFmtId="0" fontId="23" fillId="17" borderId="2" xfId="2" applyFont="1" applyFill="1" applyBorder="1"/>
    <xf numFmtId="0" fontId="23" fillId="0" borderId="57" xfId="2" applyFont="1" applyFill="1" applyBorder="1"/>
    <xf numFmtId="0" fontId="53" fillId="0" borderId="28" xfId="2" applyFont="1" applyFill="1" applyBorder="1"/>
    <xf numFmtId="0" fontId="53" fillId="0" borderId="245" xfId="2" applyFont="1" applyFill="1" applyBorder="1"/>
    <xf numFmtId="0" fontId="23" fillId="0" borderId="28" xfId="2" applyFont="1" applyFill="1" applyBorder="1"/>
    <xf numFmtId="0" fontId="3" fillId="8" borderId="178" xfId="2" applyFont="1" applyFill="1" applyBorder="1" applyAlignment="1" applyProtection="1">
      <alignment horizontal="center" wrapText="1"/>
      <protection hidden="1"/>
    </xf>
    <xf numFmtId="0" fontId="0" fillId="19" borderId="77" xfId="2" applyFont="1" applyFill="1" applyBorder="1" applyProtection="1">
      <protection locked="0"/>
    </xf>
    <xf numFmtId="0" fontId="0" fillId="19" borderId="181" xfId="2" applyFont="1" applyFill="1" applyBorder="1" applyProtection="1">
      <protection locked="0"/>
    </xf>
    <xf numFmtId="0" fontId="77" fillId="8" borderId="106" xfId="2" applyFont="1" applyFill="1" applyBorder="1" applyAlignment="1" applyProtection="1">
      <alignment horizontal="right"/>
      <protection hidden="1"/>
    </xf>
    <xf numFmtId="0" fontId="77" fillId="8" borderId="107" xfId="2" applyFont="1" applyFill="1" applyBorder="1" applyAlignment="1" applyProtection="1">
      <alignment horizontal="center"/>
      <protection hidden="1"/>
    </xf>
    <xf numFmtId="0" fontId="2" fillId="11" borderId="76" xfId="2" applyFont="1" applyFill="1" applyBorder="1" applyAlignment="1" applyProtection="1">
      <alignment vertical="center"/>
      <protection hidden="1"/>
    </xf>
    <xf numFmtId="0" fontId="146" fillId="11" borderId="187" xfId="2" applyFont="1" applyFill="1" applyBorder="1" applyAlignment="1" applyProtection="1">
      <alignment vertical="center"/>
      <protection hidden="1"/>
    </xf>
    <xf numFmtId="0" fontId="26" fillId="0" borderId="0" xfId="2" applyFont="1" applyFill="1" applyAlignment="1">
      <alignment horizontal="center"/>
    </xf>
    <xf numFmtId="0" fontId="149" fillId="0" borderId="0" xfId="2" applyFont="1" applyAlignment="1" applyProtection="1">
      <alignment vertical="top" wrapText="1"/>
      <protection locked="0"/>
    </xf>
    <xf numFmtId="0" fontId="5" fillId="0" borderId="0" xfId="2" applyFont="1" applyProtection="1">
      <protection locked="0"/>
    </xf>
    <xf numFmtId="0" fontId="5" fillId="6" borderId="0" xfId="2" applyFont="1" applyFill="1"/>
    <xf numFmtId="0" fontId="0" fillId="0" borderId="2" xfId="2" applyFont="1" applyFill="1" applyBorder="1" applyAlignment="1" applyProtection="1">
      <protection locked="0"/>
    </xf>
    <xf numFmtId="0" fontId="0" fillId="0" borderId="74" xfId="2" applyFont="1" applyFill="1" applyBorder="1" applyAlignment="1" applyProtection="1">
      <protection locked="0"/>
    </xf>
    <xf numFmtId="0" fontId="0" fillId="0" borderId="138" xfId="2" applyFont="1" applyFill="1" applyBorder="1" applyAlignment="1" applyProtection="1">
      <protection locked="0"/>
    </xf>
    <xf numFmtId="0" fontId="44" fillId="0" borderId="2" xfId="2" applyFont="1" applyFill="1" applyBorder="1" applyAlignment="1" applyProtection="1">
      <alignment horizontal="center" vertical="center" wrapText="1"/>
      <protection hidden="1"/>
    </xf>
    <xf numFmtId="3" fontId="22" fillId="8" borderId="2" xfId="2" applyNumberFormat="1" applyFont="1" applyFill="1" applyBorder="1" applyProtection="1">
      <protection hidden="1"/>
    </xf>
    <xf numFmtId="0" fontId="150" fillId="0" borderId="239" xfId="2" applyFont="1" applyBorder="1" applyAlignment="1">
      <alignment wrapText="1"/>
    </xf>
    <xf numFmtId="0" fontId="0" fillId="0" borderId="212" xfId="2" applyFont="1" applyBorder="1" applyAlignment="1">
      <alignment horizontal="center"/>
    </xf>
    <xf numFmtId="0" fontId="0" fillId="0" borderId="213" xfId="2" applyFont="1" applyBorder="1" applyAlignment="1">
      <alignment horizontal="center"/>
    </xf>
    <xf numFmtId="0" fontId="0" fillId="0" borderId="246" xfId="2" applyFont="1" applyBorder="1" applyAlignment="1">
      <alignment vertical="center" wrapText="1"/>
    </xf>
    <xf numFmtId="0" fontId="22" fillId="11" borderId="137" xfId="2" applyFont="1" applyFill="1" applyBorder="1" applyAlignment="1" applyProtection="1">
      <alignment vertical="center" wrapText="1"/>
      <protection hidden="1"/>
    </xf>
    <xf numFmtId="0" fontId="22" fillId="0" borderId="89" xfId="2" applyFont="1" applyFill="1" applyBorder="1" applyAlignment="1" applyProtection="1">
      <alignment horizontal="center"/>
      <protection locked="0"/>
    </xf>
    <xf numFmtId="0" fontId="22" fillId="11" borderId="136" xfId="2" applyFont="1" applyFill="1" applyBorder="1" applyAlignment="1" applyProtection="1">
      <alignment horizontal="center"/>
      <protection hidden="1"/>
    </xf>
    <xf numFmtId="0" fontId="23" fillId="0" borderId="246" xfId="2" applyFont="1" applyBorder="1" applyAlignment="1">
      <alignment vertical="center" wrapText="1"/>
    </xf>
    <xf numFmtId="0" fontId="23" fillId="7" borderId="0" xfId="2" applyFont="1" applyFill="1"/>
    <xf numFmtId="0" fontId="53" fillId="7" borderId="0" xfId="2" applyFont="1" applyFill="1"/>
    <xf numFmtId="0" fontId="23" fillId="7" borderId="0" xfId="2" applyFont="1" applyFill="1" applyAlignment="1">
      <alignment horizontal="left"/>
    </xf>
    <xf numFmtId="0" fontId="23" fillId="0" borderId="247" xfId="2" applyFont="1" applyBorder="1" applyAlignment="1"/>
    <xf numFmtId="0" fontId="0" fillId="0" borderId="248" xfId="2" applyFont="1" applyBorder="1"/>
    <xf numFmtId="0" fontId="0" fillId="0" borderId="249" xfId="2" applyFont="1" applyBorder="1"/>
    <xf numFmtId="0" fontId="0" fillId="0" borderId="250" xfId="2" applyFont="1" applyFill="1" applyBorder="1" applyAlignment="1">
      <alignment horizontal="center"/>
    </xf>
    <xf numFmtId="0" fontId="0" fillId="0" borderId="251" xfId="2" applyFont="1" applyBorder="1"/>
    <xf numFmtId="0" fontId="0" fillId="0" borderId="252" xfId="2" applyFont="1" applyBorder="1"/>
    <xf numFmtId="0" fontId="22" fillId="11" borderId="137" xfId="2" applyFont="1" applyFill="1" applyBorder="1" applyAlignment="1" applyProtection="1">
      <alignment wrapText="1"/>
      <protection hidden="1"/>
    </xf>
    <xf numFmtId="0" fontId="0" fillId="0" borderId="162" xfId="2" applyFont="1" applyBorder="1"/>
    <xf numFmtId="0" fontId="0" fillId="11" borderId="0" xfId="2" applyFont="1" applyFill="1" applyBorder="1"/>
    <xf numFmtId="0" fontId="84" fillId="11" borderId="0" xfId="2" applyFont="1" applyFill="1" applyBorder="1"/>
    <xf numFmtId="0" fontId="62" fillId="2" borderId="0" xfId="2" applyFont="1" applyFill="1" applyBorder="1"/>
    <xf numFmtId="0" fontId="0" fillId="0" borderId="221" xfId="2" applyFont="1" applyBorder="1"/>
    <xf numFmtId="1" fontId="0" fillId="0" borderId="220" xfId="2" applyNumberFormat="1" applyFont="1" applyBorder="1"/>
    <xf numFmtId="0" fontId="23" fillId="0" borderId="251" xfId="2" applyFont="1" applyBorder="1"/>
    <xf numFmtId="0" fontId="23" fillId="0" borderId="163" xfId="2" applyFont="1" applyBorder="1"/>
    <xf numFmtId="10" fontId="22" fillId="7" borderId="0" xfId="2" applyNumberFormat="1" applyFont="1" applyFill="1"/>
    <xf numFmtId="10" fontId="23" fillId="7" borderId="0" xfId="2" applyNumberFormat="1" applyFont="1" applyFill="1"/>
    <xf numFmtId="0" fontId="23" fillId="0" borderId="253" xfId="2" applyFont="1" applyBorder="1"/>
    <xf numFmtId="10" fontId="23" fillId="0" borderId="220" xfId="2" applyNumberFormat="1" applyFont="1" applyBorder="1"/>
    <xf numFmtId="0" fontId="0" fillId="0" borderId="210" xfId="2" applyFont="1" applyBorder="1" applyAlignment="1">
      <alignment vertical="center" wrapText="1"/>
    </xf>
    <xf numFmtId="0" fontId="0" fillId="0" borderId="254" xfId="2" applyFont="1" applyBorder="1" applyAlignment="1">
      <alignment horizontal="center" vertical="center" wrapText="1"/>
    </xf>
    <xf numFmtId="0" fontId="0" fillId="0" borderId="255" xfId="2" applyFont="1" applyBorder="1" applyAlignment="1">
      <alignment horizontal="center"/>
    </xf>
    <xf numFmtId="0" fontId="0" fillId="0" borderId="219" xfId="2" applyFont="1" applyBorder="1" applyAlignment="1">
      <alignment vertical="center" wrapText="1"/>
    </xf>
    <xf numFmtId="0" fontId="0" fillId="0" borderId="218" xfId="2" applyFont="1" applyBorder="1"/>
    <xf numFmtId="0" fontId="23" fillId="0" borderId="221" xfId="2" applyFont="1" applyBorder="1" applyAlignment="1">
      <alignment vertical="center" wrapText="1"/>
    </xf>
    <xf numFmtId="0" fontId="23" fillId="0" borderId="220" xfId="2" applyFont="1" applyBorder="1"/>
    <xf numFmtId="9" fontId="0" fillId="0" borderId="0" xfId="2" applyNumberFormat="1" applyFont="1" applyBorder="1"/>
    <xf numFmtId="0" fontId="0" fillId="0" borderId="256" xfId="2" applyFont="1" applyBorder="1"/>
    <xf numFmtId="0" fontId="5" fillId="0" borderId="212" xfId="2" applyFont="1" applyFill="1" applyBorder="1" applyProtection="1">
      <protection hidden="1"/>
    </xf>
    <xf numFmtId="3" fontId="0" fillId="0" borderId="213" xfId="2" applyNumberFormat="1" applyFont="1" applyBorder="1"/>
    <xf numFmtId="0" fontId="0" fillId="0" borderId="213" xfId="2" applyFont="1" applyBorder="1"/>
    <xf numFmtId="0" fontId="25" fillId="0" borderId="212" xfId="2" applyFont="1" applyFill="1" applyBorder="1" applyAlignment="1" applyProtection="1">
      <alignment wrapText="1"/>
      <protection hidden="1"/>
    </xf>
    <xf numFmtId="0" fontId="5" fillId="0" borderId="212" xfId="2" applyFont="1" applyFill="1" applyBorder="1" applyAlignment="1" applyProtection="1">
      <alignment wrapText="1"/>
      <protection hidden="1"/>
    </xf>
    <xf numFmtId="0" fontId="0" fillId="0" borderId="212" xfId="2" applyFont="1" applyFill="1" applyBorder="1" applyProtection="1">
      <protection hidden="1"/>
    </xf>
    <xf numFmtId="0" fontId="0" fillId="0" borderId="215" xfId="2" applyFont="1" applyBorder="1"/>
    <xf numFmtId="0" fontId="0" fillId="2" borderId="257" xfId="2" applyFont="1" applyFill="1" applyBorder="1" applyProtection="1">
      <protection hidden="1"/>
    </xf>
    <xf numFmtId="10" fontId="23" fillId="0" borderId="220" xfId="2" applyNumberFormat="1" applyFont="1" applyBorder="1" applyAlignment="1">
      <alignment horizontal="center"/>
    </xf>
    <xf numFmtId="0" fontId="0" fillId="10" borderId="0" xfId="2" applyFont="1" applyFill="1" applyBorder="1" applyProtection="1">
      <protection locked="0"/>
    </xf>
    <xf numFmtId="0" fontId="0" fillId="19" borderId="0" xfId="2" applyFont="1" applyFill="1" applyBorder="1" applyProtection="1">
      <protection locked="0"/>
    </xf>
    <xf numFmtId="0" fontId="101" fillId="8" borderId="96" xfId="2" applyFont="1" applyFill="1" applyBorder="1" applyAlignment="1" applyProtection="1">
      <alignment horizontal="left" vertical="center" wrapText="1"/>
      <protection hidden="1"/>
    </xf>
    <xf numFmtId="0" fontId="146" fillId="8" borderId="96" xfId="2" applyFont="1" applyFill="1" applyBorder="1" applyAlignment="1" applyProtection="1">
      <alignment vertical="center"/>
      <protection hidden="1"/>
    </xf>
    <xf numFmtId="0" fontId="0" fillId="0" borderId="258" xfId="2" applyFont="1" applyBorder="1" applyAlignment="1">
      <alignment vertical="center" wrapText="1"/>
    </xf>
    <xf numFmtId="0" fontId="0" fillId="0" borderId="259" xfId="2" applyFont="1" applyBorder="1"/>
    <xf numFmtId="0" fontId="0" fillId="0" borderId="260" xfId="2" applyFont="1" applyBorder="1"/>
    <xf numFmtId="0" fontId="0" fillId="19" borderId="259" xfId="2" applyFont="1" applyFill="1" applyBorder="1"/>
    <xf numFmtId="0" fontId="0" fillId="19" borderId="260" xfId="2" applyFont="1" applyFill="1" applyBorder="1"/>
    <xf numFmtId="0" fontId="0" fillId="0" borderId="259" xfId="2" applyFont="1" applyFill="1" applyBorder="1"/>
    <xf numFmtId="0" fontId="0" fillId="0" borderId="260" xfId="2" applyFont="1" applyFill="1" applyBorder="1"/>
    <xf numFmtId="4" fontId="0" fillId="0" borderId="259" xfId="2" applyNumberFormat="1" applyFont="1" applyFill="1" applyBorder="1"/>
    <xf numFmtId="4" fontId="0" fillId="0" borderId="260" xfId="2" applyNumberFormat="1" applyFont="1" applyFill="1" applyBorder="1"/>
    <xf numFmtId="4" fontId="23" fillId="0" borderId="253" xfId="2" applyNumberFormat="1" applyFont="1" applyBorder="1"/>
    <xf numFmtId="0" fontId="56" fillId="0" borderId="221" xfId="2" applyFont="1" applyBorder="1"/>
    <xf numFmtId="3" fontId="23" fillId="0" borderId="248" xfId="2" applyNumberFormat="1" applyFont="1" applyBorder="1"/>
    <xf numFmtId="0" fontId="0" fillId="0" borderId="0" xfId="2" applyFont="1" applyBorder="1" applyAlignment="1">
      <alignment vertical="center" wrapText="1"/>
    </xf>
    <xf numFmtId="0" fontId="0" fillId="0" borderId="14" xfId="2" applyFont="1" applyFill="1" applyBorder="1" applyAlignment="1" applyProtection="1">
      <alignment wrapText="1"/>
      <protection hidden="1"/>
    </xf>
    <xf numFmtId="0" fontId="0" fillId="0" borderId="14" xfId="2" applyFont="1" applyFill="1" applyBorder="1" applyProtection="1">
      <protection hidden="1"/>
    </xf>
    <xf numFmtId="0" fontId="25" fillId="0" borderId="14" xfId="2" applyFont="1" applyFill="1" applyBorder="1" applyAlignment="1" applyProtection="1">
      <alignment wrapText="1"/>
      <protection hidden="1"/>
    </xf>
    <xf numFmtId="0" fontId="5" fillId="0" borderId="14" xfId="2" applyFont="1" applyFill="1" applyBorder="1" applyProtection="1">
      <protection hidden="1"/>
    </xf>
    <xf numFmtId="0" fontId="0" fillId="0" borderId="261" xfId="2" applyFont="1" applyFill="1" applyBorder="1" applyAlignment="1" applyProtection="1">
      <alignment wrapText="1"/>
      <protection hidden="1"/>
    </xf>
    <xf numFmtId="0" fontId="53" fillId="0" borderId="0" xfId="2" applyFont="1" applyFill="1" applyBorder="1" applyAlignment="1">
      <alignment vertical="center" wrapText="1"/>
    </xf>
    <xf numFmtId="4" fontId="0" fillId="19" borderId="0" xfId="2" applyNumberFormat="1" applyFont="1" applyFill="1"/>
    <xf numFmtId="4" fontId="0" fillId="0" borderId="0" xfId="2" applyNumberFormat="1" applyFont="1" applyBorder="1" applyAlignment="1">
      <alignment vertical="center" wrapText="1"/>
    </xf>
    <xf numFmtId="4" fontId="0" fillId="0" borderId="0" xfId="2" applyNumberFormat="1" applyFont="1" applyFill="1" applyBorder="1" applyAlignment="1">
      <alignment vertical="center" wrapText="1"/>
    </xf>
    <xf numFmtId="4" fontId="5" fillId="0" borderId="0" xfId="2" applyNumberFormat="1" applyFont="1" applyBorder="1"/>
    <xf numFmtId="4" fontId="0" fillId="19" borderId="0" xfId="2" applyNumberFormat="1" applyFont="1" applyFill="1" applyBorder="1"/>
    <xf numFmtId="4" fontId="5" fillId="19" borderId="0" xfId="2" applyNumberFormat="1" applyFont="1" applyFill="1" applyBorder="1"/>
    <xf numFmtId="0" fontId="56" fillId="8" borderId="2" xfId="2" applyFont="1" applyFill="1" applyBorder="1" applyAlignment="1" applyProtection="1">
      <alignment horizontal="center" vertical="center" wrapText="1"/>
      <protection hidden="1"/>
    </xf>
    <xf numFmtId="0" fontId="5" fillId="2" borderId="262" xfId="2" applyFont="1" applyFill="1" applyBorder="1" applyProtection="1">
      <protection hidden="1"/>
    </xf>
    <xf numFmtId="4" fontId="23" fillId="0" borderId="263" xfId="2" applyNumberFormat="1" applyFont="1" applyBorder="1" applyAlignment="1">
      <alignment horizontal="center"/>
    </xf>
    <xf numFmtId="0" fontId="154" fillId="11" borderId="136" xfId="2" applyFont="1" applyFill="1" applyBorder="1" applyAlignment="1" applyProtection="1">
      <alignment horizontal="center"/>
      <protection hidden="1"/>
    </xf>
    <xf numFmtId="0" fontId="0" fillId="0" borderId="0" xfId="2" applyFont="1" applyAlignment="1"/>
    <xf numFmtId="0" fontId="0" fillId="0" borderId="226" xfId="2" applyFont="1" applyBorder="1" applyAlignment="1"/>
    <xf numFmtId="0" fontId="0" fillId="0" borderId="226" xfId="2" applyFont="1" applyBorder="1"/>
    <xf numFmtId="0" fontId="0" fillId="0" borderId="226" xfId="2" applyFont="1" applyBorder="1" applyAlignment="1">
      <alignment horizontal="right"/>
    </xf>
    <xf numFmtId="0" fontId="3" fillId="0" borderId="0" xfId="2" applyFont="1" applyBorder="1" applyAlignment="1">
      <alignment horizontal="right"/>
    </xf>
    <xf numFmtId="0" fontId="0" fillId="0" borderId="0" xfId="2" applyFont="1" applyBorder="1" applyAlignment="1">
      <alignment horizontal="right"/>
    </xf>
    <xf numFmtId="0" fontId="0" fillId="0" borderId="264" xfId="2" applyFont="1" applyBorder="1"/>
    <xf numFmtId="0" fontId="3" fillId="0" borderId="264" xfId="2" applyFont="1" applyBorder="1" applyAlignment="1">
      <alignment horizontal="right"/>
    </xf>
    <xf numFmtId="0" fontId="156" fillId="0" borderId="0" xfId="2" applyFont="1"/>
    <xf numFmtId="0" fontId="157" fillId="17" borderId="0" xfId="2" applyFont="1" applyFill="1"/>
    <xf numFmtId="0" fontId="43" fillId="18" borderId="265" xfId="2" applyFont="1" applyFill="1" applyBorder="1" applyProtection="1">
      <protection hidden="1"/>
    </xf>
    <xf numFmtId="0" fontId="129" fillId="0" borderId="266" xfId="2" applyFont="1" applyFill="1" applyBorder="1" applyProtection="1">
      <protection hidden="1"/>
    </xf>
    <xf numFmtId="0" fontId="0" fillId="0" borderId="266" xfId="2" applyFont="1" applyFill="1" applyBorder="1" applyProtection="1">
      <protection hidden="1"/>
    </xf>
    <xf numFmtId="0" fontId="129" fillId="0" borderId="26" xfId="2" applyFont="1" applyBorder="1" applyAlignment="1">
      <alignment horizontal="center"/>
    </xf>
    <xf numFmtId="0" fontId="129" fillId="0" borderId="267" xfId="2" applyFont="1" applyBorder="1" applyAlignment="1">
      <alignment horizontal="center"/>
    </xf>
    <xf numFmtId="0" fontId="129" fillId="0" borderId="0" xfId="2" applyFont="1" applyAlignment="1">
      <alignment horizontal="center"/>
    </xf>
    <xf numFmtId="0" fontId="129" fillId="17" borderId="0" xfId="2" applyFont="1" applyFill="1" applyBorder="1" applyProtection="1">
      <protection hidden="1"/>
    </xf>
    <xf numFmtId="0" fontId="129" fillId="17" borderId="0" xfId="2" applyFont="1" applyFill="1"/>
    <xf numFmtId="165" fontId="138" fillId="17" borderId="0" xfId="2" applyNumberFormat="1" applyFont="1" applyFill="1"/>
    <xf numFmtId="0" fontId="0" fillId="9" borderId="0" xfId="2" applyFont="1" applyFill="1" applyAlignment="1">
      <alignment wrapText="1"/>
    </xf>
    <xf numFmtId="0" fontId="159" fillId="26" borderId="74" xfId="2" applyFont="1" applyFill="1" applyBorder="1" applyAlignment="1" applyProtection="1">
      <alignment horizontal="center" vertical="center" wrapText="1"/>
      <protection hidden="1"/>
    </xf>
    <xf numFmtId="0" fontId="94" fillId="27" borderId="268" xfId="2" applyFont="1" applyFill="1" applyBorder="1" applyProtection="1">
      <protection hidden="1"/>
    </xf>
    <xf numFmtId="0" fontId="3" fillId="14" borderId="269" xfId="2" applyFont="1" applyFill="1" applyBorder="1" applyProtection="1">
      <protection hidden="1"/>
    </xf>
    <xf numFmtId="2" fontId="3" fillId="14" borderId="270" xfId="2" applyNumberFormat="1" applyFont="1" applyFill="1" applyBorder="1" applyAlignment="1" applyProtection="1">
      <alignment horizontal="center"/>
      <protection hidden="1"/>
    </xf>
    <xf numFmtId="9" fontId="26" fillId="14" borderId="271" xfId="2" applyNumberFormat="1" applyFont="1" applyFill="1" applyBorder="1" applyAlignment="1" applyProtection="1">
      <alignment horizontal="center"/>
      <protection hidden="1"/>
    </xf>
    <xf numFmtId="2" fontId="26" fillId="0" borderId="80" xfId="2" applyNumberFormat="1" applyFont="1" applyBorder="1" applyAlignment="1" applyProtection="1">
      <alignment horizontal="center"/>
      <protection locked="0"/>
    </xf>
    <xf numFmtId="9" fontId="3" fillId="10" borderId="272" xfId="2" applyNumberFormat="1" applyFont="1" applyFill="1" applyBorder="1" applyAlignment="1" applyProtection="1">
      <alignment horizontal="center"/>
      <protection hidden="1"/>
    </xf>
    <xf numFmtId="0" fontId="0" fillId="10" borderId="81" xfId="2" applyFont="1" applyFill="1" applyBorder="1" applyProtection="1">
      <protection hidden="1"/>
    </xf>
    <xf numFmtId="9" fontId="3" fillId="10" borderId="149" xfId="2" applyNumberFormat="1" applyFont="1" applyFill="1" applyBorder="1" applyAlignment="1" applyProtection="1">
      <alignment horizontal="center"/>
      <protection hidden="1"/>
    </xf>
    <xf numFmtId="0" fontId="3" fillId="10" borderId="79" xfId="2" applyFont="1" applyFill="1" applyBorder="1" applyProtection="1">
      <protection hidden="1"/>
    </xf>
    <xf numFmtId="2" fontId="26" fillId="10" borderId="82" xfId="2" applyNumberFormat="1" applyFont="1" applyFill="1" applyBorder="1" applyAlignment="1" applyProtection="1">
      <alignment horizontal="center"/>
      <protection hidden="1"/>
    </xf>
    <xf numFmtId="2" fontId="0" fillId="0" borderId="0" xfId="2" applyNumberFormat="1" applyFont="1"/>
    <xf numFmtId="9" fontId="26" fillId="0" borderId="0" xfId="2" applyNumberFormat="1" applyFont="1"/>
    <xf numFmtId="9" fontId="0" fillId="0" borderId="0" xfId="2" applyNumberFormat="1" applyFont="1"/>
    <xf numFmtId="0" fontId="22" fillId="0" borderId="273" xfId="2" applyFont="1" applyFill="1" applyBorder="1"/>
    <xf numFmtId="0" fontId="0" fillId="0" borderId="273" xfId="2" applyFont="1" applyFill="1" applyBorder="1"/>
    <xf numFmtId="0" fontId="0" fillId="0" borderId="274" xfId="2" applyFont="1" applyFill="1" applyBorder="1"/>
    <xf numFmtId="0" fontId="84" fillId="0" borderId="0" xfId="2" applyFont="1" applyFill="1"/>
    <xf numFmtId="0" fontId="0" fillId="0" borderId="123" xfId="2" applyFont="1" applyFill="1" applyBorder="1"/>
    <xf numFmtId="0" fontId="22" fillId="0" borderId="123" xfId="2" applyFont="1" applyFill="1" applyBorder="1"/>
    <xf numFmtId="0" fontId="0" fillId="0" borderId="122" xfId="2" applyFont="1" applyFill="1" applyBorder="1"/>
    <xf numFmtId="0" fontId="0" fillId="0" borderId="275" xfId="2" applyFont="1" applyFill="1" applyBorder="1"/>
    <xf numFmtId="0" fontId="0" fillId="0" borderId="276" xfId="2" applyFont="1" applyFill="1" applyBorder="1"/>
    <xf numFmtId="0" fontId="0" fillId="0" borderId="277" xfId="2" applyFont="1" applyFill="1" applyBorder="1"/>
    <xf numFmtId="3" fontId="161" fillId="0" borderId="0" xfId="2" applyNumberFormat="1" applyFont="1"/>
    <xf numFmtId="3" fontId="162" fillId="0" borderId="0" xfId="2" applyNumberFormat="1" applyFont="1"/>
    <xf numFmtId="0" fontId="23" fillId="2" borderId="278" xfId="2" applyFont="1" applyFill="1" applyBorder="1" applyAlignment="1" applyProtection="1">
      <alignment vertical="center"/>
      <protection hidden="1"/>
    </xf>
    <xf numFmtId="0" fontId="23" fillId="2" borderId="171" xfId="2" applyFont="1" applyFill="1" applyBorder="1" applyAlignment="1" applyProtection="1">
      <alignment vertical="center"/>
      <protection hidden="1"/>
    </xf>
    <xf numFmtId="0" fontId="166" fillId="10" borderId="81" xfId="2" applyFont="1" applyFill="1" applyBorder="1" applyProtection="1">
      <protection hidden="1"/>
    </xf>
    <xf numFmtId="0" fontId="0" fillId="0" borderId="77" xfId="2" applyFont="1" applyFill="1" applyBorder="1" applyProtection="1">
      <protection locked="0"/>
    </xf>
    <xf numFmtId="0" fontId="0" fillId="0" borderId="4" xfId="2" applyFont="1" applyFill="1" applyBorder="1" applyProtection="1">
      <protection locked="0"/>
    </xf>
    <xf numFmtId="0" fontId="166" fillId="10" borderId="81" xfId="2" applyFont="1" applyFill="1" applyBorder="1" applyAlignment="1" applyProtection="1">
      <protection hidden="1"/>
    </xf>
    <xf numFmtId="0" fontId="167" fillId="10" borderId="279" xfId="2" applyFont="1" applyFill="1" applyBorder="1" applyAlignment="1" applyProtection="1">
      <protection hidden="1"/>
    </xf>
    <xf numFmtId="0" fontId="167" fillId="10" borderId="79" xfId="2" applyFont="1" applyFill="1" applyBorder="1" applyAlignment="1" applyProtection="1">
      <alignment wrapText="1"/>
      <protection hidden="1"/>
    </xf>
    <xf numFmtId="3" fontId="52" fillId="10" borderId="82" xfId="2" applyNumberFormat="1" applyFont="1" applyFill="1" applyBorder="1"/>
    <xf numFmtId="3" fontId="52" fillId="0" borderId="0" xfId="2" applyNumberFormat="1" applyFont="1" applyFill="1"/>
    <xf numFmtId="2" fontId="26" fillId="0" borderId="280" xfId="2" applyNumberFormat="1" applyFont="1" applyBorder="1" applyAlignment="1" applyProtection="1">
      <alignment horizontal="center"/>
      <protection locked="0"/>
    </xf>
    <xf numFmtId="0" fontId="167" fillId="0" borderId="0" xfId="2" applyFont="1"/>
    <xf numFmtId="0" fontId="167" fillId="0" borderId="0" xfId="2" applyFont="1" applyFill="1"/>
    <xf numFmtId="3" fontId="167" fillId="0" borderId="0" xfId="2" applyNumberFormat="1" applyFont="1" applyFill="1"/>
    <xf numFmtId="0" fontId="2" fillId="8" borderId="0" xfId="2" applyFont="1" applyFill="1" applyAlignment="1">
      <alignment horizontal="center" vertical="center" wrapText="1"/>
    </xf>
    <xf numFmtId="0" fontId="17" fillId="8" borderId="0" xfId="2" applyFont="1" applyFill="1" applyAlignment="1">
      <alignment horizontal="center" vertical="center" wrapText="1"/>
    </xf>
    <xf numFmtId="0" fontId="3" fillId="4" borderId="0" xfId="2" applyFont="1" applyFill="1" applyAlignment="1">
      <alignment vertical="center" wrapText="1"/>
    </xf>
    <xf numFmtId="0" fontId="3" fillId="4" borderId="0" xfId="2" applyFont="1" applyFill="1"/>
    <xf numFmtId="166" fontId="3" fillId="4" borderId="0" xfId="2" applyNumberFormat="1" applyFont="1" applyFill="1"/>
    <xf numFmtId="0" fontId="102" fillId="0" borderId="0" xfId="2" applyFont="1" applyFill="1" applyAlignment="1">
      <alignment vertical="center" wrapText="1"/>
    </xf>
    <xf numFmtId="0" fontId="148" fillId="0" borderId="0" xfId="2" applyFont="1" applyAlignment="1">
      <alignment vertical="center" wrapText="1"/>
    </xf>
    <xf numFmtId="0" fontId="5" fillId="0" borderId="0" xfId="2" applyFont="1" applyFill="1" applyAlignment="1">
      <alignment horizontal="center" vertical="center" wrapText="1"/>
    </xf>
    <xf numFmtId="0" fontId="148" fillId="0" borderId="0" xfId="2" applyFont="1" applyFill="1" applyAlignment="1">
      <alignment horizontal="center" vertical="center" wrapText="1"/>
    </xf>
    <xf numFmtId="3" fontId="52" fillId="0" borderId="0" xfId="2" applyNumberFormat="1" applyFont="1" applyFill="1" applyAlignment="1">
      <alignment wrapText="1"/>
    </xf>
    <xf numFmtId="0" fontId="2" fillId="7" borderId="0" xfId="2" applyFont="1" applyFill="1" applyAlignment="1">
      <alignment vertical="center" wrapText="1"/>
    </xf>
    <xf numFmtId="3" fontId="52" fillId="7" borderId="0" xfId="2" applyNumberFormat="1" applyFont="1" applyFill="1"/>
    <xf numFmtId="3" fontId="5" fillId="0" borderId="0" xfId="2" applyNumberFormat="1" applyFont="1" applyFill="1"/>
    <xf numFmtId="0" fontId="167" fillId="3" borderId="0" xfId="2" applyFont="1" applyFill="1"/>
    <xf numFmtId="0" fontId="167" fillId="3" borderId="0" xfId="2" applyFont="1" applyFill="1" applyAlignment="1">
      <alignment wrapText="1"/>
    </xf>
    <xf numFmtId="3" fontId="167" fillId="3" borderId="0" xfId="2" applyNumberFormat="1" applyFont="1" applyFill="1"/>
    <xf numFmtId="3" fontId="52" fillId="10" borderId="149" xfId="2" applyNumberFormat="1" applyFont="1" applyFill="1" applyBorder="1"/>
    <xf numFmtId="0" fontId="148" fillId="10" borderId="0" xfId="2" applyFont="1" applyFill="1" applyAlignment="1">
      <alignment horizontal="center" vertical="center" wrapText="1"/>
    </xf>
    <xf numFmtId="0" fontId="148" fillId="10" borderId="0" xfId="2" applyFont="1" applyFill="1" applyAlignment="1">
      <alignment vertical="center" wrapText="1"/>
    </xf>
    <xf numFmtId="0" fontId="102" fillId="10" borderId="0" xfId="2" applyFont="1" applyFill="1" applyAlignment="1">
      <alignment vertical="center" wrapText="1"/>
    </xf>
    <xf numFmtId="0" fontId="52" fillId="10" borderId="0" xfId="2" applyFont="1" applyFill="1"/>
    <xf numFmtId="0" fontId="52" fillId="10" borderId="0" xfId="2" applyFont="1" applyFill="1" applyAlignment="1">
      <alignment wrapText="1"/>
    </xf>
    <xf numFmtId="0" fontId="3" fillId="10" borderId="0" xfId="2" applyFont="1" applyFill="1"/>
    <xf numFmtId="3" fontId="52" fillId="10" borderId="0" xfId="2" applyNumberFormat="1" applyFont="1" applyFill="1"/>
    <xf numFmtId="3" fontId="5" fillId="10" borderId="0" xfId="2" applyNumberFormat="1" applyFont="1" applyFill="1"/>
    <xf numFmtId="0" fontId="99" fillId="0" borderId="0" xfId="2" applyNumberFormat="1" applyFont="1"/>
    <xf numFmtId="0" fontId="52" fillId="0" borderId="235" xfId="2" applyFont="1" applyBorder="1"/>
    <xf numFmtId="0" fontId="52" fillId="0" borderId="236" xfId="2" applyFont="1" applyBorder="1"/>
    <xf numFmtId="0" fontId="52" fillId="0" borderId="237" xfId="2" applyFont="1" applyBorder="1"/>
    <xf numFmtId="0" fontId="0" fillId="14" borderId="81" xfId="2" applyFont="1" applyFill="1" applyBorder="1" applyAlignment="1" applyProtection="1">
      <alignment horizontal="left"/>
      <protection hidden="1"/>
    </xf>
    <xf numFmtId="0" fontId="52" fillId="0" borderId="236" xfId="2" applyFont="1" applyFill="1" applyBorder="1"/>
    <xf numFmtId="0" fontId="17" fillId="2" borderId="261" xfId="2" applyFont="1" applyFill="1" applyBorder="1" applyProtection="1">
      <protection hidden="1"/>
    </xf>
    <xf numFmtId="0" fontId="82" fillId="10" borderId="261" xfId="2" applyFont="1" applyFill="1" applyBorder="1" applyAlignment="1" applyProtection="1">
      <alignment wrapText="1"/>
      <protection hidden="1"/>
    </xf>
    <xf numFmtId="0" fontId="17" fillId="2" borderId="261" xfId="2" applyFont="1" applyFill="1" applyBorder="1" applyAlignment="1" applyProtection="1">
      <alignment wrapText="1"/>
      <protection hidden="1"/>
    </xf>
    <xf numFmtId="0" fontId="166" fillId="10" borderId="281" xfId="2" applyFont="1" applyFill="1" applyBorder="1" applyAlignment="1" applyProtection="1">
      <protection hidden="1"/>
    </xf>
    <xf numFmtId="0" fontId="166" fillId="10" borderId="281" xfId="2" applyFont="1" applyFill="1" applyBorder="1" applyProtection="1">
      <protection hidden="1"/>
    </xf>
    <xf numFmtId="0" fontId="167" fillId="10" borderId="282" xfId="2" applyFont="1" applyFill="1" applyBorder="1" applyAlignment="1" applyProtection="1">
      <protection hidden="1"/>
    </xf>
    <xf numFmtId="0" fontId="17" fillId="10" borderId="261" xfId="2" applyFont="1" applyFill="1" applyBorder="1" applyAlignment="1" applyProtection="1">
      <alignment wrapText="1"/>
      <protection hidden="1"/>
    </xf>
    <xf numFmtId="0" fontId="17" fillId="10" borderId="261" xfId="2" applyFont="1" applyFill="1" applyBorder="1" applyProtection="1">
      <protection hidden="1"/>
    </xf>
    <xf numFmtId="0" fontId="17" fillId="2" borderId="261" xfId="2" applyFont="1" applyFill="1" applyBorder="1" applyAlignment="1" applyProtection="1">
      <alignment vertical="top" wrapText="1"/>
      <protection hidden="1"/>
    </xf>
    <xf numFmtId="0" fontId="23" fillId="0" borderId="0" xfId="2" applyFont="1" applyAlignment="1">
      <alignment wrapText="1"/>
    </xf>
    <xf numFmtId="0" fontId="23" fillId="0" borderId="256" xfId="2" applyFont="1" applyBorder="1" applyAlignment="1">
      <alignment wrapText="1"/>
    </xf>
    <xf numFmtId="0" fontId="52" fillId="0" borderId="210" xfId="2" applyFont="1" applyBorder="1"/>
    <xf numFmtId="0" fontId="52" fillId="0" borderId="211" xfId="2" applyFont="1" applyBorder="1"/>
    <xf numFmtId="0" fontId="168" fillId="0" borderId="212" xfId="2" applyFont="1" applyBorder="1"/>
    <xf numFmtId="0" fontId="168" fillId="0" borderId="213" xfId="2" applyFont="1" applyBorder="1"/>
    <xf numFmtId="0" fontId="52" fillId="0" borderId="213" xfId="2" applyFont="1" applyBorder="1"/>
    <xf numFmtId="0" fontId="52" fillId="0" borderId="214" xfId="2" applyFont="1" applyBorder="1"/>
    <xf numFmtId="0" fontId="52" fillId="0" borderId="212" xfId="2" applyFont="1" applyBorder="1"/>
    <xf numFmtId="0" fontId="52" fillId="0" borderId="283" xfId="2" applyFont="1" applyBorder="1"/>
    <xf numFmtId="0" fontId="52" fillId="0" borderId="215" xfId="2" applyFont="1" applyBorder="1"/>
    <xf numFmtId="0" fontId="52" fillId="0" borderId="216" xfId="2" applyFont="1" applyBorder="1"/>
    <xf numFmtId="0" fontId="169" fillId="0" borderId="0" xfId="2" applyFont="1"/>
    <xf numFmtId="3" fontId="169" fillId="0" borderId="0" xfId="2" applyNumberFormat="1" applyFont="1"/>
    <xf numFmtId="0" fontId="169" fillId="0" borderId="0" xfId="2" applyFont="1" applyAlignment="1">
      <alignment horizontal="right"/>
    </xf>
    <xf numFmtId="0" fontId="167" fillId="0" borderId="0" xfId="2" applyFont="1" applyFill="1" applyAlignment="1">
      <alignment wrapText="1"/>
    </xf>
    <xf numFmtId="0" fontId="17" fillId="0" borderId="0" xfId="2" applyFont="1" applyFill="1" applyBorder="1" applyProtection="1">
      <protection hidden="1"/>
    </xf>
    <xf numFmtId="0" fontId="82" fillId="0" borderId="0" xfId="2" applyFont="1" applyFill="1" applyBorder="1" applyAlignment="1" applyProtection="1">
      <alignment wrapText="1"/>
      <protection hidden="1"/>
    </xf>
    <xf numFmtId="0" fontId="17" fillId="0" borderId="0" xfId="2" applyFont="1" applyFill="1" applyBorder="1" applyAlignment="1" applyProtection="1">
      <alignment wrapText="1"/>
      <protection hidden="1"/>
    </xf>
    <xf numFmtId="0" fontId="17" fillId="0" borderId="0" xfId="2" applyFont="1" applyFill="1" applyBorder="1" applyAlignment="1" applyProtection="1">
      <alignment vertical="top" wrapText="1"/>
      <protection hidden="1"/>
    </xf>
    <xf numFmtId="0" fontId="3" fillId="3" borderId="238" xfId="2" applyFont="1" applyFill="1" applyBorder="1"/>
    <xf numFmtId="3" fontId="3" fillId="3" borderId="171" xfId="2" applyNumberFormat="1" applyFont="1" applyFill="1" applyBorder="1"/>
    <xf numFmtId="3" fontId="169" fillId="0" borderId="166" xfId="2" applyNumberFormat="1" applyFont="1" applyBorder="1" applyAlignment="1">
      <alignment horizontal="left" vertical="center" wrapText="1"/>
    </xf>
    <xf numFmtId="3" fontId="161" fillId="0" borderId="166" xfId="2" applyNumberFormat="1" applyFont="1" applyBorder="1"/>
    <xf numFmtId="3" fontId="107" fillId="0" borderId="166" xfId="2" applyNumberFormat="1" applyFont="1" applyBorder="1"/>
    <xf numFmtId="0" fontId="52" fillId="0" borderId="173" xfId="2" applyFont="1" applyFill="1" applyBorder="1"/>
    <xf numFmtId="0" fontId="17" fillId="0" borderId="174" xfId="2" applyFont="1" applyFill="1" applyBorder="1" applyAlignment="1" applyProtection="1">
      <alignment wrapText="1"/>
      <protection hidden="1"/>
    </xf>
    <xf numFmtId="3" fontId="161" fillId="0" borderId="175" xfId="2" applyNumberFormat="1" applyFont="1" applyBorder="1"/>
    <xf numFmtId="0" fontId="43" fillId="21" borderId="284" xfId="2" applyFont="1" applyFill="1" applyBorder="1" applyProtection="1">
      <protection hidden="1"/>
    </xf>
    <xf numFmtId="0" fontId="171" fillId="0" borderId="285" xfId="2" applyFont="1" applyBorder="1" applyProtection="1">
      <protection hidden="1"/>
    </xf>
    <xf numFmtId="165" fontId="170" fillId="0" borderId="286" xfId="2" applyNumberFormat="1" applyFont="1" applyBorder="1" applyProtection="1">
      <protection hidden="1"/>
    </xf>
    <xf numFmtId="0" fontId="73" fillId="0" borderId="287" xfId="2" applyFont="1" applyBorder="1" applyProtection="1">
      <protection hidden="1"/>
    </xf>
    <xf numFmtId="165" fontId="160" fillId="0" borderId="288" xfId="2" applyNumberFormat="1" applyFont="1" applyBorder="1" applyProtection="1">
      <protection hidden="1"/>
    </xf>
    <xf numFmtId="0" fontId="6" fillId="0" borderId="0" xfId="2" applyFont="1" applyFill="1" applyBorder="1" applyAlignment="1" applyProtection="1">
      <alignment vertical="center" wrapText="1"/>
      <protection hidden="1"/>
    </xf>
    <xf numFmtId="3" fontId="2" fillId="0" borderId="0" xfId="2" applyNumberFormat="1" applyFont="1" applyFill="1" applyBorder="1" applyProtection="1">
      <protection hidden="1"/>
    </xf>
    <xf numFmtId="0" fontId="147" fillId="0" borderId="0" xfId="2" applyFont="1" applyFill="1" applyBorder="1" applyAlignment="1" applyProtection="1">
      <alignment horizontal="center" vertical="center"/>
      <protection hidden="1"/>
    </xf>
    <xf numFmtId="0" fontId="5" fillId="0" borderId="0" xfId="2" applyFont="1" applyFill="1" applyBorder="1" applyAlignment="1" applyProtection="1">
      <alignment horizontal="left" vertical="center"/>
      <protection hidden="1"/>
    </xf>
    <xf numFmtId="0" fontId="4" fillId="0" borderId="0" xfId="2" applyFont="1" applyFill="1" applyBorder="1" applyAlignment="1" applyProtection="1">
      <alignment horizontal="center" vertical="center" wrapText="1"/>
      <protection hidden="1"/>
    </xf>
    <xf numFmtId="0" fontId="3" fillId="0" borderId="0" xfId="2" applyFont="1" applyFill="1" applyBorder="1" applyAlignment="1" applyProtection="1">
      <alignment horizontal="center" vertical="center" wrapText="1"/>
      <protection hidden="1"/>
    </xf>
    <xf numFmtId="3" fontId="5" fillId="0" borderId="0" xfId="2" applyNumberFormat="1" applyFont="1" applyFill="1" applyBorder="1" applyProtection="1">
      <protection hidden="1"/>
    </xf>
    <xf numFmtId="3" fontId="24" fillId="0" borderId="0" xfId="2" applyNumberFormat="1" applyFont="1" applyFill="1" applyBorder="1" applyAlignment="1" applyProtection="1">
      <alignment horizontal="center" vertical="center"/>
      <protection hidden="1"/>
    </xf>
    <xf numFmtId="166" fontId="5" fillId="0" borderId="0" xfId="2" applyNumberFormat="1" applyFont="1" applyFill="1" applyBorder="1" applyProtection="1">
      <protection hidden="1"/>
    </xf>
    <xf numFmtId="3" fontId="3" fillId="0" borderId="0" xfId="2" applyNumberFormat="1" applyFont="1" applyFill="1" applyBorder="1" applyProtection="1">
      <protection hidden="1"/>
    </xf>
    <xf numFmtId="0" fontId="1" fillId="0" borderId="0" xfId="2" applyFont="1" applyFill="1" applyBorder="1" applyAlignment="1" applyProtection="1">
      <alignment horizontal="left" vertical="top" wrapText="1"/>
    </xf>
    <xf numFmtId="0" fontId="0" fillId="0" borderId="0" xfId="2" applyFont="1" applyFill="1" applyBorder="1" applyAlignment="1" applyProtection="1">
      <alignment horizontal="left" vertical="center"/>
      <protection hidden="1"/>
    </xf>
    <xf numFmtId="0" fontId="51" fillId="0" borderId="0" xfId="2" applyFont="1" applyFill="1" applyBorder="1" applyAlignment="1" applyProtection="1">
      <alignment wrapText="1"/>
    </xf>
    <xf numFmtId="0" fontId="0" fillId="0" borderId="0" xfId="2" applyFont="1" applyFill="1" applyBorder="1" applyAlignment="1" applyProtection="1">
      <alignment wrapText="1"/>
    </xf>
    <xf numFmtId="0" fontId="11" fillId="0" borderId="0" xfId="2" applyFont="1" applyFill="1" applyBorder="1" applyAlignment="1" applyProtection="1">
      <alignment wrapText="1"/>
    </xf>
    <xf numFmtId="0" fontId="1" fillId="0" borderId="0" xfId="2" applyFont="1" applyFill="1" applyBorder="1" applyAlignment="1" applyProtection="1">
      <alignment wrapText="1"/>
    </xf>
    <xf numFmtId="0" fontId="0" fillId="0" borderId="0" xfId="2" applyFont="1" applyFill="1" applyBorder="1" applyAlignment="1" applyProtection="1">
      <alignment horizontal="center" vertical="center" wrapText="1"/>
      <protection hidden="1"/>
    </xf>
    <xf numFmtId="0" fontId="5" fillId="0" borderId="0" xfId="2" applyFont="1" applyFill="1" applyBorder="1" applyAlignment="1" applyProtection="1">
      <alignment horizontal="left" vertical="top" wrapText="1"/>
    </xf>
    <xf numFmtId="0" fontId="5" fillId="0" borderId="0" xfId="2" applyFont="1" applyFill="1" applyBorder="1" applyAlignment="1" applyProtection="1">
      <alignment horizontal="left" vertical="top" wrapText="1"/>
      <protection hidden="1"/>
    </xf>
    <xf numFmtId="0" fontId="148" fillId="0" borderId="0" xfId="2" applyFont="1" applyFill="1" applyBorder="1" applyAlignment="1" applyProtection="1">
      <alignment wrapText="1"/>
    </xf>
    <xf numFmtId="0" fontId="5" fillId="0" borderId="0" xfId="2" applyFont="1" applyFill="1" applyBorder="1" applyAlignment="1" applyProtection="1">
      <alignment wrapText="1"/>
    </xf>
    <xf numFmtId="0" fontId="5" fillId="0" borderId="0" xfId="2" applyFont="1" applyFill="1" applyBorder="1" applyAlignment="1" applyProtection="1">
      <alignment horizontal="center" vertical="center" wrapText="1"/>
      <protection hidden="1"/>
    </xf>
    <xf numFmtId="3" fontId="0" fillId="8" borderId="0" xfId="2" applyNumberFormat="1" applyFont="1" applyFill="1"/>
    <xf numFmtId="0" fontId="3" fillId="8" borderId="0" xfId="2" applyFont="1" applyFill="1" applyBorder="1" applyProtection="1">
      <protection hidden="1"/>
    </xf>
    <xf numFmtId="3" fontId="3" fillId="8" borderId="0" xfId="2" applyNumberFormat="1" applyFont="1" applyFill="1"/>
    <xf numFmtId="0" fontId="3" fillId="5" borderId="189" xfId="2" applyFont="1" applyFill="1" applyBorder="1" applyAlignment="1" applyProtection="1">
      <alignment horizontal="center"/>
      <protection hidden="1"/>
    </xf>
    <xf numFmtId="0" fontId="172" fillId="0" borderId="0" xfId="2" applyFont="1"/>
    <xf numFmtId="0" fontId="78" fillId="6" borderId="289" xfId="2" applyFont="1" applyFill="1" applyBorder="1" applyAlignment="1" applyProtection="1">
      <alignment vertical="center" wrapText="1"/>
      <protection hidden="1"/>
    </xf>
    <xf numFmtId="0" fontId="172" fillId="0" borderId="290" xfId="2" applyFont="1" applyFill="1" applyBorder="1" applyProtection="1">
      <protection hidden="1"/>
    </xf>
    <xf numFmtId="165" fontId="173" fillId="0" borderId="291" xfId="2" applyNumberFormat="1" applyFont="1" applyFill="1" applyBorder="1" applyProtection="1">
      <protection hidden="1"/>
    </xf>
    <xf numFmtId="0" fontId="0" fillId="0" borderId="0" xfId="2" applyFont="1" applyBorder="1" applyProtection="1">
      <protection locked="0"/>
    </xf>
    <xf numFmtId="0" fontId="23" fillId="0" borderId="0" xfId="2" applyFont="1" applyFill="1" applyBorder="1" applyAlignment="1" applyProtection="1">
      <alignment horizontal="left" vertical="center" wrapText="1"/>
      <protection hidden="1"/>
    </xf>
    <xf numFmtId="0" fontId="0" fillId="0" borderId="0" xfId="2" applyFont="1" applyFill="1" applyBorder="1" applyAlignment="1" applyProtection="1">
      <alignment vertical="top" wrapText="1"/>
    </xf>
    <xf numFmtId="3" fontId="3" fillId="0" borderId="0" xfId="2" applyNumberFormat="1" applyFont="1" applyFill="1" applyBorder="1" applyAlignment="1" applyProtection="1">
      <alignment horizontal="left" vertical="top" wrapText="1"/>
    </xf>
    <xf numFmtId="3" fontId="3" fillId="0" borderId="0" xfId="2" applyNumberFormat="1" applyFont="1" applyFill="1" applyBorder="1" applyAlignment="1" applyProtection="1">
      <alignment horizontal="left" vertical="top" wrapText="1"/>
      <protection hidden="1"/>
    </xf>
    <xf numFmtId="3" fontId="5" fillId="0" borderId="0" xfId="2" applyNumberFormat="1" applyFont="1" applyFill="1" applyBorder="1" applyAlignment="1" applyProtection="1">
      <alignment horizontal="left" vertical="top" wrapText="1"/>
    </xf>
    <xf numFmtId="0" fontId="6" fillId="0" borderId="0" xfId="2" applyFont="1" applyFill="1" applyBorder="1" applyAlignment="1" applyProtection="1">
      <alignment horizontal="left" vertical="center"/>
      <protection hidden="1"/>
    </xf>
    <xf numFmtId="0" fontId="63" fillId="0" borderId="0" xfId="2" applyFont="1" applyFill="1" applyBorder="1" applyAlignment="1" applyProtection="1">
      <alignment horizontal="center" vertical="center" wrapText="1"/>
      <protection hidden="1"/>
    </xf>
    <xf numFmtId="0" fontId="0" fillId="0" borderId="0" xfId="2" applyFont="1" applyFill="1" applyBorder="1" applyAlignment="1" applyProtection="1">
      <alignment wrapText="1"/>
      <protection hidden="1"/>
    </xf>
    <xf numFmtId="0" fontId="7" fillId="0" borderId="0" xfId="2" applyFont="1" applyFill="1" applyBorder="1" applyAlignment="1" applyProtection="1">
      <alignment wrapText="1"/>
    </xf>
    <xf numFmtId="0" fontId="3" fillId="0" borderId="0" xfId="2" applyFont="1" applyFill="1" applyBorder="1" applyAlignment="1" applyProtection="1">
      <alignment wrapText="1"/>
    </xf>
    <xf numFmtId="0" fontId="0" fillId="0" borderId="0" xfId="2" applyFont="1" applyFill="1" applyBorder="1" applyAlignment="1" applyProtection="1">
      <alignment horizontal="center" wrapText="1"/>
      <protection hidden="1"/>
    </xf>
    <xf numFmtId="0" fontId="0" fillId="0" borderId="0" xfId="2" applyFont="1" applyFill="1" applyBorder="1" applyAlignment="1" applyProtection="1">
      <alignment horizontal="center" vertical="center" wrapText="1"/>
      <protection locked="0"/>
    </xf>
    <xf numFmtId="0" fontId="107" fillId="8" borderId="138" xfId="2" applyFont="1" applyFill="1" applyBorder="1" applyAlignment="1" applyProtection="1">
      <alignment horizontal="center" vertical="center" wrapText="1"/>
      <protection hidden="1"/>
    </xf>
    <xf numFmtId="0" fontId="76" fillId="0" borderId="138" xfId="2" applyFont="1" applyFill="1" applyBorder="1" applyAlignment="1" applyProtection="1">
      <alignment horizontal="center" vertical="center" wrapText="1"/>
      <protection hidden="1"/>
    </xf>
    <xf numFmtId="3" fontId="1" fillId="8" borderId="138" xfId="2" applyNumberFormat="1" applyFont="1" applyFill="1" applyBorder="1" applyProtection="1">
      <protection hidden="1"/>
    </xf>
    <xf numFmtId="3" fontId="22" fillId="8" borderId="138" xfId="2" applyNumberFormat="1" applyFont="1" applyFill="1" applyBorder="1" applyProtection="1">
      <protection hidden="1"/>
    </xf>
    <xf numFmtId="3" fontId="1" fillId="6" borderId="138" xfId="2" applyNumberFormat="1" applyFont="1" applyFill="1" applyBorder="1" applyProtection="1">
      <protection hidden="1"/>
    </xf>
    <xf numFmtId="0" fontId="0" fillId="11" borderId="166" xfId="2" applyFont="1" applyFill="1" applyBorder="1"/>
    <xf numFmtId="3" fontId="45" fillId="8" borderId="138" xfId="2" applyNumberFormat="1" applyFont="1" applyFill="1" applyBorder="1" applyAlignment="1" applyProtection="1">
      <alignment horizontal="center" vertical="center"/>
      <protection hidden="1"/>
    </xf>
    <xf numFmtId="0" fontId="0" fillId="10" borderId="0" xfId="2" applyFont="1" applyFill="1" applyAlignment="1">
      <alignment horizontal="right"/>
    </xf>
    <xf numFmtId="0" fontId="129" fillId="0" borderId="266" xfId="2" applyFont="1" applyBorder="1" applyProtection="1">
      <protection hidden="1"/>
    </xf>
    <xf numFmtId="165" fontId="138" fillId="0" borderId="292" xfId="2" applyNumberFormat="1" applyFont="1" applyBorder="1" applyProtection="1">
      <protection hidden="1"/>
    </xf>
    <xf numFmtId="0" fontId="107" fillId="8" borderId="60" xfId="2" applyFont="1" applyFill="1" applyBorder="1" applyAlignment="1" applyProtection="1">
      <alignment horizontal="center" vertical="center" wrapText="1"/>
      <protection hidden="1"/>
    </xf>
    <xf numFmtId="0" fontId="3" fillId="0" borderId="167" xfId="2" applyFont="1" applyBorder="1"/>
    <xf numFmtId="0" fontId="0" fillId="17" borderId="14" xfId="2" applyFont="1" applyFill="1" applyBorder="1"/>
    <xf numFmtId="0" fontId="0" fillId="0" borderId="181" xfId="2" applyFont="1" applyBorder="1"/>
    <xf numFmtId="0" fontId="3" fillId="0" borderId="167" xfId="2" applyFont="1" applyFill="1" applyBorder="1"/>
    <xf numFmtId="0" fontId="3" fillId="23" borderId="0" xfId="2" applyFont="1" applyFill="1"/>
    <xf numFmtId="1" fontId="3" fillId="23" borderId="0" xfId="2" applyNumberFormat="1" applyFont="1" applyFill="1"/>
    <xf numFmtId="0" fontId="3" fillId="10" borderId="14" xfId="2" applyFont="1" applyFill="1" applyBorder="1"/>
    <xf numFmtId="0" fontId="3" fillId="10" borderId="2" xfId="2" applyFont="1" applyFill="1" applyBorder="1"/>
    <xf numFmtId="16" fontId="26" fillId="0" borderId="0" xfId="2" applyNumberFormat="1" applyFont="1" applyFill="1" applyAlignment="1" applyProtection="1">
      <alignment horizontal="left"/>
      <protection hidden="1"/>
    </xf>
    <xf numFmtId="0" fontId="26" fillId="0" borderId="0" xfId="2" applyFont="1" applyFill="1" applyAlignment="1" applyProtection="1">
      <alignment horizontal="left"/>
      <protection hidden="1"/>
    </xf>
    <xf numFmtId="0" fontId="5" fillId="15" borderId="293" xfId="2" applyFont="1" applyFill="1" applyBorder="1" applyProtection="1">
      <protection hidden="1"/>
    </xf>
    <xf numFmtId="0" fontId="0" fillId="0" borderId="0" xfId="2" applyFont="1" applyFill="1" applyProtection="1">
      <protection hidden="1"/>
    </xf>
    <xf numFmtId="0" fontId="26" fillId="0" borderId="0" xfId="2" applyFont="1" applyFill="1" applyProtection="1">
      <protection hidden="1"/>
    </xf>
    <xf numFmtId="0" fontId="26" fillId="0" borderId="0" xfId="2" applyFont="1" applyFill="1" applyAlignment="1" applyProtection="1">
      <alignment horizontal="center"/>
      <protection hidden="1"/>
    </xf>
    <xf numFmtId="0" fontId="26" fillId="0" borderId="0" xfId="2" applyFont="1" applyFill="1"/>
    <xf numFmtId="1" fontId="45" fillId="11" borderId="22" xfId="2" applyNumberFormat="1" applyFont="1" applyFill="1" applyBorder="1" applyAlignment="1" applyProtection="1">
      <alignment horizontal="center" vertical="center"/>
      <protection hidden="1"/>
    </xf>
    <xf numFmtId="0" fontId="6" fillId="11" borderId="294" xfId="2" applyFont="1" applyFill="1" applyBorder="1" applyProtection="1">
      <protection hidden="1"/>
    </xf>
    <xf numFmtId="0" fontId="0" fillId="10" borderId="14" xfId="2" applyFont="1" applyFill="1" applyBorder="1"/>
    <xf numFmtId="16" fontId="26" fillId="10" borderId="14" xfId="2" applyNumberFormat="1" applyFont="1" applyFill="1" applyBorder="1" applyAlignment="1" applyProtection="1">
      <alignment horizontal="left"/>
      <protection hidden="1"/>
    </xf>
    <xf numFmtId="0" fontId="0" fillId="0" borderId="2" xfId="2" applyFont="1" applyFill="1" applyBorder="1"/>
    <xf numFmtId="0" fontId="26" fillId="10" borderId="14" xfId="2" applyFont="1" applyFill="1" applyBorder="1" applyAlignment="1" applyProtection="1">
      <alignment horizontal="left"/>
      <protection hidden="1"/>
    </xf>
    <xf numFmtId="0" fontId="23" fillId="9" borderId="2" xfId="2" applyFont="1" applyFill="1" applyBorder="1"/>
    <xf numFmtId="0" fontId="26" fillId="10" borderId="15" xfId="2" applyFont="1" applyFill="1" applyBorder="1" applyAlignment="1" applyProtection="1">
      <alignment horizontal="left"/>
      <protection hidden="1"/>
    </xf>
    <xf numFmtId="0" fontId="0" fillId="0" borderId="238" xfId="2" applyFont="1" applyBorder="1"/>
    <xf numFmtId="0" fontId="0" fillId="0" borderId="278" xfId="2" applyFont="1" applyBorder="1"/>
    <xf numFmtId="0" fontId="0" fillId="0" borderId="171" xfId="2" applyFont="1" applyBorder="1"/>
    <xf numFmtId="0" fontId="0" fillId="0" borderId="173" xfId="2" applyFont="1" applyBorder="1"/>
    <xf numFmtId="0" fontId="0" fillId="3" borderId="0" xfId="2" applyFont="1" applyFill="1" applyBorder="1"/>
    <xf numFmtId="0" fontId="0" fillId="3" borderId="166" xfId="2" applyFont="1" applyFill="1" applyBorder="1"/>
    <xf numFmtId="0" fontId="0" fillId="0" borderId="166" xfId="2" applyFont="1" applyBorder="1"/>
    <xf numFmtId="0" fontId="5" fillId="17" borderId="295" xfId="2" applyFont="1" applyFill="1" applyBorder="1" applyProtection="1">
      <protection hidden="1"/>
    </xf>
    <xf numFmtId="0" fontId="0" fillId="0" borderId="174" xfId="2" applyFont="1" applyBorder="1"/>
    <xf numFmtId="0" fontId="0" fillId="0" borderId="187" xfId="2" applyFont="1" applyBorder="1"/>
    <xf numFmtId="0" fontId="0" fillId="0" borderId="175" xfId="2" applyFont="1" applyBorder="1"/>
    <xf numFmtId="0" fontId="73" fillId="15" borderId="296" xfId="2" applyFont="1" applyFill="1" applyBorder="1" applyAlignment="1" applyProtection="1">
      <alignment horizontal="center"/>
      <protection hidden="1"/>
    </xf>
    <xf numFmtId="0" fontId="23" fillId="10" borderId="0" xfId="2" applyFont="1" applyFill="1"/>
    <xf numFmtId="0" fontId="3" fillId="15" borderId="113" xfId="2" applyFont="1" applyFill="1" applyBorder="1" applyAlignment="1" applyProtection="1">
      <alignment vertical="center" wrapText="1"/>
      <protection hidden="1"/>
    </xf>
    <xf numFmtId="0" fontId="3" fillId="15" borderId="67" xfId="2" applyFont="1" applyFill="1" applyBorder="1" applyProtection="1">
      <protection hidden="1"/>
    </xf>
    <xf numFmtId="0" fontId="0" fillId="0" borderId="0" xfId="2" applyFont="1" applyFill="1" applyBorder="1" applyAlignment="1" applyProtection="1">
      <alignment horizontal="left" vertical="center" wrapText="1"/>
      <protection hidden="1"/>
    </xf>
    <xf numFmtId="0" fontId="26" fillId="0" borderId="297" xfId="2" applyFont="1" applyFill="1" applyBorder="1" applyAlignment="1" applyProtection="1">
      <alignment horizontal="center"/>
      <protection locked="0"/>
    </xf>
    <xf numFmtId="0" fontId="7" fillId="8" borderId="0" xfId="2" applyFont="1" applyFill="1" applyAlignment="1">
      <alignment vertical="center" wrapText="1"/>
    </xf>
    <xf numFmtId="0" fontId="0" fillId="10" borderId="0" xfId="2" applyFont="1" applyFill="1" applyAlignment="1">
      <alignment horizontal="center" wrapText="1"/>
    </xf>
    <xf numFmtId="0" fontId="0" fillId="10" borderId="0" xfId="2" applyFont="1" applyFill="1" applyAlignment="1">
      <alignment horizontal="center"/>
    </xf>
    <xf numFmtId="0" fontId="22" fillId="0" borderId="240" xfId="2" applyFont="1" applyBorder="1" applyAlignment="1">
      <alignment horizontal="center"/>
    </xf>
    <xf numFmtId="0" fontId="54" fillId="2" borderId="298" xfId="2" applyFont="1" applyFill="1" applyBorder="1" applyAlignment="1" applyProtection="1">
      <alignment vertical="center" wrapText="1"/>
      <protection hidden="1"/>
    </xf>
    <xf numFmtId="0" fontId="3" fillId="8" borderId="60" xfId="2" applyFont="1" applyFill="1" applyBorder="1" applyAlignment="1" applyProtection="1">
      <alignment horizontal="center" wrapText="1"/>
      <protection hidden="1"/>
    </xf>
    <xf numFmtId="0" fontId="54" fillId="24" borderId="299" xfId="2" applyFont="1" applyFill="1" applyBorder="1" applyAlignment="1" applyProtection="1">
      <alignment horizontal="center" vertical="center" wrapText="1"/>
      <protection hidden="1"/>
    </xf>
    <xf numFmtId="0" fontId="54" fillId="24" borderId="300" xfId="2" applyFont="1" applyFill="1" applyBorder="1" applyAlignment="1" applyProtection="1">
      <alignment horizontal="center" vertical="center" wrapText="1"/>
      <protection hidden="1"/>
    </xf>
    <xf numFmtId="0" fontId="174" fillId="0" borderId="0" xfId="2" applyFont="1"/>
    <xf numFmtId="0" fontId="5" fillId="0" borderId="18" xfId="2" applyFont="1" applyFill="1" applyBorder="1" applyAlignment="1" applyProtection="1">
      <protection hidden="1"/>
    </xf>
    <xf numFmtId="0" fontId="0" fillId="2" borderId="301" xfId="2" applyFont="1" applyFill="1" applyBorder="1" applyProtection="1">
      <protection hidden="1"/>
    </xf>
    <xf numFmtId="0" fontId="175" fillId="0" borderId="215" xfId="2" applyFont="1" applyBorder="1"/>
    <xf numFmtId="0" fontId="23" fillId="0" borderId="302" xfId="2" applyFont="1" applyBorder="1" applyAlignment="1">
      <alignment horizontal="center" vertical="center" wrapText="1"/>
    </xf>
    <xf numFmtId="4" fontId="23" fillId="0" borderId="252" xfId="2" applyNumberFormat="1" applyFont="1" applyBorder="1" applyAlignment="1">
      <alignment horizontal="center"/>
    </xf>
    <xf numFmtId="0" fontId="53" fillId="0" borderId="210" xfId="2" applyFont="1" applyBorder="1" applyAlignment="1">
      <alignment vertical="center" wrapText="1"/>
    </xf>
    <xf numFmtId="0" fontId="53" fillId="0" borderId="211" xfId="2" applyFont="1" applyBorder="1" applyAlignment="1">
      <alignment vertical="center" wrapText="1"/>
    </xf>
    <xf numFmtId="0" fontId="0" fillId="2" borderId="212" xfId="2" applyFont="1" applyFill="1" applyBorder="1" applyProtection="1">
      <protection hidden="1"/>
    </xf>
    <xf numFmtId="4" fontId="0" fillId="0" borderId="213" xfId="2" applyNumberFormat="1" applyFont="1" applyBorder="1"/>
    <xf numFmtId="4" fontId="22" fillId="0" borderId="213" xfId="2" applyNumberFormat="1" applyFont="1" applyBorder="1"/>
    <xf numFmtId="4" fontId="22" fillId="0" borderId="214" xfId="2" applyNumberFormat="1" applyFont="1" applyBorder="1"/>
    <xf numFmtId="0" fontId="23" fillId="0" borderId="215" xfId="2" applyFont="1" applyBorder="1"/>
    <xf numFmtId="0" fontId="3" fillId="0" borderId="213" xfId="2" applyFont="1" applyBorder="1"/>
    <xf numFmtId="0" fontId="5" fillId="0" borderId="213" xfId="2" applyFont="1" applyBorder="1"/>
    <xf numFmtId="0" fontId="152" fillId="0" borderId="303" xfId="2" applyFont="1" applyFill="1" applyBorder="1" applyAlignment="1" applyProtection="1">
      <alignment vertical="center" wrapText="1"/>
      <protection hidden="1"/>
    </xf>
    <xf numFmtId="0" fontId="54" fillId="0" borderId="304" xfId="2" applyFont="1" applyFill="1" applyBorder="1" applyAlignment="1" applyProtection="1">
      <alignment horizontal="center" vertical="center" wrapText="1"/>
      <protection hidden="1"/>
    </xf>
    <xf numFmtId="0" fontId="174" fillId="0" borderId="0" xfId="2" applyFont="1" applyAlignment="1">
      <alignment wrapText="1"/>
    </xf>
    <xf numFmtId="4" fontId="174" fillId="0" borderId="0" xfId="2" applyNumberFormat="1" applyFont="1"/>
    <xf numFmtId="0" fontId="174" fillId="0" borderId="213" xfId="2" applyFont="1" applyBorder="1"/>
    <xf numFmtId="0" fontId="77" fillId="0" borderId="210" xfId="2" applyFont="1" applyBorder="1" applyAlignment="1">
      <alignment vertical="center" wrapText="1"/>
    </xf>
    <xf numFmtId="0" fontId="176" fillId="0" borderId="213" xfId="2" applyFont="1" applyBorder="1"/>
    <xf numFmtId="4" fontId="0" fillId="19" borderId="283" xfId="2" applyNumberFormat="1" applyFont="1" applyFill="1" applyBorder="1"/>
    <xf numFmtId="4" fontId="0" fillId="19" borderId="215" xfId="2" applyNumberFormat="1" applyFont="1" applyFill="1" applyBorder="1"/>
    <xf numFmtId="4" fontId="23" fillId="0" borderId="215" xfId="2" applyNumberFormat="1" applyFont="1" applyBorder="1"/>
    <xf numFmtId="4" fontId="23" fillId="0" borderId="216" xfId="2" applyNumberFormat="1" applyFont="1" applyBorder="1"/>
    <xf numFmtId="0" fontId="23" fillId="0" borderId="210" xfId="2" applyFont="1" applyBorder="1" applyAlignment="1">
      <alignment vertical="center" wrapText="1"/>
    </xf>
    <xf numFmtId="0" fontId="0" fillId="0" borderId="305" xfId="2" applyFont="1" applyBorder="1" applyAlignment="1">
      <alignment vertical="center" wrapText="1"/>
    </xf>
    <xf numFmtId="0" fontId="174" fillId="0" borderId="306" xfId="2" applyFont="1" applyBorder="1"/>
    <xf numFmtId="0" fontId="174" fillId="19" borderId="306" xfId="2" applyFont="1" applyFill="1" applyBorder="1"/>
    <xf numFmtId="0" fontId="174" fillId="0" borderId="306" xfId="2" applyFont="1" applyBorder="1" applyAlignment="1">
      <alignment vertical="center" wrapText="1"/>
    </xf>
    <xf numFmtId="0" fontId="0" fillId="7" borderId="14" xfId="2" applyFont="1" applyFill="1" applyBorder="1" applyProtection="1">
      <protection hidden="1"/>
    </xf>
    <xf numFmtId="4" fontId="5" fillId="7" borderId="0" xfId="2" applyNumberFormat="1" applyFont="1" applyFill="1" applyBorder="1"/>
    <xf numFmtId="4" fontId="0" fillId="7" borderId="0" xfId="2" applyNumberFormat="1" applyFont="1" applyFill="1"/>
    <xf numFmtId="3" fontId="174" fillId="0" borderId="213" xfId="2" applyNumberFormat="1" applyFont="1" applyFill="1" applyBorder="1"/>
    <xf numFmtId="0" fontId="177" fillId="2" borderId="0" xfId="2" applyFont="1" applyFill="1" applyBorder="1"/>
    <xf numFmtId="0" fontId="54" fillId="24" borderId="307" xfId="2" applyFont="1" applyFill="1" applyBorder="1" applyProtection="1">
      <protection hidden="1"/>
    </xf>
    <xf numFmtId="0" fontId="0" fillId="0" borderId="308" xfId="2" applyFont="1" applyBorder="1"/>
    <xf numFmtId="0" fontId="181" fillId="24" borderId="74" xfId="2" applyFont="1" applyFill="1" applyBorder="1" applyAlignment="1" applyProtection="1">
      <alignment horizontal="center" vertical="center" wrapText="1"/>
      <protection hidden="1"/>
    </xf>
    <xf numFmtId="0" fontId="178" fillId="24" borderId="97" xfId="2" applyFont="1" applyFill="1" applyBorder="1" applyAlignment="1" applyProtection="1">
      <alignment horizontal="center" vertical="center" wrapText="1"/>
      <protection hidden="1"/>
    </xf>
    <xf numFmtId="0" fontId="174" fillId="19" borderId="309" xfId="2" applyFont="1" applyFill="1" applyBorder="1" applyAlignment="1" applyProtection="1">
      <alignment wrapText="1"/>
      <protection hidden="1"/>
    </xf>
    <xf numFmtId="0" fontId="174" fillId="19" borderId="310" xfId="2" applyFont="1" applyFill="1" applyBorder="1" applyAlignment="1" applyProtection="1">
      <alignment horizontal="center"/>
      <protection locked="0"/>
    </xf>
    <xf numFmtId="0" fontId="174" fillId="19" borderId="311" xfId="2" applyFont="1" applyFill="1" applyBorder="1" applyAlignment="1" applyProtection="1">
      <alignment horizontal="center"/>
      <protection hidden="1"/>
    </xf>
    <xf numFmtId="0" fontId="5" fillId="23" borderId="87" xfId="2" applyFont="1" applyFill="1" applyBorder="1" applyAlignment="1" applyProtection="1">
      <alignment vertical="center" wrapText="1"/>
      <protection hidden="1"/>
    </xf>
    <xf numFmtId="0" fontId="26" fillId="23" borderId="0" xfId="2" applyFont="1" applyFill="1"/>
    <xf numFmtId="166" fontId="26" fillId="23" borderId="0" xfId="2" applyNumberFormat="1" applyFont="1" applyFill="1" applyAlignment="1">
      <alignment horizontal="center"/>
    </xf>
    <xf numFmtId="0" fontId="56" fillId="0" borderId="0" xfId="2" applyFont="1" applyFill="1"/>
    <xf numFmtId="0" fontId="5" fillId="23" borderId="87" xfId="2" applyFont="1" applyFill="1" applyBorder="1" applyAlignment="1" applyProtection="1">
      <alignment vertical="center"/>
      <protection hidden="1"/>
    </xf>
    <xf numFmtId="0" fontId="0" fillId="23" borderId="87" xfId="2" applyFont="1" applyFill="1" applyBorder="1" applyAlignment="1" applyProtection="1">
      <alignment vertical="center"/>
      <protection hidden="1"/>
    </xf>
    <xf numFmtId="0" fontId="43" fillId="22" borderId="312" xfId="2" applyFont="1" applyFill="1" applyBorder="1" applyAlignment="1" applyProtection="1">
      <alignment vertical="center"/>
      <protection hidden="1"/>
    </xf>
    <xf numFmtId="0" fontId="59" fillId="0" borderId="313" xfId="2" applyFont="1" applyFill="1" applyBorder="1" applyProtection="1">
      <protection hidden="1"/>
    </xf>
    <xf numFmtId="3" fontId="2" fillId="11" borderId="314" xfId="2" applyNumberFormat="1" applyFont="1" applyFill="1" applyBorder="1" applyProtection="1">
      <protection hidden="1"/>
    </xf>
    <xf numFmtId="165" fontId="83" fillId="0" borderId="315" xfId="2" applyNumberFormat="1" applyFont="1" applyBorder="1" applyProtection="1">
      <protection hidden="1"/>
    </xf>
    <xf numFmtId="0" fontId="3" fillId="10" borderId="65" xfId="2" applyFont="1" applyFill="1" applyBorder="1" applyProtection="1">
      <protection hidden="1"/>
    </xf>
    <xf numFmtId="0" fontId="176" fillId="0" borderId="28" xfId="2" applyFont="1" applyFill="1" applyBorder="1"/>
    <xf numFmtId="0" fontId="176" fillId="14" borderId="2" xfId="2" applyFont="1" applyFill="1" applyBorder="1"/>
    <xf numFmtId="0" fontId="176" fillId="0" borderId="2" xfId="2" applyFont="1" applyBorder="1"/>
    <xf numFmtId="0" fontId="176" fillId="0" borderId="2" xfId="2" applyFont="1" applyFill="1" applyBorder="1"/>
    <xf numFmtId="0" fontId="176" fillId="0" borderId="110" xfId="2" applyFont="1" applyFill="1" applyBorder="1"/>
    <xf numFmtId="0" fontId="77" fillId="0" borderId="2" xfId="2" applyFont="1" applyBorder="1"/>
    <xf numFmtId="0" fontId="7" fillId="0" borderId="2" xfId="2" applyFont="1" applyBorder="1"/>
    <xf numFmtId="0" fontId="43" fillId="25" borderId="316" xfId="2" applyFont="1" applyFill="1" applyBorder="1" applyProtection="1">
      <protection hidden="1"/>
    </xf>
    <xf numFmtId="0" fontId="174" fillId="0" borderId="317" xfId="2" applyFont="1" applyBorder="1" applyProtection="1">
      <protection hidden="1"/>
    </xf>
    <xf numFmtId="165" fontId="77" fillId="0" borderId="318" xfId="2" applyNumberFormat="1" applyFont="1" applyBorder="1" applyProtection="1">
      <protection hidden="1"/>
    </xf>
    <xf numFmtId="0" fontId="0" fillId="2" borderId="0" xfId="2" applyFont="1" applyFill="1" applyBorder="1" applyProtection="1">
      <protection hidden="1"/>
    </xf>
    <xf numFmtId="0" fontId="0" fillId="2" borderId="0" xfId="2" applyNumberFormat="1" applyFont="1" applyFill="1"/>
    <xf numFmtId="0" fontId="5" fillId="29" borderId="319" xfId="2" applyFont="1" applyFill="1" applyBorder="1" applyAlignment="1" applyProtection="1">
      <alignment horizontal="right" vertical="center" wrapText="1"/>
      <protection hidden="1"/>
    </xf>
    <xf numFmtId="0" fontId="3" fillId="8" borderId="320" xfId="2" applyFont="1" applyFill="1" applyBorder="1" applyProtection="1">
      <protection hidden="1"/>
    </xf>
    <xf numFmtId="0" fontId="3" fillId="29" borderId="321" xfId="2" applyFont="1" applyFill="1" applyBorder="1" applyAlignment="1" applyProtection="1">
      <alignment vertical="center" wrapText="1"/>
      <protection hidden="1"/>
    </xf>
    <xf numFmtId="0" fontId="173" fillId="0" borderId="0" xfId="2" applyFont="1"/>
    <xf numFmtId="0" fontId="3" fillId="0" borderId="0" xfId="2" applyFont="1" applyBorder="1"/>
    <xf numFmtId="0" fontId="43" fillId="25" borderId="322" xfId="2" applyFont="1" applyFill="1" applyBorder="1" applyProtection="1">
      <protection hidden="1"/>
    </xf>
    <xf numFmtId="0" fontId="172" fillId="0" borderId="323" xfId="2" applyFont="1" applyFill="1" applyBorder="1" applyProtection="1">
      <protection hidden="1"/>
    </xf>
    <xf numFmtId="0" fontId="138" fillId="0" borderId="0" xfId="2" applyFont="1" applyAlignment="1">
      <alignment horizontal="center"/>
    </xf>
    <xf numFmtId="0" fontId="29" fillId="0" borderId="0" xfId="2" applyFont="1" applyFill="1"/>
    <xf numFmtId="0" fontId="188" fillId="0" borderId="0" xfId="2" applyFont="1"/>
    <xf numFmtId="0" fontId="26" fillId="23" borderId="91" xfId="2" applyFont="1" applyFill="1" applyBorder="1" applyAlignment="1" applyProtection="1">
      <alignment horizontal="center"/>
      <protection hidden="1"/>
    </xf>
    <xf numFmtId="0" fontId="100" fillId="0" borderId="0" xfId="2" applyFont="1" applyAlignment="1">
      <alignment horizontal="center" vertical="center" wrapText="1"/>
    </xf>
    <xf numFmtId="0" fontId="29" fillId="0" borderId="0" xfId="2" applyFont="1" applyAlignment="1">
      <alignment horizontal="center" wrapText="1"/>
    </xf>
    <xf numFmtId="0" fontId="29" fillId="19" borderId="0" xfId="2" applyFont="1" applyFill="1" applyAlignment="1">
      <alignment horizontal="center"/>
    </xf>
    <xf numFmtId="0" fontId="189" fillId="0" borderId="0" xfId="2" applyFont="1"/>
    <xf numFmtId="3" fontId="0" fillId="11" borderId="0" xfId="2" applyNumberFormat="1" applyFont="1" applyFill="1" applyBorder="1" applyAlignment="1" applyProtection="1">
      <alignment horizontal="left" vertical="center"/>
      <protection hidden="1"/>
    </xf>
    <xf numFmtId="0" fontId="5" fillId="23" borderId="324" xfId="2" applyFont="1" applyFill="1" applyBorder="1" applyAlignment="1" applyProtection="1">
      <alignment vertical="center"/>
      <protection hidden="1"/>
    </xf>
    <xf numFmtId="0" fontId="26" fillId="0" borderId="325" xfId="2" applyFont="1" applyBorder="1" applyAlignment="1" applyProtection="1">
      <alignment horizontal="center"/>
      <protection locked="0"/>
    </xf>
    <xf numFmtId="0" fontId="26" fillId="0" borderId="92" xfId="2" applyFont="1" applyFill="1" applyBorder="1" applyAlignment="1" applyProtection="1">
      <alignment horizontal="center"/>
      <protection locked="0"/>
    </xf>
    <xf numFmtId="0" fontId="26" fillId="0" borderId="326" xfId="2" applyFont="1" applyBorder="1" applyAlignment="1" applyProtection="1">
      <alignment horizontal="center"/>
      <protection locked="0"/>
    </xf>
    <xf numFmtId="0" fontId="26" fillId="23" borderId="327" xfId="2" applyFont="1" applyFill="1" applyBorder="1" applyAlignment="1" applyProtection="1">
      <alignment horizontal="center"/>
      <protection hidden="1"/>
    </xf>
    <xf numFmtId="0" fontId="26" fillId="23" borderId="328" xfId="2" applyFont="1" applyFill="1" applyBorder="1" applyAlignment="1" applyProtection="1">
      <alignment horizontal="center"/>
      <protection hidden="1"/>
    </xf>
    <xf numFmtId="0" fontId="46" fillId="12" borderId="0" xfId="2" applyFont="1" applyFill="1" applyBorder="1"/>
    <xf numFmtId="0" fontId="46" fillId="12" borderId="0" xfId="2" applyFont="1" applyFill="1" applyBorder="1" applyAlignment="1">
      <alignment wrapText="1"/>
    </xf>
    <xf numFmtId="0" fontId="46" fillId="12" borderId="0" xfId="2" applyFont="1" applyFill="1" applyBorder="1" applyProtection="1">
      <protection locked="0"/>
    </xf>
    <xf numFmtId="0" fontId="46" fillId="12" borderId="329" xfId="2" applyFont="1" applyFill="1" applyBorder="1"/>
    <xf numFmtId="0" fontId="46" fillId="12" borderId="330" xfId="2" applyFont="1" applyFill="1" applyBorder="1" applyAlignment="1">
      <alignment wrapText="1"/>
    </xf>
    <xf numFmtId="0" fontId="46" fillId="12" borderId="330" xfId="2" applyFont="1" applyFill="1" applyBorder="1" applyAlignment="1">
      <alignment horizontal="center" vertical="center" wrapText="1"/>
    </xf>
    <xf numFmtId="3" fontId="46" fillId="12" borderId="330" xfId="2" applyNumberFormat="1" applyFont="1" applyFill="1" applyBorder="1"/>
    <xf numFmtId="0" fontId="46" fillId="12" borderId="330" xfId="2" applyFont="1" applyFill="1" applyBorder="1"/>
    <xf numFmtId="0" fontId="191" fillId="0" borderId="0" xfId="2" applyFont="1" applyAlignment="1">
      <alignment horizontal="center"/>
    </xf>
    <xf numFmtId="0" fontId="191" fillId="0" borderId="0" xfId="2" applyFont="1"/>
    <xf numFmtId="3" fontId="191" fillId="0" borderId="0" xfId="2" applyNumberFormat="1" applyFont="1"/>
    <xf numFmtId="3" fontId="46" fillId="12" borderId="263" xfId="2" applyNumberFormat="1" applyFont="1" applyFill="1" applyBorder="1"/>
    <xf numFmtId="0" fontId="43" fillId="12" borderId="0" xfId="2" applyFont="1" applyFill="1" applyBorder="1" applyAlignment="1" applyProtection="1">
      <alignment vertical="center"/>
      <protection hidden="1"/>
    </xf>
    <xf numFmtId="166" fontId="26" fillId="8" borderId="2" xfId="2" applyNumberFormat="1" applyFont="1" applyFill="1" applyBorder="1" applyAlignment="1" applyProtection="1">
      <alignment horizontal="right" wrapText="1"/>
      <protection hidden="1"/>
    </xf>
    <xf numFmtId="166" fontId="51" fillId="8" borderId="2" xfId="2" applyNumberFormat="1" applyFont="1" applyFill="1" applyBorder="1" applyAlignment="1" applyProtection="1">
      <alignment horizontal="right" wrapText="1"/>
      <protection hidden="1"/>
    </xf>
    <xf numFmtId="3" fontId="26" fillId="0" borderId="19" xfId="2" applyNumberFormat="1" applyFont="1" applyFill="1" applyBorder="1" applyAlignment="1" applyProtection="1">
      <alignment horizontal="right" wrapText="1"/>
      <protection hidden="1"/>
    </xf>
    <xf numFmtId="3" fontId="26" fillId="0" borderId="20" xfId="2" applyNumberFormat="1" applyFont="1" applyFill="1" applyBorder="1" applyAlignment="1" applyProtection="1">
      <alignment horizontal="right" wrapText="1"/>
      <protection hidden="1"/>
    </xf>
    <xf numFmtId="9" fontId="26" fillId="8" borderId="60" xfId="2" applyNumberFormat="1" applyFont="1" applyFill="1" applyBorder="1" applyAlignment="1" applyProtection="1">
      <alignment horizontal="right"/>
      <protection hidden="1"/>
    </xf>
    <xf numFmtId="166" fontId="26" fillId="8" borderId="2" xfId="2" applyNumberFormat="1" applyFont="1" applyFill="1" applyBorder="1" applyAlignment="1" applyProtection="1">
      <alignment horizontal="right"/>
      <protection hidden="1"/>
    </xf>
    <xf numFmtId="166" fontId="26" fillId="8" borderId="138" xfId="2" applyNumberFormat="1" applyFont="1" applyFill="1" applyBorder="1" applyAlignment="1" applyProtection="1">
      <alignment horizontal="right" wrapText="1"/>
      <protection hidden="1"/>
    </xf>
    <xf numFmtId="0" fontId="192" fillId="0" borderId="82" xfId="2" applyFont="1" applyFill="1" applyBorder="1" applyProtection="1">
      <protection locked="0"/>
    </xf>
    <xf numFmtId="0" fontId="24" fillId="19" borderId="190" xfId="2" applyFont="1" applyFill="1" applyBorder="1" applyAlignment="1" applyProtection="1">
      <protection locked="0"/>
    </xf>
    <xf numFmtId="0" fontId="24" fillId="19" borderId="331" xfId="2" applyFont="1" applyFill="1" applyBorder="1" applyAlignment="1" applyProtection="1">
      <protection locked="0"/>
    </xf>
    <xf numFmtId="0" fontId="24" fillId="0" borderId="190" xfId="2" applyFont="1" applyFill="1" applyBorder="1" applyProtection="1">
      <protection locked="0"/>
    </xf>
    <xf numFmtId="0" fontId="24" fillId="19" borderId="331" xfId="2" applyFont="1" applyFill="1" applyBorder="1" applyProtection="1">
      <protection locked="0"/>
    </xf>
    <xf numFmtId="0" fontId="24" fillId="19" borderId="190" xfId="2" applyFont="1" applyFill="1" applyBorder="1" applyProtection="1">
      <protection locked="0"/>
    </xf>
    <xf numFmtId="0" fontId="24" fillId="0" borderId="331" xfId="2" applyFont="1" applyFill="1" applyBorder="1" applyProtection="1">
      <protection locked="0"/>
    </xf>
    <xf numFmtId="0" fontId="24" fillId="0" borderId="332" xfId="2" applyFont="1" applyFill="1" applyBorder="1" applyProtection="1">
      <protection locked="0"/>
    </xf>
    <xf numFmtId="0" fontId="24" fillId="19" borderId="333" xfId="2" applyFont="1" applyFill="1" applyBorder="1" applyProtection="1">
      <protection locked="0"/>
    </xf>
    <xf numFmtId="0" fontId="24" fillId="0" borderId="334" xfId="2" applyFont="1" applyFill="1" applyBorder="1" applyProtection="1">
      <protection locked="0"/>
    </xf>
    <xf numFmtId="0" fontId="24" fillId="19" borderId="335" xfId="2" applyFont="1" applyFill="1" applyBorder="1" applyProtection="1">
      <protection locked="0"/>
    </xf>
    <xf numFmtId="0" fontId="24" fillId="0" borderId="178" xfId="2" applyFont="1" applyBorder="1" applyProtection="1">
      <protection locked="0"/>
    </xf>
    <xf numFmtId="0" fontId="24" fillId="0" borderId="2" xfId="2" applyFont="1" applyBorder="1" applyProtection="1">
      <protection locked="0"/>
    </xf>
    <xf numFmtId="0" fontId="24" fillId="0" borderId="179" xfId="2" applyFont="1" applyBorder="1" applyProtection="1">
      <protection locked="0"/>
    </xf>
    <xf numFmtId="0" fontId="56" fillId="19" borderId="336" xfId="2" applyFont="1" applyFill="1" applyBorder="1" applyAlignment="1" applyProtection="1">
      <alignment vertical="center" wrapText="1"/>
      <protection locked="0"/>
    </xf>
    <xf numFmtId="0" fontId="56" fillId="19" borderId="96" xfId="2" applyFont="1" applyFill="1" applyBorder="1" applyAlignment="1" applyProtection="1">
      <alignment vertical="center" wrapText="1"/>
      <protection locked="0"/>
    </xf>
    <xf numFmtId="0" fontId="56" fillId="19" borderId="337" xfId="2" applyFont="1" applyFill="1" applyBorder="1" applyAlignment="1" applyProtection="1">
      <alignment vertical="center" wrapText="1"/>
      <protection locked="0"/>
    </xf>
    <xf numFmtId="0" fontId="24" fillId="19" borderId="178" xfId="2" applyFont="1" applyFill="1" applyBorder="1" applyProtection="1">
      <protection locked="0"/>
    </xf>
    <xf numFmtId="0" fontId="24" fillId="19" borderId="2" xfId="2" applyFont="1" applyFill="1" applyBorder="1" applyProtection="1">
      <protection locked="0"/>
    </xf>
    <xf numFmtId="0" fontId="24" fillId="19" borderId="179" xfId="2" applyFont="1" applyFill="1" applyBorder="1" applyProtection="1">
      <protection locked="0"/>
    </xf>
    <xf numFmtId="0" fontId="24" fillId="0" borderId="180" xfId="2" applyFont="1" applyBorder="1" applyProtection="1">
      <protection locked="0"/>
    </xf>
    <xf numFmtId="0" fontId="24" fillId="0" borderId="338" xfId="2" applyFont="1" applyBorder="1" applyProtection="1">
      <protection locked="0"/>
    </xf>
    <xf numFmtId="0" fontId="24" fillId="0" borderId="339" xfId="2" applyFont="1" applyBorder="1" applyProtection="1">
      <protection locked="0"/>
    </xf>
    <xf numFmtId="0" fontId="24" fillId="0" borderId="340" xfId="2" applyFont="1" applyBorder="1" applyProtection="1">
      <protection locked="0"/>
    </xf>
    <xf numFmtId="0" fontId="24" fillId="0" borderId="341" xfId="2" applyFont="1" applyBorder="1" applyProtection="1">
      <protection locked="0"/>
    </xf>
    <xf numFmtId="0" fontId="24" fillId="0" borderId="184" xfId="2" applyFont="1" applyBorder="1" applyProtection="1">
      <protection locked="0"/>
    </xf>
    <xf numFmtId="0" fontId="24" fillId="0" borderId="342" xfId="2" applyFont="1" applyBorder="1" applyProtection="1">
      <protection locked="0"/>
    </xf>
    <xf numFmtId="0" fontId="0" fillId="8" borderId="60" xfId="2" applyFont="1" applyFill="1" applyBorder="1" applyAlignment="1" applyProtection="1">
      <alignment horizontal="left"/>
      <protection hidden="1"/>
    </xf>
    <xf numFmtId="0" fontId="6" fillId="11" borderId="278" xfId="2" applyFont="1" applyFill="1" applyBorder="1" applyAlignment="1" applyProtection="1">
      <alignment vertical="center" wrapText="1"/>
      <protection hidden="1"/>
    </xf>
    <xf numFmtId="0" fontId="155" fillId="0" borderId="0" xfId="2" applyFont="1"/>
    <xf numFmtId="0" fontId="22" fillId="0" borderId="343" xfId="2" applyFont="1" applyBorder="1"/>
    <xf numFmtId="0" fontId="155" fillId="0" borderId="344" xfId="2" applyFont="1" applyBorder="1"/>
    <xf numFmtId="0" fontId="22" fillId="0" borderId="344" xfId="2" applyFont="1" applyBorder="1"/>
    <xf numFmtId="0" fontId="155" fillId="0" borderId="345" xfId="2" applyFont="1" applyBorder="1"/>
    <xf numFmtId="0" fontId="129" fillId="0" borderId="0" xfId="2" applyFont="1" applyProtection="1">
      <protection locked="0"/>
    </xf>
    <xf numFmtId="3" fontId="176" fillId="0" borderId="0" xfId="2" applyNumberFormat="1" applyFont="1" applyFill="1" applyBorder="1"/>
    <xf numFmtId="0" fontId="195" fillId="0" borderId="0" xfId="2" applyFont="1"/>
    <xf numFmtId="0" fontId="77" fillId="0" borderId="346" xfId="2" applyFont="1" applyBorder="1" applyAlignment="1">
      <alignment vertical="center" wrapText="1"/>
    </xf>
    <xf numFmtId="0" fontId="77" fillId="0" borderId="347" xfId="2" applyFont="1" applyBorder="1" applyAlignment="1">
      <alignment vertical="center" wrapText="1"/>
    </xf>
    <xf numFmtId="0" fontId="175" fillId="0" borderId="0" xfId="2" applyFont="1" applyAlignment="1">
      <alignment vertical="center" wrapText="1"/>
    </xf>
    <xf numFmtId="0" fontId="25" fillId="19" borderId="212" xfId="2" applyFont="1" applyFill="1" applyBorder="1" applyAlignment="1" applyProtection="1">
      <alignment wrapText="1"/>
      <protection hidden="1"/>
    </xf>
    <xf numFmtId="165" fontId="176" fillId="19" borderId="0" xfId="2" applyNumberFormat="1" applyFont="1" applyFill="1" applyBorder="1"/>
    <xf numFmtId="0" fontId="0" fillId="19" borderId="0" xfId="2" applyFont="1" applyFill="1" applyBorder="1"/>
    <xf numFmtId="0" fontId="174" fillId="19" borderId="0" xfId="2" applyFont="1" applyFill="1" applyBorder="1"/>
    <xf numFmtId="0" fontId="196" fillId="0" borderId="0" xfId="2" applyFont="1" applyAlignment="1">
      <alignment vertical="center" wrapText="1"/>
    </xf>
    <xf numFmtId="3" fontId="77" fillId="0" borderId="0" xfId="2" applyNumberFormat="1" applyFont="1"/>
    <xf numFmtId="0" fontId="0" fillId="19" borderId="348" xfId="2" applyFont="1" applyFill="1" applyBorder="1"/>
    <xf numFmtId="0" fontId="3" fillId="11" borderId="0" xfId="2" applyFont="1" applyFill="1"/>
    <xf numFmtId="0" fontId="198" fillId="11" borderId="0" xfId="2" applyFont="1" applyFill="1"/>
    <xf numFmtId="0" fontId="105" fillId="11" borderId="137" xfId="2" applyFont="1" applyFill="1" applyBorder="1" applyAlignment="1" applyProtection="1">
      <alignment horizontal="right"/>
      <protection hidden="1"/>
    </xf>
    <xf numFmtId="0" fontId="83" fillId="11" borderId="136" xfId="2" applyFont="1" applyFill="1" applyBorder="1" applyAlignment="1" applyProtection="1">
      <alignment horizontal="center"/>
      <protection hidden="1"/>
    </xf>
    <xf numFmtId="0" fontId="197" fillId="0" borderId="349" xfId="2" applyFont="1" applyBorder="1"/>
    <xf numFmtId="0" fontId="0" fillId="0" borderId="350" xfId="2" applyFont="1" applyBorder="1"/>
    <xf numFmtId="3" fontId="77" fillId="0" borderId="351" xfId="2" applyNumberFormat="1" applyFont="1" applyBorder="1"/>
    <xf numFmtId="0" fontId="77" fillId="0" borderId="104" xfId="2" applyFont="1" applyBorder="1" applyAlignment="1">
      <alignment vertical="center" wrapText="1"/>
    </xf>
    <xf numFmtId="0" fontId="174" fillId="0" borderId="105" xfId="2" applyFont="1" applyBorder="1" applyAlignment="1">
      <alignment vertical="center" wrapText="1"/>
    </xf>
    <xf numFmtId="0" fontId="0" fillId="0" borderId="105" xfId="2" applyFont="1" applyBorder="1" applyAlignment="1">
      <alignment vertical="center" wrapText="1"/>
    </xf>
    <xf numFmtId="0" fontId="77" fillId="0" borderId="105" xfId="2" applyFont="1" applyBorder="1" applyAlignment="1">
      <alignment vertical="center" wrapText="1"/>
    </xf>
    <xf numFmtId="0" fontId="196" fillId="0" borderId="105" xfId="2" applyFont="1" applyBorder="1" applyAlignment="1">
      <alignment vertical="center" wrapText="1"/>
    </xf>
    <xf numFmtId="0" fontId="176" fillId="2" borderId="106" xfId="2" applyFont="1" applyFill="1" applyBorder="1" applyProtection="1">
      <protection hidden="1"/>
    </xf>
    <xf numFmtId="0" fontId="176" fillId="0" borderId="5" xfId="2" applyFont="1" applyBorder="1"/>
    <xf numFmtId="0" fontId="0" fillId="0" borderId="106" xfId="2" applyFont="1" applyBorder="1"/>
    <xf numFmtId="0" fontId="0" fillId="0" borderId="164" xfId="2" applyFont="1" applyBorder="1"/>
    <xf numFmtId="3" fontId="196" fillId="0" borderId="165" xfId="2" applyNumberFormat="1" applyFont="1" applyBorder="1"/>
    <xf numFmtId="0" fontId="196" fillId="0" borderId="352" xfId="2" applyFont="1" applyBorder="1" applyAlignment="1">
      <alignment vertical="center" wrapText="1"/>
    </xf>
    <xf numFmtId="0" fontId="0" fillId="0" borderId="353" xfId="2" applyFont="1" applyBorder="1"/>
    <xf numFmtId="0" fontId="0" fillId="19" borderId="261" xfId="2" applyFont="1" applyFill="1" applyBorder="1" applyAlignment="1" applyProtection="1">
      <alignment wrapText="1"/>
      <protection hidden="1"/>
    </xf>
    <xf numFmtId="0" fontId="174" fillId="19" borderId="306" xfId="2" applyFont="1" applyFill="1" applyBorder="1" applyAlignment="1">
      <alignment vertical="center" wrapText="1"/>
    </xf>
    <xf numFmtId="0" fontId="5" fillId="19" borderId="14" xfId="2" applyFont="1" applyFill="1" applyBorder="1" applyProtection="1">
      <protection hidden="1"/>
    </xf>
    <xf numFmtId="0" fontId="77" fillId="0" borderId="354" xfId="2" applyFont="1" applyBorder="1" applyAlignment="1">
      <alignment vertical="center" wrapText="1"/>
    </xf>
    <xf numFmtId="0" fontId="0" fillId="0" borderId="355" xfId="2" applyFont="1" applyBorder="1"/>
    <xf numFmtId="0" fontId="0" fillId="19" borderId="355" xfId="2" applyFont="1" applyFill="1" applyBorder="1"/>
    <xf numFmtId="0" fontId="5" fillId="0" borderId="355" xfId="2" applyFont="1" applyBorder="1"/>
    <xf numFmtId="0" fontId="77" fillId="0" borderId="316" xfId="2" applyFont="1" applyBorder="1" applyAlignment="1">
      <alignment vertical="center" wrapText="1"/>
    </xf>
    <xf numFmtId="0" fontId="0" fillId="0" borderId="317" xfId="2" applyFont="1" applyBorder="1"/>
    <xf numFmtId="0" fontId="0" fillId="19" borderId="317" xfId="2" applyFont="1" applyFill="1" applyBorder="1"/>
    <xf numFmtId="0" fontId="0" fillId="0" borderId="356" xfId="2" applyFont="1" applyBorder="1"/>
    <xf numFmtId="0" fontId="0" fillId="19" borderId="74" xfId="2" applyFont="1" applyFill="1" applyBorder="1" applyAlignment="1" applyProtection="1">
      <alignment wrapText="1"/>
      <protection hidden="1"/>
    </xf>
    <xf numFmtId="0" fontId="0" fillId="19" borderId="74" xfId="2" applyFont="1" applyFill="1" applyBorder="1" applyProtection="1">
      <protection hidden="1"/>
    </xf>
    <xf numFmtId="0" fontId="5" fillId="19" borderId="74" xfId="2" applyFont="1" applyFill="1" applyBorder="1" applyProtection="1">
      <protection hidden="1"/>
    </xf>
    <xf numFmtId="0" fontId="0" fillId="7" borderId="74" xfId="2" applyFont="1" applyFill="1" applyBorder="1" applyProtection="1">
      <protection hidden="1"/>
    </xf>
    <xf numFmtId="0" fontId="0" fillId="19" borderId="96" xfId="2" applyFont="1" applyFill="1" applyBorder="1" applyAlignment="1" applyProtection="1">
      <alignment wrapText="1"/>
      <protection hidden="1"/>
    </xf>
    <xf numFmtId="0" fontId="174" fillId="0" borderId="316" xfId="2" applyFont="1" applyBorder="1" applyAlignment="1">
      <alignment vertical="center" wrapText="1"/>
    </xf>
    <xf numFmtId="0" fontId="174" fillId="19" borderId="317" xfId="2" applyFont="1" applyFill="1" applyBorder="1"/>
    <xf numFmtId="0" fontId="174" fillId="0" borderId="317" xfId="2" applyFont="1" applyFill="1" applyBorder="1"/>
    <xf numFmtId="0" fontId="174" fillId="19" borderId="356" xfId="2" applyFont="1" applyFill="1" applyBorder="1"/>
    <xf numFmtId="0" fontId="195" fillId="0" borderId="217" xfId="2" applyFont="1" applyBorder="1"/>
    <xf numFmtId="4" fontId="195" fillId="0" borderId="218" xfId="2" applyNumberFormat="1" applyFont="1" applyBorder="1"/>
    <xf numFmtId="0" fontId="24" fillId="0" borderId="0" xfId="2" applyFont="1" applyFill="1" applyBorder="1" applyAlignment="1" applyProtection="1">
      <alignment horizontal="center" vertical="center"/>
      <protection hidden="1"/>
    </xf>
    <xf numFmtId="0" fontId="199" fillId="0" borderId="0" xfId="2" applyFont="1" applyFill="1" applyBorder="1" applyAlignment="1" applyProtection="1">
      <alignment horizontal="center" vertical="center" wrapText="1"/>
      <protection hidden="1"/>
    </xf>
    <xf numFmtId="0" fontId="199" fillId="0" borderId="0" xfId="2" applyFont="1" applyFill="1" applyBorder="1" applyAlignment="1" applyProtection="1">
      <alignment horizontal="center" vertical="center"/>
      <protection hidden="1"/>
    </xf>
    <xf numFmtId="0" fontId="26" fillId="0" borderId="0" xfId="2" applyFont="1" applyFill="1" applyBorder="1" applyAlignment="1" applyProtection="1">
      <alignment horizontal="left" vertical="top" wrapText="1"/>
    </xf>
    <xf numFmtId="0" fontId="26" fillId="0" borderId="0" xfId="2" applyFont="1" applyFill="1" applyBorder="1" applyAlignment="1" applyProtection="1">
      <alignment horizontal="left" vertical="center"/>
      <protection hidden="1"/>
    </xf>
    <xf numFmtId="0" fontId="116" fillId="0" borderId="0" xfId="2" applyFont="1" applyFill="1" applyBorder="1" applyAlignment="1" applyProtection="1">
      <alignment wrapText="1"/>
    </xf>
    <xf numFmtId="0" fontId="26" fillId="0" borderId="0" xfId="2" applyFont="1" applyFill="1" applyBorder="1" applyAlignment="1" applyProtection="1">
      <alignment wrapText="1"/>
    </xf>
    <xf numFmtId="0" fontId="26" fillId="0" borderId="0" xfId="2" applyFont="1" applyFill="1" applyBorder="1" applyAlignment="1" applyProtection="1">
      <alignment horizontal="center" vertical="center" wrapText="1"/>
      <protection hidden="1"/>
    </xf>
    <xf numFmtId="0" fontId="26" fillId="6" borderId="0" xfId="2" applyFont="1" applyFill="1"/>
    <xf numFmtId="0" fontId="30" fillId="0" borderId="0" xfId="2" applyFont="1" applyFill="1" applyAlignment="1">
      <alignment vertical="center" wrapText="1"/>
    </xf>
    <xf numFmtId="0" fontId="30" fillId="17" borderId="0" xfId="2" applyFont="1" applyFill="1" applyAlignment="1">
      <alignment vertical="center" wrapText="1"/>
    </xf>
    <xf numFmtId="9" fontId="30" fillId="17" borderId="0" xfId="2" applyNumberFormat="1" applyFont="1" applyFill="1" applyAlignment="1">
      <alignment horizontal="center"/>
    </xf>
    <xf numFmtId="165" fontId="138" fillId="0" borderId="0" xfId="2" applyNumberFormat="1" applyFont="1" applyBorder="1" applyProtection="1">
      <protection hidden="1"/>
    </xf>
    <xf numFmtId="9" fontId="26" fillId="0" borderId="0" xfId="2" applyNumberFormat="1" applyFont="1" applyFill="1" applyBorder="1"/>
    <xf numFmtId="0" fontId="30" fillId="10" borderId="0" xfId="2" applyFont="1" applyFill="1"/>
    <xf numFmtId="0" fontId="26" fillId="0" borderId="0" xfId="2" applyFont="1" applyProtection="1"/>
    <xf numFmtId="0" fontId="201" fillId="0" borderId="0" xfId="2" applyFont="1" applyFill="1"/>
    <xf numFmtId="0" fontId="65" fillId="0" borderId="0" xfId="2" applyFont="1" applyFill="1" applyBorder="1" applyAlignment="1" applyProtection="1">
      <alignment horizontal="center" vertical="center" wrapText="1"/>
      <protection hidden="1"/>
    </xf>
    <xf numFmtId="0" fontId="203" fillId="0" borderId="0" xfId="2" applyFont="1" applyFill="1" applyBorder="1" applyAlignment="1" applyProtection="1">
      <alignment horizontal="center" vertical="center" wrapText="1"/>
      <protection hidden="1"/>
    </xf>
    <xf numFmtId="0" fontId="204" fillId="0" borderId="0" xfId="2" applyFont="1" applyFill="1" applyBorder="1" applyAlignment="1" applyProtection="1">
      <alignment horizontal="center" vertical="center" wrapText="1"/>
      <protection hidden="1"/>
    </xf>
    <xf numFmtId="0" fontId="80" fillId="0" borderId="0" xfId="2" applyFont="1" applyFill="1" applyBorder="1" applyAlignment="1" applyProtection="1">
      <alignment horizontal="center" vertical="center" wrapText="1"/>
      <protection hidden="1"/>
    </xf>
    <xf numFmtId="0" fontId="194" fillId="0" borderId="0" xfId="2" applyFont="1" applyFill="1" applyBorder="1" applyAlignment="1" applyProtection="1">
      <alignment horizontal="center" vertical="center" wrapText="1"/>
      <protection hidden="1"/>
    </xf>
    <xf numFmtId="3" fontId="116" fillId="0" borderId="0" xfId="2" applyNumberFormat="1" applyFont="1" applyFill="1" applyBorder="1" applyProtection="1">
      <protection hidden="1"/>
    </xf>
    <xf numFmtId="3" fontId="26" fillId="0" borderId="0" xfId="2" applyNumberFormat="1" applyFont="1" applyFill="1" applyBorder="1" applyProtection="1"/>
    <xf numFmtId="0" fontId="84" fillId="0" borderId="0" xfId="2" applyFont="1" applyFill="1" applyBorder="1"/>
    <xf numFmtId="3" fontId="26" fillId="0" borderId="0" xfId="2" applyNumberFormat="1" applyFont="1" applyFill="1" applyBorder="1" applyProtection="1">
      <protection hidden="1"/>
    </xf>
    <xf numFmtId="0" fontId="80" fillId="0" borderId="0" xfId="2" applyFont="1" applyFill="1" applyBorder="1"/>
    <xf numFmtId="166" fontId="26" fillId="0" borderId="0" xfId="2" applyNumberFormat="1" applyFont="1" applyFill="1" applyBorder="1"/>
    <xf numFmtId="0" fontId="31" fillId="13" borderId="25" xfId="2" applyFont="1" applyFill="1" applyBorder="1" applyAlignment="1">
      <alignment horizontal="centerContinuous" vertical="center" wrapText="1"/>
    </xf>
    <xf numFmtId="0" fontId="29" fillId="15" borderId="357" xfId="2" applyFont="1" applyFill="1" applyBorder="1" applyAlignment="1">
      <alignment horizontal="centerContinuous" vertical="center"/>
    </xf>
    <xf numFmtId="0" fontId="29" fillId="15" borderId="30" xfId="2" applyFont="1" applyFill="1" applyBorder="1" applyAlignment="1">
      <alignment vertical="center"/>
    </xf>
    <xf numFmtId="0" fontId="40" fillId="13" borderId="26" xfId="2" applyFont="1" applyFill="1" applyBorder="1" applyAlignment="1">
      <alignment horizontal="centerContinuous" vertical="center" wrapText="1"/>
    </xf>
    <xf numFmtId="0" fontId="29" fillId="15" borderId="47" xfId="2" applyFont="1" applyFill="1" applyBorder="1" applyAlignment="1">
      <alignment horizontal="centerContinuous" vertical="center"/>
    </xf>
    <xf numFmtId="0" fontId="29" fillId="15" borderId="26" xfId="2" applyFont="1" applyFill="1" applyBorder="1" applyAlignment="1">
      <alignment vertical="center"/>
    </xf>
    <xf numFmtId="3" fontId="29" fillId="0" borderId="56" xfId="2" applyNumberFormat="1" applyFont="1" applyBorder="1" applyAlignment="1" applyProtection="1">
      <protection hidden="1"/>
    </xf>
    <xf numFmtId="3" fontId="29" fillId="0" borderId="158" xfId="2" applyNumberFormat="1" applyFont="1" applyBorder="1" applyAlignment="1" applyProtection="1">
      <alignment horizontal="centerContinuous"/>
      <protection hidden="1"/>
    </xf>
    <xf numFmtId="3" fontId="29" fillId="0" borderId="358" xfId="2" applyNumberFormat="1" applyFont="1" applyBorder="1" applyAlignment="1" applyProtection="1">
      <alignment horizontal="centerContinuous"/>
      <protection hidden="1"/>
    </xf>
    <xf numFmtId="3" fontId="29" fillId="0" borderId="161" xfId="2" applyNumberFormat="1" applyFont="1" applyBorder="1" applyAlignment="1" applyProtection="1">
      <alignment horizontal="left"/>
      <protection hidden="1"/>
    </xf>
    <xf numFmtId="3" fontId="29" fillId="0" borderId="359" xfId="2" applyNumberFormat="1" applyFont="1" applyBorder="1" applyAlignment="1" applyProtection="1">
      <alignment horizontal="centerContinuous"/>
      <protection hidden="1"/>
    </xf>
    <xf numFmtId="3" fontId="29" fillId="0" borderId="2" xfId="2" applyNumberFormat="1" applyFont="1" applyBorder="1" applyAlignment="1" applyProtection="1">
      <alignment horizontal="centerContinuous"/>
      <protection hidden="1"/>
    </xf>
    <xf numFmtId="3" fontId="29" fillId="0" borderId="108" xfId="2" applyNumberFormat="1" applyFont="1" applyBorder="1" applyAlignment="1" applyProtection="1">
      <alignment horizontal="centerContinuous"/>
      <protection hidden="1"/>
    </xf>
    <xf numFmtId="3" fontId="29" fillId="0" borderId="31" xfId="2" applyNumberFormat="1" applyFont="1" applyBorder="1" applyAlignment="1" applyProtection="1">
      <alignment horizontal="centerContinuous"/>
      <protection hidden="1"/>
    </xf>
    <xf numFmtId="0" fontId="133" fillId="0" borderId="0" xfId="2" applyFont="1" applyFill="1" applyBorder="1" applyAlignment="1" applyProtection="1">
      <alignment horizontal="center"/>
      <protection hidden="1"/>
    </xf>
    <xf numFmtId="2" fontId="134" fillId="0" borderId="0" xfId="2" applyNumberFormat="1" applyFont="1" applyFill="1" applyBorder="1" applyProtection="1">
      <protection hidden="1"/>
    </xf>
    <xf numFmtId="3" fontId="134" fillId="0" borderId="0" xfId="2" applyNumberFormat="1" applyFont="1" applyFill="1" applyBorder="1" applyProtection="1">
      <protection hidden="1"/>
    </xf>
    <xf numFmtId="3" fontId="29" fillId="0" borderId="110" xfId="2" applyNumberFormat="1" applyFont="1" applyBorder="1" applyAlignment="1" applyProtection="1">
      <alignment horizontal="centerContinuous"/>
      <protection hidden="1"/>
    </xf>
    <xf numFmtId="3" fontId="29" fillId="0" borderId="132" xfId="2" applyNumberFormat="1" applyFont="1" applyBorder="1" applyAlignment="1" applyProtection="1">
      <alignment horizontal="centerContinuous"/>
      <protection hidden="1"/>
    </xf>
    <xf numFmtId="3" fontId="29" fillId="0" borderId="360" xfId="2" applyNumberFormat="1" applyFont="1" applyBorder="1" applyAlignment="1" applyProtection="1">
      <alignment horizontal="centerContinuous"/>
      <protection hidden="1"/>
    </xf>
    <xf numFmtId="0" fontId="29" fillId="15" borderId="38" xfId="2" applyFont="1" applyFill="1" applyBorder="1" applyAlignment="1" applyProtection="1">
      <alignment horizontal="center"/>
      <protection hidden="1"/>
    </xf>
    <xf numFmtId="3" fontId="29" fillId="15" borderId="56" xfId="2" applyNumberFormat="1" applyFont="1" applyFill="1" applyBorder="1" applyAlignment="1" applyProtection="1">
      <protection hidden="1"/>
    </xf>
    <xf numFmtId="3" fontId="29" fillId="15" borderId="158" xfId="2" applyNumberFormat="1" applyFont="1" applyFill="1" applyBorder="1" applyAlignment="1" applyProtection="1">
      <alignment horizontal="centerContinuous"/>
      <protection hidden="1"/>
    </xf>
    <xf numFmtId="3" fontId="29" fillId="15" borderId="358" xfId="2" applyNumberFormat="1" applyFont="1" applyFill="1" applyBorder="1" applyAlignment="1" applyProtection="1">
      <alignment horizontal="centerContinuous"/>
      <protection hidden="1"/>
    </xf>
    <xf numFmtId="3" fontId="29" fillId="15" borderId="359" xfId="2" applyNumberFormat="1" applyFont="1" applyFill="1" applyBorder="1" applyAlignment="1" applyProtection="1">
      <alignment horizontal="centerContinuous"/>
      <protection hidden="1"/>
    </xf>
    <xf numFmtId="0" fontId="29" fillId="12" borderId="0" xfId="2" applyFont="1" applyFill="1" applyBorder="1" applyAlignment="1"/>
    <xf numFmtId="3" fontId="29" fillId="15" borderId="37" xfId="2" applyNumberFormat="1" applyFont="1" applyFill="1" applyBorder="1" applyAlignment="1" applyProtection="1">
      <protection hidden="1"/>
    </xf>
    <xf numFmtId="3" fontId="29" fillId="15" borderId="157" xfId="2" applyNumberFormat="1" applyFont="1" applyFill="1" applyBorder="1" applyAlignment="1" applyProtection="1">
      <alignment horizontal="centerContinuous"/>
      <protection hidden="1"/>
    </xf>
    <xf numFmtId="3" fontId="29" fillId="15" borderId="160" xfId="2" applyNumberFormat="1" applyFont="1" applyFill="1" applyBorder="1" applyAlignment="1" applyProtection="1">
      <alignment horizontal="centerContinuous"/>
      <protection hidden="1"/>
    </xf>
    <xf numFmtId="3" fontId="29" fillId="0" borderId="96" xfId="2" applyNumberFormat="1" applyFont="1" applyBorder="1" applyAlignment="1" applyProtection="1">
      <alignment horizontal="centerContinuous"/>
      <protection hidden="1"/>
    </xf>
    <xf numFmtId="3" fontId="29" fillId="0" borderId="361" xfId="2" applyNumberFormat="1" applyFont="1" applyBorder="1" applyAlignment="1" applyProtection="1">
      <alignment horizontal="centerContinuous"/>
      <protection hidden="1"/>
    </xf>
    <xf numFmtId="3" fontId="29" fillId="0" borderId="2" xfId="2" applyNumberFormat="1" applyFont="1" applyFill="1" applyBorder="1" applyAlignment="1" applyProtection="1">
      <alignment horizontal="centerContinuous"/>
      <protection hidden="1"/>
    </xf>
    <xf numFmtId="3" fontId="29" fillId="0" borderId="108" xfId="2" applyNumberFormat="1" applyFont="1" applyFill="1" applyBorder="1" applyAlignment="1" applyProtection="1">
      <alignment horizontal="centerContinuous"/>
      <protection hidden="1"/>
    </xf>
    <xf numFmtId="3" fontId="29" fillId="0" borderId="110" xfId="2" applyNumberFormat="1" applyFont="1" applyFill="1" applyBorder="1" applyAlignment="1" applyProtection="1">
      <alignment horizontal="centerContinuous"/>
      <protection hidden="1"/>
    </xf>
    <xf numFmtId="3" fontId="29" fillId="0" borderId="132" xfId="2" applyNumberFormat="1" applyFont="1" applyFill="1" applyBorder="1" applyAlignment="1" applyProtection="1">
      <alignment horizontal="centerContinuous"/>
      <protection hidden="1"/>
    </xf>
    <xf numFmtId="3" fontId="29" fillId="0" borderId="362" xfId="2" applyNumberFormat="1" applyFont="1" applyBorder="1" applyAlignment="1" applyProtection="1">
      <alignment horizontal="centerContinuous"/>
      <protection hidden="1"/>
    </xf>
    <xf numFmtId="3" fontId="29" fillId="0" borderId="363" xfId="2" applyNumberFormat="1" applyFont="1" applyBorder="1" applyAlignment="1" applyProtection="1">
      <alignment horizontal="centerContinuous"/>
      <protection hidden="1"/>
    </xf>
    <xf numFmtId="9" fontId="116" fillId="0" borderId="0" xfId="2" applyNumberFormat="1" applyFont="1" applyFill="1" applyBorder="1" applyProtection="1">
      <protection hidden="1"/>
    </xf>
    <xf numFmtId="3" fontId="24" fillId="0" borderId="0" xfId="2" applyNumberFormat="1" applyFont="1" applyFill="1" applyBorder="1" applyProtection="1">
      <protection hidden="1"/>
    </xf>
    <xf numFmtId="3" fontId="133" fillId="0" borderId="0" xfId="2" applyNumberFormat="1" applyFont="1" applyFill="1" applyBorder="1" applyProtection="1">
      <protection hidden="1"/>
    </xf>
    <xf numFmtId="0" fontId="26" fillId="12" borderId="0" xfId="2" applyFont="1" applyFill="1" applyProtection="1"/>
    <xf numFmtId="166" fontId="116" fillId="0" borderId="0" xfId="2" applyNumberFormat="1" applyFont="1" applyFill="1" applyBorder="1" applyAlignment="1" applyProtection="1">
      <alignment vertical="center" wrapText="1"/>
      <protection hidden="1"/>
    </xf>
    <xf numFmtId="3" fontId="24" fillId="0" borderId="0" xfId="2" applyNumberFormat="1" applyFont="1" applyFill="1" applyBorder="1" applyAlignment="1" applyProtection="1">
      <alignment horizontal="center" vertical="center" wrapText="1"/>
      <protection hidden="1"/>
    </xf>
    <xf numFmtId="166" fontId="116" fillId="0" borderId="0" xfId="2" applyNumberFormat="1" applyFont="1" applyFill="1" applyBorder="1" applyProtection="1">
      <protection hidden="1"/>
    </xf>
    <xf numFmtId="0" fontId="43" fillId="25" borderId="364" xfId="2" applyFont="1" applyFill="1" applyBorder="1" applyProtection="1">
      <protection hidden="1"/>
    </xf>
    <xf numFmtId="0" fontId="43" fillId="2" borderId="365" xfId="2" applyFont="1" applyFill="1" applyBorder="1" applyProtection="1">
      <protection hidden="1"/>
    </xf>
    <xf numFmtId="0" fontId="26" fillId="2" borderId="366" xfId="2" applyFont="1" applyFill="1" applyBorder="1" applyProtection="1">
      <protection hidden="1"/>
    </xf>
    <xf numFmtId="0" fontId="26" fillId="2" borderId="367" xfId="2" applyFont="1" applyFill="1" applyBorder="1" applyAlignment="1" applyProtection="1">
      <alignment horizontal="center"/>
      <protection hidden="1"/>
    </xf>
    <xf numFmtId="0" fontId="43" fillId="25" borderId="368" xfId="2" applyFont="1" applyFill="1" applyBorder="1" applyProtection="1">
      <protection hidden="1"/>
    </xf>
    <xf numFmtId="0" fontId="26" fillId="8" borderId="369" xfId="2" applyFont="1" applyFill="1" applyBorder="1" applyProtection="1">
      <protection hidden="1"/>
    </xf>
    <xf numFmtId="0" fontId="26" fillId="8" borderId="370" xfId="2" applyFont="1" applyFill="1" applyBorder="1" applyAlignment="1" applyProtection="1">
      <alignment horizontal="center"/>
      <protection hidden="1"/>
    </xf>
    <xf numFmtId="0" fontId="205" fillId="8" borderId="104" xfId="2" applyFont="1" applyFill="1" applyBorder="1" applyProtection="1">
      <protection hidden="1"/>
    </xf>
    <xf numFmtId="0" fontId="5" fillId="8" borderId="371" xfId="2" applyFont="1" applyFill="1" applyBorder="1" applyAlignment="1" applyProtection="1">
      <alignment horizontal="center"/>
      <protection hidden="1"/>
    </xf>
    <xf numFmtId="0" fontId="5" fillId="8" borderId="372" xfId="2" applyFont="1" applyFill="1" applyBorder="1" applyProtection="1">
      <protection hidden="1"/>
    </xf>
    <xf numFmtId="0" fontId="5" fillId="8" borderId="373" xfId="2" applyFont="1" applyFill="1" applyBorder="1" applyAlignment="1" applyProtection="1">
      <alignment horizontal="center"/>
      <protection hidden="1"/>
    </xf>
    <xf numFmtId="0" fontId="5" fillId="0" borderId="105" xfId="2" applyFont="1" applyFill="1" applyBorder="1" applyProtection="1">
      <protection locked="0"/>
    </xf>
    <xf numFmtId="0" fontId="129" fillId="0" borderId="0" xfId="2" applyFont="1"/>
    <xf numFmtId="4" fontId="5" fillId="0" borderId="374" xfId="2" applyNumberFormat="1" applyFont="1" applyFill="1" applyBorder="1" applyProtection="1">
      <protection locked="0"/>
    </xf>
    <xf numFmtId="0" fontId="206" fillId="29" borderId="0" xfId="2" applyFont="1" applyFill="1"/>
    <xf numFmtId="3" fontId="206" fillId="29" borderId="0" xfId="2" applyNumberFormat="1" applyFont="1" applyFill="1"/>
    <xf numFmtId="0" fontId="129" fillId="0" borderId="0" xfId="2" applyFont="1" applyFill="1"/>
    <xf numFmtId="0" fontId="0" fillId="0" borderId="244" xfId="2" applyFont="1" applyBorder="1" applyAlignment="1" applyProtection="1">
      <alignment horizontal="center"/>
      <protection hidden="1"/>
    </xf>
    <xf numFmtId="0" fontId="0" fillId="0" borderId="363" xfId="2" applyFont="1" applyBorder="1" applyAlignment="1" applyProtection="1">
      <alignment horizontal="center"/>
      <protection hidden="1"/>
    </xf>
    <xf numFmtId="165" fontId="5" fillId="0" borderId="108" xfId="2" applyNumberFormat="1" applyFont="1" applyBorder="1" applyAlignment="1" applyProtection="1">
      <alignment horizontal="center" vertical="center" wrapText="1"/>
      <protection hidden="1"/>
    </xf>
    <xf numFmtId="3" fontId="129" fillId="0" borderId="0" xfId="2" applyNumberFormat="1" applyFont="1"/>
    <xf numFmtId="1" fontId="185" fillId="8" borderId="6" xfId="2" applyNumberFormat="1" applyFont="1" applyFill="1" applyBorder="1" applyAlignment="1" applyProtection="1">
      <alignment horizontal="left"/>
      <protection hidden="1"/>
    </xf>
    <xf numFmtId="3" fontId="207" fillId="10" borderId="0" xfId="2" applyNumberFormat="1" applyFont="1" applyFill="1"/>
    <xf numFmtId="3" fontId="138" fillId="10" borderId="0" xfId="2" applyNumberFormat="1" applyFont="1" applyFill="1"/>
    <xf numFmtId="0" fontId="207" fillId="0" borderId="0" xfId="2" applyFont="1"/>
    <xf numFmtId="167" fontId="3" fillId="14" borderId="148" xfId="2" applyNumberFormat="1" applyFont="1" applyFill="1" applyBorder="1" applyAlignment="1" applyProtection="1">
      <alignment horizontal="center"/>
      <protection hidden="1"/>
    </xf>
    <xf numFmtId="0" fontId="0" fillId="14" borderId="81" xfId="2" applyFont="1" applyFill="1" applyBorder="1" applyAlignment="1" applyProtection="1">
      <alignment vertical="center" wrapText="1"/>
      <protection hidden="1"/>
    </xf>
    <xf numFmtId="0" fontId="26" fillId="14" borderId="375" xfId="2" applyFont="1" applyFill="1" applyBorder="1" applyAlignment="1" applyProtection="1">
      <alignment horizontal="center" wrapText="1"/>
      <protection hidden="1"/>
    </xf>
    <xf numFmtId="0" fontId="207" fillId="9" borderId="0" xfId="2" applyFont="1" applyFill="1"/>
    <xf numFmtId="0" fontId="210" fillId="0" borderId="0" xfId="2" applyFont="1" applyAlignment="1">
      <alignment vertical="center" wrapText="1"/>
    </xf>
    <xf numFmtId="0" fontId="211" fillId="0" borderId="0" xfId="2" applyFont="1" applyAlignment="1">
      <alignment vertical="center" wrapText="1"/>
    </xf>
    <xf numFmtId="0" fontId="207" fillId="9" borderId="376" xfId="2" applyFont="1" applyFill="1" applyBorder="1" applyAlignment="1">
      <alignment wrapText="1"/>
    </xf>
    <xf numFmtId="3" fontId="142" fillId="0" borderId="0" xfId="2" applyNumberFormat="1" applyFont="1"/>
    <xf numFmtId="0" fontId="209" fillId="0" borderId="0" xfId="2" applyFont="1" applyAlignment="1">
      <alignment horizontal="left" vertical="center" wrapText="1"/>
    </xf>
    <xf numFmtId="0" fontId="213" fillId="0" borderId="0" xfId="2" applyFont="1" applyFill="1" applyAlignment="1">
      <alignment vertical="center" wrapText="1"/>
    </xf>
    <xf numFmtId="0" fontId="138" fillId="10" borderId="0" xfId="2" applyFont="1" applyFill="1"/>
    <xf numFmtId="2" fontId="26" fillId="0" borderId="82" xfId="2" applyNumberFormat="1" applyFont="1" applyFill="1" applyBorder="1" applyAlignment="1" applyProtection="1">
      <alignment horizontal="center"/>
      <protection locked="0"/>
    </xf>
    <xf numFmtId="0" fontId="0" fillId="14" borderId="377" xfId="2" applyFont="1" applyFill="1" applyBorder="1" applyProtection="1">
      <protection hidden="1"/>
    </xf>
    <xf numFmtId="2" fontId="26" fillId="0" borderId="140" xfId="2" applyNumberFormat="1" applyFont="1" applyBorder="1" applyAlignment="1" applyProtection="1">
      <alignment horizontal="center"/>
      <protection locked="0"/>
    </xf>
    <xf numFmtId="0" fontId="5" fillId="14" borderId="301" xfId="2" applyFont="1" applyFill="1" applyBorder="1" applyAlignment="1" applyProtection="1">
      <alignment horizontal="left" wrapText="1"/>
      <protection hidden="1"/>
    </xf>
    <xf numFmtId="9" fontId="5" fillId="14" borderId="378" xfId="2" applyNumberFormat="1" applyFont="1" applyFill="1" applyBorder="1" applyAlignment="1" applyProtection="1">
      <alignment horizontal="center" vertical="center" wrapText="1"/>
      <protection hidden="1"/>
    </xf>
    <xf numFmtId="0" fontId="6" fillId="0" borderId="261" xfId="2" applyFont="1" applyFill="1" applyBorder="1" applyProtection="1">
      <protection locked="0"/>
    </xf>
    <xf numFmtId="0" fontId="6" fillId="0" borderId="96" xfId="2" applyFont="1" applyFill="1" applyBorder="1" applyProtection="1">
      <protection locked="0"/>
    </xf>
    <xf numFmtId="0" fontId="193" fillId="0" borderId="96" xfId="2" applyFont="1" applyFill="1" applyBorder="1" applyAlignment="1" applyProtection="1">
      <alignment horizontal="left"/>
      <protection locked="0"/>
    </xf>
    <xf numFmtId="0" fontId="194" fillId="10" borderId="65" xfId="2" applyFont="1" applyFill="1" applyBorder="1" applyAlignment="1" applyProtection="1">
      <alignment horizontal="center" vertical="center" wrapText="1"/>
      <protection hidden="1"/>
    </xf>
    <xf numFmtId="0" fontId="194" fillId="10" borderId="102" xfId="2" applyFont="1" applyFill="1" applyBorder="1" applyAlignment="1" applyProtection="1">
      <alignment horizontal="center" vertical="center" wrapText="1"/>
      <protection hidden="1"/>
    </xf>
    <xf numFmtId="0" fontId="215" fillId="0" borderId="65" xfId="2" applyFont="1" applyFill="1" applyBorder="1" applyAlignment="1" applyProtection="1">
      <alignment horizontal="center"/>
      <protection locked="0"/>
    </xf>
    <xf numFmtId="0" fontId="215" fillId="0" borderId="102" xfId="2" applyFont="1" applyFill="1" applyBorder="1" applyAlignment="1" applyProtection="1">
      <alignment horizontal="center"/>
      <protection locked="0"/>
    </xf>
    <xf numFmtId="0" fontId="215" fillId="19" borderId="65" xfId="2" applyFont="1" applyFill="1" applyBorder="1" applyAlignment="1" applyProtection="1">
      <alignment horizontal="center"/>
      <protection locked="0"/>
    </xf>
    <xf numFmtId="0" fontId="215" fillId="19" borderId="102" xfId="2" applyFont="1" applyFill="1" applyBorder="1" applyAlignment="1" applyProtection="1">
      <alignment horizontal="center"/>
      <protection locked="0"/>
    </xf>
    <xf numFmtId="0" fontId="215" fillId="19" borderId="113" xfId="2" applyFont="1" applyFill="1" applyBorder="1" applyAlignment="1" applyProtection="1">
      <alignment horizontal="center"/>
      <protection locked="0"/>
    </xf>
    <xf numFmtId="0" fontId="215" fillId="19" borderId="73" xfId="2" applyFont="1" applyFill="1" applyBorder="1" applyAlignment="1" applyProtection="1">
      <alignment horizontal="center"/>
      <protection locked="0"/>
    </xf>
    <xf numFmtId="0" fontId="207" fillId="0" borderId="0" xfId="2" applyFont="1" applyAlignment="1">
      <alignment horizontal="center"/>
    </xf>
    <xf numFmtId="0" fontId="215" fillId="19" borderId="207" xfId="2" applyFont="1" applyFill="1" applyBorder="1" applyAlignment="1" applyProtection="1">
      <alignment horizontal="center"/>
      <protection locked="0"/>
    </xf>
    <xf numFmtId="0" fontId="215" fillId="19" borderId="114" xfId="2" applyFont="1" applyFill="1" applyBorder="1" applyAlignment="1" applyProtection="1">
      <alignment horizontal="center"/>
      <protection locked="0"/>
    </xf>
    <xf numFmtId="0" fontId="6" fillId="19" borderId="96" xfId="2" applyFont="1" applyFill="1" applyBorder="1" applyProtection="1">
      <protection locked="0"/>
    </xf>
    <xf numFmtId="0" fontId="166" fillId="10" borderId="143" xfId="2" applyFont="1" applyFill="1" applyBorder="1" applyProtection="1">
      <protection hidden="1"/>
    </xf>
    <xf numFmtId="0" fontId="165" fillId="10" borderId="145" xfId="2" applyFont="1" applyFill="1" applyBorder="1" applyProtection="1">
      <protection hidden="1"/>
    </xf>
    <xf numFmtId="0" fontId="165" fillId="10" borderId="209" xfId="2" applyFont="1" applyFill="1" applyBorder="1" applyProtection="1">
      <protection hidden="1"/>
    </xf>
    <xf numFmtId="0" fontId="163" fillId="0" borderId="81" xfId="2" applyFont="1" applyFill="1" applyBorder="1" applyAlignment="1" applyProtection="1">
      <alignment vertical="center" wrapText="1"/>
      <protection locked="0"/>
    </xf>
    <xf numFmtId="0" fontId="163" fillId="0" borderId="149" xfId="2" applyFont="1" applyFill="1" applyBorder="1" applyAlignment="1" applyProtection="1">
      <alignment vertical="center" wrapText="1"/>
      <protection locked="0"/>
    </xf>
    <xf numFmtId="0" fontId="52" fillId="20" borderId="0" xfId="2" applyFont="1" applyFill="1"/>
    <xf numFmtId="3" fontId="52" fillId="20" borderId="0" xfId="2" applyNumberFormat="1" applyFont="1" applyFill="1"/>
    <xf numFmtId="0" fontId="52" fillId="0" borderId="69" xfId="2" applyFont="1" applyBorder="1"/>
    <xf numFmtId="0" fontId="52" fillId="0" borderId="69" xfId="2" applyFont="1" applyBorder="1" applyAlignment="1">
      <alignment wrapText="1"/>
    </xf>
    <xf numFmtId="0" fontId="2" fillId="7" borderId="69" xfId="2" applyFont="1" applyFill="1" applyBorder="1" applyAlignment="1">
      <alignment vertical="center" wrapText="1"/>
    </xf>
    <xf numFmtId="167" fontId="52" fillId="0" borderId="69" xfId="2" applyNumberFormat="1" applyFont="1" applyBorder="1"/>
    <xf numFmtId="0" fontId="52" fillId="19" borderId="69" xfId="2" applyFont="1" applyFill="1" applyBorder="1"/>
    <xf numFmtId="0" fontId="99" fillId="20" borderId="69" xfId="2" applyFont="1" applyFill="1" applyBorder="1"/>
    <xf numFmtId="167" fontId="52" fillId="20" borderId="69" xfId="2" applyNumberFormat="1" applyFont="1" applyFill="1" applyBorder="1"/>
    <xf numFmtId="0" fontId="214" fillId="0" borderId="69" xfId="2" applyFont="1" applyBorder="1"/>
    <xf numFmtId="0" fontId="52" fillId="0" borderId="379" xfId="2" applyFont="1" applyBorder="1" applyAlignment="1">
      <alignment wrapText="1"/>
    </xf>
    <xf numFmtId="0" fontId="214" fillId="0" borderId="380" xfId="2" applyFont="1" applyBorder="1"/>
    <xf numFmtId="0" fontId="52" fillId="0" borderId="381" xfId="2" applyFont="1" applyBorder="1" applyAlignment="1">
      <alignment wrapText="1"/>
    </xf>
    <xf numFmtId="0" fontId="52" fillId="0" borderId="382" xfId="2" applyFont="1" applyBorder="1"/>
    <xf numFmtId="167" fontId="52" fillId="0" borderId="383" xfId="2" applyNumberFormat="1" applyFont="1" applyBorder="1"/>
    <xf numFmtId="0" fontId="52" fillId="0" borderId="383" xfId="2" applyFont="1" applyBorder="1"/>
    <xf numFmtId="3" fontId="52" fillId="0" borderId="383" xfId="2" applyNumberFormat="1" applyFont="1" applyBorder="1"/>
    <xf numFmtId="0" fontId="52" fillId="19" borderId="382" xfId="2" applyFont="1" applyFill="1" applyBorder="1"/>
    <xf numFmtId="0" fontId="52" fillId="19" borderId="383" xfId="2" applyFont="1" applyFill="1" applyBorder="1"/>
    <xf numFmtId="0" fontId="99" fillId="20" borderId="382" xfId="2" applyFont="1" applyFill="1" applyBorder="1"/>
    <xf numFmtId="167" fontId="52" fillId="20" borderId="383" xfId="2" applyNumberFormat="1" applyFont="1" applyFill="1" applyBorder="1"/>
    <xf numFmtId="0" fontId="52" fillId="0" borderId="384" xfId="2" applyFont="1" applyBorder="1"/>
    <xf numFmtId="0" fontId="52" fillId="0" borderId="385" xfId="2" applyFont="1" applyBorder="1"/>
    <xf numFmtId="0" fontId="138" fillId="0" borderId="0" xfId="2" applyFont="1"/>
    <xf numFmtId="0" fontId="214" fillId="8" borderId="0" xfId="2" applyFont="1" applyFill="1"/>
    <xf numFmtId="3" fontId="52" fillId="0" borderId="379" xfId="2" applyNumberFormat="1" applyFont="1" applyBorder="1"/>
    <xf numFmtId="3" fontId="52" fillId="19" borderId="379" xfId="2" applyNumberFormat="1" applyFont="1" applyFill="1" applyBorder="1"/>
    <xf numFmtId="3" fontId="52" fillId="20" borderId="379" xfId="2" applyNumberFormat="1" applyFont="1" applyFill="1" applyBorder="1"/>
    <xf numFmtId="3" fontId="214" fillId="8" borderId="0" xfId="2" applyNumberFormat="1" applyFont="1" applyFill="1"/>
    <xf numFmtId="0" fontId="215" fillId="19" borderId="65" xfId="2" applyFont="1" applyFill="1" applyBorder="1" applyAlignment="1" applyProtection="1">
      <alignment horizontal="center"/>
      <protection hidden="1"/>
    </xf>
    <xf numFmtId="0" fontId="215" fillId="19" borderId="102" xfId="2" applyFont="1" applyFill="1" applyBorder="1" applyAlignment="1" applyProtection="1">
      <alignment horizontal="center"/>
      <protection hidden="1"/>
    </xf>
    <xf numFmtId="0" fontId="52" fillId="0" borderId="386" xfId="2" applyFont="1" applyBorder="1" applyAlignment="1">
      <alignment wrapText="1"/>
    </xf>
    <xf numFmtId="0" fontId="193" fillId="0" borderId="334" xfId="2" applyFont="1" applyBorder="1" applyAlignment="1">
      <alignment wrapText="1"/>
    </xf>
    <xf numFmtId="0" fontId="52" fillId="0" borderId="335" xfId="2" applyFont="1" applyBorder="1" applyAlignment="1">
      <alignment wrapText="1"/>
    </xf>
    <xf numFmtId="0" fontId="52" fillId="0" borderId="190" xfId="2" applyFont="1" applyBorder="1"/>
    <xf numFmtId="0" fontId="52" fillId="19" borderId="190" xfId="2" applyFont="1" applyFill="1" applyBorder="1"/>
    <xf numFmtId="167" fontId="52" fillId="20" borderId="190" xfId="2" applyNumberFormat="1" applyFont="1" applyFill="1" applyBorder="1"/>
    <xf numFmtId="0" fontId="52" fillId="0" borderId="332" xfId="2" applyFont="1" applyBorder="1"/>
    <xf numFmtId="0" fontId="214" fillId="4" borderId="0" xfId="2" applyFont="1" applyFill="1"/>
    <xf numFmtId="3" fontId="52" fillId="0" borderId="387" xfId="2" applyNumberFormat="1" applyFont="1" applyBorder="1"/>
    <xf numFmtId="3" fontId="52" fillId="19" borderId="387" xfId="2" applyNumberFormat="1" applyFont="1" applyFill="1" applyBorder="1"/>
    <xf numFmtId="3" fontId="52" fillId="20" borderId="387" xfId="2" applyNumberFormat="1" applyFont="1" applyFill="1" applyBorder="1"/>
    <xf numFmtId="3" fontId="214" fillId="4" borderId="0" xfId="2" applyNumberFormat="1" applyFont="1" applyFill="1"/>
    <xf numFmtId="3" fontId="52" fillId="0" borderId="331" xfId="2" applyNumberFormat="1" applyFont="1" applyBorder="1"/>
    <xf numFmtId="0" fontId="52" fillId="11" borderId="0" xfId="2" applyFont="1" applyFill="1"/>
    <xf numFmtId="3" fontId="52" fillId="11" borderId="0" xfId="2" applyNumberFormat="1" applyFont="1" applyFill="1"/>
    <xf numFmtId="0" fontId="52" fillId="11" borderId="0" xfId="2" applyFont="1" applyFill="1" applyAlignment="1">
      <alignment wrapText="1"/>
    </xf>
    <xf numFmtId="3" fontId="52" fillId="0" borderId="0" xfId="2" applyNumberFormat="1" applyFont="1" applyAlignment="1"/>
    <xf numFmtId="3" fontId="138" fillId="0" borderId="0" xfId="2" applyNumberFormat="1" applyFont="1" applyAlignment="1"/>
    <xf numFmtId="3" fontId="2" fillId="11" borderId="0" xfId="2" applyNumberFormat="1" applyFont="1" applyFill="1" applyAlignment="1">
      <alignment wrapText="1"/>
    </xf>
    <xf numFmtId="3" fontId="26" fillId="0" borderId="0" xfId="2" applyNumberFormat="1" applyFont="1" applyAlignment="1">
      <alignment horizontal="center"/>
    </xf>
    <xf numFmtId="0" fontId="216" fillId="0" borderId="0" xfId="2" applyFont="1"/>
    <xf numFmtId="0" fontId="29" fillId="0" borderId="78" xfId="2" applyFont="1" applyBorder="1"/>
    <xf numFmtId="49" fontId="29" fillId="0" borderId="78" xfId="2" applyNumberFormat="1" applyFont="1" applyBorder="1"/>
    <xf numFmtId="0" fontId="29" fillId="0" borderId="111" xfId="2" applyFont="1" applyBorder="1"/>
    <xf numFmtId="0" fontId="29" fillId="0" borderId="69" xfId="2" applyFont="1" applyBorder="1"/>
    <xf numFmtId="0" fontId="100" fillId="0" borderId="69" xfId="2" applyFont="1" applyBorder="1" applyAlignment="1">
      <alignment horizontal="center"/>
    </xf>
    <xf numFmtId="0" fontId="29" fillId="0" borderId="69" xfId="2" applyNumberFormat="1" applyFont="1" applyBorder="1"/>
    <xf numFmtId="0" fontId="29" fillId="0" borderId="102" xfId="2" applyFont="1" applyBorder="1"/>
    <xf numFmtId="0" fontId="29" fillId="0" borderId="65" xfId="2" applyFont="1" applyBorder="1"/>
    <xf numFmtId="0" fontId="29" fillId="0" borderId="113" xfId="2" applyFont="1" applyBorder="1"/>
    <xf numFmtId="0" fontId="29" fillId="0" borderId="112" xfId="2" applyFont="1" applyBorder="1"/>
    <xf numFmtId="0" fontId="100" fillId="0" borderId="112" xfId="2" applyFont="1" applyBorder="1" applyAlignment="1">
      <alignment horizontal="center"/>
    </xf>
    <xf numFmtId="0" fontId="29" fillId="0" borderId="73" xfId="2" applyFont="1" applyBorder="1"/>
    <xf numFmtId="0" fontId="26" fillId="0" borderId="0" xfId="2" applyFont="1" applyFill="1" applyProtection="1"/>
    <xf numFmtId="0" fontId="29" fillId="0" borderId="0" xfId="2" applyFont="1" applyFill="1" applyAlignment="1">
      <alignment horizontal="left"/>
    </xf>
    <xf numFmtId="0" fontId="26" fillId="0" borderId="0" xfId="2" applyFont="1" applyAlignment="1" applyProtection="1">
      <alignment wrapText="1"/>
    </xf>
    <xf numFmtId="0" fontId="26" fillId="0" borderId="0" xfId="2" applyFont="1" applyAlignment="1">
      <alignment wrapText="1"/>
    </xf>
    <xf numFmtId="0" fontId="29" fillId="12" borderId="0" xfId="2" applyFont="1" applyFill="1" applyAlignment="1">
      <alignment horizontal="center"/>
    </xf>
    <xf numFmtId="3" fontId="29" fillId="12" borderId="0" xfId="2" applyNumberFormat="1" applyFont="1" applyFill="1" applyAlignment="1">
      <alignment horizontal="center"/>
    </xf>
    <xf numFmtId="0" fontId="26" fillId="0" borderId="0" xfId="2" applyFont="1" applyProtection="1">
      <protection locked="0"/>
    </xf>
    <xf numFmtId="9" fontId="30" fillId="0" borderId="0" xfId="2" applyNumberFormat="1" applyFont="1" applyFill="1" applyBorder="1"/>
    <xf numFmtId="9" fontId="30" fillId="12" borderId="0" xfId="2" applyNumberFormat="1" applyFont="1" applyFill="1" applyBorder="1"/>
    <xf numFmtId="0" fontId="30" fillId="12" borderId="0" xfId="2" applyFont="1" applyFill="1" applyBorder="1"/>
    <xf numFmtId="0" fontId="30" fillId="12" borderId="0" xfId="2" applyFont="1" applyFill="1" applyBorder="1" applyAlignment="1">
      <alignment horizontal="center"/>
    </xf>
    <xf numFmtId="4" fontId="26" fillId="0" borderId="0" xfId="2" applyNumberFormat="1" applyFont="1"/>
    <xf numFmtId="9" fontId="29" fillId="0" borderId="0" xfId="2" applyNumberFormat="1" applyFont="1"/>
    <xf numFmtId="0" fontId="29" fillId="19" borderId="2" xfId="2" applyFont="1" applyFill="1" applyBorder="1"/>
    <xf numFmtId="0" fontId="29" fillId="0" borderId="0" xfId="2" applyFont="1" applyAlignment="1">
      <alignment horizontal="right"/>
    </xf>
    <xf numFmtId="3" fontId="116" fillId="0" borderId="0" xfId="8" applyNumberFormat="1" applyFont="1" applyFill="1" applyBorder="1" applyAlignment="1">
      <alignment horizontal="right"/>
    </xf>
    <xf numFmtId="1" fontId="116" fillId="17" borderId="0" xfId="9" applyNumberFormat="1" applyFont="1" applyFill="1"/>
    <xf numFmtId="0" fontId="29" fillId="17" borderId="0" xfId="2" applyFont="1" applyFill="1" applyProtection="1">
      <protection locked="0"/>
    </xf>
    <xf numFmtId="0" fontId="116" fillId="0" borderId="0" xfId="2" applyFont="1" applyFill="1" applyProtection="1">
      <protection locked="0"/>
    </xf>
    <xf numFmtId="9" fontId="32" fillId="0" borderId="0" xfId="2" applyNumberFormat="1" applyFont="1" applyFill="1" applyAlignment="1">
      <alignment horizontal="center"/>
    </xf>
    <xf numFmtId="0" fontId="26" fillId="19" borderId="0" xfId="2" applyFont="1" applyFill="1"/>
    <xf numFmtId="0" fontId="218" fillId="19" borderId="14" xfId="2" applyFont="1" applyFill="1" applyBorder="1" applyAlignment="1" applyProtection="1">
      <alignment wrapText="1"/>
      <protection hidden="1"/>
    </xf>
    <xf numFmtId="0" fontId="219" fillId="19" borderId="60" xfId="2" applyFont="1" applyFill="1" applyBorder="1" applyAlignment="1" applyProtection="1">
      <alignment horizontal="left"/>
      <protection hidden="1"/>
    </xf>
    <xf numFmtId="3" fontId="220" fillId="8" borderId="2" xfId="2" applyNumberFormat="1" applyFont="1" applyFill="1" applyBorder="1" applyProtection="1">
      <protection hidden="1"/>
    </xf>
    <xf numFmtId="0" fontId="29" fillId="0" borderId="66" xfId="2" applyFont="1" applyBorder="1"/>
    <xf numFmtId="0" fontId="216" fillId="0" borderId="78" xfId="2" applyFont="1" applyBorder="1"/>
    <xf numFmtId="1" fontId="223" fillId="18" borderId="69" xfId="2" applyNumberFormat="1" applyFont="1" applyFill="1" applyBorder="1"/>
    <xf numFmtId="0" fontId="222" fillId="12" borderId="0" xfId="2" applyFont="1" applyFill="1"/>
    <xf numFmtId="0" fontId="221" fillId="12" borderId="0" xfId="2" applyFont="1" applyFill="1"/>
    <xf numFmtId="0" fontId="129" fillId="12" borderId="0" xfId="2" applyFont="1" applyFill="1"/>
    <xf numFmtId="0" fontId="208" fillId="12" borderId="0" xfId="2" applyFont="1" applyFill="1"/>
    <xf numFmtId="0" fontId="62" fillId="12" borderId="0" xfId="2" applyFont="1" applyFill="1"/>
    <xf numFmtId="0" fontId="22" fillId="12" borderId="0" xfId="2" applyFont="1" applyFill="1"/>
    <xf numFmtId="0" fontId="0" fillId="12" borderId="0" xfId="2" applyFont="1" applyFill="1" applyBorder="1"/>
    <xf numFmtId="0" fontId="79" fillId="12" borderId="0" xfId="2" applyFont="1" applyFill="1"/>
    <xf numFmtId="3" fontId="129" fillId="0" borderId="0" xfId="2" applyNumberFormat="1" applyFont="1" applyFill="1" applyBorder="1" applyProtection="1"/>
    <xf numFmtId="0" fontId="129" fillId="0" borderId="0" xfId="2" applyFont="1" applyFill="1" applyBorder="1"/>
    <xf numFmtId="0" fontId="214" fillId="0" borderId="0" xfId="2" applyFont="1" applyFill="1" applyBorder="1"/>
    <xf numFmtId="3" fontId="214" fillId="0" borderId="0" xfId="2" applyNumberFormat="1" applyFont="1" applyFill="1" applyBorder="1" applyProtection="1"/>
    <xf numFmtId="0" fontId="138" fillId="0" borderId="0" xfId="2" applyFont="1" applyAlignment="1">
      <alignment horizontal="center" wrapText="1"/>
    </xf>
    <xf numFmtId="0" fontId="138" fillId="0" borderId="250" xfId="2" applyFont="1" applyFill="1" applyBorder="1" applyAlignment="1">
      <alignment horizontal="center"/>
    </xf>
    <xf numFmtId="0" fontId="138" fillId="0" borderId="213" xfId="2" applyFont="1" applyBorder="1"/>
    <xf numFmtId="0" fontId="44" fillId="0" borderId="256" xfId="2" applyFont="1" applyBorder="1"/>
    <xf numFmtId="3" fontId="56" fillId="0" borderId="220" xfId="2" applyNumberFormat="1" applyFont="1" applyBorder="1"/>
    <xf numFmtId="4" fontId="56" fillId="0" borderId="253" xfId="2" applyNumberFormat="1" applyFont="1" applyBorder="1"/>
    <xf numFmtId="0" fontId="5" fillId="0" borderId="301" xfId="2" applyFont="1" applyFill="1" applyBorder="1" applyAlignment="1" applyProtection="1">
      <protection hidden="1"/>
    </xf>
    <xf numFmtId="0" fontId="138" fillId="0" borderId="378" xfId="2" applyFont="1" applyFill="1" applyBorder="1" applyAlignment="1" applyProtection="1">
      <protection hidden="1"/>
    </xf>
    <xf numFmtId="0" fontId="200" fillId="0" borderId="0" xfId="2" applyFont="1" applyFill="1" applyBorder="1"/>
    <xf numFmtId="0" fontId="214" fillId="0" borderId="190" xfId="2" applyFont="1" applyFill="1" applyBorder="1" applyProtection="1">
      <protection locked="0"/>
    </xf>
    <xf numFmtId="0" fontId="0" fillId="0" borderId="388" xfId="2" applyFont="1" applyBorder="1"/>
    <xf numFmtId="0" fontId="53" fillId="0" borderId="389" xfId="2" applyFont="1" applyBorder="1" applyAlignment="1">
      <alignment vertical="center" wrapText="1"/>
    </xf>
    <xf numFmtId="4" fontId="0" fillId="0" borderId="388" xfId="2" applyNumberFormat="1" applyFont="1" applyBorder="1"/>
    <xf numFmtId="4" fontId="0" fillId="19" borderId="388" xfId="2" applyNumberFormat="1" applyFont="1" applyFill="1" applyBorder="1"/>
    <xf numFmtId="4" fontId="53" fillId="0" borderId="388" xfId="2" applyNumberFormat="1" applyFont="1" applyBorder="1" applyAlignment="1">
      <alignment vertical="center" wrapText="1"/>
    </xf>
    <xf numFmtId="4" fontId="23" fillId="0" borderId="390" xfId="2" applyNumberFormat="1" applyFont="1" applyBorder="1"/>
    <xf numFmtId="0" fontId="0" fillId="0" borderId="0" xfId="2" applyFont="1" applyFill="1" applyBorder="1" applyAlignment="1">
      <alignment vertical="center" wrapText="1"/>
    </xf>
    <xf numFmtId="4" fontId="56" fillId="0" borderId="248" xfId="2" applyNumberFormat="1" applyFont="1" applyBorder="1"/>
    <xf numFmtId="0" fontId="53" fillId="0" borderId="388" xfId="2" applyFont="1" applyFill="1" applyBorder="1" applyAlignment="1">
      <alignment vertical="center" wrapText="1"/>
    </xf>
    <xf numFmtId="4" fontId="0" fillId="7" borderId="388" xfId="2" applyNumberFormat="1" applyFont="1" applyFill="1" applyBorder="1"/>
    <xf numFmtId="4" fontId="53" fillId="0" borderId="388" xfId="2" applyNumberFormat="1" applyFont="1" applyFill="1" applyBorder="1" applyAlignment="1">
      <alignment vertical="center" wrapText="1"/>
    </xf>
    <xf numFmtId="0" fontId="214" fillId="0" borderId="251" xfId="2" applyFont="1" applyBorder="1"/>
    <xf numFmtId="0" fontId="214" fillId="0" borderId="253" xfId="2" applyFont="1" applyBorder="1"/>
    <xf numFmtId="0" fontId="214" fillId="0" borderId="163" xfId="2" applyFont="1" applyBorder="1"/>
    <xf numFmtId="4" fontId="214" fillId="0" borderId="220" xfId="2" applyNumberFormat="1" applyFont="1" applyFill="1" applyBorder="1" applyAlignment="1">
      <alignment vertical="center" wrapText="1"/>
    </xf>
    <xf numFmtId="0" fontId="214" fillId="0" borderId="0" xfId="2" applyFont="1" applyFill="1"/>
    <xf numFmtId="4" fontId="129" fillId="0" borderId="0" xfId="2" applyNumberFormat="1" applyFont="1"/>
    <xf numFmtId="4" fontId="129" fillId="0" borderId="391" xfId="2" applyNumberFormat="1" applyFont="1" applyBorder="1"/>
    <xf numFmtId="4" fontId="129" fillId="0" borderId="0" xfId="2" applyNumberFormat="1" applyFont="1" applyBorder="1"/>
    <xf numFmtId="4" fontId="142" fillId="0" borderId="0" xfId="2" applyNumberFormat="1" applyFont="1" applyBorder="1"/>
    <xf numFmtId="0" fontId="152" fillId="11" borderId="392" xfId="2" applyFont="1" applyFill="1" applyBorder="1" applyAlignment="1" applyProtection="1">
      <alignment vertical="center" wrapText="1"/>
      <protection hidden="1"/>
    </xf>
    <xf numFmtId="0" fontId="152" fillId="11" borderId="278" xfId="2" applyFont="1" applyFill="1" applyBorder="1" applyAlignment="1" applyProtection="1">
      <alignment vertical="center" wrapText="1"/>
      <protection hidden="1"/>
    </xf>
    <xf numFmtId="0" fontId="129" fillId="0" borderId="378" xfId="2" applyFont="1" applyBorder="1"/>
    <xf numFmtId="0" fontId="193" fillId="0" borderId="0" xfId="2" applyFont="1" applyAlignment="1">
      <alignment vertical="center" wrapText="1"/>
    </xf>
    <xf numFmtId="0" fontId="129" fillId="0" borderId="355" xfId="2" applyFont="1" applyBorder="1"/>
    <xf numFmtId="0" fontId="129" fillId="0" borderId="317" xfId="2" applyFont="1" applyBorder="1"/>
    <xf numFmtId="0" fontId="129" fillId="0" borderId="317" xfId="2" applyFont="1" applyFill="1" applyBorder="1"/>
    <xf numFmtId="0" fontId="138" fillId="0" borderId="393" xfId="2" applyFont="1" applyBorder="1"/>
    <xf numFmtId="0" fontId="142" fillId="0" borderId="394" xfId="2" applyFont="1" applyBorder="1"/>
    <xf numFmtId="165" fontId="138" fillId="0" borderId="395" xfId="2" applyNumberFormat="1" applyFont="1" applyBorder="1"/>
    <xf numFmtId="0" fontId="138" fillId="0" borderId="394" xfId="2" applyFont="1" applyBorder="1"/>
    <xf numFmtId="0" fontId="138" fillId="0" borderId="396" xfId="2" applyFont="1" applyBorder="1"/>
    <xf numFmtId="0" fontId="142" fillId="0" borderId="397" xfId="2" applyFont="1" applyBorder="1"/>
    <xf numFmtId="165" fontId="138" fillId="0" borderId="398" xfId="2" applyNumberFormat="1" applyFont="1" applyBorder="1"/>
    <xf numFmtId="0" fontId="193" fillId="0" borderId="393" xfId="2" applyFont="1" applyBorder="1"/>
    <xf numFmtId="0" fontId="129" fillId="0" borderId="306" xfId="2" applyFont="1" applyBorder="1"/>
    <xf numFmtId="0" fontId="138" fillId="0" borderId="399" xfId="2" applyFont="1" applyBorder="1" applyAlignment="1">
      <alignment vertical="center" wrapText="1"/>
    </xf>
    <xf numFmtId="0" fontId="214" fillId="0" borderId="0" xfId="2" applyFont="1" applyAlignment="1">
      <alignment vertical="center"/>
    </xf>
    <xf numFmtId="0" fontId="138" fillId="10" borderId="400" xfId="2" applyFont="1" applyFill="1" applyBorder="1" applyAlignment="1" applyProtection="1">
      <alignment vertical="center" wrapText="1"/>
      <protection hidden="1"/>
    </xf>
    <xf numFmtId="0" fontId="138" fillId="10" borderId="401" xfId="2" applyFont="1" applyFill="1" applyBorder="1" applyAlignment="1" applyProtection="1">
      <alignment vertical="center" wrapText="1"/>
      <protection hidden="1"/>
    </xf>
    <xf numFmtId="0" fontId="187" fillId="2" borderId="22" xfId="2" applyFont="1" applyFill="1" applyBorder="1" applyAlignment="1" applyProtection="1">
      <alignment horizontal="center" vertical="center" wrapText="1"/>
      <protection hidden="1"/>
    </xf>
    <xf numFmtId="0" fontId="193" fillId="12" borderId="96" xfId="2" applyFont="1" applyFill="1" applyBorder="1" applyAlignment="1" applyProtection="1">
      <alignment horizontal="left"/>
      <protection locked="0"/>
    </xf>
    <xf numFmtId="0" fontId="193" fillId="19" borderId="96" xfId="2" applyFont="1" applyFill="1" applyBorder="1" applyAlignment="1" applyProtection="1">
      <alignment horizontal="left"/>
      <protection locked="0"/>
    </xf>
    <xf numFmtId="0" fontId="6" fillId="0" borderId="96" xfId="2" applyFont="1" applyFill="1" applyBorder="1" applyAlignment="1" applyProtection="1">
      <alignment horizontal="right"/>
      <protection locked="0"/>
    </xf>
    <xf numFmtId="0" fontId="193" fillId="19" borderId="96" xfId="2" applyFont="1" applyFill="1" applyBorder="1" applyProtection="1">
      <protection locked="0"/>
    </xf>
    <xf numFmtId="0" fontId="166" fillId="10" borderId="145" xfId="2" applyFont="1" applyFill="1" applyBorder="1" applyProtection="1">
      <protection hidden="1"/>
    </xf>
    <xf numFmtId="0" fontId="166" fillId="10" borderId="146" xfId="2" applyFont="1" applyFill="1" applyBorder="1" applyProtection="1">
      <protection hidden="1"/>
    </xf>
    <xf numFmtId="0" fontId="163" fillId="0" borderId="402" xfId="2" applyFont="1" applyFill="1" applyBorder="1" applyAlignment="1" applyProtection="1">
      <alignment vertical="center" wrapText="1"/>
      <protection locked="0"/>
    </xf>
    <xf numFmtId="0" fontId="163" fillId="0" borderId="209" xfId="2" applyFont="1" applyFill="1" applyBorder="1" applyAlignment="1" applyProtection="1">
      <alignment vertical="center" wrapText="1"/>
      <protection locked="0"/>
    </xf>
    <xf numFmtId="0" fontId="165" fillId="11" borderId="0" xfId="2" applyFont="1" applyFill="1" applyBorder="1" applyAlignment="1" applyProtection="1">
      <alignment vertical="center" wrapText="1"/>
      <protection hidden="1"/>
    </xf>
    <xf numFmtId="0" fontId="138" fillId="11" borderId="0" xfId="2" applyFont="1" applyFill="1" applyBorder="1" applyAlignment="1" applyProtection="1">
      <alignment vertical="center" wrapText="1"/>
      <protection hidden="1"/>
    </xf>
    <xf numFmtId="0" fontId="166" fillId="11" borderId="122" xfId="2" applyFont="1" applyFill="1" applyBorder="1" applyProtection="1">
      <protection hidden="1"/>
    </xf>
    <xf numFmtId="0" fontId="166" fillId="11" borderId="0" xfId="2" applyFont="1" applyFill="1" applyBorder="1" applyProtection="1">
      <protection hidden="1"/>
    </xf>
    <xf numFmtId="0" fontId="192" fillId="11" borderId="0" xfId="2" applyFont="1" applyFill="1" applyBorder="1" applyProtection="1">
      <protection locked="0"/>
    </xf>
    <xf numFmtId="0" fontId="163" fillId="11" borderId="0" xfId="2" applyFont="1" applyFill="1" applyBorder="1" applyAlignment="1" applyProtection="1">
      <alignment vertical="center" wrapText="1"/>
      <protection locked="0"/>
    </xf>
    <xf numFmtId="0" fontId="163" fillId="11" borderId="123" xfId="2" applyFont="1" applyFill="1" applyBorder="1" applyAlignment="1" applyProtection="1">
      <alignment vertical="center" wrapText="1"/>
      <protection locked="0"/>
    </xf>
    <xf numFmtId="3" fontId="166" fillId="24" borderId="166" xfId="2" applyNumberFormat="1" applyFont="1" applyFill="1" applyBorder="1" applyAlignment="1" applyProtection="1">
      <protection hidden="1"/>
    </xf>
    <xf numFmtId="0" fontId="1" fillId="11" borderId="0" xfId="2" applyFont="1" applyFill="1" applyBorder="1" applyProtection="1">
      <protection hidden="1"/>
    </xf>
    <xf numFmtId="0" fontId="1" fillId="11" borderId="0" xfId="2" applyFont="1" applyFill="1" applyBorder="1" applyAlignment="1" applyProtection="1">
      <protection hidden="1"/>
    </xf>
    <xf numFmtId="3" fontId="1" fillId="11" borderId="0" xfId="2" applyNumberFormat="1" applyFont="1" applyFill="1" applyBorder="1" applyAlignment="1" applyProtection="1">
      <protection hidden="1"/>
    </xf>
    <xf numFmtId="0" fontId="1" fillId="11" borderId="238" xfId="2" applyFont="1" applyFill="1" applyBorder="1" applyProtection="1">
      <protection hidden="1"/>
    </xf>
    <xf numFmtId="0" fontId="1" fillId="11" borderId="278" xfId="2" applyFont="1" applyFill="1" applyBorder="1" applyProtection="1">
      <protection hidden="1"/>
    </xf>
    <xf numFmtId="3" fontId="1" fillId="11" borderId="166" xfId="2" applyNumberFormat="1" applyFont="1" applyFill="1" applyBorder="1" applyAlignment="1" applyProtection="1">
      <protection hidden="1"/>
    </xf>
    <xf numFmtId="0" fontId="24" fillId="11" borderId="173" xfId="2" applyFont="1" applyFill="1" applyBorder="1" applyAlignment="1" applyProtection="1">
      <protection hidden="1"/>
    </xf>
    <xf numFmtId="3" fontId="24" fillId="11" borderId="173" xfId="2" applyNumberFormat="1" applyFont="1" applyFill="1" applyBorder="1" applyAlignment="1" applyProtection="1">
      <protection hidden="1"/>
    </xf>
    <xf numFmtId="0" fontId="1" fillId="11" borderId="166" xfId="2" applyFont="1" applyFill="1" applyBorder="1" applyProtection="1">
      <protection hidden="1"/>
    </xf>
    <xf numFmtId="0" fontId="24" fillId="11" borderId="173" xfId="2" applyFont="1" applyFill="1" applyBorder="1" applyProtection="1">
      <protection hidden="1"/>
    </xf>
    <xf numFmtId="3" fontId="24" fillId="11" borderId="173" xfId="2" applyNumberFormat="1" applyFont="1" applyFill="1" applyBorder="1" applyProtection="1">
      <protection hidden="1"/>
    </xf>
    <xf numFmtId="0" fontId="214" fillId="0" borderId="0" xfId="2" applyFont="1"/>
    <xf numFmtId="0" fontId="0" fillId="0" borderId="66" xfId="2" applyFont="1" applyBorder="1" applyAlignment="1">
      <alignment vertical="center" wrapText="1"/>
    </xf>
    <xf numFmtId="0" fontId="174" fillId="0" borderId="78" xfId="2" applyFont="1" applyBorder="1" applyAlignment="1">
      <alignment wrapText="1"/>
    </xf>
    <xf numFmtId="0" fontId="214" fillId="0" borderId="111" xfId="2" applyFont="1" applyBorder="1" applyAlignment="1">
      <alignment vertical="center" wrapText="1"/>
    </xf>
    <xf numFmtId="4" fontId="0" fillId="0" borderId="113" xfId="2" applyNumberFormat="1" applyFont="1" applyBorder="1"/>
    <xf numFmtId="4" fontId="0" fillId="0" borderId="112" xfId="2" applyNumberFormat="1" applyFont="1" applyBorder="1"/>
    <xf numFmtId="4" fontId="214" fillId="0" borderId="73" xfId="2" applyNumberFormat="1" applyFont="1" applyBorder="1"/>
    <xf numFmtId="0" fontId="0" fillId="0" borderId="403" xfId="2" applyFont="1" applyBorder="1" applyAlignment="1">
      <alignment vertical="center" wrapText="1"/>
    </xf>
    <xf numFmtId="0" fontId="174" fillId="0" borderId="404" xfId="2" applyFont="1" applyBorder="1" applyAlignment="1">
      <alignment wrapText="1"/>
    </xf>
    <xf numFmtId="0" fontId="77" fillId="0" borderId="404" xfId="2" applyFont="1" applyBorder="1" applyAlignment="1">
      <alignment vertical="center" wrapText="1"/>
    </xf>
    <xf numFmtId="4" fontId="0" fillId="0" borderId="405" xfId="2" applyNumberFormat="1" applyFont="1" applyBorder="1"/>
    <xf numFmtId="4" fontId="0" fillId="0" borderId="406" xfId="2" applyNumberFormat="1" applyFont="1" applyBorder="1"/>
    <xf numFmtId="0" fontId="0" fillId="0" borderId="406" xfId="2" applyFont="1" applyBorder="1"/>
    <xf numFmtId="0" fontId="214" fillId="0" borderId="407" xfId="2" applyFont="1" applyBorder="1" applyAlignment="1">
      <alignment vertical="center" wrapText="1"/>
    </xf>
    <xf numFmtId="0" fontId="174" fillId="0" borderId="408" xfId="2" applyFont="1" applyBorder="1" applyAlignment="1">
      <alignment wrapText="1"/>
    </xf>
    <xf numFmtId="0" fontId="53" fillId="0" borderId="408" xfId="2" applyFont="1" applyFill="1" applyBorder="1" applyAlignment="1">
      <alignment vertical="center" wrapText="1"/>
    </xf>
    <xf numFmtId="0" fontId="174" fillId="0" borderId="409" xfId="2" applyFont="1" applyBorder="1" applyAlignment="1">
      <alignment vertical="center" wrapText="1"/>
    </xf>
    <xf numFmtId="4" fontId="142" fillId="0" borderId="410" xfId="2" applyNumberFormat="1" applyFont="1" applyBorder="1"/>
    <xf numFmtId="4" fontId="0" fillId="0" borderId="411" xfId="2" applyNumberFormat="1" applyFont="1" applyBorder="1"/>
    <xf numFmtId="0" fontId="0" fillId="0" borderId="411" xfId="2" applyFont="1" applyBorder="1"/>
    <xf numFmtId="0" fontId="0" fillId="0" borderId="78" xfId="2" applyFont="1" applyBorder="1" applyAlignment="1">
      <alignment vertical="center" wrapText="1"/>
    </xf>
    <xf numFmtId="3" fontId="0" fillId="0" borderId="112" xfId="2" applyNumberFormat="1" applyFont="1" applyBorder="1"/>
    <xf numFmtId="0" fontId="214" fillId="0" borderId="265" xfId="2" applyFont="1" applyBorder="1" applyAlignment="1">
      <alignment vertical="center" wrapText="1"/>
    </xf>
    <xf numFmtId="3" fontId="214" fillId="0" borderId="292" xfId="2" applyNumberFormat="1" applyFont="1" applyBorder="1"/>
    <xf numFmtId="0" fontId="174" fillId="14" borderId="306" xfId="2" applyFont="1" applyFill="1" applyBorder="1"/>
    <xf numFmtId="4" fontId="0" fillId="14" borderId="0" xfId="2" applyNumberFormat="1" applyFont="1" applyFill="1"/>
    <xf numFmtId="4" fontId="0" fillId="14" borderId="388" xfId="2" applyNumberFormat="1" applyFont="1" applyFill="1" applyBorder="1"/>
    <xf numFmtId="4" fontId="5" fillId="14" borderId="0" xfId="2" applyNumberFormat="1" applyFont="1" applyFill="1" applyBorder="1"/>
    <xf numFmtId="0" fontId="129" fillId="2" borderId="14" xfId="2" applyFont="1" applyFill="1" applyBorder="1" applyProtection="1">
      <protection hidden="1"/>
    </xf>
    <xf numFmtId="0" fontId="138" fillId="2" borderId="14" xfId="2" applyFont="1" applyFill="1" applyBorder="1" applyProtection="1">
      <protection hidden="1"/>
    </xf>
    <xf numFmtId="0" fontId="119" fillId="0" borderId="66" xfId="2" applyFont="1" applyBorder="1" applyAlignment="1">
      <alignment vertical="center" wrapText="1"/>
    </xf>
    <xf numFmtId="3" fontId="214" fillId="0" borderId="412" xfId="2" applyNumberFormat="1" applyFont="1" applyBorder="1"/>
    <xf numFmtId="3" fontId="214" fillId="0" borderId="413" xfId="2" applyNumberFormat="1" applyFont="1" applyBorder="1"/>
    <xf numFmtId="0" fontId="0" fillId="14" borderId="355" xfId="2" applyFont="1" applyFill="1" applyBorder="1"/>
    <xf numFmtId="0" fontId="0" fillId="14" borderId="317" xfId="2" applyFont="1" applyFill="1" applyBorder="1"/>
    <xf numFmtId="0" fontId="174" fillId="14" borderId="317" xfId="2" applyFont="1" applyFill="1" applyBorder="1"/>
    <xf numFmtId="165" fontId="214" fillId="0" borderId="0" xfId="2" applyNumberFormat="1" applyFont="1"/>
    <xf numFmtId="0" fontId="0" fillId="20" borderId="0" xfId="2" applyFont="1" applyFill="1"/>
    <xf numFmtId="0" fontId="26" fillId="20" borderId="0" xfId="2" applyFont="1" applyFill="1"/>
    <xf numFmtId="0" fontId="23" fillId="0" borderId="251" xfId="2" applyFont="1" applyFill="1" applyBorder="1" applyAlignment="1">
      <alignment horizontal="center" vertical="center" wrapText="1"/>
    </xf>
    <xf numFmtId="0" fontId="23" fillId="0" borderId="163" xfId="2" applyFont="1" applyBorder="1" applyAlignment="1">
      <alignment horizontal="center"/>
    </xf>
    <xf numFmtId="0" fontId="142" fillId="2" borderId="14" xfId="2" applyFont="1" applyFill="1" applyBorder="1" applyProtection="1">
      <protection hidden="1"/>
    </xf>
    <xf numFmtId="0" fontId="142" fillId="2" borderId="74" xfId="2" applyFont="1" applyFill="1" applyBorder="1" applyProtection="1">
      <protection hidden="1"/>
    </xf>
    <xf numFmtId="0" fontId="23" fillId="11" borderId="137" xfId="2" applyFont="1" applyFill="1" applyBorder="1" applyAlignment="1" applyProtection="1">
      <alignment horizontal="right"/>
      <protection hidden="1"/>
    </xf>
    <xf numFmtId="166" fontId="26" fillId="0" borderId="89" xfId="2" applyNumberFormat="1" applyFont="1" applyFill="1" applyBorder="1" applyProtection="1">
      <protection locked="0"/>
    </xf>
    <xf numFmtId="0" fontId="1" fillId="19" borderId="137" xfId="2" applyFont="1" applyFill="1" applyBorder="1" applyProtection="1">
      <protection hidden="1"/>
    </xf>
    <xf numFmtId="0" fontId="1" fillId="19" borderId="89" xfId="2" applyFont="1" applyFill="1" applyBorder="1" applyAlignment="1" applyProtection="1">
      <alignment horizontal="center"/>
      <protection locked="0"/>
    </xf>
    <xf numFmtId="0" fontId="1" fillId="19" borderId="136" xfId="2" applyFont="1" applyFill="1" applyBorder="1" applyAlignment="1" applyProtection="1">
      <alignment horizontal="center"/>
      <protection hidden="1"/>
    </xf>
    <xf numFmtId="0" fontId="175" fillId="0" borderId="414" xfId="2" applyFont="1" applyBorder="1" applyAlignment="1">
      <alignment vertical="center" wrapText="1"/>
    </xf>
    <xf numFmtId="0" fontId="129" fillId="0" borderId="415" xfId="2" applyFont="1" applyBorder="1" applyAlignment="1">
      <alignment vertical="center" wrapText="1"/>
    </xf>
    <xf numFmtId="0" fontId="138" fillId="0" borderId="416" xfId="2" applyFont="1" applyBorder="1" applyAlignment="1">
      <alignment vertical="center" wrapText="1"/>
    </xf>
    <xf numFmtId="0" fontId="138" fillId="0" borderId="415" xfId="2" applyFont="1" applyBorder="1" applyAlignment="1">
      <alignment vertical="center" wrapText="1"/>
    </xf>
    <xf numFmtId="0" fontId="105" fillId="11" borderId="89" xfId="2" applyFont="1" applyFill="1" applyBorder="1" applyAlignment="1" applyProtection="1">
      <alignment horizontal="center"/>
      <protection hidden="1"/>
    </xf>
    <xf numFmtId="0" fontId="0" fillId="0" borderId="417" xfId="2" applyFont="1" applyBorder="1"/>
    <xf numFmtId="0" fontId="0" fillId="0" borderId="308" xfId="2" applyFont="1" applyBorder="1" applyProtection="1">
      <protection hidden="1"/>
    </xf>
    <xf numFmtId="0" fontId="0" fillId="11" borderId="308" xfId="2" applyFont="1" applyFill="1" applyBorder="1" applyProtection="1">
      <protection hidden="1"/>
    </xf>
    <xf numFmtId="165" fontId="3" fillId="11" borderId="418" xfId="2" applyNumberFormat="1" applyFont="1" applyFill="1" applyBorder="1" applyProtection="1">
      <protection hidden="1"/>
    </xf>
    <xf numFmtId="0" fontId="214" fillId="0" borderId="0" xfId="2" applyFont="1" applyFill="1" applyBorder="1" applyProtection="1">
      <protection hidden="1"/>
    </xf>
    <xf numFmtId="0" fontId="82" fillId="0" borderId="27" xfId="2" applyFont="1" applyBorder="1" applyAlignment="1" applyProtection="1">
      <alignment wrapText="1"/>
      <protection hidden="1"/>
    </xf>
    <xf numFmtId="0" fontId="82" fillId="0" borderId="0" xfId="2" applyFont="1" applyBorder="1" applyAlignment="1" applyProtection="1">
      <alignment wrapText="1"/>
      <protection hidden="1"/>
    </xf>
    <xf numFmtId="0" fontId="25" fillId="0" borderId="0" xfId="2" applyFont="1" applyBorder="1" applyAlignment="1" applyProtection="1">
      <alignment horizontal="center"/>
      <protection hidden="1"/>
    </xf>
    <xf numFmtId="0" fontId="226" fillId="0" borderId="0" xfId="2" applyFont="1"/>
    <xf numFmtId="0" fontId="25" fillId="0" borderId="0" xfId="2" applyFont="1" applyBorder="1" applyAlignment="1" applyProtection="1">
      <protection hidden="1"/>
    </xf>
    <xf numFmtId="0" fontId="25" fillId="0" borderId="0" xfId="2" applyFont="1"/>
    <xf numFmtId="0" fontId="25" fillId="0" borderId="27" xfId="2" applyFont="1" applyBorder="1" applyAlignment="1" applyProtection="1">
      <alignment horizontal="center"/>
      <protection hidden="1"/>
    </xf>
    <xf numFmtId="0" fontId="26" fillId="10" borderId="257" xfId="2" applyFont="1" applyFill="1" applyBorder="1" applyAlignment="1" applyProtection="1">
      <alignment horizontal="left"/>
      <protection hidden="1"/>
    </xf>
    <xf numFmtId="0" fontId="138" fillId="9" borderId="2" xfId="2" applyFont="1" applyFill="1" applyBorder="1"/>
    <xf numFmtId="0" fontId="7" fillId="0" borderId="138" xfId="2" applyFont="1" applyBorder="1"/>
    <xf numFmtId="0" fontId="138" fillId="17" borderId="419" xfId="2" applyFont="1" applyFill="1" applyBorder="1" applyProtection="1">
      <protection hidden="1"/>
    </xf>
    <xf numFmtId="0" fontId="142" fillId="17" borderId="0" xfId="2" applyFont="1" applyFill="1"/>
    <xf numFmtId="0" fontId="138" fillId="0" borderId="419" xfId="2" applyFont="1" applyFill="1" applyBorder="1" applyProtection="1">
      <protection hidden="1"/>
    </xf>
    <xf numFmtId="0" fontId="7" fillId="0" borderId="0" xfId="2" applyFont="1" applyFill="1"/>
    <xf numFmtId="0" fontId="142" fillId="0" borderId="0" xfId="2" applyFont="1" applyFill="1"/>
    <xf numFmtId="0" fontId="0" fillId="0" borderId="278" xfId="2" applyFont="1" applyFill="1" applyBorder="1"/>
    <xf numFmtId="0" fontId="5" fillId="0" borderId="295" xfId="2" applyFont="1" applyFill="1" applyBorder="1" applyProtection="1">
      <protection hidden="1"/>
    </xf>
    <xf numFmtId="0" fontId="3" fillId="0" borderId="173" xfId="2" applyFont="1" applyFill="1" applyBorder="1"/>
    <xf numFmtId="0" fontId="3" fillId="0" borderId="0" xfId="2" applyFont="1" applyFill="1" applyBorder="1"/>
    <xf numFmtId="0" fontId="138" fillId="10" borderId="2" xfId="2" applyFont="1" applyFill="1" applyBorder="1"/>
    <xf numFmtId="0" fontId="227" fillId="26" borderId="2" xfId="2" applyFont="1" applyFill="1" applyBorder="1" applyAlignment="1" applyProtection="1">
      <alignment horizontal="center" vertical="center" wrapText="1"/>
      <protection hidden="1"/>
    </xf>
    <xf numFmtId="0" fontId="129" fillId="0" borderId="0" xfId="2" applyFont="1" applyAlignment="1">
      <alignment wrapText="1"/>
    </xf>
    <xf numFmtId="0" fontId="94" fillId="27" borderId="420" xfId="2" applyFont="1" applyFill="1" applyBorder="1" applyProtection="1">
      <protection hidden="1"/>
    </xf>
    <xf numFmtId="0" fontId="3" fillId="19" borderId="421" xfId="2" applyFont="1" applyFill="1" applyBorder="1" applyAlignment="1" applyProtection="1">
      <alignment horizontal="center"/>
      <protection hidden="1"/>
    </xf>
    <xf numFmtId="0" fontId="26" fillId="19" borderId="422" xfId="2" applyFont="1" applyFill="1" applyBorder="1" applyAlignment="1" applyProtection="1">
      <alignment horizontal="center"/>
      <protection hidden="1"/>
    </xf>
    <xf numFmtId="0" fontId="26" fillId="0" borderId="0" xfId="2" applyFont="1" applyFill="1" applyBorder="1" applyAlignment="1">
      <alignment horizontal="center"/>
    </xf>
    <xf numFmtId="49" fontId="26" fillId="0" borderId="0" xfId="2" applyNumberFormat="1" applyFont="1" applyFill="1" applyBorder="1"/>
    <xf numFmtId="1" fontId="95" fillId="0" borderId="0" xfId="2" applyNumberFormat="1" applyFont="1" applyFill="1"/>
    <xf numFmtId="1" fontId="95" fillId="0" borderId="0" xfId="2" applyNumberFormat="1" applyFont="1" applyFill="1" applyAlignment="1">
      <alignment horizontal="left"/>
    </xf>
    <xf numFmtId="3" fontId="129" fillId="19" borderId="0" xfId="2" applyNumberFormat="1" applyFont="1" applyFill="1"/>
    <xf numFmtId="0" fontId="129" fillId="9" borderId="0" xfId="2" applyFont="1" applyFill="1" applyAlignment="1">
      <alignment wrapText="1"/>
    </xf>
    <xf numFmtId="3" fontId="167" fillId="0" borderId="0" xfId="2" applyNumberFormat="1" applyFont="1"/>
    <xf numFmtId="3" fontId="3" fillId="0" borderId="0" xfId="2" applyNumberFormat="1" applyFont="1"/>
    <xf numFmtId="0" fontId="170" fillId="0" borderId="0" xfId="2" applyFont="1"/>
    <xf numFmtId="0" fontId="170" fillId="0" borderId="0" xfId="2" applyFont="1" applyAlignment="1">
      <alignment wrapText="1"/>
    </xf>
    <xf numFmtId="3" fontId="170" fillId="0" borderId="0" xfId="2" applyNumberFormat="1" applyFont="1"/>
    <xf numFmtId="3" fontId="170" fillId="19" borderId="0" xfId="2" applyNumberFormat="1" applyFont="1" applyFill="1"/>
    <xf numFmtId="3" fontId="23" fillId="0" borderId="0" xfId="2" applyNumberFormat="1" applyFont="1"/>
    <xf numFmtId="0" fontId="3" fillId="15" borderId="65" xfId="2" applyFont="1" applyFill="1" applyBorder="1" applyAlignment="1" applyProtection="1">
      <alignment vertical="center" wrapText="1"/>
      <protection hidden="1"/>
    </xf>
    <xf numFmtId="0" fontId="3" fillId="0" borderId="2" xfId="2" applyFont="1" applyFill="1" applyBorder="1" applyAlignment="1" applyProtection="1">
      <alignment horizontal="center" vertical="center" wrapText="1"/>
      <protection hidden="1"/>
    </xf>
    <xf numFmtId="1" fontId="229" fillId="17" borderId="56" xfId="2" applyNumberFormat="1" applyFont="1" applyFill="1" applyBorder="1"/>
    <xf numFmtId="1" fontId="229" fillId="17" borderId="54" xfId="2" applyNumberFormat="1" applyFont="1" applyFill="1" applyBorder="1"/>
    <xf numFmtId="1" fontId="229" fillId="17" borderId="55" xfId="2" applyNumberFormat="1" applyFont="1" applyFill="1" applyBorder="1"/>
    <xf numFmtId="1" fontId="229" fillId="8" borderId="56" xfId="2" applyNumberFormat="1" applyFont="1" applyFill="1" applyBorder="1"/>
    <xf numFmtId="1" fontId="229" fillId="8" borderId="54" xfId="2" applyNumberFormat="1" applyFont="1" applyFill="1" applyBorder="1"/>
    <xf numFmtId="1" fontId="229" fillId="8" borderId="55" xfId="2" applyNumberFormat="1" applyFont="1" applyFill="1" applyBorder="1"/>
    <xf numFmtId="1" fontId="229" fillId="12" borderId="151" xfId="2" applyNumberFormat="1" applyFont="1" applyFill="1" applyBorder="1"/>
    <xf numFmtId="0" fontId="39" fillId="12" borderId="56" xfId="2" applyFont="1" applyFill="1" applyBorder="1" applyAlignment="1">
      <alignment horizontal="left"/>
    </xf>
    <xf numFmtId="0" fontId="39" fillId="12" borderId="54" xfId="2" applyFont="1" applyFill="1" applyBorder="1" applyAlignment="1">
      <alignment horizontal="left"/>
    </xf>
    <xf numFmtId="0" fontId="39" fillId="12" borderId="55" xfId="2" applyFont="1" applyFill="1" applyBorder="1" applyAlignment="1">
      <alignment horizontal="left"/>
    </xf>
    <xf numFmtId="1" fontId="40" fillId="12" borderId="57" xfId="2" applyNumberFormat="1" applyFont="1" applyFill="1" applyBorder="1"/>
    <xf numFmtId="1" fontId="40" fillId="12" borderId="54" xfId="2" applyNumberFormat="1" applyFont="1" applyFill="1" applyBorder="1"/>
    <xf numFmtId="1" fontId="229" fillId="12" borderId="55" xfId="2" applyNumberFormat="1" applyFont="1" applyFill="1" applyBorder="1"/>
    <xf numFmtId="0" fontId="100" fillId="0" borderId="0" xfId="2" applyFont="1"/>
    <xf numFmtId="0" fontId="32" fillId="0" borderId="0" xfId="2" applyFont="1" applyFill="1" applyAlignment="1">
      <alignment horizontal="left"/>
    </xf>
    <xf numFmtId="9" fontId="229" fillId="0" borderId="0" xfId="2" applyNumberFormat="1" applyFont="1" applyFill="1" applyAlignment="1">
      <alignment horizontal="center"/>
    </xf>
    <xf numFmtId="0" fontId="30" fillId="0" borderId="0" xfId="2" applyFont="1" applyFill="1" applyAlignment="1">
      <alignment wrapText="1"/>
    </xf>
    <xf numFmtId="0" fontId="190" fillId="0" borderId="0" xfId="2" applyFont="1"/>
    <xf numFmtId="9" fontId="37" fillId="0" borderId="0" xfId="2" applyNumberFormat="1" applyFont="1" applyFill="1" applyBorder="1" applyAlignment="1" applyProtection="1">
      <alignment vertical="center" wrapText="1"/>
      <protection hidden="1"/>
    </xf>
    <xf numFmtId="10" fontId="35" fillId="0" borderId="0" xfId="9" applyNumberFormat="1" applyFont="1" applyFill="1" applyBorder="1" applyAlignment="1" applyProtection="1">
      <alignment horizontal="left"/>
      <protection hidden="1"/>
    </xf>
    <xf numFmtId="0" fontId="129" fillId="0" borderId="423" xfId="2" applyFont="1" applyBorder="1" applyProtection="1">
      <protection hidden="1"/>
    </xf>
    <xf numFmtId="0" fontId="5" fillId="23" borderId="0" xfId="2" applyFont="1" applyFill="1" applyProtection="1">
      <protection hidden="1"/>
    </xf>
    <xf numFmtId="9" fontId="26" fillId="23" borderId="0" xfId="2" applyNumberFormat="1" applyFont="1" applyFill="1" applyBorder="1"/>
    <xf numFmtId="0" fontId="5" fillId="10" borderId="65" xfId="2" applyFont="1" applyFill="1" applyBorder="1" applyProtection="1">
      <protection hidden="1"/>
    </xf>
    <xf numFmtId="10" fontId="26" fillId="0" borderId="69" xfId="2" applyNumberFormat="1" applyFont="1" applyBorder="1" applyAlignment="1" applyProtection="1">
      <alignment horizontal="center"/>
      <protection locked="0"/>
    </xf>
    <xf numFmtId="0" fontId="26" fillId="10" borderId="102" xfId="2" applyFont="1" applyFill="1" applyBorder="1" applyAlignment="1" applyProtection="1">
      <alignment horizontal="center"/>
      <protection locked="0"/>
    </xf>
    <xf numFmtId="0" fontId="5" fillId="10" borderId="65" xfId="2" applyFont="1" applyFill="1" applyBorder="1" applyAlignment="1" applyProtection="1">
      <alignment vertical="center" wrapText="1"/>
      <protection hidden="1"/>
    </xf>
    <xf numFmtId="9" fontId="26" fillId="0" borderId="69" xfId="2" applyNumberFormat="1" applyFont="1" applyBorder="1" applyAlignment="1" applyProtection="1">
      <alignment horizontal="center"/>
      <protection locked="0"/>
    </xf>
    <xf numFmtId="0" fontId="0" fillId="10" borderId="102" xfId="2" applyFont="1" applyFill="1" applyBorder="1" applyAlignment="1" applyProtection="1">
      <protection locked="0"/>
    </xf>
    <xf numFmtId="0" fontId="26" fillId="2" borderId="69" xfId="2" applyFont="1" applyFill="1" applyBorder="1" applyProtection="1">
      <protection hidden="1"/>
    </xf>
    <xf numFmtId="0" fontId="26" fillId="2" borderId="102" xfId="2" applyFont="1" applyFill="1" applyBorder="1" applyAlignment="1" applyProtection="1">
      <alignment horizontal="center"/>
      <protection hidden="1"/>
    </xf>
    <xf numFmtId="0" fontId="3" fillId="10" borderId="113" xfId="2" applyFont="1" applyFill="1" applyBorder="1" applyAlignment="1" applyProtection="1">
      <alignment vertical="center"/>
      <protection hidden="1"/>
    </xf>
    <xf numFmtId="9" fontId="3" fillId="10" borderId="112" xfId="2" applyNumberFormat="1" applyFont="1" applyFill="1" applyBorder="1" applyAlignment="1" applyProtection="1">
      <alignment horizontal="center"/>
      <protection hidden="1"/>
    </xf>
    <xf numFmtId="0" fontId="230" fillId="0" borderId="2" xfId="2" applyFont="1" applyBorder="1" applyAlignment="1">
      <alignment horizontal="center"/>
    </xf>
    <xf numFmtId="0" fontId="230" fillId="2" borderId="0" xfId="2" applyFont="1" applyFill="1" applyAlignment="1">
      <alignment wrapText="1"/>
    </xf>
    <xf numFmtId="1" fontId="231" fillId="2" borderId="2" xfId="2" applyNumberFormat="1" applyFont="1" applyFill="1" applyBorder="1" applyAlignment="1">
      <alignment horizontal="center"/>
    </xf>
    <xf numFmtId="0" fontId="232" fillId="10" borderId="0" xfId="2" applyFont="1" applyFill="1"/>
    <xf numFmtId="1" fontId="233" fillId="10" borderId="2" xfId="2" applyNumberFormat="1" applyFont="1" applyFill="1" applyBorder="1" applyAlignment="1">
      <alignment horizontal="center"/>
    </xf>
    <xf numFmtId="0" fontId="0" fillId="5" borderId="0" xfId="2" applyFont="1" applyFill="1" applyBorder="1" applyAlignment="1" applyProtection="1">
      <alignment horizontal="left" vertical="center" wrapText="1"/>
      <protection hidden="1"/>
    </xf>
    <xf numFmtId="0" fontId="1" fillId="14" borderId="0" xfId="2" applyFont="1" applyFill="1" applyBorder="1" applyAlignment="1" applyProtection="1">
      <alignment horizontal="left" vertical="top" wrapText="1"/>
    </xf>
    <xf numFmtId="3" fontId="194" fillId="14" borderId="4" xfId="2" applyNumberFormat="1" applyFont="1" applyFill="1" applyBorder="1" applyProtection="1">
      <protection hidden="1"/>
    </xf>
    <xf numFmtId="3" fontId="6" fillId="5" borderId="0" xfId="2" applyNumberFormat="1" applyFont="1" applyFill="1" applyBorder="1" applyAlignment="1" applyProtection="1">
      <alignment wrapText="1"/>
    </xf>
    <xf numFmtId="0" fontId="138" fillId="0" borderId="0" xfId="2" applyFont="1" applyFill="1" applyBorder="1"/>
    <xf numFmtId="0" fontId="26" fillId="0" borderId="415" xfId="2" applyFont="1" applyBorder="1" applyAlignment="1" applyProtection="1">
      <alignment horizontal="center"/>
      <protection locked="0"/>
    </xf>
    <xf numFmtId="0" fontId="73" fillId="15" borderId="424" xfId="2" applyFont="1" applyFill="1" applyBorder="1" applyAlignment="1" applyProtection="1">
      <alignment horizontal="center"/>
      <protection hidden="1"/>
    </xf>
    <xf numFmtId="3" fontId="23" fillId="0" borderId="0" xfId="2" applyNumberFormat="1" applyFont="1" applyFill="1"/>
    <xf numFmtId="0" fontId="5" fillId="0" borderId="171" xfId="2" applyFont="1" applyFill="1" applyBorder="1"/>
    <xf numFmtId="0" fontId="5" fillId="0" borderId="166" xfId="2" applyFont="1" applyFill="1" applyBorder="1"/>
    <xf numFmtId="0" fontId="23" fillId="0" borderId="166" xfId="2" applyFont="1" applyFill="1" applyBorder="1"/>
    <xf numFmtId="0" fontId="23" fillId="0" borderId="175" xfId="2" applyFont="1" applyFill="1" applyBorder="1"/>
    <xf numFmtId="3" fontId="161" fillId="0" borderId="278" xfId="2" applyNumberFormat="1" applyFont="1" applyBorder="1"/>
    <xf numFmtId="0" fontId="52" fillId="0" borderId="171" xfId="2" applyFont="1" applyFill="1" applyBorder="1"/>
    <xf numFmtId="0" fontId="52" fillId="0" borderId="166" xfId="2" applyFont="1" applyFill="1" applyBorder="1"/>
    <xf numFmtId="0" fontId="52" fillId="0" borderId="175" xfId="2" applyFont="1" applyFill="1" applyBorder="1"/>
    <xf numFmtId="3" fontId="264" fillId="0" borderId="235" xfId="2" applyNumberFormat="1" applyFont="1" applyBorder="1" applyAlignment="1">
      <alignment horizontal="center"/>
    </xf>
    <xf numFmtId="3" fontId="23" fillId="0" borderId="237" xfId="2" applyNumberFormat="1" applyFont="1" applyBorder="1" applyAlignment="1">
      <alignment horizontal="center"/>
    </xf>
    <xf numFmtId="3" fontId="265" fillId="0" borderId="65" xfId="2" applyNumberFormat="1" applyFont="1" applyFill="1" applyBorder="1"/>
    <xf numFmtId="3" fontId="265" fillId="0" borderId="102" xfId="2" applyNumberFormat="1" applyFont="1" applyFill="1" applyBorder="1"/>
    <xf numFmtId="0" fontId="266" fillId="0" borderId="265" xfId="2" applyFont="1" applyFill="1" applyBorder="1" applyAlignment="1">
      <alignment wrapText="1"/>
    </xf>
    <xf numFmtId="3" fontId="267" fillId="0" borderId="266" xfId="2" applyNumberFormat="1" applyFont="1" applyFill="1" applyBorder="1"/>
    <xf numFmtId="0" fontId="165" fillId="10" borderId="80" xfId="2" applyFont="1" applyFill="1" applyBorder="1" applyAlignment="1" applyProtection="1">
      <alignment wrapText="1"/>
      <protection hidden="1"/>
    </xf>
    <xf numFmtId="0" fontId="267" fillId="0" borderId="0" xfId="2" applyFont="1"/>
    <xf numFmtId="0" fontId="23" fillId="30" borderId="0" xfId="2" applyNumberFormat="1" applyFont="1" applyFill="1"/>
    <xf numFmtId="49" fontId="99" fillId="30" borderId="0" xfId="2" applyNumberFormat="1" applyFont="1" applyFill="1"/>
    <xf numFmtId="0" fontId="52" fillId="30" borderId="0" xfId="2" applyNumberFormat="1" applyFont="1" applyFill="1"/>
    <xf numFmtId="0" fontId="52" fillId="30" borderId="0" xfId="2" applyFont="1" applyFill="1"/>
    <xf numFmtId="0" fontId="99" fillId="30" borderId="0" xfId="2" applyNumberFormat="1" applyFont="1" applyFill="1"/>
    <xf numFmtId="49" fontId="99" fillId="30" borderId="0" xfId="2" applyNumberFormat="1" applyFont="1" applyFill="1" applyAlignment="1">
      <alignment wrapText="1"/>
    </xf>
    <xf numFmtId="0" fontId="268" fillId="0" borderId="0" xfId="2" applyFont="1" applyAlignment="1">
      <alignment vertical="center" wrapText="1"/>
    </xf>
    <xf numFmtId="3" fontId="266" fillId="10" borderId="82" xfId="2" applyNumberFormat="1" applyFont="1" applyFill="1" applyBorder="1" applyProtection="1">
      <protection hidden="1"/>
    </xf>
    <xf numFmtId="3" fontId="266" fillId="10" borderId="82" xfId="2" applyNumberFormat="1" applyFont="1" applyFill="1" applyBorder="1" applyAlignment="1" applyProtection="1">
      <protection hidden="1"/>
    </xf>
    <xf numFmtId="3" fontId="266" fillId="10" borderId="425" xfId="2" applyNumberFormat="1" applyFont="1" applyFill="1" applyBorder="1" applyAlignment="1" applyProtection="1">
      <protection hidden="1"/>
    </xf>
    <xf numFmtId="0" fontId="269" fillId="0" borderId="0" xfId="2" applyFont="1" applyFill="1" applyAlignment="1">
      <alignment vertical="center" wrapText="1"/>
    </xf>
    <xf numFmtId="0" fontId="266" fillId="31" borderId="0" xfId="2" applyFont="1" applyFill="1"/>
    <xf numFmtId="0" fontId="267" fillId="0" borderId="0" xfId="0" applyFont="1"/>
    <xf numFmtId="0" fontId="266" fillId="0" borderId="0" xfId="0" applyFont="1"/>
    <xf numFmtId="0" fontId="270" fillId="0" borderId="0" xfId="0" applyFont="1"/>
    <xf numFmtId="0" fontId="5" fillId="0" borderId="0" xfId="0" applyFont="1"/>
    <xf numFmtId="0" fontId="0" fillId="0" borderId="0" xfId="0" applyAlignment="1">
      <alignment vertical="center" wrapText="1"/>
    </xf>
    <xf numFmtId="0" fontId="5" fillId="0" borderId="0" xfId="0" applyFont="1" applyAlignment="1">
      <alignment vertical="center" wrapText="1"/>
    </xf>
    <xf numFmtId="3" fontId="0" fillId="0" borderId="0" xfId="0" applyNumberFormat="1"/>
    <xf numFmtId="0" fontId="5" fillId="32" borderId="118" xfId="2" applyFont="1" applyFill="1" applyBorder="1" applyProtection="1">
      <protection hidden="1"/>
    </xf>
    <xf numFmtId="166" fontId="72" fillId="32" borderId="119" xfId="2" applyNumberFormat="1" applyFont="1" applyFill="1" applyBorder="1" applyAlignment="1" applyProtection="1">
      <alignment horizontal="center"/>
      <protection hidden="1"/>
    </xf>
    <xf numFmtId="166" fontId="72" fillId="32" borderId="233" xfId="2" applyNumberFormat="1" applyFont="1" applyFill="1" applyBorder="1" applyAlignment="1" applyProtection="1">
      <alignment horizontal="center"/>
      <protection hidden="1"/>
    </xf>
    <xf numFmtId="0" fontId="267" fillId="0" borderId="511" xfId="0" applyFont="1" applyBorder="1" applyAlignment="1">
      <alignment vertical="center" wrapText="1"/>
    </xf>
    <xf numFmtId="0" fontId="266" fillId="0" borderId="512" xfId="0" applyFont="1" applyBorder="1" applyAlignment="1">
      <alignment vertical="center" wrapText="1"/>
    </xf>
    <xf numFmtId="0" fontId="26" fillId="2" borderId="513" xfId="2" applyFont="1" applyFill="1" applyBorder="1" applyProtection="1">
      <protection hidden="1"/>
    </xf>
    <xf numFmtId="3" fontId="0" fillId="0" borderId="514" xfId="0" applyNumberFormat="1" applyBorder="1"/>
    <xf numFmtId="0" fontId="0" fillId="0" borderId="514" xfId="0" applyBorder="1"/>
    <xf numFmtId="0" fontId="0" fillId="0" borderId="515" xfId="0" applyBorder="1"/>
    <xf numFmtId="0" fontId="0" fillId="0" borderId="513" xfId="0" applyBorder="1"/>
    <xf numFmtId="0" fontId="5" fillId="2" borderId="513" xfId="2" applyFont="1" applyFill="1" applyBorder="1" applyProtection="1">
      <protection hidden="1"/>
    </xf>
    <xf numFmtId="0" fontId="5" fillId="32" borderId="514" xfId="0" applyFont="1" applyFill="1" applyBorder="1"/>
    <xf numFmtId="0" fontId="5" fillId="2" borderId="516" xfId="2" applyFont="1" applyFill="1" applyBorder="1" applyProtection="1">
      <protection hidden="1"/>
    </xf>
    <xf numFmtId="0" fontId="0" fillId="0" borderId="517" xfId="0" applyBorder="1"/>
    <xf numFmtId="0" fontId="0" fillId="0" borderId="518" xfId="0" applyBorder="1"/>
    <xf numFmtId="0" fontId="271" fillId="0" borderId="519" xfId="0" applyFont="1" applyBorder="1" applyAlignment="1">
      <alignment vertical="center" wrapText="1"/>
    </xf>
    <xf numFmtId="3" fontId="0" fillId="0" borderId="515" xfId="0" applyNumberFormat="1" applyBorder="1"/>
    <xf numFmtId="0" fontId="266" fillId="0" borderId="520" xfId="0" applyFont="1" applyBorder="1" applyAlignment="1">
      <alignment vertical="center" wrapText="1"/>
    </xf>
    <xf numFmtId="3" fontId="0" fillId="0" borderId="521" xfId="0" applyNumberFormat="1" applyBorder="1"/>
    <xf numFmtId="0" fontId="0" fillId="0" borderId="521" xfId="0" applyBorder="1"/>
    <xf numFmtId="0" fontId="0" fillId="0" borderId="522" xfId="0" applyBorder="1"/>
    <xf numFmtId="0" fontId="267" fillId="2" borderId="230" xfId="2" applyFont="1" applyFill="1" applyBorder="1" applyProtection="1">
      <protection hidden="1"/>
    </xf>
    <xf numFmtId="3" fontId="266" fillId="0" borderId="0" xfId="0" applyNumberFormat="1" applyFont="1"/>
    <xf numFmtId="0" fontId="266" fillId="0" borderId="0" xfId="0" applyFont="1" applyAlignment="1">
      <alignment horizontal="center" vertical="center" wrapText="1"/>
    </xf>
    <xf numFmtId="0" fontId="266" fillId="33" borderId="0" xfId="2" applyFont="1" applyFill="1" applyAlignment="1">
      <alignment vertical="center" wrapText="1"/>
    </xf>
    <xf numFmtId="0" fontId="5" fillId="34" borderId="0" xfId="0" applyFont="1" applyFill="1" applyAlignment="1">
      <alignment vertical="center" wrapText="1"/>
    </xf>
    <xf numFmtId="0" fontId="6" fillId="34" borderId="0" xfId="0" applyFont="1" applyFill="1" applyAlignment="1">
      <alignment horizontal="center" vertical="center" wrapText="1"/>
    </xf>
    <xf numFmtId="0" fontId="272" fillId="0" borderId="0" xfId="0" applyFont="1" applyAlignment="1">
      <alignment vertical="center"/>
    </xf>
    <xf numFmtId="49" fontId="266" fillId="0" borderId="0" xfId="2" applyNumberFormat="1" applyFont="1" applyAlignment="1">
      <alignment horizontal="center"/>
    </xf>
    <xf numFmtId="0" fontId="266" fillId="0" borderId="0" xfId="2" applyFont="1" applyAlignment="1">
      <alignment horizontal="center"/>
    </xf>
    <xf numFmtId="0" fontId="273" fillId="0" borderId="0" xfId="2" applyFont="1"/>
    <xf numFmtId="3" fontId="273" fillId="0" borderId="0" xfId="2" applyNumberFormat="1" applyFont="1" applyAlignment="1">
      <alignment horizontal="right"/>
    </xf>
    <xf numFmtId="3" fontId="273" fillId="31" borderId="0" xfId="2" applyNumberFormat="1" applyFont="1" applyFill="1" applyAlignment="1">
      <alignment horizontal="right"/>
    </xf>
    <xf numFmtId="0" fontId="274" fillId="0" borderId="0" xfId="2" applyFont="1"/>
    <xf numFmtId="49" fontId="29" fillId="0" borderId="0" xfId="2" applyNumberFormat="1" applyFont="1" applyFill="1"/>
    <xf numFmtId="0" fontId="200" fillId="0" borderId="0" xfId="2" applyFont="1" applyFill="1"/>
    <xf numFmtId="0" fontId="29" fillId="0" borderId="0" xfId="2" applyFont="1" applyBorder="1"/>
    <xf numFmtId="0" fontId="266" fillId="0" borderId="0" xfId="0" applyFont="1" applyBorder="1" applyAlignment="1">
      <alignment vertical="center" wrapText="1"/>
    </xf>
    <xf numFmtId="3" fontId="0" fillId="0" borderId="0" xfId="0" applyNumberFormat="1" applyBorder="1"/>
    <xf numFmtId="0" fontId="0" fillId="0" borderId="0" xfId="0" applyBorder="1"/>
    <xf numFmtId="0" fontId="271" fillId="0" borderId="519" xfId="0" applyFont="1" applyBorder="1" applyAlignment="1">
      <alignment vertical="center"/>
    </xf>
    <xf numFmtId="0" fontId="5" fillId="35" borderId="513" xfId="2" applyFont="1" applyFill="1" applyBorder="1" applyProtection="1">
      <protection hidden="1"/>
    </xf>
    <xf numFmtId="0" fontId="0" fillId="35" borderId="514" xfId="0" applyFill="1" applyBorder="1"/>
    <xf numFmtId="0" fontId="29" fillId="0" borderId="511" xfId="2" applyFont="1" applyBorder="1"/>
    <xf numFmtId="0" fontId="100" fillId="0" borderId="511" xfId="2" applyFont="1" applyBorder="1" applyAlignment="1">
      <alignment horizontal="center"/>
    </xf>
    <xf numFmtId="49" fontId="29" fillId="0" borderId="511" xfId="2" applyNumberFormat="1" applyFont="1" applyBorder="1"/>
    <xf numFmtId="0" fontId="29" fillId="0" borderId="513" xfId="2" applyFont="1" applyBorder="1"/>
    <xf numFmtId="0" fontId="26" fillId="36" borderId="514" xfId="2" applyFont="1" applyFill="1" applyBorder="1" applyProtection="1">
      <protection hidden="1"/>
    </xf>
    <xf numFmtId="0" fontId="29" fillId="36" borderId="514" xfId="2" applyFont="1" applyFill="1" applyBorder="1"/>
    <xf numFmtId="0" fontId="29" fillId="0" borderId="514" xfId="2" applyFont="1" applyBorder="1"/>
    <xf numFmtId="0" fontId="5" fillId="32" borderId="514" xfId="2" applyFont="1" applyFill="1" applyBorder="1" applyProtection="1">
      <protection hidden="1"/>
    </xf>
    <xf numFmtId="0" fontId="29" fillId="32" borderId="514" xfId="2" applyFont="1" applyFill="1" applyBorder="1"/>
    <xf numFmtId="0" fontId="100" fillId="35" borderId="514" xfId="2" applyFont="1" applyFill="1" applyBorder="1" applyAlignment="1">
      <alignment horizontal="center"/>
    </xf>
    <xf numFmtId="0" fontId="26" fillId="37" borderId="514" xfId="2" applyFont="1" applyFill="1" applyBorder="1" applyProtection="1">
      <protection hidden="1"/>
    </xf>
    <xf numFmtId="0" fontId="100" fillId="37" borderId="514" xfId="2" applyFont="1" applyFill="1" applyBorder="1" applyAlignment="1">
      <alignment horizontal="center"/>
    </xf>
    <xf numFmtId="0" fontId="29" fillId="0" borderId="516" xfId="2" applyFont="1" applyBorder="1"/>
    <xf numFmtId="0" fontId="26" fillId="37" borderId="517" xfId="2" applyFont="1" applyFill="1" applyBorder="1" applyProtection="1">
      <protection hidden="1"/>
    </xf>
    <xf numFmtId="0" fontId="100" fillId="37" borderId="517" xfId="2" applyFont="1" applyFill="1" applyBorder="1" applyAlignment="1">
      <alignment horizontal="center"/>
    </xf>
    <xf numFmtId="0" fontId="271" fillId="0" borderId="523" xfId="0" applyFont="1" applyBorder="1" applyAlignment="1">
      <alignment vertical="center"/>
    </xf>
    <xf numFmtId="0" fontId="29" fillId="0" borderId="524" xfId="2" applyFont="1" applyBorder="1"/>
    <xf numFmtId="0" fontId="100" fillId="0" borderId="524" xfId="2" applyFont="1" applyBorder="1" applyAlignment="1">
      <alignment horizontal="center"/>
    </xf>
    <xf numFmtId="3" fontId="29" fillId="0" borderId="514" xfId="2" applyNumberFormat="1" applyFont="1" applyBorder="1"/>
    <xf numFmtId="3" fontId="29" fillId="0" borderId="517" xfId="2" applyNumberFormat="1" applyFont="1" applyBorder="1"/>
    <xf numFmtId="0" fontId="29" fillId="0" borderId="514" xfId="2" applyNumberFormat="1" applyFont="1" applyBorder="1"/>
    <xf numFmtId="49" fontId="29" fillId="35" borderId="514" xfId="2" applyNumberFormat="1" applyFont="1" applyFill="1" applyBorder="1"/>
    <xf numFmtId="0" fontId="29" fillId="35" borderId="514" xfId="2" applyFont="1" applyFill="1" applyBorder="1"/>
    <xf numFmtId="49" fontId="275" fillId="0" borderId="0" xfId="2" applyNumberFormat="1" applyFont="1" applyFill="1"/>
    <xf numFmtId="0" fontId="275" fillId="0" borderId="0" xfId="2" applyFont="1" applyFill="1"/>
    <xf numFmtId="0" fontId="275" fillId="0" borderId="0" xfId="2" applyFont="1" applyFill="1" applyAlignment="1">
      <alignment horizontal="center"/>
    </xf>
    <xf numFmtId="3" fontId="275" fillId="0" borderId="0" xfId="2" applyNumberFormat="1" applyFont="1" applyFill="1" applyAlignment="1">
      <alignment horizontal="right"/>
    </xf>
    <xf numFmtId="0" fontId="29" fillId="0" borderId="0" xfId="2" applyFont="1" applyFill="1" applyAlignment="1">
      <alignment wrapText="1"/>
    </xf>
    <xf numFmtId="0" fontId="29" fillId="34" borderId="0" xfId="2" applyFont="1" applyFill="1" applyAlignment="1">
      <alignment wrapText="1"/>
    </xf>
    <xf numFmtId="0" fontId="29" fillId="34" borderId="0" xfId="2" applyFont="1" applyFill="1" applyAlignment="1">
      <alignment horizontal="center"/>
    </xf>
    <xf numFmtId="0" fontId="29" fillId="34" borderId="0" xfId="2" applyFont="1" applyFill="1"/>
    <xf numFmtId="0" fontId="0" fillId="34" borderId="0" xfId="0" applyFill="1"/>
    <xf numFmtId="0" fontId="276" fillId="34" borderId="0" xfId="2" applyFont="1" applyFill="1"/>
    <xf numFmtId="0" fontId="191" fillId="34" borderId="0" xfId="2" applyFont="1" applyFill="1"/>
    <xf numFmtId="0" fontId="29" fillId="38" borderId="0" xfId="2" applyFont="1" applyFill="1"/>
    <xf numFmtId="0" fontId="29" fillId="0" borderId="525" xfId="2" applyFont="1" applyBorder="1"/>
    <xf numFmtId="3" fontId="29" fillId="0" borderId="526" xfId="2" applyNumberFormat="1" applyFont="1" applyBorder="1"/>
    <xf numFmtId="0" fontId="29" fillId="0" borderId="526" xfId="2" applyFont="1" applyBorder="1"/>
    <xf numFmtId="3" fontId="29" fillId="0" borderId="527" xfId="2" applyNumberFormat="1" applyFont="1" applyBorder="1"/>
    <xf numFmtId="0" fontId="271" fillId="0" borderId="0" xfId="0" applyFont="1" applyFill="1" applyBorder="1" applyAlignment="1">
      <alignment vertical="center" wrapText="1"/>
    </xf>
    <xf numFmtId="0" fontId="267" fillId="0" borderId="0" xfId="0" applyFont="1" applyFill="1" applyBorder="1" applyAlignment="1">
      <alignment vertical="center" wrapText="1"/>
    </xf>
    <xf numFmtId="3" fontId="0" fillId="0" borderId="0" xfId="0" applyNumberFormat="1" applyFill="1" applyBorder="1"/>
    <xf numFmtId="0" fontId="0" fillId="0" borderId="0" xfId="0" applyFill="1" applyBorder="1"/>
    <xf numFmtId="0" fontId="5" fillId="0" borderId="0" xfId="0" applyFont="1" applyFill="1" applyBorder="1"/>
    <xf numFmtId="0" fontId="42" fillId="0" borderId="0" xfId="2" applyFont="1"/>
    <xf numFmtId="0" fontId="5" fillId="11" borderId="0" xfId="2" applyFont="1" applyFill="1"/>
    <xf numFmtId="0" fontId="5" fillId="0" borderId="0" xfId="2" applyNumberFormat="1" applyFont="1" applyAlignment="1">
      <alignment horizontal="center"/>
    </xf>
    <xf numFmtId="3" fontId="5" fillId="0" borderId="212" xfId="2" applyNumberFormat="1" applyFont="1" applyFill="1" applyBorder="1" applyProtection="1">
      <protection hidden="1"/>
    </xf>
    <xf numFmtId="3" fontId="5" fillId="0" borderId="213" xfId="2" applyNumberFormat="1" applyFont="1" applyFill="1" applyBorder="1" applyProtection="1">
      <protection hidden="1"/>
    </xf>
    <xf numFmtId="3" fontId="267" fillId="0" borderId="212" xfId="2" applyNumberFormat="1" applyFont="1" applyFill="1" applyBorder="1" applyProtection="1">
      <protection hidden="1"/>
    </xf>
    <xf numFmtId="3" fontId="270" fillId="0" borderId="212" xfId="2" applyNumberFormat="1" applyFont="1" applyFill="1" applyBorder="1" applyProtection="1">
      <protection hidden="1"/>
    </xf>
    <xf numFmtId="3" fontId="270" fillId="0" borderId="213" xfId="2" applyNumberFormat="1" applyFont="1" applyFill="1" applyBorder="1" applyProtection="1">
      <protection hidden="1"/>
    </xf>
    <xf numFmtId="3" fontId="5" fillId="0" borderId="283" xfId="2" applyNumberFormat="1" applyFont="1" applyFill="1" applyBorder="1" applyProtection="1">
      <protection hidden="1"/>
    </xf>
    <xf numFmtId="0" fontId="5" fillId="0" borderId="256" xfId="2" applyFont="1" applyFill="1" applyBorder="1"/>
    <xf numFmtId="0" fontId="5" fillId="0" borderId="210" xfId="2" applyFont="1" applyFill="1" applyBorder="1"/>
    <xf numFmtId="0" fontId="5" fillId="0" borderId="210" xfId="2" applyFont="1" applyFill="1" applyBorder="1" applyProtection="1">
      <protection hidden="1"/>
    </xf>
    <xf numFmtId="0" fontId="5" fillId="0" borderId="211" xfId="2" applyFont="1" applyFill="1" applyBorder="1"/>
    <xf numFmtId="0" fontId="5" fillId="0" borderId="212" xfId="2" applyFont="1" applyFill="1" applyBorder="1"/>
    <xf numFmtId="0" fontId="5" fillId="0" borderId="213" xfId="2" applyFont="1" applyFill="1" applyBorder="1"/>
    <xf numFmtId="0" fontId="5" fillId="0" borderId="213" xfId="2" applyFont="1" applyFill="1" applyBorder="1" applyProtection="1">
      <protection hidden="1"/>
    </xf>
    <xf numFmtId="0" fontId="5" fillId="0" borderId="214" xfId="2" applyFont="1" applyFill="1" applyBorder="1"/>
    <xf numFmtId="3" fontId="5" fillId="0" borderId="283" xfId="2" applyNumberFormat="1" applyFont="1" applyFill="1" applyBorder="1"/>
    <xf numFmtId="3" fontId="5" fillId="0" borderId="215" xfId="2" applyNumberFormat="1" applyFont="1" applyFill="1" applyBorder="1"/>
    <xf numFmtId="3" fontId="5" fillId="0" borderId="216" xfId="2" applyNumberFormat="1" applyFont="1" applyFill="1" applyBorder="1"/>
    <xf numFmtId="0" fontId="5" fillId="0" borderId="256" xfId="2" applyFont="1" applyFill="1" applyBorder="1" applyAlignment="1">
      <alignment wrapText="1"/>
    </xf>
    <xf numFmtId="0" fontId="5" fillId="0" borderId="210" xfId="2" applyFont="1" applyFill="1" applyBorder="1" applyAlignment="1">
      <alignment wrapText="1"/>
    </xf>
    <xf numFmtId="0" fontId="5" fillId="0" borderId="210" xfId="2" applyFont="1" applyFill="1" applyBorder="1" applyAlignment="1" applyProtection="1">
      <alignment wrapText="1"/>
      <protection hidden="1"/>
    </xf>
    <xf numFmtId="0" fontId="5" fillId="0" borderId="211" xfId="2" applyFont="1" applyFill="1" applyBorder="1" applyAlignment="1">
      <alignment wrapText="1"/>
    </xf>
    <xf numFmtId="0" fontId="5" fillId="0" borderId="212" xfId="2" applyFont="1" applyFill="1" applyBorder="1" applyAlignment="1">
      <alignment wrapText="1"/>
    </xf>
    <xf numFmtId="0" fontId="5" fillId="0" borderId="213" xfId="2" applyFont="1" applyFill="1" applyBorder="1" applyAlignment="1">
      <alignment wrapText="1"/>
    </xf>
    <xf numFmtId="0" fontId="5" fillId="0" borderId="213" xfId="2" applyFont="1" applyFill="1" applyBorder="1" applyAlignment="1" applyProtection="1">
      <alignment wrapText="1"/>
      <protection hidden="1"/>
    </xf>
    <xf numFmtId="0" fontId="5" fillId="0" borderId="214" xfId="2" applyFont="1" applyFill="1" applyBorder="1" applyAlignment="1">
      <alignment wrapText="1"/>
    </xf>
    <xf numFmtId="0" fontId="5" fillId="0" borderId="213" xfId="2" applyFont="1" applyBorder="1" applyAlignment="1">
      <alignment wrapText="1"/>
    </xf>
    <xf numFmtId="0" fontId="5" fillId="0" borderId="213" xfId="2" applyFont="1" applyBorder="1" applyAlignment="1" applyProtection="1">
      <alignment wrapText="1"/>
      <protection hidden="1"/>
    </xf>
    <xf numFmtId="0" fontId="5" fillId="0" borderId="214" xfId="2" applyFont="1" applyBorder="1" applyAlignment="1">
      <alignment wrapText="1"/>
    </xf>
    <xf numFmtId="3" fontId="5" fillId="0" borderId="283" xfId="2" applyNumberFormat="1" applyFont="1" applyFill="1" applyBorder="1" applyProtection="1">
      <protection locked="0"/>
    </xf>
    <xf numFmtId="3" fontId="5" fillId="0" borderId="215" xfId="2" applyNumberFormat="1" applyFont="1" applyFill="1" applyBorder="1" applyProtection="1">
      <protection locked="0"/>
    </xf>
    <xf numFmtId="3" fontId="5" fillId="0" borderId="216" xfId="2" applyNumberFormat="1" applyFont="1" applyFill="1" applyBorder="1" applyProtection="1">
      <protection locked="0"/>
    </xf>
    <xf numFmtId="0" fontId="266" fillId="0" borderId="212" xfId="2" applyFont="1" applyFill="1" applyBorder="1"/>
    <xf numFmtId="0" fontId="266" fillId="0" borderId="213" xfId="2" applyFont="1" applyFill="1" applyBorder="1"/>
    <xf numFmtId="0" fontId="266" fillId="0" borderId="213" xfId="2" applyFont="1" applyFill="1" applyBorder="1" applyProtection="1">
      <protection hidden="1"/>
    </xf>
    <xf numFmtId="0" fontId="266" fillId="0" borderId="214" xfId="2" applyFont="1" applyFill="1" applyBorder="1"/>
    <xf numFmtId="0" fontId="267" fillId="0" borderId="212" xfId="2" applyFont="1" applyFill="1" applyBorder="1" applyAlignment="1">
      <alignment wrapText="1"/>
    </xf>
    <xf numFmtId="0" fontId="267" fillId="0" borderId="213" xfId="2" applyFont="1" applyFill="1" applyBorder="1" applyAlignment="1">
      <alignment wrapText="1"/>
    </xf>
    <xf numFmtId="0" fontId="267" fillId="0" borderId="213" xfId="2" applyFont="1" applyFill="1" applyBorder="1" applyAlignment="1" applyProtection="1">
      <alignment wrapText="1"/>
      <protection hidden="1"/>
    </xf>
    <xf numFmtId="0" fontId="267" fillId="0" borderId="214" xfId="2" applyFont="1" applyFill="1" applyBorder="1" applyAlignment="1">
      <alignment wrapText="1"/>
    </xf>
    <xf numFmtId="0" fontId="277" fillId="34" borderId="0" xfId="2" applyFont="1" applyFill="1"/>
    <xf numFmtId="4" fontId="29" fillId="38" borderId="0" xfId="2" applyNumberFormat="1" applyFont="1" applyFill="1"/>
    <xf numFmtId="0" fontId="277" fillId="38" borderId="0" xfId="2" applyFont="1" applyFill="1"/>
    <xf numFmtId="4" fontId="277" fillId="38" borderId="0" xfId="2" applyNumberFormat="1" applyFont="1" applyFill="1"/>
    <xf numFmtId="0" fontId="29" fillId="38" borderId="0" xfId="2" applyFont="1" applyFill="1" applyAlignment="1">
      <alignment wrapText="1"/>
    </xf>
    <xf numFmtId="0" fontId="100" fillId="36" borderId="528" xfId="2" applyFont="1" applyFill="1" applyBorder="1"/>
    <xf numFmtId="0" fontId="191" fillId="36" borderId="529" xfId="2" applyFont="1" applyFill="1" applyBorder="1"/>
    <xf numFmtId="3" fontId="100" fillId="36" borderId="530" xfId="2" applyNumberFormat="1" applyFont="1" applyFill="1" applyBorder="1" applyAlignment="1">
      <alignment horizontal="center"/>
    </xf>
    <xf numFmtId="0" fontId="278" fillId="23" borderId="426" xfId="2" applyNumberFormat="1" applyFont="1" applyFill="1" applyBorder="1" applyAlignment="1" applyProtection="1">
      <alignment horizontal="right" vertical="center"/>
      <protection hidden="1"/>
    </xf>
    <xf numFmtId="0" fontId="29" fillId="0" borderId="78" xfId="2" applyNumberFormat="1" applyFont="1" applyBorder="1"/>
    <xf numFmtId="0" fontId="100" fillId="0" borderId="78" xfId="2" applyNumberFormat="1" applyFont="1" applyBorder="1" applyAlignment="1">
      <alignment horizontal="center"/>
    </xf>
    <xf numFmtId="0" fontId="29" fillId="17" borderId="78" xfId="2" applyNumberFormat="1" applyFont="1" applyFill="1" applyBorder="1"/>
    <xf numFmtId="0" fontId="29" fillId="0" borderId="111" xfId="2" applyNumberFormat="1" applyFont="1" applyBorder="1"/>
    <xf numFmtId="0" fontId="100" fillId="0" borderId="69" xfId="2" applyNumberFormat="1" applyFont="1" applyBorder="1" applyAlignment="1">
      <alignment horizontal="center"/>
    </xf>
    <xf numFmtId="0" fontId="29" fillId="17" borderId="69" xfId="2" applyNumberFormat="1" applyFont="1" applyFill="1" applyBorder="1"/>
    <xf numFmtId="0" fontId="29" fillId="0" borderId="102" xfId="2" applyNumberFormat="1" applyFont="1" applyBorder="1"/>
    <xf numFmtId="0" fontId="29" fillId="0" borderId="65" xfId="2" applyNumberFormat="1" applyFont="1" applyBorder="1"/>
    <xf numFmtId="0" fontId="29" fillId="0" borderId="113" xfId="2" applyNumberFormat="1" applyFont="1" applyBorder="1"/>
    <xf numFmtId="0" fontId="29" fillId="0" borderId="112" xfId="2" applyNumberFormat="1" applyFont="1" applyBorder="1"/>
    <xf numFmtId="0" fontId="100" fillId="0" borderId="112" xfId="2" applyNumberFormat="1" applyFont="1" applyBorder="1" applyAlignment="1">
      <alignment horizontal="center"/>
    </xf>
    <xf numFmtId="0" fontId="29" fillId="0" borderId="73" xfId="2" applyNumberFormat="1" applyFont="1" applyBorder="1"/>
    <xf numFmtId="0" fontId="5" fillId="0" borderId="65" xfId="2" applyNumberFormat="1" applyFont="1" applyBorder="1"/>
    <xf numFmtId="0" fontId="188" fillId="0" borderId="0" xfId="2" applyFont="1" applyAlignment="1">
      <alignment horizontal="center"/>
    </xf>
    <xf numFmtId="0" fontId="279" fillId="0" borderId="65" xfId="2" applyNumberFormat="1" applyFont="1" applyBorder="1"/>
    <xf numFmtId="0" fontId="280" fillId="0" borderId="65" xfId="2" applyNumberFormat="1" applyFont="1" applyBorder="1"/>
    <xf numFmtId="0" fontId="280" fillId="0" borderId="66" xfId="2" applyNumberFormat="1" applyFont="1" applyBorder="1"/>
    <xf numFmtId="0" fontId="29" fillId="0" borderId="112" xfId="2" applyFont="1" applyBorder="1" applyAlignment="1">
      <alignment vertical="center" wrapText="1"/>
    </xf>
    <xf numFmtId="0" fontId="29" fillId="34" borderId="69" xfId="2" applyNumberFormat="1" applyFont="1" applyFill="1" applyBorder="1"/>
    <xf numFmtId="49" fontId="29" fillId="34" borderId="112" xfId="2" applyNumberFormat="1" applyFont="1" applyFill="1" applyBorder="1"/>
    <xf numFmtId="0" fontId="29" fillId="34" borderId="112" xfId="2" applyFont="1" applyFill="1" applyBorder="1"/>
    <xf numFmtId="0" fontId="188" fillId="34" borderId="112" xfId="2" applyFont="1" applyFill="1" applyBorder="1"/>
    <xf numFmtId="166" fontId="281" fillId="23" borderId="94" xfId="2" applyNumberFormat="1" applyFont="1" applyFill="1" applyBorder="1" applyAlignment="1" applyProtection="1">
      <alignment horizontal="center" vertical="center" wrapText="1"/>
      <protection hidden="1"/>
    </xf>
    <xf numFmtId="49" fontId="5" fillId="0" borderId="0" xfId="2" applyNumberFormat="1" applyFont="1"/>
    <xf numFmtId="0" fontId="5" fillId="39" borderId="427" xfId="2" applyFont="1" applyFill="1" applyBorder="1" applyAlignment="1" applyProtection="1">
      <alignment vertical="center" wrapText="1"/>
      <protection hidden="1"/>
    </xf>
    <xf numFmtId="166" fontId="26" fillId="39" borderId="428" xfId="2" applyNumberFormat="1" applyFont="1" applyFill="1" applyBorder="1" applyAlignment="1" applyProtection="1">
      <alignment horizontal="center"/>
      <protection locked="0"/>
    </xf>
    <xf numFmtId="0" fontId="26" fillId="39" borderId="429" xfId="2" applyFont="1" applyFill="1" applyBorder="1" applyAlignment="1" applyProtection="1">
      <alignment horizontal="center"/>
      <protection hidden="1"/>
    </xf>
    <xf numFmtId="0" fontId="60" fillId="23" borderId="93" xfId="2" applyFont="1" applyFill="1" applyBorder="1" applyAlignment="1" applyProtection="1">
      <alignment horizontal="right" vertical="center"/>
      <protection hidden="1"/>
    </xf>
    <xf numFmtId="0" fontId="26" fillId="40" borderId="92" xfId="2" applyFont="1" applyFill="1" applyBorder="1" applyAlignment="1" applyProtection="1">
      <alignment horizontal="center"/>
      <protection hidden="1"/>
    </xf>
    <xf numFmtId="3" fontId="22" fillId="19" borderId="0" xfId="2" applyNumberFormat="1" applyFont="1" applyFill="1"/>
    <xf numFmtId="3" fontId="22" fillId="0" borderId="0" xfId="2" applyNumberFormat="1" applyFont="1"/>
    <xf numFmtId="3" fontId="1" fillId="9" borderId="0" xfId="2" applyNumberFormat="1" applyFont="1" applyFill="1"/>
    <xf numFmtId="3" fontId="22" fillId="0" borderId="0" xfId="2" applyNumberFormat="1" applyFont="1" applyFill="1"/>
    <xf numFmtId="3" fontId="270" fillId="0" borderId="0" xfId="2" applyNumberFormat="1" applyFont="1" applyFill="1"/>
    <xf numFmtId="3" fontId="129" fillId="0" borderId="0" xfId="2" applyNumberFormat="1" applyFont="1" applyFill="1"/>
    <xf numFmtId="3" fontId="270" fillId="0" borderId="0" xfId="2" applyNumberFormat="1" applyFont="1"/>
    <xf numFmtId="0" fontId="270" fillId="2" borderId="14" xfId="2" applyFont="1" applyFill="1" applyBorder="1" applyProtection="1">
      <protection hidden="1"/>
    </xf>
    <xf numFmtId="3" fontId="0" fillId="34" borderId="0" xfId="0" applyNumberFormat="1" applyFill="1"/>
    <xf numFmtId="0" fontId="5" fillId="34" borderId="0" xfId="0" applyFont="1" applyFill="1"/>
    <xf numFmtId="3" fontId="0" fillId="0" borderId="0" xfId="0" applyNumberFormat="1" applyFill="1"/>
    <xf numFmtId="0" fontId="0" fillId="0" borderId="0" xfId="0" applyFill="1"/>
    <xf numFmtId="0" fontId="271" fillId="34" borderId="0" xfId="0" applyFont="1" applyFill="1"/>
    <xf numFmtId="3" fontId="5" fillId="34" borderId="0" xfId="0" applyNumberFormat="1" applyFont="1" applyFill="1"/>
    <xf numFmtId="3" fontId="270" fillId="0" borderId="0" xfId="0" applyNumberFormat="1" applyFont="1"/>
    <xf numFmtId="0" fontId="271" fillId="0" borderId="430" xfId="2" applyFont="1" applyFill="1" applyBorder="1" applyAlignment="1" applyProtection="1">
      <alignment wrapText="1"/>
      <protection hidden="1"/>
    </xf>
    <xf numFmtId="0" fontId="270" fillId="0" borderId="0" xfId="2" applyFont="1"/>
    <xf numFmtId="0" fontId="270" fillId="0" borderId="431" xfId="2" applyFont="1" applyBorder="1"/>
    <xf numFmtId="0" fontId="270" fillId="0" borderId="306" xfId="2" applyFont="1" applyBorder="1"/>
    <xf numFmtId="0" fontId="270" fillId="0" borderId="113" xfId="2" applyFont="1" applyBorder="1"/>
    <xf numFmtId="0" fontId="270" fillId="7" borderId="306" xfId="2" applyFont="1" applyFill="1" applyBorder="1"/>
    <xf numFmtId="0" fontId="270" fillId="0" borderId="213" xfId="2" applyFont="1" applyBorder="1"/>
    <xf numFmtId="0" fontId="270" fillId="19" borderId="0" xfId="2" applyFont="1" applyFill="1"/>
    <xf numFmtId="0" fontId="270" fillId="2" borderId="0" xfId="2" applyFont="1" applyFill="1"/>
    <xf numFmtId="0" fontId="270" fillId="0" borderId="219" xfId="2" applyFont="1" applyBorder="1" applyAlignment="1">
      <alignment wrapText="1"/>
    </xf>
    <xf numFmtId="0" fontId="5" fillId="35" borderId="516" xfId="0" applyFont="1" applyFill="1" applyBorder="1"/>
    <xf numFmtId="0" fontId="5" fillId="35" borderId="517" xfId="0" applyFont="1" applyFill="1" applyBorder="1"/>
    <xf numFmtId="0" fontId="266" fillId="0" borderId="519" xfId="0" applyFont="1" applyBorder="1" applyAlignment="1">
      <alignment vertical="center" wrapText="1"/>
    </xf>
    <xf numFmtId="0" fontId="266" fillId="0" borderId="511" xfId="0" applyFont="1" applyBorder="1" applyAlignment="1">
      <alignment vertical="center" wrapText="1"/>
    </xf>
    <xf numFmtId="0" fontId="266" fillId="0" borderId="513" xfId="0" applyFont="1" applyBorder="1"/>
    <xf numFmtId="0" fontId="266" fillId="0" borderId="514" xfId="0" applyFont="1" applyBorder="1"/>
    <xf numFmtId="0" fontId="266" fillId="0" borderId="515" xfId="0" applyFont="1" applyBorder="1"/>
    <xf numFmtId="0" fontId="270" fillId="0" borderId="220" xfId="2" applyFont="1" applyBorder="1" applyAlignment="1">
      <alignment horizontal="center"/>
    </xf>
    <xf numFmtId="0" fontId="5" fillId="41" borderId="137" xfId="2" applyFont="1" applyFill="1" applyBorder="1" applyProtection="1">
      <protection hidden="1"/>
    </xf>
    <xf numFmtId="0" fontId="5" fillId="0" borderId="0" xfId="2" applyFont="1" applyAlignment="1">
      <alignment horizontal="center"/>
    </xf>
    <xf numFmtId="0" fontId="26" fillId="41" borderId="136" xfId="2" applyNumberFormat="1" applyFont="1" applyFill="1" applyBorder="1" applyAlignment="1" applyProtection="1">
      <alignment horizontal="center"/>
      <protection hidden="1"/>
    </xf>
    <xf numFmtId="0" fontId="0" fillId="19" borderId="432" xfId="2" applyFont="1" applyFill="1" applyBorder="1" applyAlignment="1" applyProtection="1">
      <alignment wrapText="1"/>
      <protection hidden="1"/>
    </xf>
    <xf numFmtId="0" fontId="26" fillId="19" borderId="433" xfId="2" applyFont="1" applyFill="1" applyBorder="1" applyProtection="1">
      <protection hidden="1"/>
    </xf>
    <xf numFmtId="0" fontId="26" fillId="19" borderId="434" xfId="2" applyFont="1" applyFill="1" applyBorder="1" applyAlignment="1" applyProtection="1">
      <alignment horizontal="center"/>
      <protection hidden="1"/>
    </xf>
    <xf numFmtId="0" fontId="1" fillId="30" borderId="137" xfId="2" applyFont="1" applyFill="1" applyBorder="1" applyAlignment="1" applyProtection="1">
      <alignment wrapText="1"/>
      <protection hidden="1"/>
    </xf>
    <xf numFmtId="0" fontId="1" fillId="30" borderId="89" xfId="2" applyFont="1" applyFill="1" applyBorder="1" applyAlignment="1" applyProtection="1">
      <alignment horizontal="center"/>
      <protection locked="0"/>
    </xf>
    <xf numFmtId="10" fontId="1" fillId="30" borderId="136" xfId="2" applyNumberFormat="1" applyFont="1" applyFill="1" applyBorder="1" applyAlignment="1" applyProtection="1">
      <alignment horizontal="center"/>
      <protection hidden="1"/>
    </xf>
    <xf numFmtId="4" fontId="270" fillId="0" borderId="0" xfId="2" applyNumberFormat="1" applyFont="1"/>
    <xf numFmtId="4" fontId="270" fillId="0" borderId="0" xfId="2" applyNumberFormat="1" applyFont="1" applyBorder="1" applyAlignment="1">
      <alignment vertical="center" wrapText="1"/>
    </xf>
    <xf numFmtId="4" fontId="270" fillId="19" borderId="0" xfId="2" applyNumberFormat="1" applyFont="1" applyFill="1"/>
    <xf numFmtId="0" fontId="0" fillId="10" borderId="402" xfId="2" applyFont="1" applyFill="1" applyBorder="1" applyProtection="1">
      <protection hidden="1"/>
    </xf>
    <xf numFmtId="9" fontId="3" fillId="10" borderId="209" xfId="2" applyNumberFormat="1" applyFont="1" applyFill="1" applyBorder="1" applyAlignment="1" applyProtection="1">
      <alignment horizontal="center"/>
      <protection hidden="1"/>
    </xf>
    <xf numFmtId="0" fontId="0" fillId="10" borderId="301" xfId="2" applyFont="1" applyFill="1" applyBorder="1" applyProtection="1">
      <protection hidden="1"/>
    </xf>
    <xf numFmtId="166" fontId="53" fillId="0" borderId="219" xfId="2" applyNumberFormat="1" applyFont="1" applyBorder="1"/>
    <xf numFmtId="0" fontId="53" fillId="0" borderId="217" xfId="2" applyFont="1" applyBorder="1"/>
    <xf numFmtId="0" fontId="3" fillId="5" borderId="164" xfId="2" applyFont="1" applyFill="1" applyBorder="1" applyAlignment="1" applyProtection="1">
      <alignment horizontal="left" vertical="center"/>
      <protection hidden="1"/>
    </xf>
    <xf numFmtId="0" fontId="3" fillId="5" borderId="165" xfId="2" applyFont="1" applyFill="1" applyBorder="1" applyAlignment="1" applyProtection="1">
      <alignment horizontal="left" vertical="center"/>
      <protection hidden="1"/>
    </xf>
    <xf numFmtId="0" fontId="0" fillId="5" borderId="435" xfId="2" applyFont="1" applyFill="1" applyBorder="1" applyAlignment="1" applyProtection="1">
      <alignment horizontal="left"/>
      <protection hidden="1"/>
    </xf>
    <xf numFmtId="0" fontId="0" fillId="5" borderId="436" xfId="2" applyFont="1" applyFill="1" applyBorder="1" applyAlignment="1" applyProtection="1">
      <alignment horizontal="left"/>
      <protection hidden="1"/>
    </xf>
    <xf numFmtId="0" fontId="3" fillId="2" borderId="106" xfId="2" applyFont="1" applyFill="1" applyBorder="1" applyAlignment="1" applyProtection="1">
      <alignment horizontal="center" wrapText="1"/>
      <protection hidden="1"/>
    </xf>
    <xf numFmtId="0" fontId="3" fillId="2" borderId="5" xfId="2" applyFont="1" applyFill="1" applyBorder="1" applyAlignment="1" applyProtection="1">
      <alignment horizontal="center" wrapText="1"/>
      <protection hidden="1"/>
    </xf>
    <xf numFmtId="0" fontId="3" fillId="2" borderId="107" xfId="2" applyFont="1" applyFill="1" applyBorder="1" applyAlignment="1" applyProtection="1">
      <alignment horizontal="center" wrapText="1"/>
      <protection hidden="1"/>
    </xf>
    <xf numFmtId="0" fontId="0" fillId="2" borderId="106" xfId="2" applyFont="1" applyFill="1" applyBorder="1" applyAlignment="1" applyProtection="1">
      <alignment horizontal="center"/>
      <protection hidden="1"/>
    </xf>
    <xf numFmtId="0" fontId="0" fillId="2" borderId="5" xfId="2" applyFont="1" applyFill="1" applyBorder="1" applyAlignment="1" applyProtection="1">
      <alignment horizontal="center"/>
      <protection hidden="1"/>
    </xf>
    <xf numFmtId="0" fontId="0" fillId="2" borderId="107" xfId="2" applyFont="1" applyFill="1" applyBorder="1" applyAlignment="1" applyProtection="1">
      <alignment horizontal="center"/>
      <protection hidden="1"/>
    </xf>
    <xf numFmtId="0" fontId="3" fillId="8" borderId="437" xfId="2" applyFont="1" applyFill="1" applyBorder="1" applyAlignment="1" applyProtection="1">
      <alignment horizontal="left" vertical="top" wrapText="1"/>
      <protection hidden="1"/>
    </xf>
    <xf numFmtId="0" fontId="3" fillId="8" borderId="438" xfId="2" applyFont="1" applyFill="1" applyBorder="1" applyAlignment="1" applyProtection="1">
      <alignment horizontal="left" vertical="top" wrapText="1"/>
      <protection hidden="1"/>
    </xf>
    <xf numFmtId="0" fontId="3" fillId="8" borderId="439" xfId="2" applyFont="1" applyFill="1" applyBorder="1" applyAlignment="1" applyProtection="1">
      <alignment horizontal="left" vertical="top" wrapText="1"/>
      <protection hidden="1"/>
    </xf>
    <xf numFmtId="0" fontId="23" fillId="17" borderId="281" xfId="2" applyFont="1" applyFill="1" applyBorder="1" applyAlignment="1" applyProtection="1">
      <alignment horizontal="center"/>
      <protection hidden="1"/>
    </xf>
    <xf numFmtId="0" fontId="23" fillId="17" borderId="440" xfId="2" applyFont="1" applyFill="1" applyBorder="1" applyAlignment="1" applyProtection="1">
      <alignment horizontal="center"/>
      <protection hidden="1"/>
    </xf>
    <xf numFmtId="0" fontId="23" fillId="17" borderId="441" xfId="2" applyFont="1" applyFill="1" applyBorder="1" applyAlignment="1" applyProtection="1">
      <alignment horizontal="center"/>
      <protection hidden="1"/>
    </xf>
    <xf numFmtId="0" fontId="282" fillId="40" borderId="87" xfId="2" applyFont="1" applyFill="1" applyBorder="1" applyAlignment="1" applyProtection="1">
      <alignment horizontal="left" vertical="center" wrapText="1"/>
      <protection hidden="1"/>
    </xf>
    <xf numFmtId="0" fontId="5" fillId="33" borderId="118" xfId="2" applyFont="1" applyFill="1" applyBorder="1" applyProtection="1">
      <protection hidden="1"/>
    </xf>
    <xf numFmtId="166" fontId="72" fillId="33" borderId="119" xfId="2" applyNumberFormat="1" applyFont="1" applyFill="1" applyBorder="1" applyAlignment="1" applyProtection="1">
      <alignment horizontal="center"/>
      <protection hidden="1"/>
    </xf>
    <xf numFmtId="166" fontId="72" fillId="33" borderId="233" xfId="2" applyNumberFormat="1" applyFont="1" applyFill="1" applyBorder="1" applyAlignment="1" applyProtection="1">
      <alignment horizontal="center"/>
      <protection hidden="1"/>
    </xf>
    <xf numFmtId="3" fontId="282" fillId="40" borderId="89" xfId="2" applyNumberFormat="1" applyFont="1" applyFill="1" applyBorder="1" applyAlignment="1" applyProtection="1">
      <alignment horizontal="left"/>
      <protection hidden="1"/>
    </xf>
    <xf numFmtId="165" fontId="184" fillId="0" borderId="292" xfId="2" applyNumberFormat="1" applyFont="1" applyBorder="1" applyProtection="1">
      <protection hidden="1"/>
    </xf>
    <xf numFmtId="0" fontId="77" fillId="2" borderId="106" xfId="2" applyFont="1" applyFill="1" applyBorder="1" applyAlignment="1" applyProtection="1">
      <alignment vertical="center" wrapText="1"/>
      <protection hidden="1"/>
    </xf>
    <xf numFmtId="0" fontId="77" fillId="2" borderId="5" xfId="2" applyFont="1" applyFill="1" applyBorder="1" applyAlignment="1" applyProtection="1">
      <alignment vertical="center" wrapText="1"/>
      <protection hidden="1"/>
    </xf>
    <xf numFmtId="0" fontId="0" fillId="0" borderId="0" xfId="0" applyProtection="1">
      <protection hidden="1"/>
    </xf>
    <xf numFmtId="0" fontId="0" fillId="0" borderId="0" xfId="2" applyFont="1" applyAlignment="1" applyProtection="1">
      <alignment horizontal="center"/>
      <protection hidden="1"/>
    </xf>
    <xf numFmtId="165" fontId="107" fillId="0" borderId="442" xfId="2" applyNumberFormat="1" applyFont="1" applyBorder="1" applyProtection="1">
      <protection hidden="1"/>
    </xf>
    <xf numFmtId="165" fontId="138" fillId="0" borderId="390" xfId="2" applyNumberFormat="1" applyFont="1" applyFill="1" applyBorder="1" applyProtection="1">
      <protection hidden="1"/>
    </xf>
    <xf numFmtId="0" fontId="283" fillId="0" borderId="0" xfId="2" applyFont="1" applyAlignment="1">
      <alignment horizontal="center" vertical="center" wrapText="1"/>
    </xf>
    <xf numFmtId="3" fontId="283" fillId="0" borderId="0" xfId="2" applyNumberFormat="1" applyFont="1"/>
    <xf numFmtId="3" fontId="284" fillId="0" borderId="212" xfId="2" applyNumberFormat="1" applyFont="1" applyFill="1" applyBorder="1" applyProtection="1">
      <protection hidden="1"/>
    </xf>
    <xf numFmtId="0" fontId="285" fillId="0" borderId="0" xfId="2" applyFont="1"/>
    <xf numFmtId="0" fontId="286" fillId="0" borderId="0" xfId="2" applyFont="1"/>
    <xf numFmtId="0" fontId="286" fillId="42" borderId="0" xfId="2" applyFont="1" applyFill="1"/>
    <xf numFmtId="0" fontId="283" fillId="0" borderId="0" xfId="0" applyFont="1" applyAlignment="1">
      <alignment horizontal="left"/>
    </xf>
    <xf numFmtId="0" fontId="287" fillId="0" borderId="0" xfId="2" applyFont="1"/>
    <xf numFmtId="3" fontId="288" fillId="0" borderId="0" xfId="5" applyNumberFormat="1" applyFont="1"/>
    <xf numFmtId="3" fontId="288" fillId="36" borderId="0" xfId="5" applyNumberFormat="1" applyFont="1" applyFill="1"/>
    <xf numFmtId="0" fontId="289" fillId="0" borderId="0" xfId="2" applyFont="1" applyAlignment="1">
      <alignment vertical="center" wrapText="1"/>
    </xf>
    <xf numFmtId="0" fontId="29" fillId="43" borderId="0" xfId="2" applyFont="1" applyFill="1"/>
    <xf numFmtId="0" fontId="286" fillId="38" borderId="0" xfId="2" applyFont="1" applyFill="1"/>
    <xf numFmtId="0" fontId="286" fillId="31" borderId="0" xfId="2" applyFont="1" applyFill="1"/>
    <xf numFmtId="0" fontId="29" fillId="31" borderId="0" xfId="2" applyFont="1" applyFill="1" applyAlignment="1">
      <alignment horizontal="center"/>
    </xf>
    <xf numFmtId="0" fontId="29" fillId="31" borderId="0" xfId="2" applyFont="1" applyFill="1"/>
    <xf numFmtId="0" fontId="191" fillId="31" borderId="0" xfId="2" applyFont="1" applyFill="1"/>
    <xf numFmtId="0" fontId="190" fillId="31" borderId="0" xfId="2" applyFont="1" applyFill="1" applyAlignment="1">
      <alignment horizontal="center"/>
    </xf>
    <xf numFmtId="3" fontId="190" fillId="31" borderId="0" xfId="2" applyNumberFormat="1" applyFont="1" applyFill="1"/>
    <xf numFmtId="0" fontId="29" fillId="31" borderId="0" xfId="2" applyFont="1" applyFill="1" applyAlignment="1">
      <alignment wrapText="1"/>
    </xf>
    <xf numFmtId="3" fontId="29" fillId="31" borderId="0" xfId="2" applyNumberFormat="1" applyFont="1" applyFill="1"/>
    <xf numFmtId="0" fontId="100" fillId="43" borderId="531" xfId="2" applyFont="1" applyFill="1" applyBorder="1"/>
    <xf numFmtId="0" fontId="100" fillId="43" borderId="532" xfId="2" applyFont="1" applyFill="1" applyBorder="1"/>
    <xf numFmtId="3" fontId="100" fillId="43" borderId="533" xfId="2" applyNumberFormat="1" applyFont="1" applyFill="1" applyBorder="1"/>
    <xf numFmtId="0" fontId="285" fillId="43" borderId="0" xfId="2" applyFont="1" applyFill="1"/>
    <xf numFmtId="0" fontId="29" fillId="0" borderId="534" xfId="2" applyFont="1" applyBorder="1"/>
    <xf numFmtId="0" fontId="29" fillId="0" borderId="535" xfId="2" applyFont="1" applyBorder="1"/>
    <xf numFmtId="0" fontId="29" fillId="0" borderId="536" xfId="2" applyFont="1" applyBorder="1"/>
    <xf numFmtId="0" fontId="29" fillId="0" borderId="537" xfId="2" applyFont="1" applyBorder="1"/>
    <xf numFmtId="0" fontId="29" fillId="0" borderId="538" xfId="2" applyFont="1" applyBorder="1"/>
    <xf numFmtId="0" fontId="29" fillId="0" borderId="539" xfId="2" applyFont="1" applyBorder="1"/>
    <xf numFmtId="0" fontId="29" fillId="0" borderId="540" xfId="2" applyFont="1" applyBorder="1"/>
    <xf numFmtId="3" fontId="29" fillId="0" borderId="541" xfId="2" applyNumberFormat="1" applyFont="1" applyBorder="1"/>
    <xf numFmtId="3" fontId="29" fillId="0" borderId="539" xfId="2" applyNumberFormat="1" applyFont="1" applyBorder="1"/>
    <xf numFmtId="3" fontId="29" fillId="0" borderId="540" xfId="2" applyNumberFormat="1" applyFont="1" applyBorder="1"/>
    <xf numFmtId="3" fontId="29" fillId="0" borderId="542" xfId="2" applyNumberFormat="1" applyFont="1" applyBorder="1"/>
    <xf numFmtId="3" fontId="29" fillId="0" borderId="543" xfId="2" applyNumberFormat="1" applyFont="1" applyBorder="1"/>
    <xf numFmtId="0" fontId="285" fillId="0" borderId="539" xfId="2" applyFont="1" applyBorder="1"/>
    <xf numFmtId="0" fontId="29" fillId="0" borderId="544" xfId="2" applyFont="1" applyBorder="1"/>
    <xf numFmtId="0" fontId="29" fillId="0" borderId="545" xfId="2" applyFont="1" applyBorder="1"/>
    <xf numFmtId="3" fontId="29" fillId="0" borderId="545" xfId="2" applyNumberFormat="1" applyFont="1" applyBorder="1"/>
    <xf numFmtId="3" fontId="29" fillId="0" borderId="546" xfId="2" applyNumberFormat="1" applyFont="1" applyBorder="1"/>
    <xf numFmtId="0" fontId="285" fillId="0" borderId="540" xfId="2" applyFont="1" applyBorder="1"/>
    <xf numFmtId="3" fontId="288" fillId="0" borderId="539" xfId="5" applyNumberFormat="1" applyFont="1" applyBorder="1"/>
    <xf numFmtId="3" fontId="285" fillId="0" borderId="541" xfId="2" applyNumberFormat="1" applyFont="1" applyBorder="1"/>
    <xf numFmtId="3" fontId="262" fillId="0" borderId="0" xfId="5" applyNumberFormat="1"/>
    <xf numFmtId="3" fontId="262" fillId="0" borderId="0" xfId="5" applyNumberFormat="1"/>
    <xf numFmtId="3" fontId="29" fillId="42" borderId="539" xfId="2" applyNumberFormat="1" applyFont="1" applyFill="1" applyBorder="1"/>
    <xf numFmtId="0" fontId="5" fillId="0" borderId="0" xfId="2" applyFont="1" applyBorder="1"/>
    <xf numFmtId="0" fontId="290" fillId="0" borderId="210" xfId="2" applyFont="1" applyFill="1" applyBorder="1" applyAlignment="1" applyProtection="1">
      <alignment vertical="center" wrapText="1"/>
      <protection hidden="1"/>
    </xf>
    <xf numFmtId="0" fontId="291" fillId="23" borderId="87" xfId="2" applyFont="1" applyFill="1" applyBorder="1" applyAlignment="1" applyProtection="1">
      <alignment vertical="center" wrapText="1"/>
      <protection hidden="1"/>
    </xf>
    <xf numFmtId="3" fontId="292" fillId="0" borderId="278" xfId="2" applyNumberFormat="1" applyFont="1" applyBorder="1"/>
    <xf numFmtId="0" fontId="293" fillId="0" borderId="0" xfId="2" applyFont="1"/>
    <xf numFmtId="3" fontId="283" fillId="0" borderId="102" xfId="2" applyNumberFormat="1" applyFont="1" applyFill="1" applyBorder="1"/>
    <xf numFmtId="0" fontId="283" fillId="0" borderId="0" xfId="2" applyFont="1"/>
    <xf numFmtId="0" fontId="2" fillId="35" borderId="0" xfId="2" applyFont="1" applyFill="1" applyAlignment="1">
      <alignment vertical="center" wrapText="1"/>
    </xf>
    <xf numFmtId="3" fontId="52" fillId="35" borderId="0" xfId="2" applyNumberFormat="1" applyFont="1" applyFill="1"/>
    <xf numFmtId="0" fontId="283" fillId="0" borderId="0" xfId="2" applyFont="1" applyAlignment="1">
      <alignment wrapText="1"/>
    </xf>
    <xf numFmtId="0" fontId="294" fillId="0" borderId="3" xfId="2" applyFont="1" applyFill="1" applyBorder="1" applyAlignment="1" applyProtection="1"/>
    <xf numFmtId="0" fontId="5" fillId="14" borderId="269" xfId="2" applyFont="1" applyFill="1" applyBorder="1" applyAlignment="1" applyProtection="1">
      <alignment horizontal="left" wrapText="1"/>
      <protection hidden="1"/>
    </xf>
    <xf numFmtId="2" fontId="26" fillId="0" borderId="270" xfId="2" applyNumberFormat="1" applyFont="1" applyBorder="1" applyAlignment="1" applyProtection="1">
      <alignment horizontal="center"/>
      <protection locked="0"/>
    </xf>
    <xf numFmtId="0" fontId="5" fillId="35" borderId="0" xfId="0" applyFont="1" applyFill="1"/>
    <xf numFmtId="0" fontId="0" fillId="35" borderId="0" xfId="0" applyFill="1"/>
    <xf numFmtId="0" fontId="5" fillId="37" borderId="0" xfId="0" applyFont="1" applyFill="1"/>
    <xf numFmtId="2" fontId="26" fillId="37" borderId="0" xfId="2" applyNumberFormat="1" applyFont="1" applyFill="1"/>
    <xf numFmtId="2" fontId="5" fillId="14" borderId="271" xfId="2" applyNumberFormat="1" applyFont="1" applyFill="1" applyBorder="1" applyAlignment="1" applyProtection="1">
      <alignment horizontal="center" vertical="center" wrapText="1"/>
      <protection hidden="1"/>
    </xf>
    <xf numFmtId="3" fontId="293" fillId="0" borderId="0" xfId="2" applyNumberFormat="1" applyFont="1" applyFill="1"/>
    <xf numFmtId="0" fontId="293" fillId="0" borderId="212" xfId="2" applyFont="1" applyBorder="1"/>
    <xf numFmtId="0" fontId="293" fillId="0" borderId="0" xfId="2" applyFont="1" applyAlignment="1">
      <alignment vertical="center" wrapText="1"/>
    </xf>
    <xf numFmtId="0" fontId="295" fillId="0" borderId="0" xfId="2" applyFont="1" applyAlignment="1">
      <alignment vertical="center" wrapText="1"/>
    </xf>
    <xf numFmtId="0" fontId="295" fillId="0" borderId="0" xfId="2" applyFont="1"/>
    <xf numFmtId="2" fontId="293" fillId="0" borderId="0" xfId="2" applyNumberFormat="1" applyFont="1"/>
    <xf numFmtId="166" fontId="295" fillId="4" borderId="0" xfId="2" applyNumberFormat="1" applyFont="1" applyFill="1"/>
    <xf numFmtId="167" fontId="52" fillId="0" borderId="214" xfId="2" applyNumberFormat="1" applyFont="1" applyBorder="1"/>
    <xf numFmtId="0" fontId="169" fillId="0" borderId="0" xfId="2" applyFont="1" applyFill="1" applyBorder="1" applyAlignment="1">
      <alignment horizontal="center" vertical="center"/>
    </xf>
    <xf numFmtId="0" fontId="11" fillId="0" borderId="0" xfId="2" applyFont="1" applyFill="1" applyBorder="1" applyProtection="1">
      <protection hidden="1"/>
    </xf>
    <xf numFmtId="0" fontId="102" fillId="44" borderId="2" xfId="2" applyFont="1" applyFill="1" applyBorder="1" applyAlignment="1">
      <alignment horizontal="center" vertical="center" wrapText="1"/>
    </xf>
    <xf numFmtId="9" fontId="2" fillId="44" borderId="2" xfId="2" applyNumberFormat="1" applyFont="1" applyFill="1" applyBorder="1" applyAlignment="1">
      <alignment horizontal="center" vertical="center" wrapText="1"/>
    </xf>
    <xf numFmtId="0" fontId="52" fillId="0" borderId="2" xfId="2" applyFont="1" applyFill="1" applyBorder="1"/>
    <xf numFmtId="0" fontId="52" fillId="44" borderId="2" xfId="2" applyFont="1" applyFill="1" applyBorder="1"/>
    <xf numFmtId="0" fontId="52" fillId="44" borderId="2" xfId="2" applyFont="1" applyFill="1" applyBorder="1" applyAlignment="1">
      <alignment vertical="center" wrapText="1"/>
    </xf>
    <xf numFmtId="2" fontId="52" fillId="44" borderId="2" xfId="2" applyNumberFormat="1" applyFont="1" applyFill="1" applyBorder="1"/>
    <xf numFmtId="0" fontId="5" fillId="10" borderId="416" xfId="2" applyFont="1" applyFill="1" applyBorder="1" applyAlignment="1" applyProtection="1">
      <alignment horizontal="left"/>
      <protection hidden="1"/>
    </xf>
    <xf numFmtId="0" fontId="26" fillId="10" borderId="424" xfId="2" applyFont="1" applyFill="1" applyBorder="1" applyAlignment="1" applyProtection="1">
      <alignment horizontal="center"/>
      <protection hidden="1"/>
    </xf>
    <xf numFmtId="0" fontId="292" fillId="0" borderId="0" xfId="0" applyFont="1"/>
    <xf numFmtId="0" fontId="296" fillId="0" borderId="0" xfId="2" applyFont="1"/>
    <xf numFmtId="0" fontId="292" fillId="0" borderId="0" xfId="2" applyFont="1" applyAlignment="1">
      <alignment vertical="center" wrapText="1"/>
    </xf>
    <xf numFmtId="0" fontId="284" fillId="0" borderId="0" xfId="2" applyFont="1" applyAlignment="1">
      <alignment vertical="center" wrapText="1"/>
    </xf>
    <xf numFmtId="0" fontId="284" fillId="0" borderId="0" xfId="0" applyFont="1"/>
    <xf numFmtId="0" fontId="5" fillId="10" borderId="207" xfId="2" applyFont="1" applyFill="1" applyBorder="1" applyAlignment="1" applyProtection="1">
      <alignment horizontal="left" vertical="center" wrapText="1"/>
      <protection hidden="1"/>
    </xf>
    <xf numFmtId="3" fontId="5" fillId="0" borderId="0" xfId="2" applyNumberFormat="1" applyFont="1"/>
    <xf numFmtId="0" fontId="29" fillId="0" borderId="0" xfId="2" applyFont="1" applyAlignment="1">
      <alignment horizontal="center" vertical="center"/>
    </xf>
    <xf numFmtId="0" fontId="262" fillId="0" borderId="0" xfId="5"/>
    <xf numFmtId="1" fontId="237" fillId="0" borderId="0" xfId="6" applyNumberFormat="1" applyFont="1" applyAlignment="1">
      <alignment horizontal="left"/>
    </xf>
    <xf numFmtId="0" fontId="297" fillId="0" borderId="0" xfId="0" applyFont="1"/>
    <xf numFmtId="0" fontId="292" fillId="10" borderId="0" xfId="2" applyFont="1" applyFill="1"/>
    <xf numFmtId="0" fontId="283" fillId="0" borderId="0" xfId="0" applyFont="1"/>
    <xf numFmtId="0" fontId="26" fillId="0" borderId="5" xfId="2" applyFont="1" applyFill="1" applyBorder="1" applyAlignment="1" applyProtection="1">
      <alignment horizontal="center" vertical="center"/>
      <protection locked="0"/>
    </xf>
    <xf numFmtId="0" fontId="0" fillId="0" borderId="445" xfId="2" applyFont="1" applyBorder="1"/>
    <xf numFmtId="0" fontId="0" fillId="0" borderId="168" xfId="2" applyFont="1" applyFill="1" applyBorder="1"/>
    <xf numFmtId="0" fontId="0" fillId="0" borderId="169" xfId="2" applyFont="1" applyFill="1" applyBorder="1"/>
    <xf numFmtId="0" fontId="0" fillId="0" borderId="138" xfId="0" applyBorder="1"/>
    <xf numFmtId="0" fontId="298" fillId="0" borderId="181" xfId="0" applyFont="1" applyBorder="1" applyAlignment="1">
      <alignment vertical="center"/>
    </xf>
    <xf numFmtId="0" fontId="177" fillId="0" borderId="0" xfId="2" applyFont="1" applyFill="1"/>
    <xf numFmtId="0" fontId="0" fillId="0" borderId="166" xfId="2" applyFont="1" applyFill="1" applyBorder="1"/>
    <xf numFmtId="0" fontId="138" fillId="0" borderId="166" xfId="2" applyFont="1" applyFill="1" applyBorder="1"/>
    <xf numFmtId="0" fontId="296" fillId="0" borderId="0" xfId="0" applyFont="1" applyAlignment="1">
      <alignment vertical="center"/>
    </xf>
    <xf numFmtId="0" fontId="299" fillId="0" borderId="0" xfId="0" applyFont="1" applyAlignment="1">
      <alignment vertical="center"/>
    </xf>
    <xf numFmtId="0" fontId="283" fillId="17" borderId="278" xfId="2" applyFont="1" applyFill="1" applyBorder="1"/>
    <xf numFmtId="0" fontId="283" fillId="17" borderId="0" xfId="2" applyFont="1" applyFill="1" applyBorder="1"/>
    <xf numFmtId="0" fontId="0" fillId="11" borderId="0" xfId="2" applyFont="1" applyFill="1" applyBorder="1" applyAlignment="1" applyProtection="1">
      <alignment vertical="center" wrapText="1"/>
      <protection hidden="1"/>
    </xf>
    <xf numFmtId="0" fontId="0" fillId="11" borderId="166" xfId="2" applyFont="1" applyFill="1" applyBorder="1" applyAlignment="1" applyProtection="1">
      <alignment vertical="center" wrapText="1"/>
      <protection hidden="1"/>
    </xf>
    <xf numFmtId="0" fontId="0" fillId="11" borderId="174" xfId="2" applyFont="1" applyFill="1" applyBorder="1" applyAlignment="1" applyProtection="1">
      <alignment vertical="center" wrapText="1"/>
      <protection hidden="1"/>
    </xf>
    <xf numFmtId="0" fontId="0" fillId="11" borderId="187" xfId="2" applyFont="1" applyFill="1" applyBorder="1" applyAlignment="1" applyProtection="1">
      <alignment vertical="center" wrapText="1"/>
      <protection hidden="1"/>
    </xf>
    <xf numFmtId="0" fontId="0" fillId="11" borderId="175" xfId="2" applyFont="1" applyFill="1" applyBorder="1" applyAlignment="1" applyProtection="1">
      <alignment vertical="center" wrapText="1"/>
      <protection hidden="1"/>
    </xf>
    <xf numFmtId="0" fontId="5" fillId="11" borderId="0" xfId="2" applyFont="1" applyFill="1" applyBorder="1" applyAlignment="1" applyProtection="1">
      <alignment vertical="center"/>
      <protection hidden="1"/>
    </xf>
    <xf numFmtId="0" fontId="24" fillId="11" borderId="173" xfId="2" applyFont="1" applyFill="1" applyBorder="1" applyAlignment="1" applyProtection="1">
      <alignment vertical="center" wrapText="1"/>
      <protection hidden="1"/>
    </xf>
    <xf numFmtId="0" fontId="300" fillId="0" borderId="171" xfId="2" applyFont="1" applyFill="1" applyBorder="1" applyAlignment="1" applyProtection="1">
      <protection locked="0"/>
    </xf>
    <xf numFmtId="3" fontId="300" fillId="0" borderId="166" xfId="2" applyNumberFormat="1" applyFont="1" applyFill="1" applyBorder="1" applyAlignment="1" applyProtection="1">
      <protection locked="0"/>
    </xf>
    <xf numFmtId="0" fontId="5" fillId="0" borderId="403" xfId="2" applyFont="1" applyBorder="1" applyAlignment="1">
      <alignment vertical="center" wrapText="1"/>
    </xf>
    <xf numFmtId="0" fontId="5" fillId="0" borderId="78" xfId="2" applyFont="1" applyBorder="1" applyAlignment="1">
      <alignment vertical="center" wrapText="1"/>
    </xf>
    <xf numFmtId="0" fontId="284" fillId="0" borderId="446" xfId="2" applyFont="1" applyBorder="1" applyAlignment="1">
      <alignment vertical="center" wrapText="1"/>
    </xf>
    <xf numFmtId="3" fontId="284" fillId="0" borderId="412" xfId="2" applyNumberFormat="1" applyFont="1" applyBorder="1"/>
    <xf numFmtId="3" fontId="284" fillId="0" borderId="292" xfId="2" applyNumberFormat="1" applyFont="1" applyBorder="1"/>
    <xf numFmtId="0" fontId="0" fillId="0" borderId="447" xfId="0" applyBorder="1"/>
    <xf numFmtId="0" fontId="0" fillId="33" borderId="448" xfId="0" applyFill="1" applyBorder="1"/>
    <xf numFmtId="0" fontId="0" fillId="0" borderId="405" xfId="0" applyBorder="1"/>
    <xf numFmtId="0" fontId="5" fillId="33" borderId="406" xfId="0" applyFont="1" applyFill="1" applyBorder="1"/>
    <xf numFmtId="0" fontId="0" fillId="33" borderId="406" xfId="0" applyFill="1" applyBorder="1"/>
    <xf numFmtId="0" fontId="0" fillId="33" borderId="449" xfId="0" applyFill="1" applyBorder="1"/>
    <xf numFmtId="0" fontId="0" fillId="0" borderId="450" xfId="0" applyBorder="1"/>
    <xf numFmtId="0" fontId="0" fillId="0" borderId="451" xfId="0" applyBorder="1"/>
    <xf numFmtId="0" fontId="284" fillId="0" borderId="547" xfId="0" applyFont="1" applyBorder="1"/>
    <xf numFmtId="3" fontId="284" fillId="0" borderId="548" xfId="0" applyNumberFormat="1" applyFont="1" applyBorder="1"/>
    <xf numFmtId="0" fontId="5" fillId="0" borderId="450" xfId="0" applyFont="1" applyBorder="1"/>
    <xf numFmtId="0" fontId="26" fillId="45" borderId="14" xfId="2" applyFont="1" applyFill="1" applyBorder="1" applyProtection="1">
      <protection hidden="1"/>
    </xf>
    <xf numFmtId="0" fontId="26" fillId="45" borderId="0" xfId="2" applyFont="1" applyFill="1"/>
    <xf numFmtId="0" fontId="292" fillId="0" borderId="306" xfId="2" applyFont="1" applyBorder="1"/>
    <xf numFmtId="0" fontId="283" fillId="0" borderId="306" xfId="2" applyFont="1" applyBorder="1"/>
    <xf numFmtId="0" fontId="266" fillId="46" borderId="123" xfId="2" applyFont="1" applyFill="1" applyBorder="1" applyAlignment="1">
      <alignment horizontal="center"/>
    </xf>
    <xf numFmtId="0" fontId="301" fillId="46" borderId="0" xfId="2" applyFont="1" applyFill="1" applyBorder="1" applyAlignment="1" applyProtection="1">
      <alignment vertical="center"/>
      <protection hidden="1"/>
    </xf>
    <xf numFmtId="0" fontId="301" fillId="46" borderId="173" xfId="2" applyFont="1" applyFill="1" applyBorder="1" applyAlignment="1" applyProtection="1">
      <alignment vertical="center"/>
      <protection hidden="1"/>
    </xf>
    <xf numFmtId="0" fontId="301" fillId="46" borderId="166" xfId="2" applyFont="1" applyFill="1" applyBorder="1" applyAlignment="1" applyProtection="1">
      <alignment vertical="center"/>
      <protection hidden="1"/>
    </xf>
    <xf numFmtId="0" fontId="138" fillId="11" borderId="166" xfId="2" applyFont="1" applyFill="1" applyBorder="1" applyAlignment="1" applyProtection="1">
      <alignment vertical="center" wrapText="1"/>
      <protection hidden="1"/>
    </xf>
    <xf numFmtId="0" fontId="0" fillId="11" borderId="187" xfId="2" applyFont="1" applyFill="1" applyBorder="1"/>
    <xf numFmtId="0" fontId="0" fillId="11" borderId="175" xfId="2" applyFont="1" applyFill="1" applyBorder="1"/>
    <xf numFmtId="0" fontId="0" fillId="11" borderId="278" xfId="2" applyFont="1" applyFill="1" applyBorder="1"/>
    <xf numFmtId="0" fontId="0" fillId="11" borderId="171" xfId="2" applyFont="1" applyFill="1" applyBorder="1"/>
    <xf numFmtId="0" fontId="5" fillId="11" borderId="238" xfId="2" applyFont="1" applyFill="1" applyBorder="1"/>
    <xf numFmtId="0" fontId="5" fillId="11" borderId="0" xfId="2" applyFont="1" applyFill="1" applyBorder="1"/>
    <xf numFmtId="0" fontId="5" fillId="11" borderId="0" xfId="2" applyFont="1" applyFill="1" applyBorder="1" applyAlignment="1" applyProtection="1">
      <alignment horizontal="left" vertical="center"/>
      <protection hidden="1"/>
    </xf>
    <xf numFmtId="0" fontId="5" fillId="11" borderId="187" xfId="2" applyFont="1" applyFill="1" applyBorder="1"/>
    <xf numFmtId="0" fontId="5" fillId="11" borderId="0" xfId="2" applyFont="1" applyFill="1" applyBorder="1" applyProtection="1">
      <protection hidden="1"/>
    </xf>
    <xf numFmtId="0" fontId="24" fillId="11" borderId="173" xfId="2" applyFont="1" applyFill="1" applyBorder="1"/>
    <xf numFmtId="0" fontId="24" fillId="11" borderId="174" xfId="2" applyFont="1" applyFill="1" applyBorder="1"/>
    <xf numFmtId="0" fontId="283" fillId="0" borderId="258" xfId="2" applyFont="1" applyBorder="1" applyAlignment="1">
      <alignment vertical="center" wrapText="1"/>
    </xf>
    <xf numFmtId="0" fontId="53" fillId="0" borderId="221" xfId="2" applyFont="1" applyFill="1" applyBorder="1" applyAlignment="1">
      <alignment wrapText="1"/>
    </xf>
    <xf numFmtId="0" fontId="283" fillId="0" borderId="253" xfId="2" applyFont="1" applyBorder="1" applyAlignment="1">
      <alignment wrapText="1"/>
    </xf>
    <xf numFmtId="0" fontId="195" fillId="0" borderId="452" xfId="2" applyFont="1" applyBorder="1"/>
    <xf numFmtId="0" fontId="0" fillId="0" borderId="262" xfId="2" applyFont="1" applyFill="1" applyBorder="1" applyProtection="1">
      <protection hidden="1"/>
    </xf>
    <xf numFmtId="0" fontId="283" fillId="0" borderId="536" xfId="0" applyFont="1" applyBorder="1"/>
    <xf numFmtId="0" fontId="292" fillId="0" borderId="537" xfId="0" applyFont="1" applyBorder="1"/>
    <xf numFmtId="0" fontId="292" fillId="0" borderId="538" xfId="0" applyFont="1" applyBorder="1"/>
    <xf numFmtId="0" fontId="292" fillId="0" borderId="539" xfId="0" applyFont="1" applyBorder="1"/>
    <xf numFmtId="0" fontId="284" fillId="0" borderId="540" xfId="0" applyFont="1" applyBorder="1"/>
    <xf numFmtId="0" fontId="5" fillId="2" borderId="549" xfId="2" applyFont="1" applyFill="1" applyBorder="1" applyAlignment="1" applyProtection="1">
      <alignment wrapText="1"/>
      <protection hidden="1"/>
    </xf>
    <xf numFmtId="0" fontId="292" fillId="0" borderId="542" xfId="0" applyFont="1" applyBorder="1"/>
    <xf numFmtId="0" fontId="284" fillId="0" borderId="543" xfId="0" applyFont="1" applyBorder="1"/>
    <xf numFmtId="0" fontId="283" fillId="0" borderId="541" xfId="0" applyFont="1" applyBorder="1"/>
    <xf numFmtId="0" fontId="0" fillId="0" borderId="453" xfId="2" applyFont="1" applyBorder="1"/>
    <xf numFmtId="0" fontId="0" fillId="0" borderId="75" xfId="2" applyFont="1" applyFill="1" applyBorder="1" applyProtection="1">
      <protection locked="0"/>
    </xf>
    <xf numFmtId="0" fontId="300" fillId="0" borderId="166" xfId="2" applyFont="1" applyFill="1" applyBorder="1" applyProtection="1">
      <protection locked="0"/>
    </xf>
    <xf numFmtId="3" fontId="284" fillId="0" borderId="443" xfId="2" applyNumberFormat="1" applyFont="1" applyFill="1" applyBorder="1" applyProtection="1">
      <protection hidden="1"/>
    </xf>
    <xf numFmtId="3" fontId="270" fillId="0" borderId="443" xfId="2" applyNumberFormat="1" applyFont="1" applyFill="1" applyBorder="1" applyProtection="1">
      <protection hidden="1"/>
    </xf>
    <xf numFmtId="3" fontId="5" fillId="0" borderId="444" xfId="2" applyNumberFormat="1" applyFont="1" applyFill="1" applyBorder="1" applyProtection="1">
      <protection hidden="1"/>
    </xf>
    <xf numFmtId="3" fontId="267" fillId="0" borderId="0" xfId="2" applyNumberFormat="1" applyFont="1" applyFill="1" applyBorder="1" applyProtection="1">
      <protection hidden="1"/>
    </xf>
    <xf numFmtId="0" fontId="266" fillId="0" borderId="0" xfId="2" applyFont="1" applyFill="1" applyBorder="1"/>
    <xf numFmtId="3" fontId="5" fillId="0" borderId="0" xfId="2" applyNumberFormat="1" applyFont="1" applyFill="1" applyBorder="1"/>
    <xf numFmtId="0" fontId="5" fillId="0" borderId="0" xfId="2" applyFont="1" applyFill="1" applyBorder="1" applyAlignment="1">
      <alignment wrapText="1"/>
    </xf>
    <xf numFmtId="0" fontId="267" fillId="0" borderId="0" xfId="2" applyFont="1" applyFill="1" applyBorder="1" applyAlignment="1">
      <alignment wrapText="1"/>
    </xf>
    <xf numFmtId="0" fontId="5" fillId="0" borderId="0" xfId="2" applyFont="1" applyBorder="1" applyAlignment="1">
      <alignment wrapText="1"/>
    </xf>
    <xf numFmtId="3" fontId="5" fillId="0" borderId="0" xfId="2" applyNumberFormat="1" applyFont="1" applyFill="1" applyBorder="1" applyProtection="1">
      <protection locked="0"/>
    </xf>
    <xf numFmtId="0" fontId="5" fillId="0" borderId="258" xfId="2" applyFont="1" applyFill="1" applyBorder="1" applyProtection="1">
      <protection hidden="1"/>
    </xf>
    <xf numFmtId="0" fontId="5" fillId="0" borderId="259" xfId="2" applyFont="1" applyFill="1" applyBorder="1" applyProtection="1">
      <protection hidden="1"/>
    </xf>
    <xf numFmtId="0" fontId="266" fillId="0" borderId="259" xfId="2" applyFont="1" applyFill="1" applyBorder="1" applyProtection="1">
      <protection hidden="1"/>
    </xf>
    <xf numFmtId="3" fontId="5" fillId="0" borderId="260" xfId="2" applyNumberFormat="1" applyFont="1" applyFill="1" applyBorder="1"/>
    <xf numFmtId="0" fontId="5" fillId="0" borderId="258" xfId="2" applyFont="1" applyFill="1" applyBorder="1" applyAlignment="1" applyProtection="1">
      <alignment wrapText="1"/>
      <protection hidden="1"/>
    </xf>
    <xf numFmtId="0" fontId="5" fillId="0" borderId="259" xfId="2" applyFont="1" applyFill="1" applyBorder="1" applyAlignment="1" applyProtection="1">
      <alignment wrapText="1"/>
      <protection hidden="1"/>
    </xf>
    <xf numFmtId="0" fontId="267" fillId="0" borderId="259" xfId="2" applyFont="1" applyFill="1" applyBorder="1" applyAlignment="1" applyProtection="1">
      <alignment wrapText="1"/>
      <protection hidden="1"/>
    </xf>
    <xf numFmtId="0" fontId="5" fillId="0" borderId="259" xfId="2" applyFont="1" applyBorder="1" applyAlignment="1" applyProtection="1">
      <alignment wrapText="1"/>
      <protection hidden="1"/>
    </xf>
    <xf numFmtId="3" fontId="5" fillId="0" borderId="260" xfId="2" applyNumberFormat="1" applyFont="1" applyFill="1" applyBorder="1" applyProtection="1">
      <protection locked="0"/>
    </xf>
    <xf numFmtId="0" fontId="302" fillId="0" borderId="212" xfId="2" applyFont="1" applyFill="1" applyBorder="1" applyAlignment="1" applyProtection="1">
      <alignment horizontal="center" vertical="center" wrapText="1"/>
      <protection hidden="1"/>
    </xf>
    <xf numFmtId="0" fontId="302" fillId="0" borderId="213" xfId="2" applyFont="1" applyFill="1" applyBorder="1" applyAlignment="1" applyProtection="1">
      <alignment horizontal="center" vertical="center" wrapText="1"/>
      <protection hidden="1"/>
    </xf>
    <xf numFmtId="0" fontId="31" fillId="30" borderId="0" xfId="2" applyFont="1" applyFill="1" applyBorder="1" applyAlignment="1">
      <alignment horizontal="center"/>
    </xf>
    <xf numFmtId="1" fontId="35" fillId="30" borderId="0" xfId="2" applyNumberFormat="1" applyFont="1" applyFill="1" applyBorder="1" applyAlignment="1">
      <alignment horizontal="center"/>
    </xf>
    <xf numFmtId="1" fontId="140" fillId="30" borderId="0" xfId="2" applyNumberFormat="1" applyFont="1" applyFill="1" applyBorder="1" applyAlignment="1">
      <alignment horizontal="center"/>
    </xf>
    <xf numFmtId="1" fontId="217" fillId="30" borderId="0" xfId="2" applyNumberFormat="1" applyFont="1" applyFill="1" applyBorder="1" applyAlignment="1">
      <alignment horizontal="center"/>
    </xf>
    <xf numFmtId="0" fontId="38" fillId="30" borderId="0" xfId="2" applyFont="1" applyFill="1" applyBorder="1" applyAlignment="1">
      <alignment horizontal="center" wrapText="1"/>
    </xf>
    <xf numFmtId="0" fontId="87" fillId="0" borderId="0" xfId="2" applyFont="1" applyFill="1" applyBorder="1"/>
    <xf numFmtId="3" fontId="24" fillId="2" borderId="213" xfId="2" applyNumberFormat="1" applyFont="1" applyFill="1" applyBorder="1" applyAlignment="1">
      <alignment horizontal="center"/>
    </xf>
    <xf numFmtId="0" fontId="303" fillId="0" borderId="0" xfId="2" applyFont="1" applyFill="1" applyBorder="1" applyAlignment="1">
      <alignment horizontal="center" vertical="center" wrapText="1"/>
    </xf>
    <xf numFmtId="0" fontId="292" fillId="0" borderId="519" xfId="2" applyFont="1" applyBorder="1"/>
    <xf numFmtId="0" fontId="292" fillId="0" borderId="513" xfId="2" applyFont="1" applyBorder="1"/>
    <xf numFmtId="3" fontId="292" fillId="0" borderId="514" xfId="2" applyNumberFormat="1" applyFont="1" applyFill="1" applyBorder="1" applyAlignment="1">
      <alignment horizontal="center"/>
    </xf>
    <xf numFmtId="3" fontId="292" fillId="0" borderId="514" xfId="2" applyNumberFormat="1" applyFont="1" applyBorder="1" applyAlignment="1">
      <alignment horizontal="center"/>
    </xf>
    <xf numFmtId="3" fontId="292" fillId="0" borderId="515" xfId="2" applyNumberFormat="1" applyFont="1" applyBorder="1" applyAlignment="1">
      <alignment horizontal="center"/>
    </xf>
    <xf numFmtId="0" fontId="5" fillId="0" borderId="513" xfId="2" applyFont="1" applyBorder="1"/>
    <xf numFmtId="3" fontId="292" fillId="0" borderId="515" xfId="2" applyNumberFormat="1" applyFont="1" applyFill="1" applyBorder="1" applyAlignment="1">
      <alignment horizontal="center"/>
    </xf>
    <xf numFmtId="3" fontId="292" fillId="0" borderId="514" xfId="2" applyNumberFormat="1" applyFont="1" applyBorder="1" applyAlignment="1" applyProtection="1">
      <alignment horizontal="center"/>
      <protection hidden="1"/>
    </xf>
    <xf numFmtId="3" fontId="292" fillId="0" borderId="517" xfId="2" applyNumberFormat="1" applyFont="1" applyFill="1" applyBorder="1" applyAlignment="1">
      <alignment horizontal="center"/>
    </xf>
    <xf numFmtId="3" fontId="292" fillId="0" borderId="517" xfId="2" applyNumberFormat="1" applyFont="1" applyBorder="1" applyAlignment="1">
      <alignment horizontal="center"/>
    </xf>
    <xf numFmtId="3" fontId="292" fillId="0" borderId="517" xfId="2" applyNumberFormat="1" applyFont="1" applyBorder="1" applyAlignment="1" applyProtection="1">
      <alignment horizontal="center"/>
      <protection hidden="1"/>
    </xf>
    <xf numFmtId="3" fontId="292" fillId="0" borderId="518" xfId="2" applyNumberFormat="1" applyFont="1" applyBorder="1" applyAlignment="1">
      <alignment horizontal="center"/>
    </xf>
    <xf numFmtId="0" fontId="304" fillId="0" borderId="0" xfId="2" applyFont="1" applyBorder="1"/>
    <xf numFmtId="0" fontId="266" fillId="0" borderId="454" xfId="2" applyFont="1" applyFill="1" applyBorder="1" applyAlignment="1" applyProtection="1">
      <alignment vertical="center" wrapText="1"/>
      <protection hidden="1"/>
    </xf>
    <xf numFmtId="0" fontId="5" fillId="0" borderId="516" xfId="2" applyFont="1" applyBorder="1"/>
    <xf numFmtId="0" fontId="100" fillId="0" borderId="69" xfId="2" applyNumberFormat="1" applyFont="1" applyBorder="1"/>
    <xf numFmtId="3" fontId="29" fillId="0" borderId="0" xfId="2" applyNumberFormat="1" applyFont="1" applyAlignment="1">
      <alignment horizontal="right"/>
    </xf>
    <xf numFmtId="3" fontId="29" fillId="31" borderId="0" xfId="2" applyNumberFormat="1" applyFont="1" applyFill="1" applyAlignment="1">
      <alignment horizontal="right"/>
    </xf>
    <xf numFmtId="3" fontId="241" fillId="0" borderId="0" xfId="2" applyNumberFormat="1" applyFont="1" applyFill="1" applyAlignment="1">
      <alignment horizontal="right"/>
    </xf>
    <xf numFmtId="0" fontId="29" fillId="0" borderId="550" xfId="2" applyFont="1" applyBorder="1"/>
    <xf numFmtId="0" fontId="273" fillId="0" borderId="551" xfId="2" applyFont="1" applyBorder="1"/>
    <xf numFmtId="3" fontId="263" fillId="0" borderId="0" xfId="5" applyNumberFormat="1" applyFont="1" applyBorder="1"/>
    <xf numFmtId="3" fontId="273" fillId="0" borderId="551" xfId="2" applyNumberFormat="1" applyFont="1" applyBorder="1"/>
    <xf numFmtId="3" fontId="29" fillId="0" borderId="0" xfId="2" applyNumberFormat="1" applyFont="1" applyBorder="1"/>
    <xf numFmtId="0" fontId="275" fillId="36" borderId="2" xfId="2" applyFont="1" applyFill="1" applyBorder="1"/>
    <xf numFmtId="0" fontId="305" fillId="0" borderId="0" xfId="0" applyFont="1"/>
    <xf numFmtId="0" fontId="306" fillId="2" borderId="0" xfId="2" applyFont="1" applyFill="1" applyBorder="1" applyAlignment="1" applyProtection="1">
      <alignment wrapText="1"/>
      <protection hidden="1"/>
    </xf>
    <xf numFmtId="3" fontId="270" fillId="2" borderId="0" xfId="2" applyNumberFormat="1" applyFont="1" applyFill="1"/>
    <xf numFmtId="0" fontId="307" fillId="0" borderId="0" xfId="2" applyFont="1"/>
    <xf numFmtId="0" fontId="167" fillId="3" borderId="0" xfId="2" applyFont="1" applyFill="1" applyAlignment="1">
      <alignment vertical="center"/>
    </xf>
    <xf numFmtId="3" fontId="308" fillId="0" borderId="65" xfId="2" applyNumberFormat="1" applyFont="1" applyFill="1" applyBorder="1"/>
    <xf numFmtId="0" fontId="309" fillId="2" borderId="261" xfId="2" applyFont="1" applyFill="1" applyBorder="1" applyProtection="1">
      <protection hidden="1"/>
    </xf>
    <xf numFmtId="3" fontId="308" fillId="0" borderId="0" xfId="2" applyNumberFormat="1" applyFont="1"/>
    <xf numFmtId="0" fontId="266" fillId="10" borderId="82" xfId="2" applyFont="1" applyFill="1" applyBorder="1"/>
    <xf numFmtId="3" fontId="265" fillId="35" borderId="0" xfId="2" applyNumberFormat="1" applyFont="1" applyFill="1"/>
    <xf numFmtId="3" fontId="265" fillId="10" borderId="0" xfId="2" applyNumberFormat="1" applyFont="1" applyFill="1"/>
    <xf numFmtId="3" fontId="267" fillId="0" borderId="0" xfId="2" applyNumberFormat="1" applyFont="1" applyBorder="1"/>
    <xf numFmtId="0" fontId="3" fillId="0" borderId="0" xfId="2" applyFont="1" applyAlignment="1">
      <alignment wrapText="1"/>
    </xf>
    <xf numFmtId="0" fontId="265" fillId="0" borderId="0" xfId="2" applyFont="1"/>
    <xf numFmtId="0" fontId="9" fillId="0" borderId="0" xfId="2" applyFont="1" applyAlignment="1">
      <alignment vertical="center" wrapText="1"/>
    </xf>
    <xf numFmtId="0" fontId="51" fillId="0" borderId="0" xfId="2" applyFont="1" applyFill="1" applyAlignment="1">
      <alignment horizontal="center" vertical="center" wrapText="1"/>
    </xf>
    <xf numFmtId="0" fontId="310" fillId="0" borderId="0" xfId="2" applyFont="1" applyFill="1" applyAlignment="1">
      <alignment horizontal="center" vertical="center" wrapText="1"/>
    </xf>
    <xf numFmtId="3" fontId="52" fillId="47" borderId="0" xfId="2" applyNumberFormat="1" applyFont="1" applyFill="1"/>
    <xf numFmtId="0" fontId="52" fillId="0" borderId="0" xfId="2" applyFont="1" applyBorder="1" applyAlignment="1">
      <alignment wrapText="1"/>
    </xf>
    <xf numFmtId="3" fontId="52" fillId="0" borderId="0" xfId="2" applyNumberFormat="1" applyFont="1" applyBorder="1"/>
    <xf numFmtId="0" fontId="52" fillId="0" borderId="104" xfId="2" applyNumberFormat="1" applyFont="1" applyBorder="1"/>
    <xf numFmtId="170" fontId="99" fillId="0" borderId="371" xfId="1" applyNumberFormat="1" applyFont="1" applyBorder="1"/>
    <xf numFmtId="0" fontId="52" fillId="0" borderId="106" xfId="2" applyNumberFormat="1" applyFont="1" applyBorder="1"/>
    <xf numFmtId="49" fontId="99" fillId="0" borderId="107" xfId="2" applyNumberFormat="1" applyFont="1" applyBorder="1"/>
    <xf numFmtId="0" fontId="266" fillId="0" borderId="106" xfId="2" applyNumberFormat="1" applyFont="1" applyBorder="1"/>
    <xf numFmtId="0" fontId="208" fillId="0" borderId="107" xfId="2" applyFont="1" applyBorder="1"/>
    <xf numFmtId="168" fontId="266" fillId="0" borderId="106" xfId="2" applyNumberFormat="1" applyFont="1" applyBorder="1"/>
    <xf numFmtId="2" fontId="52" fillId="0" borderId="0" xfId="2" applyNumberFormat="1" applyFont="1"/>
    <xf numFmtId="0" fontId="265" fillId="0" borderId="0" xfId="2" applyFont="1" applyAlignment="1">
      <alignment wrapText="1"/>
    </xf>
    <xf numFmtId="166" fontId="265" fillId="0" borderId="0" xfId="2" applyNumberFormat="1" applyFont="1"/>
    <xf numFmtId="0" fontId="244" fillId="0" borderId="0" xfId="2" applyFont="1"/>
    <xf numFmtId="3" fontId="52" fillId="34" borderId="0" xfId="2" applyNumberFormat="1" applyFont="1" applyFill="1"/>
    <xf numFmtId="2" fontId="5" fillId="10" borderId="378" xfId="2" applyNumberFormat="1" applyFont="1" applyFill="1" applyBorder="1" applyAlignment="1" applyProtection="1">
      <alignment horizontal="center"/>
      <protection hidden="1"/>
    </xf>
    <xf numFmtId="0" fontId="207" fillId="0" borderId="0" xfId="2" applyFont="1" applyFill="1"/>
    <xf numFmtId="0" fontId="5" fillId="15" borderId="67" xfId="2" applyFont="1" applyFill="1" applyBorder="1" applyAlignment="1" applyProtection="1">
      <alignment wrapText="1"/>
      <protection hidden="1"/>
    </xf>
    <xf numFmtId="0" fontId="5" fillId="15" borderId="68" xfId="2" applyFont="1" applyFill="1" applyBorder="1" applyAlignment="1" applyProtection="1">
      <alignment wrapText="1"/>
      <protection hidden="1"/>
    </xf>
    <xf numFmtId="0" fontId="5" fillId="15" borderId="103" xfId="2" applyFont="1" applyFill="1" applyBorder="1" applyAlignment="1" applyProtection="1">
      <alignment wrapText="1"/>
      <protection hidden="1"/>
    </xf>
    <xf numFmtId="0" fontId="129" fillId="48" borderId="265" xfId="2" applyFont="1" applyFill="1" applyBorder="1" applyAlignment="1" applyProtection="1">
      <alignment horizontal="center"/>
      <protection hidden="1"/>
    </xf>
    <xf numFmtId="0" fontId="138" fillId="48" borderId="292" xfId="2" applyFont="1" applyFill="1" applyBorder="1" applyAlignment="1" applyProtection="1">
      <alignment horizontal="center"/>
      <protection hidden="1"/>
    </xf>
    <xf numFmtId="0" fontId="129" fillId="48" borderId="456" xfId="2" applyFont="1" applyFill="1" applyBorder="1" applyAlignment="1" applyProtection="1">
      <alignment horizontal="center"/>
      <protection hidden="1"/>
    </xf>
    <xf numFmtId="0" fontId="129" fillId="48" borderId="266" xfId="2" applyFont="1" applyFill="1" applyBorder="1" applyAlignment="1" applyProtection="1">
      <alignment horizontal="center"/>
      <protection hidden="1"/>
    </xf>
    <xf numFmtId="0" fontId="0" fillId="0" borderId="60" xfId="2" applyFont="1" applyBorder="1" applyProtection="1">
      <protection hidden="1"/>
    </xf>
    <xf numFmtId="0" fontId="0" fillId="0" borderId="74" xfId="2" applyFont="1" applyFill="1" applyBorder="1" applyProtection="1">
      <protection hidden="1"/>
    </xf>
    <xf numFmtId="0" fontId="0" fillId="0" borderId="2" xfId="2" applyFont="1" applyFill="1" applyBorder="1" applyProtection="1">
      <protection hidden="1"/>
    </xf>
    <xf numFmtId="0" fontId="0" fillId="19" borderId="138" xfId="2" applyFont="1" applyFill="1" applyBorder="1" applyProtection="1">
      <protection hidden="1"/>
    </xf>
    <xf numFmtId="3" fontId="214" fillId="0" borderId="0" xfId="2" applyNumberFormat="1" applyFont="1" applyFill="1" applyBorder="1" applyProtection="1">
      <protection hidden="1"/>
    </xf>
    <xf numFmtId="0" fontId="266" fillId="0" borderId="0" xfId="0" applyFont="1" applyAlignment="1">
      <alignment wrapText="1"/>
    </xf>
    <xf numFmtId="0" fontId="270" fillId="0" borderId="0" xfId="2" applyFont="1" applyFill="1" applyBorder="1" applyAlignment="1" applyProtection="1">
      <alignment horizontal="center" vertical="center" wrapText="1"/>
      <protection hidden="1"/>
    </xf>
    <xf numFmtId="3" fontId="270" fillId="0" borderId="0" xfId="2" applyNumberFormat="1" applyFont="1" applyFill="1" applyBorder="1" applyProtection="1">
      <protection hidden="1"/>
    </xf>
    <xf numFmtId="0" fontId="270" fillId="0" borderId="0" xfId="2" applyFont="1" applyFill="1" applyBorder="1" applyProtection="1">
      <protection hidden="1"/>
    </xf>
    <xf numFmtId="0" fontId="267" fillId="0" borderId="0" xfId="2" applyFont="1" applyBorder="1"/>
    <xf numFmtId="0" fontId="0" fillId="0" borderId="457" xfId="2" applyFont="1" applyBorder="1"/>
    <xf numFmtId="0" fontId="0" fillId="0" borderId="257" xfId="2" applyFont="1" applyBorder="1"/>
    <xf numFmtId="0" fontId="0" fillId="0" borderId="34" xfId="2" applyFont="1" applyBorder="1"/>
    <xf numFmtId="0" fontId="5" fillId="35" borderId="295" xfId="2" applyFont="1" applyFill="1" applyBorder="1" applyProtection="1">
      <protection hidden="1"/>
    </xf>
    <xf numFmtId="0" fontId="245" fillId="35" borderId="0" xfId="2" applyFont="1" applyFill="1" applyBorder="1"/>
    <xf numFmtId="0" fontId="5" fillId="35" borderId="14" xfId="2" applyFont="1" applyFill="1" applyBorder="1"/>
    <xf numFmtId="0" fontId="266" fillId="0" borderId="138" xfId="2" applyFont="1" applyBorder="1"/>
    <xf numFmtId="0" fontId="266" fillId="0" borderId="457" xfId="2" applyFont="1" applyBorder="1"/>
    <xf numFmtId="0" fontId="266" fillId="0" borderId="181" xfId="2" applyFont="1" applyBorder="1"/>
    <xf numFmtId="0" fontId="0" fillId="48" borderId="266" xfId="0" applyFill="1" applyBorder="1"/>
    <xf numFmtId="0" fontId="1" fillId="49" borderId="309" xfId="2" applyFont="1" applyFill="1" applyBorder="1" applyAlignment="1" applyProtection="1">
      <alignment wrapText="1"/>
      <protection hidden="1"/>
    </xf>
    <xf numFmtId="0" fontId="1" fillId="49" borderId="310" xfId="2" applyFont="1" applyFill="1" applyBorder="1" applyAlignment="1" applyProtection="1">
      <alignment horizontal="center"/>
      <protection locked="0"/>
    </xf>
    <xf numFmtId="10" fontId="1" fillId="49" borderId="311" xfId="2" applyNumberFormat="1" applyFont="1" applyFill="1" applyBorder="1" applyAlignment="1" applyProtection="1">
      <alignment horizontal="center"/>
      <protection hidden="1"/>
    </xf>
    <xf numFmtId="0" fontId="266" fillId="0" borderId="306" xfId="2" applyFont="1" applyBorder="1"/>
    <xf numFmtId="0" fontId="3" fillId="49" borderId="137" xfId="2" applyFont="1" applyFill="1" applyBorder="1" applyProtection="1">
      <protection hidden="1"/>
    </xf>
    <xf numFmtId="0" fontId="26" fillId="49" borderId="89" xfId="2" applyFont="1" applyFill="1" applyBorder="1" applyProtection="1">
      <protection hidden="1"/>
    </xf>
    <xf numFmtId="9" fontId="26" fillId="49" borderId="136" xfId="2" applyNumberFormat="1" applyFont="1" applyFill="1" applyBorder="1" applyAlignment="1" applyProtection="1">
      <alignment horizontal="center"/>
      <protection hidden="1"/>
    </xf>
    <xf numFmtId="0" fontId="3" fillId="8" borderId="118" xfId="2" applyFont="1" applyFill="1" applyBorder="1" applyAlignment="1" applyProtection="1">
      <alignment wrapText="1"/>
      <protection hidden="1"/>
    </xf>
    <xf numFmtId="0" fontId="311" fillId="0" borderId="520" xfId="0" applyFont="1" applyBorder="1" applyAlignment="1">
      <alignment vertical="center" wrapText="1"/>
    </xf>
    <xf numFmtId="3" fontId="312" fillId="0" borderId="521" xfId="0" applyNumberFormat="1" applyFont="1" applyBorder="1"/>
    <xf numFmtId="0" fontId="312" fillId="0" borderId="521" xfId="0" applyFont="1" applyBorder="1"/>
    <xf numFmtId="0" fontId="312" fillId="0" borderId="522" xfId="0" applyFont="1" applyBorder="1"/>
    <xf numFmtId="3" fontId="267" fillId="0" borderId="0" xfId="0" applyNumberFormat="1" applyFont="1"/>
    <xf numFmtId="0" fontId="46" fillId="8" borderId="60" xfId="2" applyFont="1" applyFill="1" applyBorder="1" applyAlignment="1" applyProtection="1">
      <alignment vertical="center"/>
      <protection hidden="1"/>
    </xf>
    <xf numFmtId="0" fontId="46" fillId="8" borderId="96" xfId="2" applyFont="1" applyFill="1" applyBorder="1" applyAlignment="1" applyProtection="1">
      <alignment vertical="center"/>
      <protection hidden="1"/>
    </xf>
    <xf numFmtId="0" fontId="46" fillId="8" borderId="74" xfId="2" applyFont="1" applyFill="1" applyBorder="1" applyAlignment="1" applyProtection="1">
      <alignment vertical="center"/>
      <protection hidden="1"/>
    </xf>
    <xf numFmtId="0" fontId="5" fillId="49" borderId="222" xfId="2" applyFont="1" applyFill="1" applyBorder="1" applyProtection="1">
      <protection hidden="1"/>
    </xf>
    <xf numFmtId="0" fontId="26" fillId="49" borderId="224" xfId="2" applyFont="1" applyFill="1" applyBorder="1" applyAlignment="1" applyProtection="1">
      <alignment horizontal="center"/>
      <protection locked="0"/>
    </xf>
    <xf numFmtId="0" fontId="73" fillId="49" borderId="223" xfId="2" applyFont="1" applyFill="1" applyBorder="1" applyAlignment="1" applyProtection="1">
      <alignment horizontal="center"/>
      <protection hidden="1"/>
    </xf>
    <xf numFmtId="0" fontId="311" fillId="0" borderId="458" xfId="2" applyFont="1" applyBorder="1" applyAlignment="1">
      <alignment wrapText="1"/>
    </xf>
    <xf numFmtId="0" fontId="312" fillId="0" borderId="212" xfId="2" applyFont="1" applyBorder="1" applyAlignment="1">
      <alignment horizontal="center"/>
    </xf>
    <xf numFmtId="0" fontId="312" fillId="0" borderId="212" xfId="2" applyFont="1" applyFill="1" applyBorder="1" applyAlignment="1">
      <alignment horizontal="center"/>
    </xf>
    <xf numFmtId="0" fontId="312" fillId="0" borderId="283" xfId="2" applyFont="1" applyFill="1" applyBorder="1" applyAlignment="1">
      <alignment horizontal="center"/>
    </xf>
    <xf numFmtId="0" fontId="312" fillId="0" borderId="213" xfId="2" applyFont="1" applyFill="1" applyBorder="1" applyAlignment="1">
      <alignment horizontal="center"/>
    </xf>
    <xf numFmtId="0" fontId="312" fillId="0" borderId="215" xfId="2" applyFont="1" applyFill="1" applyBorder="1" applyAlignment="1">
      <alignment horizontal="center"/>
    </xf>
    <xf numFmtId="0" fontId="313" fillId="0" borderId="213" xfId="2" applyFont="1" applyBorder="1" applyAlignment="1">
      <alignment horizontal="center"/>
    </xf>
    <xf numFmtId="0" fontId="314" fillId="0" borderId="0" xfId="2" applyFont="1" applyAlignment="1">
      <alignment horizontal="center" wrapText="1"/>
    </xf>
    <xf numFmtId="3" fontId="314" fillId="0" borderId="0" xfId="2" applyNumberFormat="1" applyFont="1" applyAlignment="1">
      <alignment horizontal="center"/>
    </xf>
    <xf numFmtId="0" fontId="312" fillId="0" borderId="0" xfId="0" applyFont="1"/>
    <xf numFmtId="1" fontId="312" fillId="0" borderId="0" xfId="2" applyNumberFormat="1" applyFont="1" applyFill="1" applyAlignment="1">
      <alignment horizontal="left"/>
    </xf>
    <xf numFmtId="0" fontId="312" fillId="0" borderId="0" xfId="2" applyFont="1" applyAlignment="1">
      <alignment horizontal="center"/>
    </xf>
    <xf numFmtId="1" fontId="312" fillId="0" borderId="0" xfId="2" applyNumberFormat="1" applyFont="1" applyFill="1" applyAlignment="1">
      <alignment horizontal="center"/>
    </xf>
    <xf numFmtId="3" fontId="312" fillId="0" borderId="0" xfId="2" applyNumberFormat="1" applyFont="1"/>
    <xf numFmtId="3" fontId="267" fillId="0" borderId="0" xfId="2" applyNumberFormat="1" applyFont="1"/>
    <xf numFmtId="0" fontId="5" fillId="15" borderId="114" xfId="2" applyFont="1" applyFill="1" applyBorder="1" applyAlignment="1" applyProtection="1">
      <alignment horizontal="center"/>
      <protection hidden="1"/>
    </xf>
    <xf numFmtId="3" fontId="312" fillId="8" borderId="2" xfId="2" applyNumberFormat="1" applyFont="1" applyFill="1" applyBorder="1" applyProtection="1">
      <protection hidden="1"/>
    </xf>
    <xf numFmtId="3" fontId="312" fillId="6" borderId="2" xfId="2" applyNumberFormat="1" applyFont="1" applyFill="1" applyBorder="1" applyProtection="1">
      <protection hidden="1"/>
    </xf>
    <xf numFmtId="3" fontId="311" fillId="8" borderId="2" xfId="2" applyNumberFormat="1" applyFont="1" applyFill="1" applyBorder="1" applyProtection="1">
      <protection hidden="1"/>
    </xf>
    <xf numFmtId="3" fontId="312" fillId="19" borderId="2" xfId="2" applyNumberFormat="1" applyFont="1" applyFill="1" applyBorder="1" applyProtection="1">
      <protection hidden="1"/>
    </xf>
    <xf numFmtId="0" fontId="315" fillId="0" borderId="0" xfId="2" applyFont="1" applyFill="1"/>
    <xf numFmtId="3" fontId="316" fillId="10" borderId="358" xfId="2" applyNumberFormat="1" applyFont="1" applyFill="1" applyBorder="1" applyAlignment="1">
      <alignment horizontal="center" vertical="center"/>
    </xf>
    <xf numFmtId="3" fontId="316" fillId="10" borderId="108" xfId="2" applyNumberFormat="1" applyFont="1" applyFill="1" applyBorder="1" applyAlignment="1">
      <alignment horizontal="center" vertical="center"/>
    </xf>
    <xf numFmtId="3" fontId="316" fillId="10" borderId="132" xfId="2" applyNumberFormat="1" applyFont="1" applyFill="1" applyBorder="1" applyAlignment="1">
      <alignment horizontal="center" vertical="center"/>
    </xf>
    <xf numFmtId="3" fontId="311" fillId="10" borderId="158" xfId="2" applyNumberFormat="1" applyFont="1" applyFill="1" applyBorder="1" applyAlignment="1">
      <alignment horizontal="center" vertical="center"/>
    </xf>
    <xf numFmtId="3" fontId="311" fillId="10" borderId="2" xfId="2" applyNumberFormat="1" applyFont="1" applyFill="1" applyBorder="1" applyAlignment="1">
      <alignment horizontal="center" vertical="center"/>
    </xf>
    <xf numFmtId="3" fontId="311" fillId="10" borderId="110" xfId="2" applyNumberFormat="1" applyFont="1" applyFill="1" applyBorder="1" applyAlignment="1">
      <alignment horizontal="center" vertical="center"/>
    </xf>
    <xf numFmtId="3" fontId="316" fillId="10" borderId="158" xfId="2" applyNumberFormat="1" applyFont="1" applyFill="1" applyBorder="1" applyAlignment="1">
      <alignment horizontal="center" vertical="center"/>
    </xf>
    <xf numFmtId="3" fontId="316" fillId="10" borderId="2" xfId="2" applyNumberFormat="1" applyFont="1" applyFill="1" applyBorder="1" applyAlignment="1">
      <alignment horizontal="center" vertical="center"/>
    </xf>
    <xf numFmtId="3" fontId="316" fillId="10" borderId="110" xfId="2" applyNumberFormat="1" applyFont="1" applyFill="1" applyBorder="1" applyAlignment="1">
      <alignment horizontal="center" vertical="center"/>
    </xf>
    <xf numFmtId="3" fontId="311" fillId="10" borderId="28" xfId="2" applyNumberFormat="1" applyFont="1" applyFill="1" applyBorder="1" applyAlignment="1">
      <alignment horizontal="center" vertical="center"/>
    </xf>
    <xf numFmtId="3" fontId="311" fillId="10" borderId="34" xfId="2" applyNumberFormat="1" applyFont="1" applyFill="1" applyBorder="1" applyAlignment="1">
      <alignment horizontal="center" vertical="center"/>
    </xf>
    <xf numFmtId="0" fontId="5" fillId="10" borderId="73" xfId="2" applyFont="1" applyFill="1" applyBorder="1" applyAlignment="1" applyProtection="1">
      <alignment horizontal="left"/>
      <protection hidden="1"/>
    </xf>
    <xf numFmtId="0" fontId="317" fillId="0" borderId="0" xfId="0" applyFont="1" applyAlignment="1">
      <alignment vertical="center"/>
    </xf>
    <xf numFmtId="0" fontId="313" fillId="0" borderId="14" xfId="2" applyFont="1" applyBorder="1"/>
    <xf numFmtId="0" fontId="313" fillId="0" borderId="2" xfId="2" applyFont="1" applyBorder="1"/>
    <xf numFmtId="0" fontId="312" fillId="0" borderId="2" xfId="2" applyFont="1" applyFill="1" applyBorder="1"/>
    <xf numFmtId="0" fontId="312" fillId="0" borderId="2" xfId="2" applyFont="1" applyBorder="1"/>
    <xf numFmtId="0" fontId="312" fillId="0" borderId="2" xfId="0" applyFont="1" applyBorder="1"/>
    <xf numFmtId="0" fontId="317" fillId="0" borderId="2" xfId="0" applyFont="1" applyBorder="1" applyAlignment="1">
      <alignment vertical="center"/>
    </xf>
    <xf numFmtId="0" fontId="317" fillId="0" borderId="4" xfId="0" applyFont="1" applyBorder="1" applyAlignment="1">
      <alignment vertical="center"/>
    </xf>
    <xf numFmtId="0" fontId="312" fillId="10" borderId="262" xfId="2" applyFont="1" applyFill="1" applyBorder="1"/>
    <xf numFmtId="0" fontId="312" fillId="10" borderId="28" xfId="2" applyFont="1" applyFill="1" applyBorder="1"/>
    <xf numFmtId="0" fontId="318" fillId="0" borderId="0" xfId="0" applyFont="1" applyAlignment="1">
      <alignment vertical="center"/>
    </xf>
    <xf numFmtId="3" fontId="311" fillId="0" borderId="0" xfId="2" applyNumberFormat="1" applyFont="1"/>
    <xf numFmtId="0" fontId="3" fillId="0" borderId="0" xfId="0" applyFont="1"/>
    <xf numFmtId="0" fontId="311" fillId="0" borderId="0" xfId="2" applyFont="1"/>
    <xf numFmtId="0" fontId="311" fillId="0" borderId="0" xfId="0" applyFont="1"/>
    <xf numFmtId="0" fontId="312" fillId="30" borderId="511" xfId="0" applyFont="1" applyFill="1" applyBorder="1" applyAlignment="1">
      <alignment vertical="center" wrapText="1"/>
    </xf>
    <xf numFmtId="0" fontId="311" fillId="30" borderId="512" xfId="0" applyFont="1" applyFill="1" applyBorder="1" applyAlignment="1">
      <alignment vertical="center" wrapText="1"/>
    </xf>
    <xf numFmtId="0" fontId="312" fillId="30" borderId="513" xfId="2" applyFont="1" applyFill="1" applyBorder="1" applyProtection="1">
      <protection hidden="1"/>
    </xf>
    <xf numFmtId="0" fontId="312" fillId="30" borderId="514" xfId="0" applyFont="1" applyFill="1" applyBorder="1"/>
    <xf numFmtId="3" fontId="312" fillId="30" borderId="515" xfId="0" applyNumberFormat="1" applyFont="1" applyFill="1" applyBorder="1"/>
    <xf numFmtId="0" fontId="312" fillId="30" borderId="513" xfId="0" applyFont="1" applyFill="1" applyBorder="1"/>
    <xf numFmtId="0" fontId="312" fillId="30" borderId="515" xfId="0" applyFont="1" applyFill="1" applyBorder="1"/>
    <xf numFmtId="0" fontId="312" fillId="30" borderId="516" xfId="2" applyFont="1" applyFill="1" applyBorder="1" applyProtection="1">
      <protection hidden="1"/>
    </xf>
    <xf numFmtId="0" fontId="312" fillId="30" borderId="517" xfId="0" applyFont="1" applyFill="1" applyBorder="1"/>
    <xf numFmtId="0" fontId="312" fillId="30" borderId="518" xfId="0" applyFont="1" applyFill="1" applyBorder="1"/>
    <xf numFmtId="0" fontId="319" fillId="0" borderId="0" xfId="2" applyFont="1"/>
    <xf numFmtId="0" fontId="311" fillId="0" borderId="0" xfId="2" applyFont="1" applyAlignment="1">
      <alignment wrapText="1"/>
    </xf>
    <xf numFmtId="0" fontId="314" fillId="0" borderId="238" xfId="2" applyFont="1" applyFill="1" applyBorder="1" applyProtection="1">
      <protection hidden="1"/>
    </xf>
    <xf numFmtId="3" fontId="319" fillId="0" borderId="0" xfId="2" applyNumberFormat="1" applyFont="1" applyBorder="1"/>
    <xf numFmtId="0" fontId="320" fillId="0" borderId="173" xfId="2" applyFont="1" applyFill="1" applyBorder="1" applyProtection="1">
      <protection hidden="1"/>
    </xf>
    <xf numFmtId="0" fontId="321" fillId="0" borderId="174" xfId="2" applyFont="1" applyFill="1" applyBorder="1" applyProtection="1">
      <protection hidden="1"/>
    </xf>
    <xf numFmtId="0" fontId="52" fillId="0" borderId="0" xfId="2" applyFont="1" applyAlignment="1">
      <alignment wrapText="1"/>
    </xf>
    <xf numFmtId="0" fontId="2" fillId="0" borderId="0" xfId="2" applyFont="1" applyAlignment="1">
      <alignment wrapText="1"/>
    </xf>
    <xf numFmtId="0" fontId="17" fillId="26" borderId="14" xfId="2" applyFont="1" applyFill="1" applyBorder="1" applyAlignment="1" applyProtection="1">
      <alignment wrapText="1"/>
      <protection hidden="1"/>
    </xf>
    <xf numFmtId="0" fontId="322" fillId="0" borderId="0" xfId="2" applyFont="1" applyAlignment="1">
      <alignment wrapText="1"/>
    </xf>
    <xf numFmtId="0" fontId="52" fillId="33" borderId="0" xfId="2" applyFont="1" applyFill="1" applyAlignment="1">
      <alignment wrapText="1"/>
    </xf>
    <xf numFmtId="1" fontId="52" fillId="33" borderId="0" xfId="2" applyNumberFormat="1" applyFont="1" applyFill="1"/>
    <xf numFmtId="0" fontId="323" fillId="35" borderId="0" xfId="0" applyFont="1" applyFill="1" applyAlignment="1">
      <alignment vertical="center"/>
    </xf>
    <xf numFmtId="0" fontId="312" fillId="0" borderId="0" xfId="2" applyFont="1"/>
    <xf numFmtId="0" fontId="2" fillId="0" borderId="2" xfId="2" applyFont="1" applyBorder="1" applyAlignment="1">
      <alignment wrapText="1"/>
    </xf>
    <xf numFmtId="0" fontId="322" fillId="0" borderId="2" xfId="2" applyFont="1" applyBorder="1" applyAlignment="1">
      <alignment wrapText="1"/>
    </xf>
    <xf numFmtId="0" fontId="320" fillId="0" borderId="2" xfId="2" applyFont="1" applyFill="1" applyBorder="1" applyProtection="1">
      <protection hidden="1"/>
    </xf>
    <xf numFmtId="0" fontId="52" fillId="0" borderId="2" xfId="2" applyFont="1" applyBorder="1"/>
    <xf numFmtId="0" fontId="321" fillId="0" borderId="2" xfId="2" applyFont="1" applyFill="1" applyBorder="1" applyProtection="1">
      <protection hidden="1"/>
    </xf>
    <xf numFmtId="3" fontId="311" fillId="0" borderId="2" xfId="2" applyNumberFormat="1" applyFont="1" applyBorder="1"/>
    <xf numFmtId="3" fontId="266" fillId="0" borderId="0" xfId="2" applyNumberFormat="1" applyFont="1"/>
    <xf numFmtId="0" fontId="52" fillId="31" borderId="0" xfId="2" applyFont="1" applyFill="1"/>
    <xf numFmtId="0" fontId="311" fillId="0" borderId="106" xfId="2" applyNumberFormat="1" applyFont="1" applyBorder="1" applyAlignment="1">
      <alignment horizontal="center"/>
    </xf>
    <xf numFmtId="0" fontId="311" fillId="0" borderId="107" xfId="2" applyNumberFormat="1" applyFont="1" applyBorder="1" applyAlignment="1">
      <alignment horizontal="center"/>
    </xf>
    <xf numFmtId="0" fontId="311" fillId="0" borderId="164" xfId="2" applyNumberFormat="1" applyFont="1" applyBorder="1" applyAlignment="1">
      <alignment horizontal="center"/>
    </xf>
    <xf numFmtId="49" fontId="311" fillId="0" borderId="189" xfId="2" applyNumberFormat="1" applyFont="1" applyBorder="1"/>
    <xf numFmtId="168" fontId="5" fillId="14" borderId="271" xfId="2" applyNumberFormat="1" applyFont="1" applyFill="1" applyBorder="1" applyAlignment="1" applyProtection="1">
      <alignment horizontal="center" vertical="center" wrapText="1"/>
      <protection hidden="1"/>
    </xf>
    <xf numFmtId="0" fontId="5" fillId="14" borderId="402" xfId="2" applyFont="1" applyFill="1" applyBorder="1" applyProtection="1">
      <protection hidden="1"/>
    </xf>
    <xf numFmtId="3" fontId="311" fillId="35" borderId="0" xfId="2" applyNumberFormat="1" applyFont="1" applyFill="1"/>
    <xf numFmtId="3" fontId="322" fillId="35" borderId="0" xfId="2" applyNumberFormat="1" applyFont="1" applyFill="1"/>
    <xf numFmtId="3" fontId="308" fillId="35" borderId="0" xfId="2" applyNumberFormat="1" applyFont="1" applyFill="1"/>
    <xf numFmtId="0" fontId="322" fillId="10" borderId="0" xfId="2" applyFont="1" applyFill="1" applyAlignment="1">
      <alignment vertical="center" wrapText="1"/>
    </xf>
    <xf numFmtId="3" fontId="312" fillId="10" borderId="82" xfId="2" applyNumberFormat="1" applyFont="1" applyFill="1" applyBorder="1" applyProtection="1">
      <protection hidden="1"/>
    </xf>
    <xf numFmtId="3" fontId="312" fillId="10" borderId="82" xfId="2" applyNumberFormat="1" applyFont="1" applyFill="1" applyBorder="1" applyAlignment="1" applyProtection="1">
      <protection hidden="1"/>
    </xf>
    <xf numFmtId="3" fontId="311" fillId="10" borderId="425" xfId="2" applyNumberFormat="1" applyFont="1" applyFill="1" applyBorder="1" applyAlignment="1" applyProtection="1">
      <protection hidden="1"/>
    </xf>
    <xf numFmtId="0" fontId="312" fillId="10" borderId="80" xfId="2" applyFont="1" applyFill="1" applyBorder="1" applyAlignment="1" applyProtection="1">
      <alignment wrapText="1"/>
      <protection hidden="1"/>
    </xf>
    <xf numFmtId="3" fontId="312" fillId="10" borderId="425" xfId="2" applyNumberFormat="1" applyFont="1" applyFill="1" applyBorder="1" applyAlignment="1" applyProtection="1">
      <protection hidden="1"/>
    </xf>
    <xf numFmtId="3" fontId="311" fillId="0" borderId="187" xfId="2" applyNumberFormat="1" applyFont="1" applyFill="1" applyBorder="1"/>
    <xf numFmtId="3" fontId="311" fillId="7" borderId="0" xfId="2" applyNumberFormat="1" applyFont="1" applyFill="1"/>
    <xf numFmtId="3" fontId="322" fillId="7" borderId="0" xfId="2" applyNumberFormat="1" applyFont="1" applyFill="1"/>
    <xf numFmtId="3" fontId="319" fillId="7" borderId="0" xfId="2" applyNumberFormat="1" applyFont="1" applyFill="1"/>
    <xf numFmtId="3" fontId="319" fillId="0" borderId="0" xfId="2" applyNumberFormat="1" applyFont="1"/>
    <xf numFmtId="3" fontId="319" fillId="20" borderId="0" xfId="2" applyNumberFormat="1" applyFont="1" applyFill="1"/>
    <xf numFmtId="3" fontId="324" fillId="0" borderId="0" xfId="2" applyNumberFormat="1" applyFont="1" applyAlignment="1">
      <alignment horizontal="center"/>
    </xf>
    <xf numFmtId="3" fontId="311" fillId="0" borderId="383" xfId="2" applyNumberFormat="1" applyFont="1" applyBorder="1"/>
    <xf numFmtId="0" fontId="311" fillId="19" borderId="383" xfId="2" applyFont="1" applyFill="1" applyBorder="1"/>
    <xf numFmtId="167" fontId="311" fillId="20" borderId="383" xfId="2" applyNumberFormat="1" applyFont="1" applyFill="1" applyBorder="1"/>
    <xf numFmtId="0" fontId="5" fillId="0" borderId="459" xfId="2" applyFont="1" applyBorder="1" applyAlignment="1">
      <alignment wrapText="1"/>
    </xf>
    <xf numFmtId="0" fontId="52" fillId="45" borderId="0" xfId="2" applyFont="1" applyFill="1"/>
    <xf numFmtId="0" fontId="5" fillId="45" borderId="0" xfId="2" applyFont="1" applyFill="1" applyAlignment="1">
      <alignment wrapText="1"/>
    </xf>
    <xf numFmtId="1" fontId="322" fillId="42" borderId="0" xfId="2" applyNumberFormat="1" applyFont="1" applyFill="1"/>
    <xf numFmtId="0" fontId="322" fillId="42" borderId="0" xfId="2" applyFont="1" applyFill="1"/>
    <xf numFmtId="0" fontId="319" fillId="42" borderId="0" xfId="2" applyFont="1" applyFill="1"/>
    <xf numFmtId="3" fontId="319" fillId="0" borderId="0" xfId="2" applyNumberFormat="1" applyFont="1" applyFill="1"/>
    <xf numFmtId="0" fontId="7" fillId="45" borderId="0" xfId="2" applyFont="1" applyFill="1" applyAlignment="1">
      <alignment wrapText="1"/>
    </xf>
    <xf numFmtId="2" fontId="52" fillId="10" borderId="82" xfId="2" applyNumberFormat="1" applyFont="1" applyFill="1" applyBorder="1"/>
    <xf numFmtId="2" fontId="311" fillId="10" borderId="82" xfId="2" applyNumberFormat="1" applyFont="1" applyFill="1" applyBorder="1"/>
    <xf numFmtId="2" fontId="207" fillId="0" borderId="0" xfId="2" applyNumberFormat="1" applyFont="1"/>
    <xf numFmtId="2" fontId="319" fillId="0" borderId="0" xfId="2" applyNumberFormat="1" applyFont="1"/>
    <xf numFmtId="2" fontId="319" fillId="0" borderId="0" xfId="2" applyNumberFormat="1" applyFont="1" applyFill="1"/>
    <xf numFmtId="3" fontId="311" fillId="20" borderId="0" xfId="2" applyNumberFormat="1" applyFont="1" applyFill="1"/>
    <xf numFmtId="2" fontId="52" fillId="0" borderId="69" xfId="2" applyNumberFormat="1" applyFont="1" applyBorder="1"/>
    <xf numFmtId="2" fontId="311" fillId="0" borderId="69" xfId="2" applyNumberFormat="1" applyFont="1" applyBorder="1"/>
    <xf numFmtId="2" fontId="52" fillId="19" borderId="69" xfId="2" applyNumberFormat="1" applyFont="1" applyFill="1" applyBorder="1"/>
    <xf numFmtId="2" fontId="311" fillId="19" borderId="69" xfId="2" applyNumberFormat="1" applyFont="1" applyFill="1" applyBorder="1"/>
    <xf numFmtId="2" fontId="52" fillId="20" borderId="69" xfId="2" applyNumberFormat="1" applyFont="1" applyFill="1" applyBorder="1"/>
    <xf numFmtId="2" fontId="311" fillId="20" borderId="69" xfId="2" applyNumberFormat="1" applyFont="1" applyFill="1" applyBorder="1"/>
    <xf numFmtId="0" fontId="319" fillId="0" borderId="69" xfId="2" applyFont="1" applyBorder="1" applyAlignment="1">
      <alignment wrapText="1"/>
    </xf>
    <xf numFmtId="4" fontId="319" fillId="0" borderId="69" xfId="2" applyNumberFormat="1" applyFont="1" applyBorder="1"/>
    <xf numFmtId="0" fontId="319" fillId="19" borderId="69" xfId="2" applyFont="1" applyFill="1" applyBorder="1"/>
    <xf numFmtId="167" fontId="319" fillId="20" borderId="69" xfId="2" applyNumberFormat="1" applyFont="1" applyFill="1" applyBorder="1"/>
    <xf numFmtId="3" fontId="319" fillId="0" borderId="69" xfId="2" applyNumberFormat="1" applyFont="1" applyBorder="1"/>
    <xf numFmtId="2" fontId="52" fillId="0" borderId="383" xfId="2" applyNumberFormat="1" applyFont="1" applyBorder="1"/>
    <xf numFmtId="2" fontId="52" fillId="19" borderId="383" xfId="2" applyNumberFormat="1" applyFont="1" applyFill="1" applyBorder="1"/>
    <xf numFmtId="2" fontId="52" fillId="20" borderId="383" xfId="2" applyNumberFormat="1" applyFont="1" applyFill="1" applyBorder="1"/>
    <xf numFmtId="4" fontId="319" fillId="0" borderId="383" xfId="2" applyNumberFormat="1" applyFont="1" applyBorder="1"/>
    <xf numFmtId="0" fontId="319" fillId="19" borderId="383" xfId="2" applyFont="1" applyFill="1" applyBorder="1"/>
    <xf numFmtId="167" fontId="319" fillId="20" borderId="383" xfId="2" applyNumberFormat="1" applyFont="1" applyFill="1" applyBorder="1"/>
    <xf numFmtId="3" fontId="319" fillId="0" borderId="191" xfId="2" applyNumberFormat="1" applyFont="1" applyBorder="1"/>
    <xf numFmtId="0" fontId="319" fillId="19" borderId="191" xfId="2" applyFont="1" applyFill="1" applyBorder="1"/>
    <xf numFmtId="167" fontId="319" fillId="20" borderId="191" xfId="2" applyNumberFormat="1" applyFont="1" applyFill="1" applyBorder="1"/>
    <xf numFmtId="3" fontId="52" fillId="30" borderId="331" xfId="2" applyNumberFormat="1" applyFont="1" applyFill="1" applyBorder="1"/>
    <xf numFmtId="3" fontId="319" fillId="30" borderId="0" xfId="2" applyNumberFormat="1" applyFont="1" applyFill="1" applyBorder="1"/>
    <xf numFmtId="3" fontId="52" fillId="50" borderId="331" xfId="2" applyNumberFormat="1" applyFont="1" applyFill="1" applyBorder="1"/>
    <xf numFmtId="3" fontId="52" fillId="50" borderId="0" xfId="2" applyNumberFormat="1" applyFont="1" applyFill="1" applyBorder="1"/>
    <xf numFmtId="0" fontId="312" fillId="0" borderId="0" xfId="0" applyFont="1" applyAlignment="1">
      <alignment wrapText="1"/>
    </xf>
    <xf numFmtId="0" fontId="25" fillId="30" borderId="14" xfId="2" applyFont="1" applyFill="1" applyBorder="1" applyAlignment="1" applyProtection="1">
      <alignment wrapText="1"/>
      <protection hidden="1"/>
    </xf>
    <xf numFmtId="0" fontId="5" fillId="10" borderId="14" xfId="2" applyFont="1" applyFill="1" applyBorder="1" applyAlignment="1" applyProtection="1">
      <alignment wrapText="1"/>
      <protection hidden="1"/>
    </xf>
    <xf numFmtId="0" fontId="5" fillId="48" borderId="416" xfId="2" applyFont="1" applyFill="1" applyBorder="1" applyAlignment="1" applyProtection="1">
      <alignment horizontal="left" vertical="center" wrapText="1"/>
      <protection hidden="1"/>
    </xf>
    <xf numFmtId="49" fontId="325" fillId="0" borderId="167" xfId="2" applyNumberFormat="1" applyFont="1" applyFill="1" applyBorder="1" applyAlignment="1">
      <alignment horizontal="center" vertical="center" wrapText="1"/>
    </xf>
    <xf numFmtId="49" fontId="325" fillId="0" borderId="169" xfId="2" applyNumberFormat="1" applyFont="1" applyFill="1" applyBorder="1" applyAlignment="1">
      <alignment horizontal="center" vertical="center"/>
    </xf>
    <xf numFmtId="49" fontId="326" fillId="33" borderId="14" xfId="2" applyNumberFormat="1" applyFont="1" applyFill="1" applyBorder="1" applyAlignment="1">
      <alignment horizontal="center" vertical="center"/>
    </xf>
    <xf numFmtId="49" fontId="326" fillId="33" borderId="138" xfId="2" applyNumberFormat="1" applyFont="1" applyFill="1" applyBorder="1" applyAlignment="1">
      <alignment horizontal="center" vertical="center"/>
    </xf>
    <xf numFmtId="49" fontId="326" fillId="33" borderId="257" xfId="2" applyNumberFormat="1" applyFont="1" applyFill="1" applyBorder="1" applyAlignment="1">
      <alignment horizontal="center" vertical="center"/>
    </xf>
    <xf numFmtId="49" fontId="326" fillId="33" borderId="457" xfId="2" applyNumberFormat="1" applyFont="1" applyFill="1" applyBorder="1" applyAlignment="1">
      <alignment horizontal="center" vertical="center"/>
    </xf>
    <xf numFmtId="49" fontId="326" fillId="0" borderId="552" xfId="2" applyNumberFormat="1" applyFont="1" applyFill="1" applyBorder="1" applyAlignment="1">
      <alignment horizontal="center" vertical="center"/>
    </xf>
    <xf numFmtId="49" fontId="326" fillId="0" borderId="553" xfId="2" applyNumberFormat="1" applyFont="1" applyFill="1" applyBorder="1" applyAlignment="1">
      <alignment horizontal="center" vertical="center"/>
    </xf>
    <xf numFmtId="49" fontId="326" fillId="0" borderId="0" xfId="2" applyNumberFormat="1" applyFont="1" applyFill="1" applyBorder="1"/>
    <xf numFmtId="0" fontId="326" fillId="0" borderId="0" xfId="2" applyNumberFormat="1" applyFont="1" applyFill="1" applyBorder="1"/>
    <xf numFmtId="3" fontId="311" fillId="0" borderId="514" xfId="2" applyNumberFormat="1" applyFont="1" applyFill="1" applyBorder="1" applyAlignment="1">
      <alignment horizontal="center"/>
    </xf>
    <xf numFmtId="3" fontId="312" fillId="0" borderId="517" xfId="2" applyNumberFormat="1" applyFont="1" applyBorder="1" applyAlignment="1">
      <alignment horizontal="center"/>
    </xf>
    <xf numFmtId="0" fontId="311" fillId="0" borderId="0" xfId="2" applyFont="1" applyFill="1" applyBorder="1" applyAlignment="1">
      <alignment horizontal="center"/>
    </xf>
    <xf numFmtId="0" fontId="29" fillId="0" borderId="69" xfId="2" applyFont="1" applyBorder="1" applyAlignment="1">
      <alignment wrapText="1"/>
    </xf>
    <xf numFmtId="49" fontId="311" fillId="0" borderId="0" xfId="2" applyNumberFormat="1" applyFont="1" applyAlignment="1">
      <alignment horizontal="center"/>
    </xf>
    <xf numFmtId="0" fontId="311" fillId="0" borderId="0" xfId="2" applyFont="1" applyAlignment="1">
      <alignment horizontal="center"/>
    </xf>
    <xf numFmtId="0" fontId="316" fillId="42" borderId="554" xfId="2" applyFont="1" applyFill="1" applyBorder="1"/>
    <xf numFmtId="0" fontId="316" fillId="42" borderId="555" xfId="2" applyFont="1" applyFill="1" applyBorder="1"/>
    <xf numFmtId="0" fontId="316" fillId="0" borderId="0" xfId="2" applyFont="1"/>
    <xf numFmtId="0" fontId="316" fillId="42" borderId="2" xfId="2" applyFont="1" applyFill="1" applyBorder="1"/>
    <xf numFmtId="0" fontId="327" fillId="0" borderId="541" xfId="2" applyFont="1" applyBorder="1"/>
    <xf numFmtId="0" fontId="327" fillId="0" borderId="539" xfId="2" applyFont="1" applyBorder="1"/>
    <xf numFmtId="0" fontId="273" fillId="49" borderId="2" xfId="2" applyFont="1" applyFill="1" applyBorder="1"/>
    <xf numFmtId="3" fontId="263" fillId="49" borderId="0" xfId="5" applyNumberFormat="1" applyFont="1" applyFill="1"/>
    <xf numFmtId="3" fontId="273" fillId="49" borderId="0" xfId="2" applyNumberFormat="1" applyFont="1" applyFill="1" applyAlignment="1">
      <alignment horizontal="right"/>
    </xf>
    <xf numFmtId="3" fontId="328" fillId="49" borderId="0" xfId="5" applyNumberFormat="1" applyFont="1" applyFill="1"/>
    <xf numFmtId="0" fontId="275" fillId="30" borderId="2" xfId="2" applyFont="1" applyFill="1" applyBorder="1"/>
    <xf numFmtId="0" fontId="275" fillId="30" borderId="0" xfId="2" applyFont="1" applyFill="1" applyBorder="1"/>
    <xf numFmtId="3" fontId="263" fillId="30" borderId="0" xfId="5" applyNumberFormat="1" applyFont="1" applyFill="1"/>
    <xf numFmtId="3" fontId="273" fillId="30" borderId="0" xfId="2" applyNumberFormat="1" applyFont="1" applyFill="1" applyAlignment="1">
      <alignment horizontal="right"/>
    </xf>
    <xf numFmtId="3" fontId="329" fillId="36" borderId="0" xfId="5" applyNumberFormat="1" applyFont="1" applyFill="1"/>
    <xf numFmtId="0" fontId="280" fillId="0" borderId="0" xfId="2" applyFont="1"/>
    <xf numFmtId="0" fontId="327" fillId="38" borderId="0" xfId="2" applyFont="1" applyFill="1"/>
    <xf numFmtId="0" fontId="330" fillId="0" borderId="0" xfId="2" applyFont="1"/>
    <xf numFmtId="0" fontId="327" fillId="0" borderId="0" xfId="2" applyFont="1" applyAlignment="1">
      <alignment horizontal="center"/>
    </xf>
    <xf numFmtId="0" fontId="327" fillId="0" borderId="0" xfId="2" applyFont="1"/>
    <xf numFmtId="0" fontId="316" fillId="38" borderId="0" xfId="2" applyFont="1" applyFill="1"/>
    <xf numFmtId="0" fontId="24" fillId="51" borderId="210" xfId="2" applyFont="1" applyFill="1" applyBorder="1" applyAlignment="1">
      <alignment vertical="center" wrapText="1"/>
    </xf>
    <xf numFmtId="0" fontId="24" fillId="51" borderId="0" xfId="2" applyFont="1" applyFill="1" applyAlignment="1">
      <alignment wrapText="1"/>
    </xf>
    <xf numFmtId="0" fontId="311" fillId="45" borderId="306" xfId="2" applyFont="1" applyFill="1" applyBorder="1"/>
    <xf numFmtId="0" fontId="5" fillId="52" borderId="539" xfId="0" applyFont="1" applyFill="1" applyBorder="1"/>
    <xf numFmtId="0" fontId="311" fillId="0" borderId="542" xfId="0" applyFont="1" applyBorder="1"/>
    <xf numFmtId="0" fontId="24" fillId="52" borderId="78" xfId="2" applyFont="1" applyFill="1" applyBorder="1" applyAlignment="1">
      <alignment vertical="center" wrapText="1"/>
    </xf>
    <xf numFmtId="0" fontId="24" fillId="52" borderId="111" xfId="2" applyFont="1" applyFill="1" applyBorder="1" applyAlignment="1">
      <alignment vertical="center" wrapText="1"/>
    </xf>
    <xf numFmtId="0" fontId="3" fillId="52" borderId="0" xfId="2" applyFont="1" applyFill="1" applyAlignment="1">
      <alignment vertical="center" wrapText="1"/>
    </xf>
    <xf numFmtId="0" fontId="5" fillId="0" borderId="0" xfId="2" applyFont="1" applyAlignment="1">
      <alignment vertical="center" wrapText="1"/>
    </xf>
    <xf numFmtId="0" fontId="129" fillId="53" borderId="0" xfId="2" applyFont="1" applyFill="1"/>
    <xf numFmtId="169" fontId="196" fillId="0" borderId="460" xfId="2" applyNumberFormat="1" applyFont="1" applyBorder="1" applyAlignment="1">
      <alignment vertical="center" wrapText="1"/>
    </xf>
    <xf numFmtId="0" fontId="331" fillId="0" borderId="97" xfId="2" applyFont="1" applyBorder="1" applyAlignment="1">
      <alignment vertical="center" wrapText="1"/>
    </xf>
    <xf numFmtId="0" fontId="332" fillId="0" borderId="98" xfId="0" applyFont="1" applyBorder="1" applyAlignment="1">
      <alignment horizontal="center" vertical="center"/>
    </xf>
    <xf numFmtId="0" fontId="129" fillId="0" borderId="424" xfId="2" applyFont="1" applyBorder="1" applyAlignment="1">
      <alignment horizontal="center" vertical="center" wrapText="1"/>
    </xf>
    <xf numFmtId="4" fontId="312" fillId="0" borderId="0" xfId="2" applyNumberFormat="1" applyFont="1"/>
    <xf numFmtId="0" fontId="311" fillId="0" borderId="258" xfId="2" applyFont="1" applyBorder="1" applyAlignment="1">
      <alignment vertical="center" wrapText="1"/>
    </xf>
    <xf numFmtId="4" fontId="312" fillId="0" borderId="259" xfId="2" applyNumberFormat="1" applyFont="1" applyFill="1" applyBorder="1"/>
    <xf numFmtId="4" fontId="311" fillId="0" borderId="0" xfId="2" applyNumberFormat="1" applyFont="1"/>
    <xf numFmtId="4" fontId="312" fillId="0" borderId="214" xfId="2" applyNumberFormat="1" applyFont="1" applyBorder="1"/>
    <xf numFmtId="0" fontId="312" fillId="19" borderId="0" xfId="2" applyFont="1" applyFill="1"/>
    <xf numFmtId="0" fontId="312" fillId="0" borderId="461" xfId="2" applyFont="1" applyBorder="1" applyAlignment="1">
      <alignment vertical="center" wrapText="1"/>
    </xf>
    <xf numFmtId="0" fontId="312" fillId="0" borderId="255" xfId="2" applyFont="1" applyBorder="1" applyAlignment="1">
      <alignment vertical="center" wrapText="1"/>
    </xf>
    <xf numFmtId="0" fontId="311" fillId="0" borderId="78" xfId="2" applyFont="1" applyBorder="1" applyAlignment="1">
      <alignment wrapText="1"/>
    </xf>
    <xf numFmtId="4" fontId="311" fillId="0" borderId="112" xfId="2" applyNumberFormat="1" applyFont="1" applyBorder="1"/>
    <xf numFmtId="0" fontId="311" fillId="0" borderId="404" xfId="2" applyFont="1" applyBorder="1" applyAlignment="1">
      <alignment wrapText="1"/>
    </xf>
    <xf numFmtId="4" fontId="311" fillId="0" borderId="406" xfId="2" applyNumberFormat="1" applyFont="1" applyBorder="1"/>
    <xf numFmtId="0" fontId="311" fillId="0" borderId="408" xfId="2" applyFont="1" applyBorder="1" applyAlignment="1">
      <alignment wrapText="1"/>
    </xf>
    <xf numFmtId="4" fontId="311" fillId="0" borderId="411" xfId="2" applyNumberFormat="1" applyFont="1" applyBorder="1"/>
    <xf numFmtId="0" fontId="284" fillId="35" borderId="403" xfId="0" applyFont="1" applyFill="1" applyBorder="1" applyAlignment="1">
      <alignment wrapText="1"/>
    </xf>
    <xf numFmtId="0" fontId="284" fillId="35" borderId="404" xfId="0" applyFont="1" applyFill="1" applyBorder="1" applyAlignment="1">
      <alignment wrapText="1"/>
    </xf>
    <xf numFmtId="4" fontId="0" fillId="35" borderId="404" xfId="0" applyNumberFormat="1" applyFill="1" applyBorder="1"/>
    <xf numFmtId="0" fontId="0" fillId="35" borderId="462" xfId="0" applyFill="1" applyBorder="1"/>
    <xf numFmtId="0" fontId="284" fillId="35" borderId="463" xfId="0" applyFont="1" applyFill="1" applyBorder="1"/>
    <xf numFmtId="4" fontId="311" fillId="35" borderId="404" xfId="0" applyNumberFormat="1" applyFont="1" applyFill="1" applyBorder="1"/>
    <xf numFmtId="0" fontId="333" fillId="35" borderId="404" xfId="0" applyFont="1" applyFill="1" applyBorder="1" applyAlignment="1">
      <alignment wrapText="1"/>
    </xf>
    <xf numFmtId="0" fontId="312" fillId="0" borderId="99" xfId="0" applyFont="1" applyBorder="1" applyAlignment="1">
      <alignment horizontal="center"/>
    </xf>
    <xf numFmtId="0" fontId="312" fillId="0" borderId="464" xfId="0" applyFont="1" applyBorder="1" applyAlignment="1">
      <alignment horizontal="center"/>
    </xf>
    <xf numFmtId="0" fontId="312" fillId="0" borderId="229" xfId="0" applyFont="1" applyBorder="1" applyAlignment="1">
      <alignment horizontal="center"/>
    </xf>
    <xf numFmtId="4" fontId="312" fillId="0" borderId="0" xfId="0" applyNumberFormat="1" applyFont="1"/>
    <xf numFmtId="0" fontId="5" fillId="52" borderId="0" xfId="2" applyFont="1" applyFill="1" applyAlignment="1">
      <alignment wrapText="1"/>
    </xf>
    <xf numFmtId="0" fontId="0" fillId="52" borderId="0" xfId="0" applyFill="1"/>
    <xf numFmtId="3" fontId="196" fillId="0" borderId="465" xfId="2" applyNumberFormat="1" applyFont="1" applyBorder="1"/>
    <xf numFmtId="0" fontId="5" fillId="11" borderId="137" xfId="2" applyFont="1" applyFill="1" applyBorder="1" applyAlignment="1" applyProtection="1">
      <alignment vertical="top" wrapText="1"/>
      <protection hidden="1"/>
    </xf>
    <xf numFmtId="0" fontId="311" fillId="0" borderId="0" xfId="0" applyFont="1" applyFill="1" applyBorder="1"/>
    <xf numFmtId="0" fontId="5" fillId="52" borderId="539" xfId="0" applyFont="1" applyFill="1" applyBorder="1" applyAlignment="1">
      <alignment wrapText="1"/>
    </xf>
    <xf numFmtId="0" fontId="312" fillId="0" borderId="0" xfId="2" applyFont="1" applyAlignment="1">
      <alignment vertical="center" wrapText="1"/>
    </xf>
    <xf numFmtId="0" fontId="312" fillId="14" borderId="0" xfId="2" applyFont="1" applyFill="1"/>
    <xf numFmtId="0" fontId="312" fillId="0" borderId="0" xfId="2" applyFont="1" applyFill="1" applyAlignment="1">
      <alignment vertical="center" wrapText="1"/>
    </xf>
    <xf numFmtId="0" fontId="5" fillId="52" borderId="0" xfId="2" applyFont="1" applyFill="1"/>
    <xf numFmtId="0" fontId="311" fillId="0" borderId="537" xfId="0" applyFont="1" applyBorder="1"/>
    <xf numFmtId="3" fontId="2" fillId="0" borderId="4" xfId="2" applyNumberFormat="1" applyFont="1" applyFill="1" applyBorder="1" applyProtection="1">
      <protection locked="0"/>
    </xf>
    <xf numFmtId="3" fontId="2" fillId="0" borderId="4" xfId="2" applyNumberFormat="1" applyFont="1" applyFill="1" applyBorder="1" applyProtection="1">
      <protection hidden="1"/>
    </xf>
    <xf numFmtId="3" fontId="2" fillId="0" borderId="186" xfId="2" applyNumberFormat="1" applyFont="1" applyFill="1" applyBorder="1" applyProtection="1">
      <protection hidden="1"/>
    </xf>
    <xf numFmtId="3" fontId="2" fillId="0" borderId="188" xfId="2" applyNumberFormat="1" applyFont="1" applyFill="1" applyBorder="1" applyProtection="1">
      <protection hidden="1"/>
    </xf>
    <xf numFmtId="3" fontId="2" fillId="11" borderId="181" xfId="2" applyNumberFormat="1" applyFont="1" applyFill="1" applyBorder="1" applyProtection="1">
      <protection hidden="1"/>
    </xf>
    <xf numFmtId="0" fontId="311" fillId="0" borderId="221" xfId="2" applyFont="1" applyBorder="1" applyAlignment="1">
      <alignment vertical="center" wrapText="1"/>
    </xf>
    <xf numFmtId="0" fontId="314" fillId="0" borderId="220" xfId="2" applyFont="1" applyBorder="1" applyAlignment="1">
      <alignment horizontal="center" vertical="center" wrapText="1"/>
    </xf>
    <xf numFmtId="0" fontId="6" fillId="0" borderId="17" xfId="2" applyFont="1" applyFill="1" applyBorder="1" applyProtection="1">
      <protection locked="0"/>
    </xf>
    <xf numFmtId="0" fontId="5" fillId="33" borderId="2" xfId="2" applyFont="1" applyFill="1" applyBorder="1" applyAlignment="1" applyProtection="1">
      <protection hidden="1"/>
    </xf>
    <xf numFmtId="0" fontId="5" fillId="33" borderId="2" xfId="2" applyFont="1" applyFill="1" applyBorder="1" applyAlignment="1" applyProtection="1"/>
    <xf numFmtId="0" fontId="5" fillId="33" borderId="2" xfId="2" applyFont="1" applyFill="1" applyBorder="1" applyProtection="1">
      <protection hidden="1"/>
    </xf>
    <xf numFmtId="0" fontId="5" fillId="33" borderId="96" xfId="2" applyFont="1" applyFill="1" applyBorder="1" applyAlignment="1" applyProtection="1">
      <protection hidden="1"/>
    </xf>
    <xf numFmtId="0" fontId="5" fillId="33" borderId="74" xfId="2" applyFont="1" applyFill="1" applyBorder="1" applyAlignment="1" applyProtection="1">
      <protection hidden="1"/>
    </xf>
    <xf numFmtId="0" fontId="50" fillId="0" borderId="2" xfId="2" applyFont="1" applyFill="1" applyBorder="1" applyAlignment="1" applyProtection="1">
      <alignment vertical="center" wrapText="1"/>
      <protection locked="0"/>
    </xf>
    <xf numFmtId="0" fontId="50" fillId="0" borderId="2" xfId="2" applyFont="1" applyFill="1" applyBorder="1" applyProtection="1">
      <protection locked="0"/>
    </xf>
    <xf numFmtId="0" fontId="118" fillId="24" borderId="278" xfId="2" applyFont="1" applyFill="1" applyBorder="1" applyAlignment="1" applyProtection="1">
      <alignment vertical="center"/>
      <protection hidden="1"/>
    </xf>
    <xf numFmtId="0" fontId="5" fillId="33" borderId="74" xfId="2" applyFont="1" applyFill="1" applyBorder="1" applyAlignment="1" applyProtection="1"/>
    <xf numFmtId="0" fontId="334" fillId="46" borderId="0" xfId="2" applyFont="1" applyFill="1" applyBorder="1" applyAlignment="1" applyProtection="1">
      <alignment vertical="center" wrapText="1"/>
      <protection hidden="1"/>
    </xf>
    <xf numFmtId="0" fontId="334" fillId="46" borderId="166" xfId="2" applyFont="1" applyFill="1" applyBorder="1" applyAlignment="1" applyProtection="1">
      <alignment vertical="center" wrapText="1"/>
      <protection hidden="1"/>
    </xf>
    <xf numFmtId="0" fontId="5" fillId="0" borderId="0" xfId="2" applyFont="1" applyFill="1" applyBorder="1" applyAlignment="1" applyProtection="1">
      <alignment vertical="center" wrapText="1"/>
      <protection hidden="1"/>
    </xf>
    <xf numFmtId="0" fontId="24" fillId="0" borderId="0" xfId="2" applyFont="1" applyFill="1" applyBorder="1" applyAlignment="1" applyProtection="1">
      <alignment vertical="center"/>
      <protection hidden="1"/>
    </xf>
    <xf numFmtId="0" fontId="5" fillId="0" borderId="0" xfId="2" applyFont="1" applyFill="1" applyBorder="1" applyAlignment="1" applyProtection="1">
      <protection hidden="1"/>
    </xf>
    <xf numFmtId="0" fontId="5" fillId="0" borderId="0" xfId="2" applyFont="1" applyFill="1" applyBorder="1" applyAlignment="1" applyProtection="1"/>
    <xf numFmtId="0" fontId="118" fillId="24" borderId="278" xfId="2" applyFont="1" applyFill="1" applyBorder="1" applyAlignment="1" applyProtection="1">
      <alignment horizontal="left" vertical="center"/>
      <protection hidden="1"/>
    </xf>
    <xf numFmtId="0" fontId="334" fillId="46" borderId="0" xfId="2" applyFont="1" applyFill="1" applyBorder="1" applyAlignment="1" applyProtection="1">
      <alignment vertical="center"/>
      <protection hidden="1"/>
    </xf>
    <xf numFmtId="4" fontId="311" fillId="0" borderId="0" xfId="2" applyNumberFormat="1" applyFont="1" applyAlignment="1">
      <alignment wrapText="1"/>
    </xf>
    <xf numFmtId="4" fontId="312" fillId="0" borderId="0" xfId="2" applyNumberFormat="1" applyFont="1" applyAlignment="1">
      <alignment wrapText="1"/>
    </xf>
    <xf numFmtId="0" fontId="266" fillId="0" borderId="0" xfId="2" applyFont="1"/>
    <xf numFmtId="0" fontId="266" fillId="33" borderId="74" xfId="2" applyFont="1" applyFill="1" applyBorder="1" applyAlignment="1" applyProtection="1">
      <alignment horizontal="center"/>
      <protection hidden="1"/>
    </xf>
    <xf numFmtId="0" fontId="270" fillId="33" borderId="74" xfId="2" applyFont="1" applyFill="1" applyBorder="1" applyAlignment="1" applyProtection="1">
      <alignment horizontal="center"/>
      <protection hidden="1"/>
    </xf>
    <xf numFmtId="49" fontId="5" fillId="11" borderId="278" xfId="2" applyNumberFormat="1" applyFont="1" applyFill="1" applyBorder="1" applyProtection="1">
      <protection hidden="1"/>
    </xf>
    <xf numFmtId="0" fontId="0" fillId="33" borderId="0" xfId="0" applyFill="1"/>
    <xf numFmtId="0" fontId="0" fillId="33" borderId="2" xfId="0" applyFill="1" applyBorder="1"/>
    <xf numFmtId="0" fontId="5" fillId="33" borderId="2" xfId="0" applyFont="1" applyFill="1" applyBorder="1"/>
    <xf numFmtId="0" fontId="312" fillId="0" borderId="258" xfId="2" applyFont="1" applyBorder="1" applyAlignment="1">
      <alignment vertical="center" wrapText="1"/>
    </xf>
    <xf numFmtId="0" fontId="312" fillId="0" borderId="78" xfId="2" applyFont="1" applyBorder="1" applyAlignment="1">
      <alignment vertical="center" wrapText="1"/>
    </xf>
    <xf numFmtId="4" fontId="312" fillId="0" borderId="112" xfId="2" applyNumberFormat="1" applyFont="1" applyBorder="1"/>
    <xf numFmtId="0" fontId="312" fillId="0" borderId="0" xfId="2" applyFont="1" applyFill="1" applyBorder="1" applyAlignment="1" applyProtection="1">
      <alignment wrapText="1"/>
      <protection hidden="1"/>
    </xf>
    <xf numFmtId="3" fontId="312" fillId="0" borderId="2" xfId="0" applyNumberFormat="1" applyFont="1" applyBorder="1"/>
    <xf numFmtId="0" fontId="193" fillId="0" borderId="261" xfId="2" applyFont="1" applyFill="1" applyBorder="1" applyAlignment="1" applyProtection="1">
      <alignment horizontal="left"/>
      <protection locked="0"/>
    </xf>
    <xf numFmtId="0" fontId="0" fillId="0" borderId="0" xfId="2" applyFont="1" applyBorder="1" applyAlignment="1" applyProtection="1">
      <alignment horizontal="center"/>
      <protection hidden="1"/>
    </xf>
    <xf numFmtId="165" fontId="0" fillId="0" borderId="0" xfId="2" applyNumberFormat="1" applyFont="1" applyBorder="1" applyAlignment="1" applyProtection="1">
      <alignment horizontal="center"/>
      <protection hidden="1"/>
    </xf>
    <xf numFmtId="0" fontId="7" fillId="0" borderId="0" xfId="2" applyFont="1" applyBorder="1" applyAlignment="1" applyProtection="1">
      <alignment horizontal="center" wrapText="1"/>
      <protection hidden="1"/>
    </xf>
    <xf numFmtId="0" fontId="335" fillId="0" borderId="0" xfId="0" applyFont="1"/>
    <xf numFmtId="3" fontId="335" fillId="0" borderId="0" xfId="2" applyNumberFormat="1" applyFont="1" applyAlignment="1">
      <alignment horizontal="center"/>
    </xf>
    <xf numFmtId="3" fontId="335" fillId="0" borderId="0" xfId="2" applyNumberFormat="1" applyFont="1" applyFill="1" applyAlignment="1">
      <alignment horizontal="center"/>
    </xf>
    <xf numFmtId="0" fontId="336" fillId="35" borderId="0" xfId="2" applyFont="1" applyFill="1" applyBorder="1" applyAlignment="1">
      <alignment horizontal="center" vertical="center" wrapText="1"/>
    </xf>
    <xf numFmtId="0" fontId="337" fillId="0" borderId="66" xfId="2" applyFont="1" applyBorder="1" applyAlignment="1">
      <alignment wrapText="1"/>
    </xf>
    <xf numFmtId="3" fontId="338" fillId="0" borderId="65" xfId="2" applyNumberFormat="1" applyFont="1" applyFill="1" applyBorder="1"/>
    <xf numFmtId="0" fontId="336" fillId="0" borderId="238" xfId="2" applyFont="1" applyFill="1" applyBorder="1" applyProtection="1">
      <protection hidden="1"/>
    </xf>
    <xf numFmtId="0" fontId="337" fillId="0" borderId="111" xfId="2" applyFont="1" applyBorder="1" applyAlignment="1">
      <alignment wrapText="1"/>
    </xf>
    <xf numFmtId="0" fontId="337" fillId="0" borderId="0" xfId="2" applyFont="1" applyAlignment="1">
      <alignment wrapText="1"/>
    </xf>
    <xf numFmtId="0" fontId="335" fillId="0" borderId="0" xfId="2" applyFont="1"/>
    <xf numFmtId="0" fontId="336" fillId="0" borderId="2" xfId="2" applyFont="1" applyFill="1" applyBorder="1" applyAlignment="1" applyProtection="1">
      <alignment wrapText="1"/>
      <protection hidden="1"/>
    </xf>
    <xf numFmtId="0" fontId="338" fillId="0" borderId="2" xfId="2" applyFont="1" applyBorder="1"/>
    <xf numFmtId="0" fontId="322" fillId="54" borderId="158" xfId="2" applyFont="1" applyFill="1" applyBorder="1" applyAlignment="1">
      <alignment wrapText="1"/>
    </xf>
    <xf numFmtId="0" fontId="322" fillId="54" borderId="358" xfId="2" applyFont="1" applyFill="1" applyBorder="1" applyAlignment="1">
      <alignment wrapText="1"/>
    </xf>
    <xf numFmtId="0" fontId="319" fillId="54" borderId="54" xfId="2" applyFont="1" applyFill="1" applyBorder="1" applyAlignment="1" applyProtection="1">
      <protection hidden="1"/>
    </xf>
    <xf numFmtId="0" fontId="319" fillId="54" borderId="108" xfId="2" applyFont="1" applyFill="1" applyBorder="1"/>
    <xf numFmtId="0" fontId="319" fillId="54" borderId="54" xfId="2" applyFont="1" applyFill="1" applyBorder="1" applyProtection="1">
      <protection hidden="1"/>
    </xf>
    <xf numFmtId="0" fontId="322" fillId="54" borderId="55" xfId="2" applyFont="1" applyFill="1" applyBorder="1" applyAlignment="1" applyProtection="1">
      <protection hidden="1"/>
    </xf>
    <xf numFmtId="0" fontId="311" fillId="54" borderId="56" xfId="2" applyFont="1" applyFill="1" applyBorder="1" applyAlignment="1" applyProtection="1">
      <alignment wrapText="1"/>
      <protection hidden="1"/>
    </xf>
    <xf numFmtId="3" fontId="338" fillId="54" borderId="2" xfId="2" applyNumberFormat="1" applyFont="1" applyFill="1" applyBorder="1"/>
    <xf numFmtId="3" fontId="338" fillId="54" borderId="110" xfId="2" applyNumberFormat="1" applyFont="1" applyFill="1" applyBorder="1"/>
    <xf numFmtId="0" fontId="148" fillId="0" borderId="0" xfId="2" applyFont="1" applyFill="1" applyBorder="1" applyAlignment="1">
      <alignment vertical="center" wrapText="1"/>
    </xf>
    <xf numFmtId="0" fontId="2" fillId="0" borderId="0" xfId="2" applyFont="1" applyFill="1" applyBorder="1" applyAlignment="1">
      <alignment vertical="center" wrapText="1"/>
    </xf>
    <xf numFmtId="0" fontId="102" fillId="0" borderId="0" xfId="2" applyFont="1" applyFill="1" applyBorder="1" applyAlignment="1">
      <alignment vertical="center" wrapText="1"/>
    </xf>
    <xf numFmtId="0" fontId="52" fillId="0" borderId="0" xfId="2" applyFont="1" applyFill="1" applyAlignment="1">
      <alignment wrapText="1"/>
    </xf>
    <xf numFmtId="3" fontId="52" fillId="0" borderId="0" xfId="2" applyNumberFormat="1" applyFont="1" applyFill="1" applyBorder="1"/>
    <xf numFmtId="0" fontId="283" fillId="0" borderId="0" xfId="2" applyFont="1" applyFill="1" applyBorder="1"/>
    <xf numFmtId="0" fontId="52" fillId="0" borderId="466" xfId="2" applyFont="1" applyFill="1" applyBorder="1"/>
    <xf numFmtId="0" fontId="265" fillId="0" borderId="466" xfId="2" applyFont="1" applyFill="1" applyBorder="1"/>
    <xf numFmtId="0" fontId="52" fillId="0" borderId="467" xfId="2" applyFont="1" applyFill="1" applyBorder="1"/>
    <xf numFmtId="0" fontId="207" fillId="9" borderId="468" xfId="2" applyFont="1" applyFill="1" applyBorder="1"/>
    <xf numFmtId="0" fontId="52" fillId="0" borderId="469" xfId="2" applyFont="1" applyFill="1" applyBorder="1"/>
    <xf numFmtId="0" fontId="52" fillId="0" borderId="470" xfId="2" applyFont="1" applyFill="1" applyBorder="1"/>
    <xf numFmtId="0" fontId="52" fillId="0" borderId="471" xfId="2" applyFont="1" applyFill="1" applyBorder="1"/>
    <xf numFmtId="0" fontId="52" fillId="0" borderId="472" xfId="2" applyFont="1" applyFill="1" applyBorder="1"/>
    <xf numFmtId="0" fontId="52" fillId="0" borderId="473" xfId="2" applyFont="1" applyFill="1" applyBorder="1"/>
    <xf numFmtId="0" fontId="337" fillId="0" borderId="0" xfId="2" applyFont="1"/>
    <xf numFmtId="0" fontId="338" fillId="0" borderId="0" xfId="2" applyFont="1"/>
    <xf numFmtId="0" fontId="337" fillId="0" borderId="106" xfId="2" applyNumberFormat="1" applyFont="1" applyBorder="1"/>
    <xf numFmtId="168" fontId="337" fillId="0" borderId="106" xfId="2" applyNumberFormat="1" applyFont="1" applyBorder="1"/>
    <xf numFmtId="168" fontId="337" fillId="0" borderId="106" xfId="2" applyNumberFormat="1" applyFont="1" applyBorder="1" applyAlignment="1">
      <alignment horizontal="right"/>
    </xf>
    <xf numFmtId="0" fontId="339" fillId="0" borderId="0" xfId="0" applyFont="1" applyAlignment="1">
      <alignment vertical="center"/>
    </xf>
    <xf numFmtId="0" fontId="339" fillId="0" borderId="0" xfId="0" applyFont="1"/>
    <xf numFmtId="0" fontId="339" fillId="0" borderId="107" xfId="2" applyFont="1" applyBorder="1"/>
    <xf numFmtId="2" fontId="5" fillId="0" borderId="280" xfId="2" applyNumberFormat="1" applyFont="1" applyBorder="1" applyAlignment="1" applyProtection="1">
      <alignment horizontal="center"/>
      <protection locked="0"/>
    </xf>
    <xf numFmtId="0" fontId="336" fillId="0" borderId="0" xfId="0" applyFont="1" applyAlignment="1">
      <alignment wrapText="1"/>
    </xf>
    <xf numFmtId="3" fontId="337" fillId="0" borderId="0" xfId="0" applyNumberFormat="1" applyFont="1"/>
    <xf numFmtId="3" fontId="335" fillId="0" borderId="0" xfId="0" applyNumberFormat="1" applyFont="1"/>
    <xf numFmtId="0" fontId="340" fillId="0" borderId="519" xfId="0" applyFont="1" applyBorder="1" applyAlignment="1">
      <alignment vertical="center" wrapText="1"/>
    </xf>
    <xf numFmtId="0" fontId="335" fillId="0" borderId="511" xfId="0" applyFont="1" applyBorder="1" applyAlignment="1">
      <alignment vertical="center" wrapText="1"/>
    </xf>
    <xf numFmtId="0" fontId="336" fillId="0" borderId="0" xfId="0" applyFont="1"/>
    <xf numFmtId="3" fontId="337" fillId="0" borderId="0" xfId="2" applyNumberFormat="1" applyFont="1"/>
    <xf numFmtId="0" fontId="337" fillId="0" borderId="0" xfId="0" applyFont="1"/>
    <xf numFmtId="0" fontId="336" fillId="0" borderId="0" xfId="0" applyFont="1" applyAlignment="1">
      <alignment vertical="center" wrapText="1"/>
    </xf>
    <xf numFmtId="0" fontId="340" fillId="30" borderId="519" xfId="0" applyFont="1" applyFill="1" applyBorder="1" applyAlignment="1">
      <alignment vertical="center" wrapText="1"/>
    </xf>
    <xf numFmtId="0" fontId="335" fillId="30" borderId="511" xfId="0" applyFont="1" applyFill="1" applyBorder="1" applyAlignment="1">
      <alignment vertical="center" wrapText="1"/>
    </xf>
    <xf numFmtId="3" fontId="335" fillId="30" borderId="514" xfId="0" applyNumberFormat="1" applyFont="1" applyFill="1" applyBorder="1"/>
    <xf numFmtId="0" fontId="335" fillId="30" borderId="514" xfId="0" applyFont="1" applyFill="1" applyBorder="1"/>
    <xf numFmtId="0" fontId="337" fillId="0" borderId="0" xfId="0" applyFont="1" applyAlignment="1">
      <alignment vertical="center" wrapText="1"/>
    </xf>
    <xf numFmtId="0" fontId="341" fillId="0" borderId="0" xfId="0" applyFont="1" applyAlignment="1">
      <alignment vertical="center"/>
    </xf>
    <xf numFmtId="0" fontId="335" fillId="0" borderId="138" xfId="2" applyFont="1" applyBorder="1"/>
    <xf numFmtId="0" fontId="335" fillId="0" borderId="138" xfId="2" applyFont="1" applyFill="1" applyBorder="1"/>
    <xf numFmtId="0" fontId="335" fillId="0" borderId="2" xfId="2" applyFont="1" applyFill="1" applyBorder="1"/>
    <xf numFmtId="0" fontId="335" fillId="0" borderId="2" xfId="2" applyFont="1" applyBorder="1"/>
    <xf numFmtId="0" fontId="342" fillId="0" borderId="14" xfId="2" applyFont="1" applyBorder="1"/>
    <xf numFmtId="0" fontId="342" fillId="0" borderId="2" xfId="2" applyFont="1" applyBorder="1"/>
    <xf numFmtId="0" fontId="341" fillId="0" borderId="2" xfId="0" applyFont="1" applyBorder="1" applyAlignment="1">
      <alignment vertical="center"/>
    </xf>
    <xf numFmtId="0" fontId="341" fillId="0" borderId="4" xfId="0" applyFont="1" applyBorder="1" applyAlignment="1">
      <alignment vertical="center"/>
    </xf>
    <xf numFmtId="0" fontId="337" fillId="35" borderId="2" xfId="2" applyFont="1" applyFill="1" applyBorder="1"/>
    <xf numFmtId="0" fontId="337" fillId="0" borderId="2" xfId="2" applyFont="1" applyBorder="1"/>
    <xf numFmtId="0" fontId="337" fillId="0" borderId="4" xfId="2" applyFont="1" applyBorder="1"/>
    <xf numFmtId="0" fontId="337" fillId="0" borderId="173" xfId="2" applyFont="1" applyBorder="1"/>
    <xf numFmtId="0" fontId="318" fillId="0" borderId="343" xfId="0" applyFont="1" applyBorder="1" applyAlignment="1">
      <alignment vertical="center"/>
    </xf>
    <xf numFmtId="0" fontId="337" fillId="0" borderId="27" xfId="2" applyFont="1" applyFill="1" applyBorder="1"/>
    <xf numFmtId="0" fontId="318" fillId="0" borderId="344" xfId="0" applyFont="1" applyBorder="1" applyAlignment="1">
      <alignment vertical="center"/>
    </xf>
    <xf numFmtId="0" fontId="311" fillId="35" borderId="344" xfId="2" applyFont="1" applyFill="1" applyBorder="1"/>
    <xf numFmtId="0" fontId="337" fillId="0" borderId="49" xfId="2" applyFont="1" applyFill="1" applyBorder="1"/>
    <xf numFmtId="0" fontId="318" fillId="0" borderId="345" xfId="0" applyFont="1" applyBorder="1" applyAlignment="1">
      <alignment vertical="center"/>
    </xf>
    <xf numFmtId="0" fontId="343" fillId="55" borderId="173" xfId="2" applyFont="1" applyFill="1" applyBorder="1" applyAlignment="1">
      <alignment horizontal="right"/>
    </xf>
    <xf numFmtId="0" fontId="25" fillId="55" borderId="0" xfId="2" applyFont="1" applyFill="1" applyBorder="1"/>
    <xf numFmtId="0" fontId="335" fillId="0" borderId="0" xfId="0" applyFont="1" applyAlignment="1">
      <alignment wrapText="1"/>
    </xf>
    <xf numFmtId="3" fontId="336" fillId="0" borderId="0" xfId="2" applyNumberFormat="1" applyFont="1" applyFill="1" applyBorder="1" applyProtection="1">
      <protection hidden="1"/>
    </xf>
    <xf numFmtId="0" fontId="344" fillId="0" borderId="69" xfId="2" applyFont="1" applyBorder="1" applyAlignment="1">
      <alignment horizontal="center"/>
    </xf>
    <xf numFmtId="0" fontId="277" fillId="35" borderId="69" xfId="2" applyFont="1" applyFill="1" applyBorder="1" applyAlignment="1">
      <alignment horizontal="center"/>
    </xf>
    <xf numFmtId="0" fontId="345" fillId="0" borderId="69" xfId="2" applyNumberFormat="1" applyFont="1" applyBorder="1"/>
    <xf numFmtId="0" fontId="345" fillId="35" borderId="69" xfId="2" applyNumberFormat="1" applyFont="1" applyFill="1" applyBorder="1"/>
    <xf numFmtId="3" fontId="345" fillId="0" borderId="0" xfId="2" applyNumberFormat="1" applyFont="1" applyAlignment="1">
      <alignment horizontal="right"/>
    </xf>
    <xf numFmtId="3" fontId="345" fillId="31" borderId="0" xfId="2" applyNumberFormat="1" applyFont="1" applyFill="1" applyAlignment="1">
      <alignment horizontal="right"/>
    </xf>
    <xf numFmtId="3" fontId="344" fillId="0" borderId="0" xfId="2" applyNumberFormat="1" applyFont="1" applyAlignment="1">
      <alignment horizontal="right"/>
    </xf>
    <xf numFmtId="3" fontId="346" fillId="0" borderId="0" xfId="5" applyNumberFormat="1" applyFont="1"/>
    <xf numFmtId="49" fontId="345" fillId="0" borderId="0" xfId="2" applyNumberFormat="1" applyFont="1"/>
    <xf numFmtId="0" fontId="344" fillId="0" borderId="0" xfId="2" applyFont="1"/>
    <xf numFmtId="0" fontId="345" fillId="0" borderId="0" xfId="2" applyFont="1"/>
    <xf numFmtId="3" fontId="345" fillId="0" borderId="0" xfId="2" applyNumberFormat="1" applyFont="1" applyFill="1" applyAlignment="1">
      <alignment horizontal="right"/>
    </xf>
    <xf numFmtId="3" fontId="345" fillId="0" borderId="514" xfId="2" applyNumberFormat="1" applyFont="1" applyBorder="1" applyAlignment="1">
      <alignment horizontal="right"/>
    </xf>
    <xf numFmtId="3" fontId="345" fillId="0" borderId="514" xfId="2" applyNumberFormat="1" applyFont="1" applyBorder="1"/>
    <xf numFmtId="3" fontId="345" fillId="0" borderId="526" xfId="2" applyNumberFormat="1" applyFont="1" applyBorder="1"/>
    <xf numFmtId="3" fontId="346" fillId="0" borderId="541" xfId="5" applyNumberFormat="1" applyFont="1" applyBorder="1"/>
    <xf numFmtId="3" fontId="346" fillId="0" borderId="539" xfId="5" applyNumberFormat="1" applyFont="1" applyBorder="1"/>
    <xf numFmtId="0" fontId="347" fillId="0" borderId="256" xfId="2" applyFont="1" applyFill="1" applyBorder="1"/>
    <xf numFmtId="3" fontId="336" fillId="0" borderId="212" xfId="2" applyNumberFormat="1" applyFont="1" applyFill="1" applyBorder="1" applyProtection="1">
      <protection hidden="1"/>
    </xf>
    <xf numFmtId="3" fontId="336" fillId="0" borderId="213" xfId="2" applyNumberFormat="1" applyFont="1" applyFill="1" applyBorder="1" applyProtection="1">
      <protection hidden="1"/>
    </xf>
    <xf numFmtId="3" fontId="337" fillId="0" borderId="514" xfId="2" applyNumberFormat="1" applyFont="1" applyFill="1" applyBorder="1" applyAlignment="1">
      <alignment horizontal="center"/>
    </xf>
    <xf numFmtId="3" fontId="335" fillId="0" borderId="212" xfId="2" applyNumberFormat="1" applyFont="1" applyFill="1" applyBorder="1" applyProtection="1">
      <protection hidden="1"/>
    </xf>
    <xf numFmtId="3" fontId="337" fillId="0" borderId="212" xfId="2" applyNumberFormat="1" applyFont="1" applyFill="1" applyBorder="1" applyProtection="1">
      <protection hidden="1"/>
    </xf>
    <xf numFmtId="0" fontId="348" fillId="0" borderId="0" xfId="0" applyFont="1"/>
    <xf numFmtId="0" fontId="273" fillId="0" borderId="0" xfId="2" applyFont="1" applyAlignment="1">
      <alignment horizontal="left"/>
    </xf>
    <xf numFmtId="3" fontId="346" fillId="36" borderId="0" xfId="5" applyNumberFormat="1" applyFont="1" applyFill="1"/>
    <xf numFmtId="3" fontId="349" fillId="0" borderId="0" xfId="2" applyNumberFormat="1" applyFont="1" applyAlignment="1">
      <alignment horizontal="right"/>
    </xf>
    <xf numFmtId="3" fontId="350" fillId="36" borderId="0" xfId="5" applyNumberFormat="1" applyFont="1" applyFill="1"/>
    <xf numFmtId="0" fontId="351" fillId="0" borderId="0" xfId="2" applyFont="1"/>
    <xf numFmtId="3" fontId="253" fillId="0" borderId="69" xfId="2" applyNumberFormat="1" applyFont="1" applyBorder="1" applyAlignment="1">
      <alignment wrapText="1"/>
    </xf>
    <xf numFmtId="1" fontId="216" fillId="12" borderId="69" xfId="2" applyNumberFormat="1" applyFont="1" applyFill="1" applyBorder="1"/>
    <xf numFmtId="0" fontId="344" fillId="0" borderId="2" xfId="2" applyFont="1" applyFill="1" applyBorder="1"/>
    <xf numFmtId="0" fontId="345" fillId="0" borderId="2" xfId="2" applyFont="1" applyFill="1" applyBorder="1"/>
    <xf numFmtId="0" fontId="345" fillId="0" borderId="2" xfId="2" applyFont="1" applyFill="1" applyBorder="1" applyAlignment="1">
      <alignment horizontal="center"/>
    </xf>
    <xf numFmtId="0" fontId="351" fillId="0" borderId="0" xfId="2" applyFont="1" applyAlignment="1">
      <alignment horizontal="center"/>
    </xf>
    <xf numFmtId="0" fontId="345" fillId="0" borderId="2" xfId="2" applyFont="1" applyBorder="1"/>
    <xf numFmtId="0" fontId="335" fillId="0" borderId="2" xfId="0" applyFont="1" applyBorder="1" applyAlignment="1">
      <alignment horizontal="center"/>
    </xf>
    <xf numFmtId="0" fontId="345" fillId="0" borderId="226" xfId="2" applyFont="1" applyFill="1" applyBorder="1"/>
    <xf numFmtId="0" fontId="345" fillId="0" borderId="343" xfId="2" applyFont="1" applyFill="1" applyBorder="1"/>
    <xf numFmtId="10" fontId="335" fillId="0" borderId="163" xfId="2" applyNumberFormat="1" applyFont="1" applyBorder="1"/>
    <xf numFmtId="0" fontId="337" fillId="0" borderId="162" xfId="2" applyFont="1" applyBorder="1"/>
    <xf numFmtId="0" fontId="0" fillId="0" borderId="259" xfId="2" applyFont="1" applyBorder="1" applyAlignment="1">
      <alignment horizontal="center"/>
    </xf>
    <xf numFmtId="0" fontId="23" fillId="0" borderId="474" xfId="2" applyFont="1" applyBorder="1" applyAlignment="1">
      <alignment horizontal="center"/>
    </xf>
    <xf numFmtId="0" fontId="0" fillId="0" borderId="474" xfId="2" applyFont="1" applyBorder="1" applyAlignment="1">
      <alignment horizontal="center"/>
    </xf>
    <xf numFmtId="0" fontId="23" fillId="0" borderId="251" xfId="2" applyFont="1" applyBorder="1" applyAlignment="1">
      <alignment horizontal="center" vertical="center" wrapText="1"/>
    </xf>
    <xf numFmtId="0" fontId="23" fillId="0" borderId="163" xfId="2" applyFont="1" applyBorder="1" applyAlignment="1">
      <alignment horizontal="center" vertical="center" wrapText="1"/>
    </xf>
    <xf numFmtId="0" fontId="337" fillId="0" borderId="99" xfId="0" applyFont="1" applyBorder="1" applyAlignment="1">
      <alignment wrapText="1"/>
    </xf>
    <xf numFmtId="0" fontId="337" fillId="0" borderId="229" xfId="0" applyFont="1" applyBorder="1" applyAlignment="1">
      <alignment horizontal="center"/>
    </xf>
    <xf numFmtId="0" fontId="270" fillId="0" borderId="253" xfId="0" applyFont="1" applyBorder="1"/>
    <xf numFmtId="0" fontId="0" fillId="0" borderId="461" xfId="2" applyFont="1" applyBorder="1" applyAlignment="1">
      <alignment vertical="center" wrapText="1"/>
    </xf>
    <xf numFmtId="0" fontId="311" fillId="0" borderId="255" xfId="2" applyFont="1" applyBorder="1" applyAlignment="1">
      <alignment vertical="center" wrapText="1"/>
    </xf>
    <xf numFmtId="0" fontId="335" fillId="0" borderId="229" xfId="0" applyFont="1" applyBorder="1" applyAlignment="1">
      <alignment horizontal="center"/>
    </xf>
    <xf numFmtId="0" fontId="5" fillId="0" borderId="443" xfId="2" applyFont="1" applyFill="1" applyBorder="1" applyProtection="1">
      <protection hidden="1"/>
    </xf>
    <xf numFmtId="0" fontId="129" fillId="0" borderId="475" xfId="2" applyFont="1" applyBorder="1" applyAlignment="1">
      <alignment horizontal="center" vertical="center"/>
    </xf>
    <xf numFmtId="0" fontId="129" fillId="0" borderId="476" xfId="2" applyFont="1" applyBorder="1" applyAlignment="1">
      <alignment horizontal="center" vertical="center"/>
    </xf>
    <xf numFmtId="0" fontId="337" fillId="0" borderId="99" xfId="0" applyFont="1" applyBorder="1"/>
    <xf numFmtId="0" fontId="3" fillId="0" borderId="464" xfId="0" applyFont="1" applyBorder="1"/>
    <xf numFmtId="0" fontId="0" fillId="0" borderId="556" xfId="0" applyBorder="1"/>
    <xf numFmtId="0" fontId="335" fillId="0" borderId="99" xfId="0" applyFont="1" applyBorder="1" applyAlignment="1">
      <alignment wrapText="1"/>
    </xf>
    <xf numFmtId="0" fontId="336" fillId="0" borderId="0" xfId="0" applyFont="1" applyAlignment="1">
      <alignment horizontal="center"/>
    </xf>
    <xf numFmtId="0" fontId="352" fillId="0" borderId="0" xfId="0" applyFont="1" applyAlignment="1">
      <alignment vertical="center" wrapText="1"/>
    </xf>
    <xf numFmtId="0" fontId="353" fillId="0" borderId="221" xfId="0" applyFont="1" applyBorder="1" applyAlignment="1">
      <alignment vertical="center" wrapText="1"/>
    </xf>
    <xf numFmtId="4" fontId="335" fillId="0" borderId="259" xfId="2" applyNumberFormat="1" applyFont="1" applyFill="1" applyBorder="1"/>
    <xf numFmtId="0" fontId="335" fillId="19" borderId="0" xfId="2" applyFont="1" applyFill="1"/>
    <xf numFmtId="4" fontId="337" fillId="0" borderId="0" xfId="2" applyNumberFormat="1" applyFont="1"/>
    <xf numFmtId="0" fontId="345" fillId="35" borderId="344" xfId="2" applyFont="1" applyFill="1" applyBorder="1"/>
    <xf numFmtId="0" fontId="335" fillId="0" borderId="60" xfId="0" applyFont="1" applyBorder="1" applyAlignment="1">
      <alignment horizontal="center"/>
    </xf>
    <xf numFmtId="0" fontId="345" fillId="0" borderId="60" xfId="2" applyFont="1" applyFill="1" applyBorder="1"/>
    <xf numFmtId="0" fontId="345" fillId="35" borderId="44" xfId="2" applyFont="1" applyFill="1" applyBorder="1"/>
    <xf numFmtId="0" fontId="345" fillId="35" borderId="343" xfId="2" applyFont="1" applyFill="1" applyBorder="1"/>
    <xf numFmtId="0" fontId="345" fillId="35" borderId="27" xfId="2" applyFont="1" applyFill="1" applyBorder="1"/>
    <xf numFmtId="0" fontId="29" fillId="35" borderId="344" xfId="2" applyFont="1" applyFill="1" applyBorder="1"/>
    <xf numFmtId="0" fontId="29" fillId="35" borderId="345" xfId="2" applyFont="1" applyFill="1" applyBorder="1"/>
    <xf numFmtId="0" fontId="277" fillId="0" borderId="2" xfId="2" applyFont="1" applyFill="1" applyBorder="1"/>
    <xf numFmtId="0" fontId="345" fillId="0" borderId="34" xfId="2" applyFont="1" applyFill="1" applyBorder="1"/>
    <xf numFmtId="0" fontId="345" fillId="0" borderId="28" xfId="2" applyFont="1" applyFill="1" applyBorder="1"/>
    <xf numFmtId="0" fontId="354" fillId="0" borderId="99" xfId="2" applyFont="1" applyFill="1" applyBorder="1" applyAlignment="1">
      <alignment horizontal="left"/>
    </xf>
    <xf numFmtId="0" fontId="354" fillId="0" borderId="464" xfId="2" applyFont="1" applyFill="1" applyBorder="1"/>
    <xf numFmtId="0" fontId="344" fillId="0" borderId="34" xfId="2" applyFont="1" applyFill="1" applyBorder="1"/>
    <xf numFmtId="0" fontId="345" fillId="0" borderId="28" xfId="2" applyFont="1" applyBorder="1"/>
    <xf numFmtId="0" fontId="277" fillId="0" borderId="99" xfId="2" applyFont="1" applyFill="1" applyBorder="1"/>
    <xf numFmtId="0" fontId="354" fillId="0" borderId="229" xfId="2" applyFont="1" applyFill="1" applyBorder="1" applyAlignment="1">
      <alignment horizontal="center"/>
    </xf>
    <xf numFmtId="0" fontId="277" fillId="0" borderId="229" xfId="2" applyFont="1" applyFill="1" applyBorder="1" applyAlignment="1">
      <alignment horizontal="center"/>
    </xf>
    <xf numFmtId="0" fontId="344" fillId="0" borderId="28" xfId="2" applyFont="1" applyBorder="1"/>
    <xf numFmtId="0" fontId="344" fillId="0" borderId="0" xfId="2" applyFont="1" applyAlignment="1">
      <alignment horizontal="center"/>
    </xf>
    <xf numFmtId="0" fontId="73" fillId="56" borderId="102" xfId="2" applyFont="1" applyFill="1" applyBorder="1" applyAlignment="1" applyProtection="1">
      <alignment horizontal="center"/>
      <protection hidden="1"/>
    </xf>
    <xf numFmtId="0" fontId="355" fillId="56" borderId="111" xfId="2" applyFont="1" applyFill="1" applyBorder="1" applyAlignment="1" applyProtection="1">
      <alignment horizontal="center"/>
      <protection hidden="1"/>
    </xf>
    <xf numFmtId="0" fontId="337" fillId="0" borderId="138" xfId="2" applyFont="1" applyBorder="1"/>
    <xf numFmtId="0" fontId="336" fillId="0" borderId="0" xfId="2" applyFont="1" applyAlignment="1">
      <alignment wrapText="1"/>
    </xf>
    <xf numFmtId="3" fontId="337" fillId="10" borderId="110" xfId="2" applyNumberFormat="1" applyFont="1" applyFill="1" applyBorder="1" applyAlignment="1">
      <alignment horizontal="center" vertical="center"/>
    </xf>
    <xf numFmtId="0" fontId="29" fillId="35" borderId="0" xfId="2" applyFont="1" applyFill="1"/>
    <xf numFmtId="10" fontId="35" fillId="0" borderId="0" xfId="9" applyNumberFormat="1" applyFont="1" applyFill="1" applyBorder="1" applyAlignment="1" applyProtection="1">
      <alignment horizontal="centerContinuous"/>
      <protection hidden="1"/>
    </xf>
    <xf numFmtId="0" fontId="356" fillId="0" borderId="0" xfId="2" applyFont="1"/>
    <xf numFmtId="10" fontId="345" fillId="0" borderId="0" xfId="2" applyNumberFormat="1" applyFont="1"/>
    <xf numFmtId="0" fontId="357" fillId="0" borderId="0" xfId="2" applyFont="1" applyAlignment="1"/>
    <xf numFmtId="0" fontId="336" fillId="0" borderId="112" xfId="2" applyFont="1" applyBorder="1"/>
    <xf numFmtId="0" fontId="336" fillId="0" borderId="73" xfId="2" applyFont="1" applyBorder="1"/>
    <xf numFmtId="0" fontId="336" fillId="0" borderId="218" xfId="2" applyFont="1" applyBorder="1"/>
    <xf numFmtId="0" fontId="267" fillId="33" borderId="137" xfId="2" applyFont="1" applyFill="1" applyBorder="1" applyProtection="1">
      <protection hidden="1"/>
    </xf>
    <xf numFmtId="0" fontId="26" fillId="33" borderId="136" xfId="2" applyFont="1" applyFill="1" applyBorder="1" applyAlignment="1" applyProtection="1">
      <alignment horizontal="center"/>
      <protection hidden="1"/>
    </xf>
    <xf numFmtId="0" fontId="340" fillId="0" borderId="0" xfId="2" applyFont="1" applyBorder="1" applyAlignment="1">
      <alignment horizontal="center"/>
    </xf>
    <xf numFmtId="0" fontId="23" fillId="0" borderId="329" xfId="2" applyFont="1" applyBorder="1" applyAlignment="1">
      <alignment horizontal="center" wrapText="1"/>
    </xf>
    <xf numFmtId="0" fontId="5" fillId="33" borderId="448" xfId="0" applyFont="1" applyFill="1" applyBorder="1" applyAlignment="1">
      <alignment wrapText="1"/>
    </xf>
    <xf numFmtId="0" fontId="358" fillId="0" borderId="0" xfId="2" applyFont="1"/>
    <xf numFmtId="3" fontId="359" fillId="0" borderId="65" xfId="2" applyNumberFormat="1" applyFont="1" applyFill="1" applyBorder="1"/>
    <xf numFmtId="0" fontId="360" fillId="0" borderId="0" xfId="2" applyFont="1" applyAlignment="1">
      <alignment horizontal="center" vertical="center"/>
    </xf>
    <xf numFmtId="3" fontId="359" fillId="0" borderId="113" xfId="2" applyNumberFormat="1" applyFont="1" applyFill="1" applyBorder="1"/>
    <xf numFmtId="3" fontId="359" fillId="0" borderId="0" xfId="2" applyNumberFormat="1" applyFont="1" applyBorder="1"/>
    <xf numFmtId="3" fontId="360" fillId="0" borderId="187" xfId="2" applyNumberFormat="1" applyFont="1" applyBorder="1"/>
    <xf numFmtId="3" fontId="361" fillId="0" borderId="187" xfId="2" applyNumberFormat="1" applyFont="1" applyBorder="1"/>
    <xf numFmtId="0" fontId="360" fillId="0" borderId="0" xfId="2" applyFont="1" applyAlignment="1">
      <alignment wrapText="1"/>
    </xf>
    <xf numFmtId="0" fontId="295" fillId="0" borderId="0" xfId="2" applyFont="1" applyAlignment="1">
      <alignment wrapText="1"/>
    </xf>
    <xf numFmtId="0" fontId="292" fillId="0" borderId="0" xfId="2" applyFont="1"/>
    <xf numFmtId="0" fontId="293" fillId="0" borderId="2" xfId="2" applyFont="1" applyBorder="1"/>
    <xf numFmtId="0" fontId="52" fillId="35" borderId="0" xfId="2" applyFont="1" applyFill="1" applyAlignment="1">
      <alignment wrapText="1"/>
    </xf>
    <xf numFmtId="3" fontId="293" fillId="54" borderId="2" xfId="2" applyNumberFormat="1" applyFont="1" applyFill="1" applyBorder="1"/>
    <xf numFmtId="3" fontId="293" fillId="54" borderId="110" xfId="2" applyNumberFormat="1" applyFont="1" applyFill="1" applyBorder="1"/>
    <xf numFmtId="3" fontId="362" fillId="0" borderId="0" xfId="2" applyNumberFormat="1" applyFont="1"/>
    <xf numFmtId="0" fontId="363" fillId="0" borderId="0" xfId="2" applyFont="1" applyFill="1" applyBorder="1" applyProtection="1">
      <protection hidden="1"/>
    </xf>
    <xf numFmtId="0" fontId="5" fillId="14" borderId="81" xfId="2" applyFont="1" applyFill="1" applyBorder="1" applyProtection="1">
      <protection hidden="1"/>
    </xf>
    <xf numFmtId="3" fontId="267" fillId="0" borderId="0" xfId="2" applyNumberFormat="1" applyFont="1" applyAlignment="1">
      <alignment horizontal="center"/>
    </xf>
    <xf numFmtId="3" fontId="267" fillId="0" borderId="0" xfId="2" applyNumberFormat="1" applyFont="1" applyFill="1" applyAlignment="1">
      <alignment horizontal="center"/>
    </xf>
    <xf numFmtId="0" fontId="5" fillId="10" borderId="65" xfId="2" applyFont="1" applyFill="1" applyBorder="1" applyAlignment="1" applyProtection="1">
      <alignment horizontal="left" vertical="center" wrapText="1"/>
      <protection hidden="1"/>
    </xf>
    <xf numFmtId="0" fontId="286" fillId="0" borderId="0" xfId="2" applyFont="1" applyFill="1"/>
    <xf numFmtId="3" fontId="285" fillId="0" borderId="0" xfId="2" applyNumberFormat="1" applyFont="1" applyAlignment="1">
      <alignment horizontal="right"/>
    </xf>
    <xf numFmtId="3" fontId="285" fillId="0" borderId="514" xfId="2" applyNumberFormat="1" applyFont="1" applyBorder="1" applyAlignment="1">
      <alignment horizontal="right"/>
    </xf>
    <xf numFmtId="3" fontId="285" fillId="0" borderId="514" xfId="2" applyNumberFormat="1" applyFont="1" applyBorder="1"/>
    <xf numFmtId="3" fontId="288" fillId="0" borderId="0" xfId="5" applyNumberFormat="1" applyFont="1" applyFill="1"/>
    <xf numFmtId="3" fontId="263" fillId="0" borderId="0" xfId="5" applyNumberFormat="1" applyFont="1" applyFill="1"/>
    <xf numFmtId="3" fontId="273" fillId="0" borderId="0" xfId="2" applyNumberFormat="1" applyFont="1" applyFill="1" applyAlignment="1">
      <alignment horizontal="right"/>
    </xf>
    <xf numFmtId="3" fontId="328" fillId="0" borderId="0" xfId="5" applyNumberFormat="1" applyFont="1" applyFill="1"/>
    <xf numFmtId="0" fontId="286" fillId="0" borderId="2" xfId="2" applyFont="1" applyFill="1" applyBorder="1"/>
    <xf numFmtId="3" fontId="364" fillId="0" borderId="0" xfId="5" applyNumberFormat="1" applyFont="1" applyFill="1"/>
    <xf numFmtId="0" fontId="285" fillId="0" borderId="551" xfId="2" applyFont="1" applyBorder="1"/>
    <xf numFmtId="3" fontId="5" fillId="0" borderId="0" xfId="0" applyNumberFormat="1" applyFont="1" applyFill="1" applyBorder="1"/>
    <xf numFmtId="0" fontId="5" fillId="0" borderId="0" xfId="0" applyFont="1" applyFill="1" applyBorder="1" applyAlignment="1">
      <alignment vertical="center" wrapText="1"/>
    </xf>
    <xf numFmtId="168" fontId="5" fillId="0" borderId="0" xfId="0" applyNumberFormat="1" applyFont="1" applyFill="1" applyBorder="1"/>
    <xf numFmtId="0" fontId="5" fillId="33" borderId="0" xfId="0" applyFont="1" applyFill="1" applyBorder="1"/>
    <xf numFmtId="3" fontId="5" fillId="33" borderId="0" xfId="0" applyNumberFormat="1" applyFont="1" applyFill="1" applyBorder="1"/>
    <xf numFmtId="171" fontId="5" fillId="33" borderId="0" xfId="0" applyNumberFormat="1" applyFont="1" applyFill="1" applyBorder="1"/>
    <xf numFmtId="168" fontId="5" fillId="33" borderId="0" xfId="0" applyNumberFormat="1" applyFont="1" applyFill="1" applyBorder="1"/>
    <xf numFmtId="0" fontId="29" fillId="33" borderId="0" xfId="2" applyFont="1" applyFill="1" applyBorder="1"/>
    <xf numFmtId="0" fontId="5" fillId="33" borderId="0" xfId="0" applyFont="1" applyFill="1" applyBorder="1" applyAlignment="1">
      <alignment vertical="center" wrapText="1"/>
    </xf>
    <xf numFmtId="168" fontId="5" fillId="33" borderId="0" xfId="0" applyNumberFormat="1" applyFont="1" applyFill="1" applyBorder="1" applyAlignment="1">
      <alignment vertical="center" wrapText="1"/>
    </xf>
    <xf numFmtId="0" fontId="267" fillId="0" borderId="44" xfId="0" applyFont="1" applyFill="1" applyBorder="1" applyAlignment="1">
      <alignment vertical="center"/>
    </xf>
    <xf numFmtId="0" fontId="267" fillId="0" borderId="226" xfId="0" applyFont="1" applyFill="1" applyBorder="1" applyAlignment="1">
      <alignment vertical="center" wrapText="1"/>
    </xf>
    <xf numFmtId="0" fontId="266" fillId="0" borderId="226" xfId="0" applyFont="1" applyFill="1" applyBorder="1" applyAlignment="1">
      <alignment vertical="center" wrapText="1"/>
    </xf>
    <xf numFmtId="0" fontId="29" fillId="0" borderId="343" xfId="2" applyFont="1" applyBorder="1"/>
    <xf numFmtId="3" fontId="5" fillId="33" borderId="27" xfId="0" applyNumberFormat="1" applyFont="1" applyFill="1" applyBorder="1"/>
    <xf numFmtId="0" fontId="29" fillId="0" borderId="344" xfId="2" applyFont="1" applyBorder="1"/>
    <xf numFmtId="168" fontId="29" fillId="0" borderId="344" xfId="2" applyNumberFormat="1" applyFont="1" applyBorder="1"/>
    <xf numFmtId="0" fontId="5" fillId="0" borderId="27" xfId="0" applyFont="1" applyFill="1" applyBorder="1"/>
    <xf numFmtId="0" fontId="29" fillId="0" borderId="27" xfId="2" applyFont="1" applyFill="1" applyBorder="1"/>
    <xf numFmtId="0" fontId="29" fillId="33" borderId="344" xfId="2" applyFont="1" applyFill="1" applyBorder="1"/>
    <xf numFmtId="0" fontId="5" fillId="0" borderId="27" xfId="0" applyFont="1" applyFill="1" applyBorder="1" applyAlignment="1">
      <alignment vertical="center" wrapText="1"/>
    </xf>
    <xf numFmtId="168" fontId="29" fillId="33" borderId="344" xfId="2" applyNumberFormat="1" applyFont="1" applyFill="1" applyBorder="1"/>
    <xf numFmtId="3" fontId="5" fillId="0" borderId="27" xfId="0" applyNumberFormat="1" applyFont="1" applyFill="1" applyBorder="1"/>
    <xf numFmtId="3" fontId="5" fillId="0" borderId="49" xfId="0" applyNumberFormat="1" applyFont="1" applyFill="1" applyBorder="1"/>
    <xf numFmtId="0" fontId="5" fillId="0" borderId="264" xfId="0" applyFont="1" applyFill="1" applyBorder="1"/>
    <xf numFmtId="0" fontId="5" fillId="33" borderId="264" xfId="0" applyFont="1" applyFill="1" applyBorder="1"/>
    <xf numFmtId="3" fontId="5" fillId="33" borderId="264" xfId="0" applyNumberFormat="1" applyFont="1" applyFill="1" applyBorder="1"/>
    <xf numFmtId="0" fontId="29" fillId="33" borderId="345" xfId="2" applyFont="1" applyFill="1" applyBorder="1"/>
    <xf numFmtId="0" fontId="345" fillId="35" borderId="0" xfId="2" applyFont="1" applyFill="1" applyBorder="1"/>
    <xf numFmtId="0" fontId="345" fillId="35" borderId="264" xfId="2" applyFont="1" applyFill="1" applyBorder="1"/>
    <xf numFmtId="0" fontId="29" fillId="35" borderId="27" xfId="2" applyFont="1" applyFill="1" applyBorder="1"/>
    <xf numFmtId="0" fontId="29" fillId="35" borderId="49" xfId="2" applyFont="1" applyFill="1" applyBorder="1"/>
    <xf numFmtId="0" fontId="5" fillId="35" borderId="0" xfId="2" applyNumberFormat="1" applyFont="1" applyFill="1" applyAlignment="1">
      <alignment horizontal="center"/>
    </xf>
    <xf numFmtId="0" fontId="26" fillId="0" borderId="0" xfId="2" applyNumberFormat="1" applyFont="1" applyAlignment="1">
      <alignment horizontal="center"/>
    </xf>
    <xf numFmtId="0" fontId="283" fillId="0" borderId="44" xfId="2" applyFont="1" applyBorder="1"/>
    <xf numFmtId="0" fontId="283" fillId="0" borderId="27" xfId="2" applyFont="1" applyFill="1" applyBorder="1"/>
    <xf numFmtId="0" fontId="283" fillId="9" borderId="175" xfId="2" applyFont="1" applyFill="1" applyBorder="1"/>
    <xf numFmtId="3" fontId="284" fillId="0" borderId="0" xfId="2" applyNumberFormat="1" applyFont="1" applyFill="1" applyBorder="1" applyProtection="1">
      <protection hidden="1"/>
    </xf>
    <xf numFmtId="0" fontId="355" fillId="37" borderId="111" xfId="2" applyFont="1" applyFill="1" applyBorder="1" applyAlignment="1" applyProtection="1">
      <alignment horizontal="center"/>
      <protection hidden="1"/>
    </xf>
    <xf numFmtId="3" fontId="0" fillId="0" borderId="0" xfId="2" applyNumberFormat="1" applyFont="1" applyBorder="1"/>
    <xf numFmtId="0" fontId="283" fillId="0" borderId="0" xfId="2" applyFont="1" applyBorder="1"/>
    <xf numFmtId="0" fontId="5" fillId="0" borderId="0" xfId="0" applyFont="1" applyAlignment="1">
      <alignment wrapText="1"/>
    </xf>
    <xf numFmtId="0" fontId="292" fillId="0" borderId="0" xfId="0" applyFont="1" applyAlignment="1">
      <alignment horizontal="center" wrapText="1"/>
    </xf>
    <xf numFmtId="170" fontId="0" fillId="0" borderId="0" xfId="1" applyNumberFormat="1" applyFont="1"/>
    <xf numFmtId="170" fontId="292" fillId="0" borderId="0" xfId="1" applyNumberFormat="1" applyFont="1"/>
    <xf numFmtId="0" fontId="292" fillId="0" borderId="278" xfId="2" applyFont="1" applyBorder="1"/>
    <xf numFmtId="0" fontId="292" fillId="48" borderId="0" xfId="0" applyFont="1" applyFill="1" applyAlignment="1">
      <alignment wrapText="1"/>
    </xf>
    <xf numFmtId="0" fontId="0" fillId="48" borderId="0" xfId="0" applyFill="1"/>
    <xf numFmtId="170" fontId="260" fillId="48" borderId="0" xfId="1" applyNumberFormat="1" applyFont="1" applyFill="1"/>
    <xf numFmtId="170" fontId="260" fillId="35" borderId="0" xfId="1" applyNumberFormat="1" applyFont="1" applyFill="1"/>
    <xf numFmtId="170" fontId="5" fillId="48" borderId="0" xfId="1" applyNumberFormat="1" applyFont="1" applyFill="1"/>
    <xf numFmtId="170" fontId="267" fillId="35" borderId="0" xfId="1" applyNumberFormat="1" applyFont="1" applyFill="1"/>
    <xf numFmtId="0" fontId="5" fillId="48" borderId="0" xfId="0" applyFont="1" applyFill="1" applyAlignment="1">
      <alignment wrapText="1"/>
    </xf>
    <xf numFmtId="170" fontId="0" fillId="48" borderId="0" xfId="0" applyNumberFormat="1" applyFill="1"/>
    <xf numFmtId="170" fontId="0" fillId="0" borderId="0" xfId="0" applyNumberFormat="1"/>
    <xf numFmtId="170" fontId="283" fillId="0" borderId="0" xfId="0" applyNumberFormat="1" applyFont="1"/>
    <xf numFmtId="0" fontId="292" fillId="0" borderId="0" xfId="2" applyFont="1" applyAlignment="1" applyProtection="1">
      <alignment vertical="center" wrapText="1"/>
      <protection hidden="1"/>
    </xf>
    <xf numFmtId="0" fontId="292" fillId="0" borderId="0" xfId="0" applyFont="1" applyAlignment="1">
      <alignment vertical="center" wrapText="1"/>
    </xf>
    <xf numFmtId="3" fontId="283" fillId="0" borderId="514" xfId="0" applyNumberFormat="1" applyFont="1" applyBorder="1"/>
    <xf numFmtId="0" fontId="283" fillId="0" borderId="514" xfId="0" applyFont="1" applyBorder="1"/>
    <xf numFmtId="0" fontId="292" fillId="0" borderId="26" xfId="2" applyFont="1" applyBorder="1"/>
    <xf numFmtId="0" fontId="5" fillId="35" borderId="6" xfId="2" applyFont="1" applyFill="1" applyBorder="1" applyAlignment="1" applyProtection="1">
      <alignment vertical="center" wrapText="1"/>
      <protection hidden="1"/>
    </xf>
    <xf numFmtId="0" fontId="26" fillId="35" borderId="5" xfId="2" applyFont="1" applyFill="1" applyBorder="1" applyProtection="1">
      <protection hidden="1"/>
    </xf>
    <xf numFmtId="166" fontId="72" fillId="35" borderId="101" xfId="2" applyNumberFormat="1" applyFont="1" applyFill="1" applyBorder="1" applyAlignment="1" applyProtection="1">
      <alignment horizontal="center"/>
      <protection hidden="1"/>
    </xf>
    <xf numFmtId="166" fontId="267" fillId="8" borderId="101" xfId="2" applyNumberFormat="1" applyFont="1" applyFill="1" applyBorder="1" applyAlignment="1" applyProtection="1">
      <alignment horizontal="center"/>
      <protection hidden="1"/>
    </xf>
    <xf numFmtId="0" fontId="5" fillId="10" borderId="0" xfId="2" applyFont="1" applyFill="1"/>
    <xf numFmtId="0" fontId="261" fillId="0" borderId="0" xfId="0" applyNumberFormat="1" applyFont="1" applyAlignment="1">
      <alignment vertical="center"/>
    </xf>
    <xf numFmtId="0" fontId="5" fillId="2" borderId="0" xfId="2" applyFont="1" applyFill="1" applyAlignment="1">
      <alignment wrapText="1"/>
    </xf>
    <xf numFmtId="0" fontId="283" fillId="0" borderId="0" xfId="0" applyFont="1" applyAlignment="1">
      <alignment horizontal="center" vertical="center" wrapText="1"/>
    </xf>
    <xf numFmtId="0" fontId="292" fillId="0" borderId="0" xfId="0" applyFont="1" applyAlignment="1">
      <alignment horizontal="center" vertical="center" wrapText="1"/>
    </xf>
    <xf numFmtId="0" fontId="266" fillId="0" borderId="0" xfId="0" applyFont="1" applyAlignment="1">
      <alignment horizontal="center" wrapText="1"/>
    </xf>
    <xf numFmtId="0" fontId="5" fillId="0" borderId="0" xfId="0" applyFont="1" applyAlignment="1">
      <alignment horizontal="center" vertical="center" wrapText="1"/>
    </xf>
    <xf numFmtId="0" fontId="283" fillId="0" borderId="0" xfId="0" applyFont="1" applyAlignment="1">
      <alignment horizontal="center" vertical="center"/>
    </xf>
    <xf numFmtId="0" fontId="260" fillId="35" borderId="0" xfId="2" applyFont="1" applyFill="1" applyBorder="1" applyProtection="1">
      <protection hidden="1"/>
    </xf>
    <xf numFmtId="0" fontId="365" fillId="0" borderId="0" xfId="0" applyFont="1" applyAlignment="1">
      <alignment horizontal="center" wrapText="1"/>
    </xf>
    <xf numFmtId="0" fontId="5" fillId="0" borderId="26" xfId="2" applyNumberFormat="1" applyFont="1" applyBorder="1" applyProtection="1">
      <protection hidden="1"/>
    </xf>
    <xf numFmtId="0" fontId="5" fillId="30" borderId="26" xfId="2" applyFont="1" applyFill="1" applyBorder="1" applyAlignment="1" applyProtection="1">
      <alignment vertical="center" wrapText="1"/>
      <protection hidden="1"/>
    </xf>
    <xf numFmtId="0" fontId="186" fillId="30" borderId="124" xfId="2" applyFont="1" applyFill="1" applyBorder="1" applyAlignment="1" applyProtection="1">
      <alignment vertical="center" wrapText="1"/>
      <protection hidden="1"/>
    </xf>
    <xf numFmtId="0" fontId="161" fillId="30" borderId="26" xfId="2" applyFont="1" applyFill="1" applyBorder="1" applyProtection="1">
      <protection hidden="1"/>
    </xf>
    <xf numFmtId="0" fontId="161" fillId="30" borderId="26" xfId="2" applyFont="1" applyFill="1" applyBorder="1"/>
    <xf numFmtId="0" fontId="292" fillId="0" borderId="124" xfId="2" applyFont="1" applyFill="1" applyBorder="1" applyAlignment="1" applyProtection="1">
      <alignment vertical="center" wrapText="1"/>
      <protection hidden="1"/>
    </xf>
    <xf numFmtId="0" fontId="292" fillId="30" borderId="0" xfId="2" applyFont="1" applyFill="1" applyAlignment="1">
      <alignment wrapText="1"/>
    </xf>
    <xf numFmtId="0" fontId="173" fillId="30" borderId="0" xfId="2" applyFont="1" applyFill="1"/>
    <xf numFmtId="0" fontId="0" fillId="30" borderId="0" xfId="0" applyFill="1"/>
    <xf numFmtId="0" fontId="3" fillId="30" borderId="0" xfId="2" applyFont="1" applyFill="1"/>
    <xf numFmtId="3" fontId="308" fillId="0" borderId="26" xfId="2" applyNumberFormat="1" applyFont="1" applyBorder="1"/>
    <xf numFmtId="0" fontId="308" fillId="0" borderId="26" xfId="2" applyFont="1" applyBorder="1"/>
    <xf numFmtId="1" fontId="145" fillId="8" borderId="477" xfId="2" applyNumberFormat="1" applyFont="1" applyFill="1" applyBorder="1" applyAlignment="1" applyProtection="1">
      <alignment horizontal="right"/>
      <protection hidden="1"/>
    </xf>
    <xf numFmtId="0" fontId="77" fillId="8" borderId="478" xfId="2" applyFont="1" applyFill="1" applyBorder="1" applyAlignment="1" applyProtection="1">
      <alignment horizontal="center"/>
      <protection hidden="1"/>
    </xf>
    <xf numFmtId="2" fontId="267" fillId="8" borderId="479" xfId="2" applyNumberFormat="1" applyFont="1" applyFill="1" applyBorder="1" applyAlignment="1" applyProtection="1">
      <alignment horizontal="center"/>
      <protection hidden="1"/>
    </xf>
    <xf numFmtId="0" fontId="5" fillId="32" borderId="234" xfId="2" applyFont="1" applyFill="1" applyBorder="1" applyProtection="1">
      <protection hidden="1"/>
    </xf>
    <xf numFmtId="0" fontId="26" fillId="0" borderId="242" xfId="2" applyFont="1" applyFill="1" applyBorder="1" applyProtection="1">
      <protection locked="0"/>
    </xf>
    <xf numFmtId="166" fontId="72" fillId="32" borderId="232" xfId="2" applyNumberFormat="1" applyFont="1" applyFill="1" applyBorder="1" applyAlignment="1" applyProtection="1">
      <alignment horizontal="center"/>
      <protection hidden="1"/>
    </xf>
    <xf numFmtId="1" fontId="145" fillId="57" borderId="557" xfId="2" applyNumberFormat="1" applyFont="1" applyFill="1" applyBorder="1" applyAlignment="1" applyProtection="1">
      <alignment horizontal="left"/>
      <protection hidden="1"/>
    </xf>
    <xf numFmtId="0" fontId="77" fillId="57" borderId="558" xfId="2" applyFont="1" applyFill="1" applyBorder="1" applyAlignment="1" applyProtection="1">
      <alignment horizontal="center"/>
      <protection hidden="1"/>
    </xf>
    <xf numFmtId="2" fontId="267" fillId="57" borderId="559" xfId="2" applyNumberFormat="1" applyFont="1" applyFill="1" applyBorder="1" applyAlignment="1" applyProtection="1">
      <alignment horizontal="center"/>
      <protection hidden="1"/>
    </xf>
    <xf numFmtId="2" fontId="366" fillId="57" borderId="560" xfId="2" applyNumberFormat="1" applyFont="1" applyFill="1" applyBorder="1" applyAlignment="1" applyProtection="1">
      <alignment horizontal="center"/>
      <protection hidden="1"/>
    </xf>
    <xf numFmtId="0" fontId="292" fillId="57" borderId="124" xfId="2" applyFont="1" applyFill="1" applyBorder="1" applyAlignment="1" applyProtection="1">
      <alignment vertical="center" wrapText="1"/>
      <protection hidden="1"/>
    </xf>
    <xf numFmtId="2" fontId="292" fillId="57" borderId="26" xfId="2" applyNumberFormat="1" applyFont="1" applyFill="1" applyBorder="1"/>
    <xf numFmtId="0" fontId="292" fillId="57" borderId="26" xfId="2" applyFont="1" applyFill="1" applyBorder="1"/>
    <xf numFmtId="0" fontId="0" fillId="57" borderId="0" xfId="0" applyFill="1"/>
    <xf numFmtId="0" fontId="367" fillId="57" borderId="0" xfId="0" applyFont="1" applyFill="1"/>
    <xf numFmtId="0" fontId="3" fillId="57" borderId="0" xfId="0" applyFont="1" applyFill="1"/>
    <xf numFmtId="0" fontId="3" fillId="58" borderId="239" xfId="2" applyFont="1" applyFill="1" applyBorder="1"/>
    <xf numFmtId="0" fontId="3" fillId="58" borderId="240" xfId="2" applyFont="1" applyFill="1" applyBorder="1"/>
    <xf numFmtId="0" fontId="5" fillId="0" borderId="539" xfId="2" applyFont="1" applyBorder="1"/>
    <xf numFmtId="0" fontId="0" fillId="0" borderId="539" xfId="0" applyBorder="1"/>
    <xf numFmtId="0" fontId="5" fillId="0" borderId="539" xfId="2" applyFont="1" applyFill="1" applyBorder="1"/>
    <xf numFmtId="0" fontId="5" fillId="0" borderId="539" xfId="0" applyFont="1" applyBorder="1"/>
    <xf numFmtId="1" fontId="145" fillId="57" borderId="561" xfId="2" applyNumberFormat="1" applyFont="1" applyFill="1" applyBorder="1" applyAlignment="1" applyProtection="1">
      <alignment horizontal="center"/>
      <protection hidden="1"/>
    </xf>
    <xf numFmtId="1" fontId="145" fillId="57" borderId="562" xfId="2" applyNumberFormat="1" applyFont="1" applyFill="1" applyBorder="1" applyAlignment="1" applyProtection="1">
      <alignment horizontal="center"/>
      <protection hidden="1"/>
    </xf>
    <xf numFmtId="0" fontId="51" fillId="10" borderId="102" xfId="2" applyFont="1" applyFill="1" applyBorder="1" applyAlignment="1" applyProtection="1">
      <alignment horizontal="right"/>
      <protection hidden="1"/>
    </xf>
    <xf numFmtId="0" fontId="5" fillId="0" borderId="89" xfId="2" applyFont="1" applyFill="1" applyBorder="1" applyAlignment="1" applyProtection="1">
      <alignment horizontal="center" vertical="center"/>
      <protection locked="0"/>
    </xf>
    <xf numFmtId="9" fontId="0" fillId="0" borderId="0" xfId="0" applyNumberFormat="1"/>
    <xf numFmtId="9" fontId="0" fillId="10" borderId="0" xfId="9" applyFont="1" applyFill="1"/>
    <xf numFmtId="0" fontId="3" fillId="8" borderId="480" xfId="2" applyFont="1" applyFill="1" applyBorder="1" applyAlignment="1">
      <alignment horizontal="center"/>
    </xf>
    <xf numFmtId="0" fontId="3" fillId="8" borderId="481" xfId="2" applyFont="1" applyFill="1" applyBorder="1" applyAlignment="1">
      <alignment horizontal="center"/>
    </xf>
    <xf numFmtId="0" fontId="3" fillId="8" borderId="158" xfId="2" applyFont="1" applyFill="1" applyBorder="1" applyAlignment="1">
      <alignment horizontal="center"/>
    </xf>
    <xf numFmtId="0" fontId="3" fillId="8" borderId="358" xfId="2" applyFont="1" applyFill="1" applyBorder="1" applyAlignment="1">
      <alignment horizontal="center"/>
    </xf>
    <xf numFmtId="0" fontId="3" fillId="8" borderId="482" xfId="2" applyFont="1" applyFill="1" applyBorder="1" applyAlignment="1" applyProtection="1">
      <alignment horizontal="center"/>
      <protection locked="0"/>
    </xf>
    <xf numFmtId="0" fontId="3" fillId="8" borderId="22" xfId="2" applyFont="1" applyFill="1" applyBorder="1" applyAlignment="1" applyProtection="1">
      <alignment horizontal="center"/>
      <protection locked="0"/>
    </xf>
    <xf numFmtId="0" fontId="3" fillId="8" borderId="483" xfId="2" applyFont="1" applyFill="1" applyBorder="1" applyAlignment="1" applyProtection="1">
      <alignment horizontal="center"/>
      <protection locked="0"/>
    </xf>
    <xf numFmtId="0" fontId="3" fillId="3" borderId="37" xfId="2" applyFont="1" applyFill="1" applyBorder="1" applyAlignment="1">
      <alignment horizontal="center"/>
    </xf>
    <xf numFmtId="0" fontId="3" fillId="3" borderId="157" xfId="2" applyFont="1" applyFill="1" applyBorder="1" applyAlignment="1">
      <alignment horizontal="center"/>
    </xf>
    <xf numFmtId="0" fontId="3" fillId="3" borderId="160" xfId="2" applyFont="1" applyFill="1" applyBorder="1" applyAlignment="1">
      <alignment horizontal="center"/>
    </xf>
    <xf numFmtId="0" fontId="3" fillId="7" borderId="37" xfId="2" applyFont="1" applyFill="1" applyBorder="1" applyAlignment="1">
      <alignment horizontal="center"/>
    </xf>
    <xf numFmtId="0" fontId="3" fillId="7" borderId="157" xfId="2" applyFont="1" applyFill="1" applyBorder="1" applyAlignment="1">
      <alignment horizontal="center"/>
    </xf>
    <xf numFmtId="0" fontId="3" fillId="7" borderId="160" xfId="2" applyFont="1" applyFill="1" applyBorder="1" applyAlignment="1">
      <alignment horizontal="center"/>
    </xf>
    <xf numFmtId="0" fontId="3" fillId="2" borderId="56" xfId="2" applyFont="1" applyFill="1" applyBorder="1" applyAlignment="1">
      <alignment horizontal="center"/>
    </xf>
    <xf numFmtId="0" fontId="3" fillId="2" borderId="158" xfId="2" applyFont="1" applyFill="1" applyBorder="1" applyAlignment="1">
      <alignment horizontal="center"/>
    </xf>
    <xf numFmtId="0" fontId="3" fillId="2" borderId="358" xfId="2" applyFont="1" applyFill="1" applyBorder="1" applyAlignment="1">
      <alignment horizontal="center"/>
    </xf>
    <xf numFmtId="0" fontId="3" fillId="9" borderId="56" xfId="2" applyFont="1" applyFill="1" applyBorder="1" applyAlignment="1">
      <alignment horizontal="center"/>
    </xf>
    <xf numFmtId="0" fontId="3" fillId="9" borderId="158" xfId="2" applyFont="1" applyFill="1" applyBorder="1" applyAlignment="1">
      <alignment horizontal="center"/>
    </xf>
    <xf numFmtId="0" fontId="3" fillId="9" borderId="358" xfId="2" applyFont="1" applyFill="1" applyBorder="1" applyAlignment="1">
      <alignment horizontal="center"/>
    </xf>
    <xf numFmtId="0" fontId="3" fillId="16" borderId="56" xfId="2" applyFont="1" applyFill="1" applyBorder="1" applyAlignment="1">
      <alignment horizontal="center"/>
    </xf>
    <xf numFmtId="0" fontId="3" fillId="16" borderId="158" xfId="2" applyFont="1" applyFill="1" applyBorder="1" applyAlignment="1">
      <alignment horizontal="center"/>
    </xf>
    <xf numFmtId="0" fontId="3" fillId="16" borderId="358" xfId="2" applyFont="1" applyFill="1" applyBorder="1" applyAlignment="1">
      <alignment horizontal="center"/>
    </xf>
    <xf numFmtId="0" fontId="3" fillId="8" borderId="56" xfId="2" applyFont="1" applyFill="1" applyBorder="1" applyAlignment="1">
      <alignment horizontal="center"/>
    </xf>
    <xf numFmtId="0" fontId="3" fillId="8" borderId="45" xfId="2" applyFont="1" applyFill="1" applyBorder="1" applyAlignment="1">
      <alignment horizontal="center"/>
    </xf>
    <xf numFmtId="0" fontId="3" fillId="8" borderId="352" xfId="2" applyFont="1" applyFill="1" applyBorder="1" applyAlignment="1">
      <alignment horizontal="center" vertical="center" wrapText="1"/>
    </xf>
    <xf numFmtId="0" fontId="3" fillId="8" borderId="455" xfId="2" applyFont="1" applyFill="1" applyBorder="1" applyAlignment="1">
      <alignment horizontal="center" vertical="center" wrapText="1"/>
    </xf>
    <xf numFmtId="0" fontId="3" fillId="8" borderId="484" xfId="2" applyFont="1" applyFill="1" applyBorder="1" applyAlignment="1">
      <alignment horizontal="center" vertical="center" wrapText="1"/>
    </xf>
    <xf numFmtId="0" fontId="3" fillId="23" borderId="37" xfId="2" applyFont="1" applyFill="1" applyBorder="1" applyAlignment="1">
      <alignment horizontal="center"/>
    </xf>
    <xf numFmtId="0" fontId="3" fillId="23" borderId="157" xfId="2" applyFont="1" applyFill="1" applyBorder="1" applyAlignment="1">
      <alignment horizontal="center"/>
    </xf>
    <xf numFmtId="0" fontId="3" fillId="23" borderId="160" xfId="2" applyFont="1" applyFill="1" applyBorder="1" applyAlignment="1">
      <alignment horizontal="center"/>
    </xf>
    <xf numFmtId="0" fontId="165" fillId="10" borderId="485" xfId="2" applyFont="1" applyFill="1" applyBorder="1" applyAlignment="1" applyProtection="1">
      <alignment horizontal="center" vertical="center" wrapText="1"/>
      <protection hidden="1"/>
    </xf>
    <xf numFmtId="0" fontId="165" fillId="10" borderId="486" xfId="2" applyFont="1" applyFill="1" applyBorder="1" applyAlignment="1" applyProtection="1">
      <alignment horizontal="center" vertical="center" wrapText="1"/>
      <protection hidden="1"/>
    </xf>
    <xf numFmtId="0" fontId="6" fillId="11" borderId="109" xfId="2" applyFont="1" applyFill="1" applyBorder="1" applyAlignment="1" applyProtection="1">
      <alignment horizontal="center" vertical="center" wrapText="1"/>
      <protection hidden="1"/>
    </xf>
    <xf numFmtId="0" fontId="6" fillId="11" borderId="298" xfId="2" applyFont="1" applyFill="1" applyBorder="1" applyAlignment="1" applyProtection="1">
      <alignment horizontal="center" vertical="center" wrapText="1"/>
      <protection hidden="1"/>
    </xf>
    <xf numFmtId="0" fontId="119" fillId="2" borderId="238" xfId="2" applyFont="1" applyFill="1" applyBorder="1" applyAlignment="1" applyProtection="1">
      <alignment horizontal="center" vertical="center" wrapText="1"/>
      <protection hidden="1"/>
    </xf>
    <xf numFmtId="0" fontId="119" fillId="2" borderId="278" xfId="2" applyFont="1" applyFill="1" applyBorder="1" applyAlignment="1" applyProtection="1">
      <alignment horizontal="center" vertical="center" wrapText="1"/>
      <protection hidden="1"/>
    </xf>
    <xf numFmtId="0" fontId="119" fillId="2" borderId="487" xfId="2" applyFont="1" applyFill="1" applyBorder="1" applyAlignment="1" applyProtection="1">
      <alignment horizontal="center" vertical="center" wrapText="1"/>
      <protection hidden="1"/>
    </xf>
    <xf numFmtId="0" fontId="165" fillId="10" borderId="402" xfId="2" applyFont="1" applyFill="1" applyBorder="1" applyAlignment="1" applyProtection="1">
      <alignment horizontal="center" wrapText="1"/>
      <protection hidden="1"/>
    </xf>
    <xf numFmtId="0" fontId="166" fillId="10" borderId="145" xfId="2" applyFont="1" applyFill="1" applyBorder="1" applyAlignment="1" applyProtection="1">
      <alignment horizontal="center"/>
      <protection hidden="1"/>
    </xf>
    <xf numFmtId="0" fontId="165" fillId="10" borderId="81" xfId="2" applyFont="1" applyFill="1" applyBorder="1" applyAlignment="1" applyProtection="1">
      <alignment horizontal="center" wrapText="1"/>
      <protection hidden="1"/>
    </xf>
    <xf numFmtId="0" fontId="166" fillId="10" borderId="82" xfId="2" applyFont="1" applyFill="1" applyBorder="1" applyAlignment="1" applyProtection="1">
      <alignment horizontal="center"/>
      <protection hidden="1"/>
    </xf>
    <xf numFmtId="0" fontId="165" fillId="10" borderId="281" xfId="2" applyFont="1" applyFill="1" applyBorder="1" applyAlignment="1" applyProtection="1">
      <alignment horizontal="center" wrapText="1"/>
      <protection hidden="1"/>
    </xf>
    <xf numFmtId="0" fontId="166" fillId="10" borderId="440" xfId="2" applyFont="1" applyFill="1" applyBorder="1" applyAlignment="1" applyProtection="1">
      <alignment horizontal="center"/>
      <protection hidden="1"/>
    </xf>
    <xf numFmtId="0" fontId="166" fillId="10" borderId="142" xfId="2" applyFont="1" applyFill="1" applyBorder="1" applyAlignment="1" applyProtection="1">
      <alignment horizontal="center"/>
      <protection hidden="1"/>
    </xf>
    <xf numFmtId="0" fontId="165" fillId="10" borderId="440" xfId="2" applyFont="1" applyFill="1" applyBorder="1" applyAlignment="1" applyProtection="1">
      <alignment horizontal="center" wrapText="1"/>
      <protection hidden="1"/>
    </xf>
    <xf numFmtId="0" fontId="165" fillId="10" borderId="142" xfId="2" applyFont="1" applyFill="1" applyBorder="1" applyAlignment="1" applyProtection="1">
      <alignment horizontal="center" wrapText="1"/>
      <protection hidden="1"/>
    </xf>
    <xf numFmtId="0" fontId="152" fillId="24" borderId="488" xfId="2" applyFont="1" applyFill="1" applyBorder="1" applyAlignment="1" applyProtection="1">
      <alignment horizontal="center" vertical="center" wrapText="1"/>
      <protection hidden="1"/>
    </xf>
    <xf numFmtId="0" fontId="152" fillId="24" borderId="489" xfId="2" applyFont="1" applyFill="1" applyBorder="1" applyAlignment="1" applyProtection="1">
      <alignment horizontal="center" vertical="center" wrapText="1"/>
      <protection hidden="1"/>
    </xf>
    <xf numFmtId="0" fontId="214" fillId="10" borderId="66" xfId="2" applyFont="1" applyFill="1" applyBorder="1" applyAlignment="1" applyProtection="1">
      <alignment horizontal="center" vertical="center" wrapText="1"/>
      <protection hidden="1"/>
    </xf>
    <xf numFmtId="0" fontId="138" fillId="10" borderId="111" xfId="2" applyFont="1" applyFill="1" applyBorder="1" applyAlignment="1" applyProtection="1">
      <alignment horizontal="center" vertical="center"/>
      <protection hidden="1"/>
    </xf>
    <xf numFmtId="0" fontId="167" fillId="10" borderId="281" xfId="2" applyFont="1" applyFill="1" applyBorder="1" applyAlignment="1" applyProtection="1">
      <alignment horizontal="center"/>
      <protection hidden="1"/>
    </xf>
    <xf numFmtId="0" fontId="167" fillId="10" borderId="440" xfId="2" applyFont="1" applyFill="1" applyBorder="1" applyAlignment="1" applyProtection="1">
      <alignment horizontal="center"/>
      <protection hidden="1"/>
    </xf>
    <xf numFmtId="0" fontId="167" fillId="10" borderId="142" xfId="2" applyFont="1" applyFill="1" applyBorder="1" applyAlignment="1" applyProtection="1">
      <alignment horizontal="center"/>
      <protection hidden="1"/>
    </xf>
    <xf numFmtId="0" fontId="4" fillId="0" borderId="167" xfId="2" applyFont="1" applyFill="1" applyBorder="1" applyAlignment="1" applyProtection="1">
      <alignment horizontal="left" vertical="center" wrapText="1"/>
      <protection locked="0"/>
    </xf>
    <xf numFmtId="0" fontId="0" fillId="0" borderId="168" xfId="2" applyFont="1" applyFill="1" applyBorder="1" applyAlignment="1" applyProtection="1">
      <alignment horizontal="left" vertical="center"/>
      <protection locked="0"/>
    </xf>
    <xf numFmtId="0" fontId="17" fillId="11" borderId="14" xfId="2" applyFont="1" applyFill="1" applyBorder="1" applyAlignment="1" applyProtection="1">
      <alignment horizontal="left" vertical="center" wrapText="1"/>
      <protection hidden="1"/>
    </xf>
    <xf numFmtId="0" fontId="0" fillId="0" borderId="60" xfId="2" applyFont="1" applyBorder="1" applyAlignment="1" applyProtection="1">
      <alignment horizontal="left" vertical="center" wrapText="1"/>
      <protection hidden="1"/>
    </xf>
    <xf numFmtId="0" fontId="117" fillId="8" borderId="490" xfId="2" applyFont="1" applyFill="1" applyBorder="1" applyAlignment="1" applyProtection="1">
      <alignment horizontal="center" vertical="center" wrapText="1"/>
      <protection hidden="1"/>
    </xf>
    <xf numFmtId="0" fontId="117" fillId="8" borderId="491" xfId="2" applyFont="1" applyFill="1" applyBorder="1" applyAlignment="1" applyProtection="1">
      <alignment horizontal="center" vertical="center" wrapText="1"/>
      <protection hidden="1"/>
    </xf>
    <xf numFmtId="0" fontId="164" fillId="10" borderId="492" xfId="2" applyFont="1" applyFill="1" applyBorder="1" applyAlignment="1" applyProtection="1">
      <alignment horizontal="center" vertical="center" wrapText="1"/>
      <protection hidden="1"/>
    </xf>
    <xf numFmtId="0" fontId="164" fillId="10" borderId="493" xfId="2" applyFont="1" applyFill="1" applyBorder="1" applyAlignment="1" applyProtection="1">
      <alignment horizontal="center" vertical="center" wrapText="1"/>
      <protection hidden="1"/>
    </xf>
    <xf numFmtId="0" fontId="164" fillId="10" borderId="494" xfId="2" applyFont="1" applyFill="1" applyBorder="1" applyAlignment="1" applyProtection="1">
      <alignment horizontal="center" vertical="center" wrapText="1"/>
      <protection hidden="1"/>
    </xf>
    <xf numFmtId="0" fontId="6" fillId="11" borderId="278" xfId="2" applyFont="1" applyFill="1" applyBorder="1" applyAlignment="1" applyProtection="1">
      <alignment horizontal="center" vertical="center" wrapText="1"/>
      <protection hidden="1"/>
    </xf>
    <xf numFmtId="0" fontId="122" fillId="8" borderId="495" xfId="2" applyFont="1" applyFill="1" applyBorder="1" applyAlignment="1" applyProtection="1">
      <alignment horizontal="center"/>
      <protection hidden="1"/>
    </xf>
    <xf numFmtId="0" fontId="121" fillId="8" borderId="496" xfId="2" applyFont="1" applyFill="1" applyBorder="1" applyAlignment="1" applyProtection="1">
      <alignment horizontal="center"/>
      <protection hidden="1"/>
    </xf>
    <xf numFmtId="3" fontId="24" fillId="8" borderId="496" xfId="2" applyNumberFormat="1" applyFont="1" applyFill="1" applyBorder="1" applyAlignment="1" applyProtection="1">
      <alignment horizontal="center"/>
      <protection hidden="1"/>
    </xf>
    <xf numFmtId="0" fontId="24" fillId="8" borderId="496" xfId="2" applyFont="1" applyFill="1" applyBorder="1" applyAlignment="1" applyProtection="1">
      <alignment horizontal="center"/>
      <protection hidden="1"/>
    </xf>
    <xf numFmtId="0" fontId="24" fillId="8" borderId="497" xfId="2" applyFont="1" applyFill="1" applyBorder="1" applyAlignment="1" applyProtection="1">
      <alignment horizontal="center"/>
      <protection hidden="1"/>
    </xf>
    <xf numFmtId="0" fontId="119" fillId="8" borderId="498" xfId="2" applyFont="1" applyFill="1" applyBorder="1" applyAlignment="1" applyProtection="1">
      <alignment horizontal="center" vertical="center" wrapText="1"/>
      <protection hidden="1"/>
    </xf>
    <xf numFmtId="0" fontId="119" fillId="8" borderId="499" xfId="2" applyFont="1" applyFill="1" applyBorder="1" applyAlignment="1" applyProtection="1">
      <alignment horizontal="center" vertical="center" wrapText="1"/>
      <protection hidden="1"/>
    </xf>
    <xf numFmtId="0" fontId="119" fillId="8" borderId="500" xfId="2" applyFont="1" applyFill="1" applyBorder="1" applyAlignment="1" applyProtection="1">
      <alignment horizontal="center" vertical="center" wrapText="1"/>
      <protection hidden="1"/>
    </xf>
    <xf numFmtId="0" fontId="119" fillId="8" borderId="197" xfId="2" applyFont="1" applyFill="1" applyBorder="1" applyAlignment="1" applyProtection="1">
      <alignment horizontal="center" vertical="center" wrapText="1"/>
      <protection hidden="1"/>
    </xf>
    <xf numFmtId="0" fontId="119" fillId="8" borderId="501" xfId="2" applyFont="1" applyFill="1" applyBorder="1" applyAlignment="1" applyProtection="1">
      <alignment horizontal="center" vertical="center" wrapText="1"/>
      <protection hidden="1"/>
    </xf>
    <xf numFmtId="0" fontId="119" fillId="8" borderId="199" xfId="2" applyFont="1" applyFill="1" applyBorder="1" applyAlignment="1" applyProtection="1">
      <alignment horizontal="center" vertical="center" wrapText="1"/>
      <protection hidden="1"/>
    </xf>
    <xf numFmtId="0" fontId="120" fillId="8" borderId="502" xfId="2" applyFont="1" applyFill="1" applyBorder="1" applyAlignment="1" applyProtection="1">
      <alignment horizontal="center" vertical="center" wrapText="1"/>
      <protection hidden="1"/>
    </xf>
    <xf numFmtId="0" fontId="120" fillId="8" borderId="200" xfId="2" applyFont="1" applyFill="1" applyBorder="1" applyAlignment="1" applyProtection="1">
      <alignment horizontal="center" vertical="center" wrapText="1"/>
      <protection hidden="1"/>
    </xf>
    <xf numFmtId="0" fontId="120" fillId="8" borderId="201" xfId="2" applyFont="1" applyFill="1" applyBorder="1" applyAlignment="1" applyProtection="1">
      <alignment horizontal="center" vertical="center" wrapText="1"/>
      <protection hidden="1"/>
    </xf>
    <xf numFmtId="0" fontId="120" fillId="8" borderId="503" xfId="2" applyFont="1" applyFill="1" applyBorder="1" applyAlignment="1" applyProtection="1">
      <alignment horizontal="center" vertical="center" wrapText="1"/>
      <protection hidden="1"/>
    </xf>
    <xf numFmtId="0" fontId="120" fillId="8" borderId="0" xfId="2" applyFont="1" applyFill="1" applyBorder="1" applyAlignment="1" applyProtection="1">
      <alignment horizontal="center" vertical="center" wrapText="1"/>
      <protection hidden="1"/>
    </xf>
    <xf numFmtId="0" fontId="120" fillId="8" borderId="197" xfId="2" applyFont="1" applyFill="1" applyBorder="1" applyAlignment="1" applyProtection="1">
      <alignment horizontal="center" vertical="center" wrapText="1"/>
      <protection hidden="1"/>
    </xf>
    <xf numFmtId="0" fontId="120" fillId="8" borderId="504" xfId="2" applyFont="1" applyFill="1" applyBorder="1" applyAlignment="1" applyProtection="1">
      <alignment horizontal="center" vertical="center" wrapText="1"/>
      <protection hidden="1"/>
    </xf>
    <xf numFmtId="0" fontId="120" fillId="8" borderId="198" xfId="2" applyFont="1" applyFill="1" applyBorder="1" applyAlignment="1" applyProtection="1">
      <alignment horizontal="center" vertical="center" wrapText="1"/>
      <protection hidden="1"/>
    </xf>
    <xf numFmtId="0" fontId="120" fillId="8" borderId="199" xfId="2" applyFont="1" applyFill="1" applyBorder="1" applyAlignment="1" applyProtection="1">
      <alignment horizontal="center" vertical="center" wrapText="1"/>
      <protection hidden="1"/>
    </xf>
    <xf numFmtId="0" fontId="3" fillId="8" borderId="334" xfId="2" applyFont="1" applyFill="1" applyBorder="1" applyAlignment="1" applyProtection="1">
      <alignment horizontal="center" wrapText="1"/>
      <protection hidden="1"/>
    </xf>
    <xf numFmtId="0" fontId="3" fillId="8" borderId="459" xfId="2" applyFont="1" applyFill="1" applyBorder="1" applyAlignment="1" applyProtection="1">
      <alignment horizontal="center"/>
      <protection hidden="1"/>
    </xf>
    <xf numFmtId="0" fontId="127" fillId="8" borderId="505" xfId="2" applyFont="1" applyFill="1" applyBorder="1" applyAlignment="1" applyProtection="1">
      <alignment horizontal="center" vertical="center" wrapText="1"/>
      <protection hidden="1"/>
    </xf>
    <xf numFmtId="0" fontId="127" fillId="8" borderId="200" xfId="2" applyFont="1" applyFill="1" applyBorder="1" applyAlignment="1" applyProtection="1">
      <alignment horizontal="center" vertical="center" wrapText="1"/>
      <protection hidden="1"/>
    </xf>
    <xf numFmtId="0" fontId="127" fillId="8" borderId="201" xfId="2" applyFont="1" applyFill="1" applyBorder="1" applyAlignment="1" applyProtection="1">
      <alignment horizontal="center" vertical="center" wrapText="1"/>
      <protection hidden="1"/>
    </xf>
    <xf numFmtId="0" fontId="127" fillId="8" borderId="506" xfId="2" applyFont="1" applyFill="1" applyBorder="1" applyAlignment="1" applyProtection="1">
      <alignment horizontal="center" vertical="center" wrapText="1"/>
      <protection hidden="1"/>
    </xf>
    <xf numFmtId="0" fontId="127" fillId="8" borderId="0" xfId="2" applyFont="1" applyFill="1" applyBorder="1" applyAlignment="1" applyProtection="1">
      <alignment horizontal="center" vertical="center" wrapText="1"/>
      <protection hidden="1"/>
    </xf>
    <xf numFmtId="0" fontId="127" fillId="8" borderId="197" xfId="2" applyFont="1" applyFill="1" applyBorder="1" applyAlignment="1" applyProtection="1">
      <alignment horizontal="center" vertical="center" wrapText="1"/>
      <protection hidden="1"/>
    </xf>
    <xf numFmtId="0" fontId="127" fillId="8" borderId="507" xfId="2" applyFont="1" applyFill="1" applyBorder="1" applyAlignment="1" applyProtection="1">
      <alignment horizontal="center" vertical="center" wrapText="1"/>
      <protection hidden="1"/>
    </xf>
    <xf numFmtId="0" fontId="127" fillId="8" borderId="198" xfId="2" applyFont="1" applyFill="1" applyBorder="1" applyAlignment="1" applyProtection="1">
      <alignment horizontal="center" vertical="center" wrapText="1"/>
      <protection hidden="1"/>
    </xf>
    <xf numFmtId="0" fontId="127" fillId="8" borderId="199" xfId="2" applyFont="1" applyFill="1" applyBorder="1" applyAlignment="1" applyProtection="1">
      <alignment horizontal="center" vertical="center" wrapText="1"/>
      <protection hidden="1"/>
    </xf>
    <xf numFmtId="0" fontId="118" fillId="24" borderId="278" xfId="2" applyFont="1" applyFill="1" applyBorder="1" applyAlignment="1" applyProtection="1">
      <alignment horizontal="center" vertical="center"/>
      <protection hidden="1"/>
    </xf>
    <xf numFmtId="0" fontId="118" fillId="24" borderId="0" xfId="2" applyFont="1" applyFill="1" applyBorder="1" applyAlignment="1" applyProtection="1">
      <alignment horizontal="center" vertical="center"/>
      <protection hidden="1"/>
    </xf>
    <xf numFmtId="0" fontId="301" fillId="46" borderId="238" xfId="2" applyFont="1" applyFill="1" applyBorder="1" applyAlignment="1" applyProtection="1">
      <alignment horizontal="center" vertical="center"/>
      <protection hidden="1"/>
    </xf>
    <xf numFmtId="0" fontId="301" fillId="46" borderId="278" xfId="2" applyFont="1" applyFill="1" applyBorder="1" applyAlignment="1" applyProtection="1">
      <alignment horizontal="center" vertical="center"/>
      <protection hidden="1"/>
    </xf>
    <xf numFmtId="0" fontId="301" fillId="46" borderId="171" xfId="2" applyFont="1" applyFill="1" applyBorder="1" applyAlignment="1" applyProtection="1">
      <alignment horizontal="center" vertical="center"/>
      <protection hidden="1"/>
    </xf>
    <xf numFmtId="0" fontId="368" fillId="46" borderId="173" xfId="2" applyFont="1" applyFill="1" applyBorder="1" applyAlignment="1" applyProtection="1">
      <alignment horizontal="center" vertical="center" wrapText="1"/>
      <protection hidden="1"/>
    </xf>
    <xf numFmtId="0" fontId="368" fillId="46" borderId="0" xfId="2" applyFont="1" applyFill="1" applyBorder="1" applyAlignment="1" applyProtection="1">
      <alignment horizontal="center" vertical="center" wrapText="1"/>
      <protection hidden="1"/>
    </xf>
    <xf numFmtId="3" fontId="1" fillId="11" borderId="278" xfId="2" applyNumberFormat="1" applyFont="1" applyFill="1" applyBorder="1" applyAlignment="1" applyProtection="1">
      <alignment horizontal="center"/>
      <protection hidden="1"/>
    </xf>
    <xf numFmtId="3" fontId="1" fillId="11" borderId="171" xfId="2" applyNumberFormat="1" applyFont="1" applyFill="1" applyBorder="1" applyAlignment="1" applyProtection="1">
      <alignment horizontal="center"/>
      <protection hidden="1"/>
    </xf>
    <xf numFmtId="0" fontId="225" fillId="24" borderId="173" xfId="2" applyFont="1" applyFill="1" applyBorder="1" applyAlignment="1" applyProtection="1">
      <alignment horizontal="center" vertical="center" wrapText="1"/>
      <protection hidden="1"/>
    </xf>
    <xf numFmtId="0" fontId="225" fillId="24" borderId="0" xfId="2" applyFont="1" applyFill="1" applyBorder="1" applyAlignment="1" applyProtection="1">
      <alignment horizontal="center" vertical="center" wrapText="1"/>
      <protection hidden="1"/>
    </xf>
    <xf numFmtId="0" fontId="101" fillId="8" borderId="60" xfId="2" applyFont="1" applyFill="1" applyBorder="1" applyAlignment="1" applyProtection="1">
      <alignment horizontal="left" vertical="center" wrapText="1"/>
      <protection hidden="1"/>
    </xf>
    <xf numFmtId="0" fontId="101" fillId="8" borderId="96" xfId="2" applyFont="1" applyFill="1" applyBorder="1" applyAlignment="1" applyProtection="1">
      <alignment horizontal="left" vertical="center" wrapText="1"/>
      <protection hidden="1"/>
    </xf>
    <xf numFmtId="0" fontId="0" fillId="11" borderId="238" xfId="2" applyFont="1" applyFill="1" applyBorder="1" applyAlignment="1" applyProtection="1">
      <alignment horizontal="center" vertical="center" wrapText="1"/>
      <protection hidden="1"/>
    </xf>
    <xf numFmtId="0" fontId="0" fillId="11" borderId="278" xfId="2" applyFont="1" applyFill="1" applyBorder="1" applyAlignment="1" applyProtection="1">
      <alignment horizontal="center" vertical="center" wrapText="1"/>
      <protection hidden="1"/>
    </xf>
    <xf numFmtId="0" fontId="0" fillId="11" borderId="171" xfId="2" applyFont="1" applyFill="1" applyBorder="1" applyAlignment="1" applyProtection="1">
      <alignment horizontal="center" vertical="center" wrapText="1"/>
      <protection hidden="1"/>
    </xf>
    <xf numFmtId="0" fontId="0" fillId="11" borderId="174" xfId="2" applyFont="1" applyFill="1" applyBorder="1" applyAlignment="1" applyProtection="1">
      <alignment horizontal="center" vertical="center" wrapText="1"/>
      <protection hidden="1"/>
    </xf>
    <xf numFmtId="0" fontId="0" fillId="11" borderId="187" xfId="2" applyFont="1" applyFill="1" applyBorder="1" applyAlignment="1" applyProtection="1">
      <alignment horizontal="center" vertical="center" wrapText="1"/>
      <protection hidden="1"/>
    </xf>
    <xf numFmtId="0" fontId="0" fillId="11" borderId="175" xfId="2" applyFont="1" applyFill="1" applyBorder="1" applyAlignment="1" applyProtection="1">
      <alignment horizontal="center" vertical="center" wrapText="1"/>
      <protection hidden="1"/>
    </xf>
    <xf numFmtId="0" fontId="5" fillId="33" borderId="60" xfId="2" applyFont="1" applyFill="1" applyBorder="1" applyAlignment="1" applyProtection="1">
      <alignment horizontal="left"/>
      <protection hidden="1"/>
    </xf>
    <xf numFmtId="0" fontId="5" fillId="33" borderId="96" xfId="2" applyFont="1" applyFill="1" applyBorder="1" applyAlignment="1" applyProtection="1">
      <alignment horizontal="left"/>
      <protection hidden="1"/>
    </xf>
    <xf numFmtId="0" fontId="5" fillId="33" borderId="60" xfId="2" applyFont="1" applyFill="1" applyBorder="1" applyAlignment="1" applyProtection="1">
      <alignment horizontal="left"/>
    </xf>
    <xf numFmtId="0" fontId="5" fillId="33" borderId="96" xfId="2" applyFont="1" applyFill="1" applyBorder="1" applyAlignment="1" applyProtection="1">
      <alignment horizontal="left"/>
    </xf>
    <xf numFmtId="0" fontId="152" fillId="24" borderId="44" xfId="2" applyFont="1" applyFill="1" applyBorder="1" applyAlignment="1">
      <alignment horizontal="center" vertical="center" textRotation="90"/>
    </xf>
    <xf numFmtId="0" fontId="152" fillId="24" borderId="27" xfId="2" applyFont="1" applyFill="1" applyBorder="1" applyAlignment="1">
      <alignment horizontal="center" vertical="center" textRotation="90"/>
    </xf>
    <xf numFmtId="0" fontId="152" fillId="24" borderId="49" xfId="2" applyFont="1" applyFill="1" applyBorder="1" applyAlignment="1">
      <alignment horizontal="center" vertical="center" textRotation="90"/>
    </xf>
    <xf numFmtId="0" fontId="0" fillId="11" borderId="508" xfId="2" applyFont="1" applyFill="1" applyBorder="1" applyAlignment="1" applyProtection="1">
      <alignment horizontal="center"/>
      <protection hidden="1"/>
    </xf>
    <xf numFmtId="0" fontId="0" fillId="11" borderId="314" xfId="2" applyFont="1" applyFill="1" applyBorder="1" applyAlignment="1" applyProtection="1">
      <alignment horizontal="center"/>
      <protection hidden="1"/>
    </xf>
    <xf numFmtId="0" fontId="334" fillId="46" borderId="0" xfId="2" applyFont="1" applyFill="1" applyBorder="1" applyAlignment="1" applyProtection="1">
      <alignment horizontal="center" vertical="center" wrapText="1"/>
      <protection hidden="1"/>
    </xf>
    <xf numFmtId="0" fontId="118" fillId="24" borderId="278" xfId="2" applyFont="1" applyFill="1" applyBorder="1" applyAlignment="1" applyProtection="1">
      <alignment horizontal="center" vertical="center" wrapText="1"/>
      <protection hidden="1"/>
    </xf>
    <xf numFmtId="0" fontId="334" fillId="46" borderId="173" xfId="2" applyFont="1" applyFill="1" applyBorder="1" applyAlignment="1" applyProtection="1">
      <alignment horizontal="center" vertical="center" wrapText="1"/>
      <protection hidden="1"/>
    </xf>
    <xf numFmtId="0" fontId="334" fillId="46" borderId="166" xfId="2" applyFont="1" applyFill="1" applyBorder="1" applyAlignment="1" applyProtection="1">
      <alignment horizontal="center" vertical="center" wrapText="1"/>
      <protection hidden="1"/>
    </xf>
    <xf numFmtId="0" fontId="1" fillId="5" borderId="371" xfId="2" applyFont="1" applyFill="1" applyBorder="1" applyAlignment="1" applyProtection="1">
      <alignment horizontal="center" vertical="center" wrapText="1"/>
      <protection hidden="1"/>
    </xf>
    <xf numFmtId="0" fontId="1" fillId="5" borderId="107" xfId="2" applyFont="1" applyFill="1" applyBorder="1" applyAlignment="1" applyProtection="1">
      <alignment horizontal="center" vertical="center" wrapText="1"/>
      <protection hidden="1"/>
    </xf>
    <xf numFmtId="0" fontId="1" fillId="14" borderId="401" xfId="2" applyFont="1" applyFill="1" applyBorder="1" applyAlignment="1" applyProtection="1">
      <alignment horizontal="center" wrapText="1"/>
      <protection hidden="1"/>
    </xf>
    <xf numFmtId="0" fontId="1" fillId="14" borderId="375" xfId="2" applyFont="1" applyFill="1" applyBorder="1" applyAlignment="1" applyProtection="1">
      <alignment horizontal="center" wrapText="1"/>
      <protection hidden="1"/>
    </xf>
    <xf numFmtId="0" fontId="25" fillId="0" borderId="20" xfId="2" applyFont="1" applyBorder="1" applyAlignment="1" applyProtection="1">
      <alignment horizontal="center"/>
      <protection hidden="1"/>
    </xf>
    <xf numFmtId="0" fontId="25" fillId="0" borderId="19" xfId="2" applyFont="1" applyBorder="1" applyAlignment="1" applyProtection="1">
      <alignment horizontal="center"/>
      <protection hidden="1"/>
    </xf>
    <xf numFmtId="0" fontId="25" fillId="0" borderId="27" xfId="2" applyFont="1" applyBorder="1" applyAlignment="1" applyProtection="1">
      <alignment horizontal="left"/>
      <protection hidden="1"/>
    </xf>
    <xf numFmtId="0" fontId="25" fillId="0" borderId="0" xfId="2" applyFont="1" applyBorder="1" applyAlignment="1" applyProtection="1">
      <alignment horizontal="left"/>
      <protection hidden="1"/>
    </xf>
    <xf numFmtId="0" fontId="198" fillId="0" borderId="0" xfId="2" applyFont="1" applyBorder="1" applyAlignment="1" applyProtection="1">
      <alignment horizontal="center" vertical="center" wrapText="1"/>
      <protection hidden="1"/>
    </xf>
    <xf numFmtId="0" fontId="87" fillId="0" borderId="158" xfId="2" applyFont="1" applyBorder="1" applyAlignment="1" applyProtection="1">
      <alignment vertical="center"/>
      <protection locked="0"/>
    </xf>
    <xf numFmtId="0" fontId="87" fillId="0" borderId="358" xfId="2" applyFont="1" applyBorder="1" applyAlignment="1" applyProtection="1">
      <alignment vertical="center"/>
      <protection locked="0"/>
    </xf>
    <xf numFmtId="0" fontId="50" fillId="0" borderId="110" xfId="2" applyFont="1" applyBorder="1" applyAlignment="1" applyProtection="1">
      <alignment vertical="center"/>
      <protection locked="0"/>
    </xf>
    <xf numFmtId="0" fontId="50" fillId="0" borderId="132" xfId="2" applyFont="1" applyBorder="1" applyAlignment="1" applyProtection="1">
      <alignment vertical="center"/>
      <protection locked="0"/>
    </xf>
    <xf numFmtId="0" fontId="7" fillId="0" borderId="60" xfId="2" applyFont="1" applyBorder="1" applyAlignment="1" applyProtection="1">
      <alignment horizontal="center" wrapText="1"/>
      <protection hidden="1"/>
    </xf>
    <xf numFmtId="0" fontId="7" fillId="0" borderId="96" xfId="2" applyFont="1" applyBorder="1" applyAlignment="1" applyProtection="1">
      <alignment horizontal="center" wrapText="1"/>
      <protection hidden="1"/>
    </xf>
    <xf numFmtId="0" fontId="7" fillId="0" borderId="74" xfId="2" applyFont="1" applyBorder="1" applyAlignment="1" applyProtection="1">
      <alignment horizontal="center" wrapText="1"/>
      <protection hidden="1"/>
    </xf>
    <xf numFmtId="0" fontId="3" fillId="0" borderId="56" xfId="2" applyFont="1" applyBorder="1" applyAlignment="1" applyProtection="1">
      <alignment horizontal="center"/>
      <protection hidden="1"/>
    </xf>
    <xf numFmtId="0" fontId="3" fillId="0" borderId="158" xfId="2" applyFont="1" applyBorder="1" applyAlignment="1" applyProtection="1">
      <alignment horizontal="center"/>
      <protection hidden="1"/>
    </xf>
    <xf numFmtId="0" fontId="3" fillId="0" borderId="358" xfId="2" applyFont="1" applyBorder="1" applyAlignment="1" applyProtection="1">
      <alignment horizontal="center"/>
      <protection hidden="1"/>
    </xf>
    <xf numFmtId="0" fontId="3" fillId="0" borderId="20" xfId="2" applyFont="1" applyBorder="1" applyAlignment="1" applyProtection="1">
      <alignment horizontal="center" vertical="center" wrapText="1"/>
      <protection hidden="1"/>
    </xf>
    <xf numFmtId="0" fontId="3" fillId="0" borderId="19" xfId="2" applyFont="1" applyBorder="1" applyAlignment="1" applyProtection="1">
      <alignment horizontal="center" vertical="center" wrapText="1"/>
      <protection hidden="1"/>
    </xf>
    <xf numFmtId="0" fontId="3" fillId="0" borderId="56" xfId="2" applyFont="1" applyBorder="1" applyAlignment="1" applyProtection="1">
      <alignment horizontal="center" vertical="center" wrapText="1"/>
      <protection hidden="1"/>
    </xf>
    <xf numFmtId="0" fontId="3" fillId="0" borderId="358" xfId="2" applyFont="1" applyBorder="1" applyAlignment="1" applyProtection="1">
      <alignment horizontal="center" vertical="center" wrapText="1"/>
      <protection hidden="1"/>
    </xf>
    <xf numFmtId="0" fontId="3" fillId="0" borderId="54" xfId="2" applyFont="1" applyBorder="1" applyAlignment="1" applyProtection="1">
      <alignment horizontal="center" vertical="center" wrapText="1"/>
      <protection hidden="1"/>
    </xf>
    <xf numFmtId="0" fontId="3" fillId="0" borderId="108" xfId="2" applyFont="1" applyBorder="1" applyAlignment="1" applyProtection="1">
      <alignment horizontal="center" vertical="center" wrapText="1"/>
      <protection hidden="1"/>
    </xf>
    <xf numFmtId="0" fontId="0" fillId="0" borderId="44" xfId="2" applyFont="1" applyBorder="1" applyAlignment="1" applyProtection="1">
      <alignment horizontal="center" vertical="center" wrapText="1"/>
      <protection hidden="1"/>
    </xf>
    <xf numFmtId="0" fontId="0" fillId="0" borderId="226" xfId="2" applyFont="1" applyBorder="1" applyAlignment="1" applyProtection="1">
      <alignment horizontal="center" vertical="center" wrapText="1"/>
      <protection hidden="1"/>
    </xf>
    <xf numFmtId="0" fontId="0" fillId="0" borderId="343" xfId="2" applyFont="1" applyBorder="1" applyAlignment="1" applyProtection="1">
      <alignment horizontal="center" vertical="center" wrapText="1"/>
      <protection hidden="1"/>
    </xf>
    <xf numFmtId="0" fontId="0" fillId="0" borderId="49" xfId="2" applyFont="1" applyBorder="1" applyAlignment="1" applyProtection="1">
      <alignment horizontal="center" vertical="center" wrapText="1"/>
      <protection hidden="1"/>
    </xf>
    <xf numFmtId="0" fontId="0" fillId="0" borderId="264" xfId="2" applyFont="1" applyBorder="1" applyAlignment="1" applyProtection="1">
      <alignment horizontal="center" vertical="center" wrapText="1"/>
      <protection hidden="1"/>
    </xf>
    <xf numFmtId="0" fontId="0" fillId="0" borderId="345" xfId="2" applyFont="1" applyBorder="1" applyAlignment="1" applyProtection="1">
      <alignment horizontal="center" vertical="center" wrapText="1"/>
      <protection hidden="1"/>
    </xf>
    <xf numFmtId="0" fontId="5" fillId="0" borderId="509" xfId="2" applyFont="1" applyFill="1" applyBorder="1" applyAlignment="1" applyProtection="1">
      <alignment horizontal="left" vertical="center" wrapText="1"/>
      <protection hidden="1"/>
    </xf>
    <xf numFmtId="0" fontId="1" fillId="0" borderId="464" xfId="2" applyFont="1" applyFill="1" applyBorder="1" applyAlignment="1" applyProtection="1">
      <alignment horizontal="left" vertical="center" wrapText="1"/>
      <protection hidden="1"/>
    </xf>
    <xf numFmtId="0" fontId="1" fillId="0" borderId="229" xfId="2" applyFont="1" applyFill="1" applyBorder="1" applyAlignment="1" applyProtection="1">
      <alignment horizontal="left" vertical="center" wrapText="1"/>
      <protection hidden="1"/>
    </xf>
    <xf numFmtId="0" fontId="282" fillId="0" borderId="509" xfId="2" applyFont="1" applyFill="1" applyBorder="1" applyAlignment="1" applyProtection="1">
      <alignment horizontal="left" vertical="center" wrapText="1"/>
      <protection hidden="1"/>
    </xf>
    <xf numFmtId="0" fontId="0" fillId="0" borderId="464" xfId="2" applyFont="1" applyFill="1" applyBorder="1" applyAlignment="1" applyProtection="1">
      <alignment horizontal="left" vertical="center" wrapText="1"/>
      <protection hidden="1"/>
    </xf>
    <xf numFmtId="0" fontId="0" fillId="0" borderId="229" xfId="2" applyFont="1" applyFill="1" applyBorder="1" applyAlignment="1" applyProtection="1">
      <alignment horizontal="left" vertical="center" wrapText="1"/>
      <protection hidden="1"/>
    </xf>
    <xf numFmtId="0" fontId="22" fillId="0" borderId="464" xfId="2" applyFont="1" applyFill="1" applyBorder="1" applyAlignment="1" applyProtection="1">
      <alignment horizontal="center" vertical="center" wrapText="1"/>
      <protection hidden="1"/>
    </xf>
    <xf numFmtId="0" fontId="53" fillId="0" borderId="464" xfId="2" applyFont="1" applyFill="1" applyBorder="1" applyAlignment="1" applyProtection="1">
      <alignment horizontal="center" vertical="center" wrapText="1"/>
      <protection hidden="1"/>
    </xf>
    <xf numFmtId="0" fontId="53" fillId="0" borderId="229" xfId="2" applyFont="1" applyFill="1" applyBorder="1" applyAlignment="1" applyProtection="1">
      <alignment horizontal="center" vertical="center" wrapText="1"/>
      <protection hidden="1"/>
    </xf>
    <xf numFmtId="0" fontId="71" fillId="17" borderId="99" xfId="2" applyFont="1" applyFill="1" applyBorder="1" applyAlignment="1" applyProtection="1">
      <alignment horizontal="center" wrapText="1"/>
      <protection hidden="1"/>
    </xf>
    <xf numFmtId="0" fontId="71" fillId="17" borderId="464" xfId="2" applyFont="1" applyFill="1" applyBorder="1" applyAlignment="1" applyProtection="1">
      <alignment horizontal="center"/>
      <protection hidden="1"/>
    </xf>
    <xf numFmtId="0" fontId="71" fillId="17" borderId="229" xfId="2" applyFont="1" applyFill="1" applyBorder="1" applyAlignment="1" applyProtection="1">
      <alignment horizontal="center"/>
      <protection hidden="1"/>
    </xf>
    <xf numFmtId="0" fontId="5" fillId="0" borderId="509" xfId="2" applyFont="1" applyFill="1" applyBorder="1" applyAlignment="1" applyProtection="1">
      <alignment vertical="center" wrapText="1"/>
      <protection hidden="1"/>
    </xf>
    <xf numFmtId="0" fontId="1" fillId="0" borderId="464" xfId="2" applyFont="1" applyFill="1" applyBorder="1" applyAlignment="1" applyProtection="1">
      <alignment vertical="center" wrapText="1"/>
      <protection hidden="1"/>
    </xf>
    <xf numFmtId="0" fontId="1" fillId="0" borderId="229" xfId="2" applyFont="1" applyFill="1" applyBorder="1" applyAlignment="1" applyProtection="1">
      <alignment vertical="center" wrapText="1"/>
      <protection hidden="1"/>
    </xf>
    <xf numFmtId="0" fontId="129" fillId="0" borderId="464" xfId="2" applyFont="1" applyFill="1" applyBorder="1" applyAlignment="1" applyProtection="1">
      <alignment horizontal="left" vertical="center" wrapText="1"/>
      <protection hidden="1"/>
    </xf>
    <xf numFmtId="0" fontId="129" fillId="0" borderId="229" xfId="2" applyFont="1" applyFill="1" applyBorder="1" applyAlignment="1" applyProtection="1">
      <alignment horizontal="left" vertical="center" wrapText="1"/>
      <protection hidden="1"/>
    </xf>
    <xf numFmtId="0" fontId="0" fillId="17" borderId="60" xfId="2" applyFont="1" applyFill="1" applyBorder="1" applyAlignment="1" applyProtection="1">
      <alignment horizontal="center" vertical="center" wrapText="1"/>
      <protection hidden="1"/>
    </xf>
    <xf numFmtId="0" fontId="0" fillId="17" borderId="96" xfId="2" applyFont="1" applyFill="1" applyBorder="1" applyAlignment="1" applyProtection="1">
      <alignment horizontal="center" vertical="center"/>
      <protection hidden="1"/>
    </xf>
    <xf numFmtId="0" fontId="0" fillId="17" borderId="74" xfId="2" applyFont="1" applyFill="1" applyBorder="1" applyAlignment="1" applyProtection="1">
      <alignment horizontal="center" vertical="center"/>
      <protection hidden="1"/>
    </xf>
    <xf numFmtId="0" fontId="5" fillId="17" borderId="60" xfId="2" applyFont="1" applyFill="1" applyBorder="1" applyAlignment="1" applyProtection="1">
      <alignment horizontal="center" vertical="center" wrapText="1"/>
      <protection hidden="1"/>
    </xf>
    <xf numFmtId="0" fontId="0" fillId="17" borderId="96" xfId="2" applyFont="1" applyFill="1" applyBorder="1" applyAlignment="1" applyProtection="1">
      <alignment horizontal="center" vertical="center" wrapText="1"/>
      <protection hidden="1"/>
    </xf>
    <xf numFmtId="0" fontId="0" fillId="17" borderId="74" xfId="2" applyFont="1" applyFill="1" applyBorder="1" applyAlignment="1" applyProtection="1">
      <alignment horizontal="center" vertical="center" wrapText="1"/>
      <protection hidden="1"/>
    </xf>
    <xf numFmtId="0" fontId="3" fillId="17" borderId="60" xfId="2" applyFont="1" applyFill="1" applyBorder="1" applyAlignment="1" applyProtection="1">
      <alignment horizontal="center" vertical="center" wrapText="1"/>
      <protection hidden="1"/>
    </xf>
    <xf numFmtId="0" fontId="5" fillId="17" borderId="221" xfId="2" applyFont="1" applyFill="1" applyBorder="1" applyAlignment="1" applyProtection="1">
      <alignment horizontal="center" vertical="center" wrapText="1"/>
      <protection hidden="1"/>
    </xf>
    <xf numFmtId="0" fontId="0" fillId="17" borderId="253" xfId="2" applyFont="1" applyFill="1" applyBorder="1" applyAlignment="1" applyProtection="1">
      <alignment horizontal="center" vertical="center" wrapText="1"/>
      <protection hidden="1"/>
    </xf>
    <xf numFmtId="0" fontId="0" fillId="17" borderId="220" xfId="2" applyFont="1" applyFill="1" applyBorder="1" applyAlignment="1" applyProtection="1">
      <alignment horizontal="center" vertical="center" wrapText="1"/>
      <protection hidden="1"/>
    </xf>
    <xf numFmtId="0" fontId="44" fillId="0" borderId="157" xfId="2" applyFont="1" applyFill="1" applyBorder="1" applyAlignment="1" applyProtection="1">
      <alignment horizontal="center" vertical="center" wrapText="1"/>
      <protection hidden="1"/>
    </xf>
    <xf numFmtId="0" fontId="44" fillId="0" borderId="464" xfId="2" applyFont="1" applyFill="1" applyBorder="1" applyAlignment="1" applyProtection="1">
      <alignment horizontal="center" vertical="center" wrapText="1"/>
      <protection hidden="1"/>
    </xf>
    <xf numFmtId="0" fontId="63" fillId="17" borderId="221" xfId="2" applyFont="1" applyFill="1" applyBorder="1" applyAlignment="1" applyProtection="1">
      <alignment horizontal="center" vertical="center" wrapText="1"/>
      <protection hidden="1"/>
    </xf>
    <xf numFmtId="0" fontId="63" fillId="17" borderId="253" xfId="2" applyFont="1" applyFill="1" applyBorder="1" applyAlignment="1" applyProtection="1">
      <alignment horizontal="center" vertical="center" wrapText="1"/>
      <protection hidden="1"/>
    </xf>
    <xf numFmtId="0" fontId="63" fillId="17" borderId="220" xfId="2" applyFont="1" applyFill="1" applyBorder="1" applyAlignment="1" applyProtection="1">
      <alignment horizontal="center" vertical="center" wrapText="1"/>
      <protection hidden="1"/>
    </xf>
    <xf numFmtId="0" fontId="0" fillId="10" borderId="60" xfId="2" applyFont="1" applyFill="1" applyBorder="1" applyAlignment="1" applyProtection="1">
      <alignment horizontal="center" wrapText="1"/>
      <protection hidden="1"/>
    </xf>
    <xf numFmtId="0" fontId="0" fillId="10" borderId="96" xfId="2" applyFont="1" applyFill="1" applyBorder="1" applyAlignment="1" applyProtection="1">
      <alignment horizontal="center"/>
      <protection hidden="1"/>
    </xf>
    <xf numFmtId="0" fontId="0" fillId="10" borderId="74" xfId="2" applyFont="1" applyFill="1" applyBorder="1" applyAlignment="1" applyProtection="1">
      <alignment horizontal="center"/>
      <protection hidden="1"/>
    </xf>
    <xf numFmtId="0" fontId="5" fillId="17" borderId="99" xfId="2" applyFont="1" applyFill="1" applyBorder="1" applyAlignment="1" applyProtection="1">
      <alignment horizontal="center" vertical="center" wrapText="1"/>
      <protection hidden="1"/>
    </xf>
    <xf numFmtId="0" fontId="0" fillId="17" borderId="464" xfId="2" applyFont="1" applyFill="1" applyBorder="1" applyAlignment="1" applyProtection="1">
      <alignment horizontal="center" vertical="center" wrapText="1"/>
      <protection hidden="1"/>
    </xf>
    <xf numFmtId="0" fontId="0" fillId="17" borderId="229" xfId="2" applyFont="1" applyFill="1" applyBorder="1" applyAlignment="1" applyProtection="1">
      <alignment horizontal="center" vertical="center" wrapText="1"/>
      <protection hidden="1"/>
    </xf>
    <xf numFmtId="0" fontId="64" fillId="17" borderId="99" xfId="2" applyFont="1" applyFill="1" applyBorder="1" applyAlignment="1" applyProtection="1">
      <alignment horizontal="center" vertical="center" wrapText="1"/>
      <protection hidden="1"/>
    </xf>
    <xf numFmtId="0" fontId="64" fillId="17" borderId="464" xfId="2" applyFont="1" applyFill="1" applyBorder="1" applyAlignment="1" applyProtection="1">
      <alignment horizontal="center" vertical="center" wrapText="1"/>
      <protection hidden="1"/>
    </xf>
    <xf numFmtId="0" fontId="64" fillId="17" borderId="229" xfId="2" applyFont="1" applyFill="1" applyBorder="1" applyAlignment="1" applyProtection="1">
      <alignment horizontal="center" vertical="center" wrapText="1"/>
      <protection hidden="1"/>
    </xf>
    <xf numFmtId="0" fontId="53" fillId="0" borderId="510" xfId="2" applyFont="1" applyFill="1" applyBorder="1" applyAlignment="1" applyProtection="1">
      <alignment horizontal="center" vertical="center" wrapText="1"/>
      <protection hidden="1"/>
    </xf>
    <xf numFmtId="0" fontId="53" fillId="0" borderId="98" xfId="2" applyFont="1" applyFill="1" applyBorder="1" applyAlignment="1" applyProtection="1">
      <alignment horizontal="center" vertical="center" wrapText="1"/>
      <protection hidden="1"/>
    </xf>
    <xf numFmtId="0" fontId="5" fillId="0" borderId="464" xfId="2" applyFont="1" applyFill="1" applyBorder="1" applyAlignment="1" applyProtection="1">
      <alignment horizontal="center" vertical="center" wrapText="1"/>
      <protection hidden="1"/>
    </xf>
    <xf numFmtId="0" fontId="0" fillId="0" borderId="464" xfId="2" applyFont="1" applyFill="1" applyBorder="1" applyAlignment="1" applyProtection="1">
      <alignment horizontal="center" vertical="center" wrapText="1"/>
      <protection hidden="1"/>
    </xf>
    <xf numFmtId="0" fontId="5" fillId="0" borderId="509" xfId="2" applyFont="1" applyFill="1" applyBorder="1" applyAlignment="1" applyProtection="1">
      <alignment horizontal="center" vertical="center" wrapText="1"/>
      <protection hidden="1"/>
    </xf>
    <xf numFmtId="0" fontId="0" fillId="0" borderId="229" xfId="2" applyFont="1" applyFill="1" applyBorder="1" applyAlignment="1" applyProtection="1">
      <alignment horizontal="center" vertical="center" wrapText="1"/>
      <protection hidden="1"/>
    </xf>
    <xf numFmtId="0" fontId="5" fillId="0" borderId="464" xfId="3" applyBorder="1" applyAlignment="1" applyProtection="1">
      <alignment horizontal="left" vertical="center" wrapText="1"/>
      <protection hidden="1"/>
    </xf>
    <xf numFmtId="0" fontId="0" fillId="0" borderId="464" xfId="3" applyFont="1" applyBorder="1" applyAlignment="1" applyProtection="1">
      <alignment horizontal="left" vertical="center" wrapText="1"/>
      <protection hidden="1"/>
    </xf>
    <xf numFmtId="0" fontId="0" fillId="0" borderId="229" xfId="3" applyFont="1" applyBorder="1" applyAlignment="1" applyProtection="1">
      <alignment horizontal="left" vertical="center" wrapText="1"/>
      <protection hidden="1"/>
    </xf>
    <xf numFmtId="0" fontId="5" fillId="0" borderId="229" xfId="2" applyFont="1" applyFill="1" applyBorder="1" applyAlignment="1" applyProtection="1">
      <alignment horizontal="center" vertical="center" wrapText="1"/>
      <protection hidden="1"/>
    </xf>
    <xf numFmtId="0" fontId="22" fillId="0" borderId="464" xfId="2" applyFont="1" applyFill="1" applyBorder="1" applyAlignment="1" applyProtection="1">
      <alignment horizontal="left" vertical="center" wrapText="1"/>
      <protection hidden="1"/>
    </xf>
    <xf numFmtId="0" fontId="5" fillId="0" borderId="464" xfId="2" applyFont="1" applyFill="1" applyBorder="1" applyAlignment="1" applyProtection="1">
      <alignment horizontal="left" vertical="center" wrapText="1"/>
      <protection hidden="1"/>
    </xf>
    <xf numFmtId="0" fontId="5" fillId="0" borderId="229" xfId="2" applyFont="1" applyFill="1" applyBorder="1" applyAlignment="1" applyProtection="1">
      <alignment horizontal="left" vertical="center" wrapText="1"/>
      <protection hidden="1"/>
    </xf>
    <xf numFmtId="0" fontId="3" fillId="9" borderId="174" xfId="2" applyFont="1" applyFill="1" applyBorder="1" applyAlignment="1">
      <alignment horizontal="left" vertical="center" wrapText="1"/>
    </xf>
    <xf numFmtId="0" fontId="3" fillId="9" borderId="187" xfId="2" applyFont="1" applyFill="1" applyBorder="1" applyAlignment="1">
      <alignment horizontal="left" vertical="center" wrapText="1"/>
    </xf>
    <xf numFmtId="0" fontId="52" fillId="0" borderId="212" xfId="2" applyFont="1" applyBorder="1" applyAlignment="1">
      <alignment horizontal="left" wrapText="1"/>
    </xf>
    <xf numFmtId="0" fontId="52" fillId="0" borderId="213" xfId="2" applyFont="1" applyBorder="1" applyAlignment="1">
      <alignment horizontal="left" wrapText="1"/>
    </xf>
    <xf numFmtId="0" fontId="52" fillId="0" borderId="214" xfId="2" applyFont="1" applyBorder="1" applyAlignment="1">
      <alignment horizontal="left" wrapText="1"/>
    </xf>
  </cellXfs>
  <cellStyles count="11">
    <cellStyle name="Ezres" xfId="1" builtinId="3"/>
    <cellStyle name="Jun" xfId="2" xr:uid="{00000000-0005-0000-0000-000001000000}"/>
    <cellStyle name="Jun 2" xfId="3" xr:uid="{00000000-0005-0000-0000-000002000000}"/>
    <cellStyle name="Jun 3" xfId="4" xr:uid="{00000000-0005-0000-0000-000003000000}"/>
    <cellStyle name="Normál" xfId="0" builtinId="0"/>
    <cellStyle name="Normál 2" xfId="5" xr:uid="{00000000-0005-0000-0000-000005000000}"/>
    <cellStyle name="Normál 2 2" xfId="6" xr:uid="{00000000-0005-0000-0000-000006000000}"/>
    <cellStyle name="Normál 2 3" xfId="7" xr:uid="{00000000-0005-0000-0000-000007000000}"/>
    <cellStyle name="Normál_SZGK díjtábla 090930" xfId="8" xr:uid="{00000000-0005-0000-0000-000008000000}"/>
    <cellStyle name="Százalék" xfId="9" builtinId="5"/>
    <cellStyle name="Százalék 2" xfId="10" xr:uid="{00000000-0005-0000-0000-00000A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7"/>
  <dimension ref="A1:BC3434"/>
  <sheetViews>
    <sheetView zoomScale="78" zoomScaleNormal="78" workbookViewId="0">
      <selection activeCell="L1" sqref="L1"/>
    </sheetView>
  </sheetViews>
  <sheetFormatPr defaultRowHeight="12.75"/>
  <cols>
    <col min="1" max="1" width="37.85546875" style="76" customWidth="1"/>
    <col min="2" max="2" width="10.5703125" customWidth="1"/>
    <col min="4" max="4" width="12" customWidth="1"/>
    <col min="6" max="6" width="13.140625" customWidth="1"/>
    <col min="7" max="7" width="10.42578125" customWidth="1"/>
    <col min="8" max="8" width="10.28515625" bestFit="1" customWidth="1"/>
    <col min="9" max="9" width="23.85546875" customWidth="1"/>
    <col min="10" max="10" width="12.42578125" customWidth="1"/>
    <col min="11" max="11" width="10.42578125" customWidth="1"/>
    <col min="12" max="12" width="10.5703125" customWidth="1"/>
    <col min="13" max="13" width="17.28515625" customWidth="1"/>
    <col min="14" max="14" width="20.42578125" customWidth="1"/>
    <col min="15" max="15" width="17" customWidth="1"/>
    <col min="17" max="17" width="22.28515625" customWidth="1"/>
    <col min="31" max="31" width="12.28515625" customWidth="1"/>
    <col min="51" max="51" width="22.85546875" style="627" customWidth="1"/>
    <col min="52" max="52" width="18.28515625" style="689" customWidth="1"/>
    <col min="53" max="53" width="32.5703125" style="689" customWidth="1"/>
    <col min="54" max="54" width="36.5703125" customWidth="1"/>
    <col min="55" max="55" width="12.42578125" style="196" customWidth="1"/>
    <col min="56" max="56" width="18.5703125" customWidth="1"/>
  </cols>
  <sheetData>
    <row r="1" spans="1:55" ht="42.75" customHeight="1" thickTop="1" thickBot="1">
      <c r="A1" s="739" t="s">
        <v>1159</v>
      </c>
      <c r="B1" s="3430" t="s">
        <v>3099</v>
      </c>
      <c r="C1" s="3431"/>
      <c r="D1" s="3431"/>
      <c r="E1" s="3431"/>
      <c r="F1" s="3431"/>
      <c r="G1" s="3432"/>
      <c r="H1" s="737" t="s">
        <v>171</v>
      </c>
      <c r="I1" s="737" t="s">
        <v>172</v>
      </c>
      <c r="J1" s="754" t="s">
        <v>174</v>
      </c>
      <c r="K1" s="755"/>
      <c r="L1" s="755"/>
      <c r="M1" s="755"/>
      <c r="N1" s="756"/>
      <c r="O1" s="757"/>
      <c r="P1" s="512" t="s">
        <v>3100</v>
      </c>
      <c r="Q1" s="512" t="s">
        <v>3101</v>
      </c>
      <c r="R1" s="646"/>
      <c r="AQ1" t="s">
        <v>154</v>
      </c>
      <c r="AU1">
        <f>NDK!B52</f>
        <v>1114</v>
      </c>
      <c r="AW1" s="690" t="s">
        <v>151</v>
      </c>
      <c r="AX1" s="689"/>
      <c r="AY1" s="689"/>
      <c r="AZ1" s="273" t="s">
        <v>156</v>
      </c>
      <c r="BA1" s="196" t="s">
        <v>157</v>
      </c>
      <c r="BC1"/>
    </row>
    <row r="2" spans="1:55" ht="13.5" thickTop="1">
      <c r="A2" s="740"/>
      <c r="B2" s="741" t="s">
        <v>4661</v>
      </c>
      <c r="C2" s="741" t="s">
        <v>3147</v>
      </c>
      <c r="D2" s="741" t="s">
        <v>3148</v>
      </c>
      <c r="E2" s="741" t="s">
        <v>3149</v>
      </c>
      <c r="F2" s="741" t="s">
        <v>3150</v>
      </c>
      <c r="G2" s="742" t="s">
        <v>1489</v>
      </c>
      <c r="H2" s="296"/>
      <c r="I2" s="778">
        <f>ROUND(I12/365,0)*366</f>
        <v>0</v>
      </c>
      <c r="J2" s="741" t="s">
        <v>4661</v>
      </c>
      <c r="K2" s="741" t="s">
        <v>3147</v>
      </c>
      <c r="L2" s="741" t="s">
        <v>3148</v>
      </c>
      <c r="M2" s="741" t="s">
        <v>3149</v>
      </c>
      <c r="N2" s="741" t="s">
        <v>3150</v>
      </c>
      <c r="O2" s="742" t="s">
        <v>1489</v>
      </c>
      <c r="Q2">
        <f>P3+P4+P5+P7+P8+P10+P11+P12+P13</f>
        <v>0</v>
      </c>
      <c r="AW2" s="690">
        <v>1000</v>
      </c>
      <c r="AX2" s="691" t="s">
        <v>401</v>
      </c>
      <c r="AY2" s="691" t="s">
        <v>401</v>
      </c>
      <c r="AZ2" s="761" t="s">
        <v>427</v>
      </c>
      <c r="BA2" s="762">
        <v>4</v>
      </c>
      <c r="BC2"/>
    </row>
    <row r="3" spans="1:55" ht="27.75" customHeight="1">
      <c r="A3" s="743" t="s">
        <v>2451</v>
      </c>
      <c r="B3" s="744">
        <f>NDK!F$4</f>
        <v>0</v>
      </c>
      <c r="C3" s="744">
        <f>NDK!G$4</f>
        <v>0</v>
      </c>
      <c r="D3" s="744">
        <f>NDK!H$4</f>
        <v>0</v>
      </c>
      <c r="E3" s="744">
        <f>NDK!I$4</f>
        <v>0</v>
      </c>
      <c r="F3" s="744">
        <f>NDK!J$4</f>
        <v>0</v>
      </c>
      <c r="G3" s="744">
        <f>NDK!K$4</f>
        <v>0</v>
      </c>
      <c r="H3" s="296">
        <f>NDK!$B$4*VLOOKUP(AT7,B17:AU55,6)</f>
        <v>0</v>
      </c>
      <c r="I3" s="296"/>
      <c r="J3" s="758">
        <f>B3*VLOOKUP($AT$7,$B$129:$AT$167,2)</f>
        <v>0</v>
      </c>
      <c r="K3" s="758">
        <f>C3*VLOOKUP($AT$7,$B$129:$AT$167,3)</f>
        <v>0</v>
      </c>
      <c r="L3" s="758">
        <f>D3*VLOOKUP($AT$7,$B$129:$AT$167,4)</f>
        <v>0</v>
      </c>
      <c r="M3" s="758">
        <f>E3*VLOOKUP($AT$7,$B$129:$AT$167,5)</f>
        <v>0</v>
      </c>
      <c r="N3" s="758">
        <f>F3*VLOOKUP($AT$7,$B$129:$AT$167,5)</f>
        <v>0</v>
      </c>
      <c r="O3" s="758">
        <f>G3*VLOOKUP($AT$7,$B$129:$AT$167,5)</f>
        <v>0</v>
      </c>
      <c r="P3">
        <f>J3+K3+L3+M3+N3+O3</f>
        <v>0</v>
      </c>
      <c r="Q3" s="646" t="s">
        <v>3103</v>
      </c>
      <c r="AQ3" t="s">
        <v>155</v>
      </c>
      <c r="AT3" t="str">
        <f>VLOOKUP($AU$1,$AW$2:$AY$3434,2)</f>
        <v>Budapest</v>
      </c>
      <c r="AW3" s="690">
        <v>1999</v>
      </c>
      <c r="AX3" s="691" t="s">
        <v>401</v>
      </c>
      <c r="AY3" s="691" t="s">
        <v>401</v>
      </c>
      <c r="AZ3" s="763" t="s">
        <v>406</v>
      </c>
      <c r="BA3" s="764">
        <v>6</v>
      </c>
      <c r="BC3"/>
    </row>
    <row r="4" spans="1:55" ht="20.25" customHeight="1">
      <c r="A4" s="743" t="s">
        <v>2452</v>
      </c>
      <c r="B4" s="745">
        <f>NDK!F$6</f>
        <v>0</v>
      </c>
      <c r="C4" s="745">
        <f>NDK!G$6</f>
        <v>0</v>
      </c>
      <c r="D4" s="745">
        <f>NDK!H$6</f>
        <v>0</v>
      </c>
      <c r="E4" s="745">
        <f>NDK!I$6</f>
        <v>0</v>
      </c>
      <c r="F4" s="745">
        <f>NDK!J$6</f>
        <v>0</v>
      </c>
      <c r="G4" s="745">
        <f>NDK!K$6</f>
        <v>0</v>
      </c>
      <c r="H4" s="296">
        <f>NDK!$B6*VLOOKUP(AT7,B17:AU55,11)</f>
        <v>0</v>
      </c>
      <c r="I4" s="296" t="s">
        <v>167</v>
      </c>
      <c r="J4" s="758">
        <f>B4*VLOOKUP($AT$7,$B$129:$AT$167,7)</f>
        <v>0</v>
      </c>
      <c r="K4" s="758">
        <f>C4*VLOOKUP($AT$7,$B$129:$AT$167,8)</f>
        <v>0</v>
      </c>
      <c r="L4" s="758">
        <f>D4*VLOOKUP($AT$7,$B$129:$AT$167,9)</f>
        <v>0</v>
      </c>
      <c r="M4" s="758">
        <f>E4*VLOOKUP($AT$7,$B$129:$AT$167,10)</f>
        <v>0</v>
      </c>
      <c r="N4" s="758">
        <f>F4*VLOOKUP($AT$7,$B$129:$AT$167,10)</f>
        <v>0</v>
      </c>
      <c r="O4" s="758">
        <f>G4*VLOOKUP($AT$7,$B$129:$AT$167,10)</f>
        <v>0</v>
      </c>
      <c r="P4">
        <f t="shared" ref="P4:P13" si="0">J4+K4+L4+M4+N4+O4</f>
        <v>0</v>
      </c>
      <c r="Q4">
        <f>Q2*I8*I10</f>
        <v>0</v>
      </c>
      <c r="AQ4" t="s">
        <v>3199</v>
      </c>
      <c r="AT4" t="str">
        <f>VLOOKUP($AU$1,$AW$2:$AY$3434,3)</f>
        <v>Budapest</v>
      </c>
      <c r="AW4" s="692">
        <v>2000</v>
      </c>
      <c r="AX4" s="630" t="s">
        <v>2819</v>
      </c>
      <c r="AY4" s="77" t="s">
        <v>152</v>
      </c>
      <c r="AZ4" s="763" t="s">
        <v>433</v>
      </c>
      <c r="BA4" s="764">
        <v>8</v>
      </c>
      <c r="BC4"/>
    </row>
    <row r="5" spans="1:55">
      <c r="A5" s="746" t="s">
        <v>1490</v>
      </c>
      <c r="B5" s="745">
        <f>NDK!F$7</f>
        <v>0</v>
      </c>
      <c r="C5" s="745">
        <f>NDK!G$7</f>
        <v>0</v>
      </c>
      <c r="D5" s="745">
        <f>NDK!H$7</f>
        <v>0</v>
      </c>
      <c r="E5" s="745">
        <f>NDK!I$7</f>
        <v>0</v>
      </c>
      <c r="F5" s="745">
        <f>NDK!J$7</f>
        <v>0</v>
      </c>
      <c r="G5" s="745">
        <f>NDK!K$7</f>
        <v>0</v>
      </c>
      <c r="H5" s="296">
        <f>NDK!$B$7*VLOOKUP(AT7,B17:AU55,17)</f>
        <v>0</v>
      </c>
      <c r="I5" s="296">
        <f>H3+H4+H5+H6+H9+H13</f>
        <v>0</v>
      </c>
      <c r="J5" s="758">
        <f>B5*VLOOKUP($AT$7,$B$129:$AT$167,12)</f>
        <v>0</v>
      </c>
      <c r="K5" s="758">
        <f>C5*VLOOKUP($AT$7,$B$129:$AT$167,13)</f>
        <v>0</v>
      </c>
      <c r="L5" s="758">
        <f>D5*VLOOKUP($AT$7,$B$129:$AT$167,14)</f>
        <v>0</v>
      </c>
      <c r="M5" s="758">
        <f>E5*VLOOKUP($AT$7,$B$129:$AT$167,15)</f>
        <v>0</v>
      </c>
      <c r="N5" s="758">
        <f>F5*VLOOKUP($AT$7,$B$129:$AT$167,16)</f>
        <v>0</v>
      </c>
      <c r="O5" s="758">
        <f>G5*VLOOKUP($AT$7,$B$129:$AT$167,16)</f>
        <v>0</v>
      </c>
      <c r="P5">
        <f t="shared" si="0"/>
        <v>0</v>
      </c>
      <c r="AW5" s="627">
        <v>2009</v>
      </c>
      <c r="AX5" s="628" t="s">
        <v>2820</v>
      </c>
      <c r="AY5" s="696" t="s">
        <v>152</v>
      </c>
      <c r="AZ5" s="763" t="s">
        <v>716</v>
      </c>
      <c r="BA5" s="764">
        <v>9</v>
      </c>
      <c r="BC5"/>
    </row>
    <row r="6" spans="1:55" ht="28.5" customHeight="1">
      <c r="A6" s="746" t="s">
        <v>1492</v>
      </c>
      <c r="B6" s="745">
        <f>NDK!F$10</f>
        <v>0</v>
      </c>
      <c r="C6" s="745">
        <f>NDK!G$10</f>
        <v>0</v>
      </c>
      <c r="D6" s="745">
        <f>NDK!H$10</f>
        <v>0</v>
      </c>
      <c r="E6" s="745">
        <f>NDK!I$10</f>
        <v>0</v>
      </c>
      <c r="F6" s="745">
        <f>NDK!J$10</f>
        <v>0</v>
      </c>
      <c r="G6" s="745">
        <f>NDK!K$10</f>
        <v>0</v>
      </c>
      <c r="H6" s="296">
        <f>NDK!$B$10*VLOOKUP(AT7,B17:AU55,28)</f>
        <v>0</v>
      </c>
      <c r="I6" s="296"/>
      <c r="J6" s="773"/>
      <c r="K6" s="773"/>
      <c r="L6" s="773"/>
      <c r="M6" s="773"/>
      <c r="N6" s="271"/>
      <c r="O6" s="772"/>
      <c r="P6">
        <f t="shared" si="0"/>
        <v>0</v>
      </c>
      <c r="Q6" s="775" t="s">
        <v>3102</v>
      </c>
      <c r="AW6" s="627">
        <v>2011</v>
      </c>
      <c r="AX6" s="628" t="s">
        <v>2821</v>
      </c>
      <c r="AY6" s="696" t="s">
        <v>152</v>
      </c>
      <c r="AZ6" s="763" t="s">
        <v>412</v>
      </c>
      <c r="BA6" s="764">
        <v>10</v>
      </c>
      <c r="BC6"/>
    </row>
    <row r="7" spans="1:55" ht="24">
      <c r="A7" s="747" t="s">
        <v>4662</v>
      </c>
      <c r="B7" s="745">
        <f>NDK!F$12</f>
        <v>0</v>
      </c>
      <c r="C7" s="745">
        <f>NDK!G$12</f>
        <v>0</v>
      </c>
      <c r="D7" s="745">
        <f>NDK!H$12</f>
        <v>0</v>
      </c>
      <c r="E7" s="745">
        <f>NDK!I$12</f>
        <v>0</v>
      </c>
      <c r="F7" s="745">
        <f>NDK!J$12</f>
        <v>0</v>
      </c>
      <c r="G7" s="745">
        <f>NDK!K$12</f>
        <v>0</v>
      </c>
      <c r="H7" s="296"/>
      <c r="I7" s="296" t="s">
        <v>168</v>
      </c>
      <c r="J7" s="759">
        <f>B7*VLOOKUP($AT$7,$B$129:$AT$167,18)</f>
        <v>0</v>
      </c>
      <c r="K7" s="759">
        <f>C7*VLOOKUP($AT$7,$B$129:$AT$167,18)</f>
        <v>0</v>
      </c>
      <c r="L7" s="759">
        <f>D7*VLOOKUP($AT$7,$B$129:$AT$167,18)</f>
        <v>0</v>
      </c>
      <c r="M7" s="759">
        <f>E7*VLOOKUP($AT$7,$B$129:$AT$167,19)</f>
        <v>0</v>
      </c>
      <c r="N7" s="759">
        <f>F7*VLOOKUP($AT$7,$B$129:$AT$167,20)</f>
        <v>0</v>
      </c>
      <c r="O7" s="759">
        <f>G7*VLOOKUP($AT$7,$B$129:$AT$167,21)</f>
        <v>0</v>
      </c>
      <c r="P7">
        <f t="shared" si="0"/>
        <v>0</v>
      </c>
      <c r="Q7" s="774">
        <f>ROUND(Q4/366,0)*366</f>
        <v>0</v>
      </c>
      <c r="AQ7" t="s">
        <v>163</v>
      </c>
      <c r="AT7">
        <f>VLOOKUP($AT$4,$AZ$2:BA43,2)</f>
        <v>3</v>
      </c>
      <c r="AW7" s="627">
        <v>2013</v>
      </c>
      <c r="AX7" s="628" t="s">
        <v>2822</v>
      </c>
      <c r="AY7" s="696" t="s">
        <v>152</v>
      </c>
      <c r="AZ7" s="763" t="s">
        <v>401</v>
      </c>
      <c r="BA7" s="764">
        <v>3</v>
      </c>
      <c r="BC7"/>
    </row>
    <row r="8" spans="1:55">
      <c r="A8" s="747" t="s">
        <v>4665</v>
      </c>
      <c r="B8" s="748">
        <f t="shared" ref="B8:G8" si="1">B6-B7</f>
        <v>0</v>
      </c>
      <c r="C8" s="748">
        <f t="shared" si="1"/>
        <v>0</v>
      </c>
      <c r="D8" s="748">
        <f t="shared" si="1"/>
        <v>0</v>
      </c>
      <c r="E8" s="748">
        <f t="shared" si="1"/>
        <v>0</v>
      </c>
      <c r="F8" s="748">
        <f t="shared" si="1"/>
        <v>0</v>
      </c>
      <c r="G8" s="748">
        <f t="shared" si="1"/>
        <v>0</v>
      </c>
      <c r="H8" s="296"/>
      <c r="I8" s="296">
        <v>0.5</v>
      </c>
      <c r="J8" s="759">
        <f>B8*VLOOKUP($AT$7,$B$129:$AT$167,23)</f>
        <v>0</v>
      </c>
      <c r="K8" s="759">
        <f>C8*VLOOKUP($AT$7,$B$129:$AT$167,23)</f>
        <v>0</v>
      </c>
      <c r="L8" s="759">
        <f>D8*VLOOKUP($AT$7,$B$129:$AT$167,23)</f>
        <v>0</v>
      </c>
      <c r="M8" s="759">
        <f>E8*VLOOKUP($AT$7,$B$129:$AT$167,24)</f>
        <v>0</v>
      </c>
      <c r="N8" s="759">
        <f>F8*VLOOKUP($AT$7,$B$129:$AT$167,25)</f>
        <v>0</v>
      </c>
      <c r="O8" s="759">
        <f>G8*VLOOKUP($AT$7,$B$129:$AT$167,26)</f>
        <v>0</v>
      </c>
      <c r="P8">
        <f t="shared" si="0"/>
        <v>0</v>
      </c>
      <c r="AW8" s="627">
        <v>2014</v>
      </c>
      <c r="AX8" s="628" t="s">
        <v>2823</v>
      </c>
      <c r="AY8" s="696" t="s">
        <v>152</v>
      </c>
      <c r="AZ8" s="763" t="s">
        <v>431</v>
      </c>
      <c r="BA8" s="764">
        <v>12</v>
      </c>
      <c r="BC8"/>
    </row>
    <row r="9" spans="1:55" ht="15.75">
      <c r="A9" s="749" t="s">
        <v>2453</v>
      </c>
      <c r="B9" s="745">
        <f>NDK!F$13</f>
        <v>0</v>
      </c>
      <c r="C9" s="745">
        <f>NDK!G$13</f>
        <v>0</v>
      </c>
      <c r="D9" s="745">
        <f>NDK!H$13</f>
        <v>0</v>
      </c>
      <c r="E9" s="745">
        <f>NDK!I$13</f>
        <v>0</v>
      </c>
      <c r="F9" s="745">
        <f>NDK!J$13</f>
        <v>0</v>
      </c>
      <c r="G9" s="745">
        <f>NDK!K$13</f>
        <v>0</v>
      </c>
      <c r="H9" s="296">
        <f>NDK!$B$13*VLOOKUP($AT$7,B17:AU55,42)</f>
        <v>0</v>
      </c>
      <c r="I9" s="296" t="s">
        <v>169</v>
      </c>
      <c r="J9" s="773"/>
      <c r="K9" s="773"/>
      <c r="L9" s="773"/>
      <c r="M9" s="773"/>
      <c r="N9" s="271"/>
      <c r="O9" s="772"/>
      <c r="P9">
        <f t="shared" si="0"/>
        <v>0</v>
      </c>
      <c r="Q9" s="776" t="s">
        <v>3104</v>
      </c>
      <c r="AW9" s="627">
        <v>2015</v>
      </c>
      <c r="AX9" s="628" t="s">
        <v>2824</v>
      </c>
      <c r="AY9" s="696" t="s">
        <v>152</v>
      </c>
      <c r="AZ9" s="763" t="s">
        <v>4648</v>
      </c>
      <c r="BA9" s="764">
        <v>19</v>
      </c>
      <c r="BC9"/>
    </row>
    <row r="10" spans="1:55" ht="15.75">
      <c r="A10" s="747" t="s">
        <v>4663</v>
      </c>
      <c r="B10" s="744">
        <f>NDK!F$14</f>
        <v>0</v>
      </c>
      <c r="C10" s="744">
        <f>NDK!G$14</f>
        <v>0</v>
      </c>
      <c r="D10" s="744">
        <f>NDK!H$14</f>
        <v>0</v>
      </c>
      <c r="E10" s="744">
        <f>NDK!I$14</f>
        <v>0</v>
      </c>
      <c r="F10" s="744">
        <f>NDK!J$14</f>
        <v>0</v>
      </c>
      <c r="G10" s="744">
        <f>NDK!K$14</f>
        <v>0</v>
      </c>
      <c r="H10" s="296"/>
      <c r="I10" s="753">
        <f>KÉRDÉSEK!$C$399</f>
        <v>0</v>
      </c>
      <c r="J10" s="758">
        <f>B10*VLOOKUP($AT$7,$B$129:$AT$167,29)</f>
        <v>0</v>
      </c>
      <c r="K10" s="758">
        <f>C10*VLOOKUP($AT$7,$B$129:$AT$167,29)</f>
        <v>0</v>
      </c>
      <c r="L10" s="758">
        <f>D10*VLOOKUP($AT$7,$B$129:$AT$167,29)</f>
        <v>0</v>
      </c>
      <c r="M10" s="758">
        <f>E10*VLOOKUP($AT$7,$B$129:$AT$167,30)</f>
        <v>0</v>
      </c>
      <c r="N10" s="758">
        <f>F10*VLOOKUP($AT$7,$B$129:$AT$167,31)</f>
        <v>0</v>
      </c>
      <c r="O10" s="758">
        <f>G10*VLOOKUP($AT$7,$B$129:$AT$167,32)</f>
        <v>0</v>
      </c>
      <c r="P10">
        <f t="shared" si="0"/>
        <v>0</v>
      </c>
      <c r="Q10" s="777">
        <f>I2+Q7</f>
        <v>0</v>
      </c>
      <c r="AW10" s="627">
        <v>2016</v>
      </c>
      <c r="AX10" s="628" t="s">
        <v>2825</v>
      </c>
      <c r="AY10" s="696" t="s">
        <v>152</v>
      </c>
      <c r="AZ10" s="763" t="s">
        <v>472</v>
      </c>
      <c r="BA10" s="765">
        <v>15</v>
      </c>
      <c r="BC10"/>
    </row>
    <row r="11" spans="1:55" ht="17.25" customHeight="1">
      <c r="A11" s="747" t="s">
        <v>4664</v>
      </c>
      <c r="B11" s="744">
        <f>NDK!F$15</f>
        <v>0</v>
      </c>
      <c r="C11" s="744">
        <f>NDK!G$15</f>
        <v>0</v>
      </c>
      <c r="D11" s="744">
        <f>NDK!H$15</f>
        <v>0</v>
      </c>
      <c r="E11" s="744">
        <f>NDK!I$15</f>
        <v>0</v>
      </c>
      <c r="F11" s="744">
        <f>NDK!J$15</f>
        <v>0</v>
      </c>
      <c r="G11" s="744">
        <f>NDK!K$15</f>
        <v>0</v>
      </c>
      <c r="H11" s="296"/>
      <c r="I11" s="296" t="s">
        <v>170</v>
      </c>
      <c r="J11" s="758">
        <f>B11*VLOOKUP($AT$7,$B$129:$AT$167,34)</f>
        <v>0</v>
      </c>
      <c r="K11" s="758">
        <f>C11*VLOOKUP($AT$7,$B$129:$AT$167,34)</f>
        <v>0</v>
      </c>
      <c r="L11" s="758">
        <f>D11*VLOOKUP($AT$7,$B$129:$AT$167,34)</f>
        <v>0</v>
      </c>
      <c r="M11" s="758">
        <f>E11*VLOOKUP($AT$7,$B$129:$AT$167,34)</f>
        <v>0</v>
      </c>
      <c r="N11" s="758">
        <f>F11*VLOOKUP($AT$7,$B$129:$AT$167,35)</f>
        <v>0</v>
      </c>
      <c r="O11" s="758">
        <f>G11*VLOOKUP($AT$7,$B$129:$AT$167,36)</f>
        <v>0</v>
      </c>
      <c r="P11">
        <f t="shared" si="0"/>
        <v>0</v>
      </c>
      <c r="AW11" s="627">
        <v>2017</v>
      </c>
      <c r="AX11" s="628" t="s">
        <v>3179</v>
      </c>
      <c r="AY11" s="696" t="s">
        <v>152</v>
      </c>
      <c r="AZ11" s="763" t="s">
        <v>1036</v>
      </c>
      <c r="BA11" s="764">
        <v>21</v>
      </c>
      <c r="BC11"/>
    </row>
    <row r="12" spans="1:55" ht="17.25" customHeight="1">
      <c r="A12" s="747" t="s">
        <v>4666</v>
      </c>
      <c r="B12" s="748">
        <f t="shared" ref="B12:G12" si="2">B9-B10-B11</f>
        <v>0</v>
      </c>
      <c r="C12" s="748">
        <f t="shared" si="2"/>
        <v>0</v>
      </c>
      <c r="D12" s="748">
        <f t="shared" si="2"/>
        <v>0</v>
      </c>
      <c r="E12" s="748">
        <f t="shared" si="2"/>
        <v>0</v>
      </c>
      <c r="F12" s="748">
        <f t="shared" si="2"/>
        <v>0</v>
      </c>
      <c r="G12" s="748">
        <f t="shared" si="2"/>
        <v>0</v>
      </c>
      <c r="H12" s="296"/>
      <c r="I12" s="296">
        <f>I5*I8*I10</f>
        <v>0</v>
      </c>
      <c r="J12" s="758">
        <f>B12*VLOOKUP($AT$7,$B$129:$AT$167,38)</f>
        <v>0</v>
      </c>
      <c r="K12" s="758">
        <f>C12*VLOOKUP($AT$7,$B$129:$AT$167,38)</f>
        <v>0</v>
      </c>
      <c r="L12" s="758">
        <f>D12*VLOOKUP($AT$7,$B$129:$AT$167,38)</f>
        <v>0</v>
      </c>
      <c r="M12" s="758">
        <f>E12*VLOOKUP($AT$7,$B$129:$AT$167,38)</f>
        <v>0</v>
      </c>
      <c r="N12" s="758">
        <f>F12*VLOOKUP($AT$7,$B$129:$AT$167,39)</f>
        <v>0</v>
      </c>
      <c r="O12" s="758">
        <f>G12*VLOOKUP($AT$7,$B$129:$AT$167,40)</f>
        <v>0</v>
      </c>
      <c r="P12">
        <f t="shared" si="0"/>
        <v>0</v>
      </c>
      <c r="AW12" s="627">
        <v>2021</v>
      </c>
      <c r="AX12" s="628" t="s">
        <v>2829</v>
      </c>
      <c r="AY12" s="696" t="s">
        <v>152</v>
      </c>
      <c r="AZ12" s="763" t="s">
        <v>402</v>
      </c>
      <c r="BA12" s="764">
        <v>14</v>
      </c>
      <c r="BC12"/>
    </row>
    <row r="13" spans="1:55" ht="13.5" thickBot="1">
      <c r="A13" s="750" t="s">
        <v>2454</v>
      </c>
      <c r="B13" s="751">
        <f>NDK!F$16</f>
        <v>0</v>
      </c>
      <c r="C13" s="751">
        <f>NDK!G$16</f>
        <v>0</v>
      </c>
      <c r="D13" s="751">
        <f>NDK!H$16</f>
        <v>0</v>
      </c>
      <c r="E13" s="751">
        <f>NDK!I$16</f>
        <v>0</v>
      </c>
      <c r="F13" s="751">
        <f>NDK!J$16</f>
        <v>0</v>
      </c>
      <c r="G13" s="751">
        <f>NDK!K$16</f>
        <v>0</v>
      </c>
      <c r="H13" s="738">
        <f>NDK!$B$16*VLOOKUP(AT7,B17:AU55,46)</f>
        <v>0</v>
      </c>
      <c r="I13" s="738"/>
      <c r="J13" s="758">
        <f>B13*VLOOKUP($AT$7,$B$129:$AT$167,43)</f>
        <v>0</v>
      </c>
      <c r="K13" s="758">
        <f>C13*VLOOKUP($AT$7,$B$129:$AT$167,43)</f>
        <v>0</v>
      </c>
      <c r="L13" s="758">
        <f>D13*VLOOKUP($AT$7,$B$129:$AT$167,43)</f>
        <v>0</v>
      </c>
      <c r="M13" s="758">
        <f>E13*VLOOKUP($AT$7,$B$129:$AT$167,43)</f>
        <v>0</v>
      </c>
      <c r="N13" s="758">
        <f>F13*VLOOKUP($AT$7,$B$129:$AT$167,44)</f>
        <v>0</v>
      </c>
      <c r="O13" s="758">
        <f>G13*VLOOKUP($AT$7,$B$129:$AT$167,45)</f>
        <v>0</v>
      </c>
      <c r="P13">
        <f t="shared" si="0"/>
        <v>0</v>
      </c>
      <c r="AW13" s="627">
        <v>2022</v>
      </c>
      <c r="AX13" s="628" t="s">
        <v>2829</v>
      </c>
      <c r="AY13" s="696" t="s">
        <v>152</v>
      </c>
      <c r="AZ13" s="763" t="s">
        <v>811</v>
      </c>
      <c r="BA13" s="766">
        <v>17</v>
      </c>
      <c r="BC13"/>
    </row>
    <row r="14" spans="1:55" ht="14.25" thickTop="1" thickBot="1">
      <c r="A14" s="725" t="s">
        <v>164</v>
      </c>
      <c r="B14">
        <v>1</v>
      </c>
      <c r="C14">
        <v>2</v>
      </c>
      <c r="D14">
        <v>3</v>
      </c>
      <c r="E14">
        <v>4</v>
      </c>
      <c r="F14">
        <v>5</v>
      </c>
      <c r="G14">
        <v>6</v>
      </c>
      <c r="H14">
        <v>7</v>
      </c>
      <c r="I14">
        <v>8</v>
      </c>
      <c r="J14">
        <v>9</v>
      </c>
      <c r="K14">
        <v>10</v>
      </c>
      <c r="L14">
        <v>11</v>
      </c>
      <c r="M14">
        <v>12</v>
      </c>
      <c r="N14">
        <v>13</v>
      </c>
      <c r="O14">
        <v>14</v>
      </c>
      <c r="P14">
        <v>15</v>
      </c>
      <c r="Q14">
        <v>16</v>
      </c>
      <c r="R14">
        <v>17</v>
      </c>
      <c r="S14">
        <v>18</v>
      </c>
      <c r="T14">
        <v>19</v>
      </c>
      <c r="U14">
        <v>20</v>
      </c>
      <c r="V14">
        <v>21</v>
      </c>
      <c r="W14">
        <v>22</v>
      </c>
      <c r="X14">
        <v>23</v>
      </c>
      <c r="Y14">
        <v>24</v>
      </c>
      <c r="Z14">
        <v>25</v>
      </c>
      <c r="AA14">
        <v>26</v>
      </c>
      <c r="AB14">
        <v>27</v>
      </c>
      <c r="AC14">
        <v>28</v>
      </c>
      <c r="AD14">
        <v>29</v>
      </c>
      <c r="AE14">
        <v>30</v>
      </c>
      <c r="AF14">
        <v>31</v>
      </c>
      <c r="AG14">
        <v>32</v>
      </c>
      <c r="AH14">
        <v>33</v>
      </c>
      <c r="AI14">
        <v>34</v>
      </c>
      <c r="AJ14">
        <v>35</v>
      </c>
      <c r="AK14">
        <v>36</v>
      </c>
      <c r="AL14">
        <v>37</v>
      </c>
      <c r="AM14">
        <v>38</v>
      </c>
      <c r="AN14">
        <v>39</v>
      </c>
      <c r="AO14">
        <v>40</v>
      </c>
      <c r="AP14">
        <v>41</v>
      </c>
      <c r="AQ14">
        <v>42</v>
      </c>
      <c r="AR14">
        <v>43</v>
      </c>
      <c r="AS14">
        <v>44</v>
      </c>
      <c r="AT14">
        <v>45</v>
      </c>
      <c r="AU14">
        <v>46</v>
      </c>
      <c r="AW14" s="627">
        <v>2023</v>
      </c>
      <c r="AX14" s="628" t="s">
        <v>2830</v>
      </c>
      <c r="AY14" s="696" t="s">
        <v>152</v>
      </c>
      <c r="AZ14" s="763" t="s">
        <v>3180</v>
      </c>
      <c r="BA14" s="764">
        <v>16</v>
      </c>
      <c r="BC14"/>
    </row>
    <row r="15" spans="1:55" ht="25.5">
      <c r="A15" s="403"/>
      <c r="C15" s="731" t="s">
        <v>2451</v>
      </c>
      <c r="D15" s="732"/>
      <c r="E15" s="732"/>
      <c r="F15" s="733"/>
      <c r="G15" s="697"/>
      <c r="H15" s="3419" t="s">
        <v>2452</v>
      </c>
      <c r="I15" s="3420"/>
      <c r="J15" s="3420"/>
      <c r="K15" s="3421"/>
      <c r="L15" s="700"/>
      <c r="M15" s="3428" t="s">
        <v>1490</v>
      </c>
      <c r="N15" s="3408"/>
      <c r="O15" s="3408"/>
      <c r="P15" s="3429"/>
      <c r="Q15" s="3409"/>
      <c r="R15" s="697"/>
      <c r="S15" s="3419" t="s">
        <v>3807</v>
      </c>
      <c r="T15" s="3420"/>
      <c r="U15" s="3420"/>
      <c r="V15" s="3421"/>
      <c r="W15" s="700"/>
      <c r="X15" s="3422" t="s">
        <v>3810</v>
      </c>
      <c r="Y15" s="3423"/>
      <c r="Z15" s="3423"/>
      <c r="AA15" s="3424"/>
      <c r="AB15" s="703"/>
      <c r="AC15" s="726" t="s">
        <v>165</v>
      </c>
      <c r="AD15" s="3425" t="s">
        <v>3811</v>
      </c>
      <c r="AE15" s="3426"/>
      <c r="AF15" s="3426"/>
      <c r="AG15" s="3427"/>
      <c r="AH15" s="705"/>
      <c r="AI15" s="3433" t="s">
        <v>3812</v>
      </c>
      <c r="AJ15" s="3434"/>
      <c r="AK15" s="3435"/>
      <c r="AL15" s="684"/>
      <c r="AM15" s="3413" t="s">
        <v>3814</v>
      </c>
      <c r="AN15" s="3414"/>
      <c r="AO15" s="3415"/>
      <c r="AP15" s="685"/>
      <c r="AQ15" s="728" t="s">
        <v>166</v>
      </c>
      <c r="AR15" s="3416" t="s">
        <v>3815</v>
      </c>
      <c r="AS15" s="3417"/>
      <c r="AT15" s="3418"/>
      <c r="AU15" s="709"/>
      <c r="AW15" s="627">
        <v>2024</v>
      </c>
      <c r="AX15" s="628" t="s">
        <v>2831</v>
      </c>
      <c r="AY15" s="696" t="s">
        <v>152</v>
      </c>
      <c r="AZ15" s="763" t="s">
        <v>434</v>
      </c>
      <c r="BA15" s="764">
        <v>18</v>
      </c>
      <c r="BC15"/>
    </row>
    <row r="16" spans="1:55" s="646" customFormat="1" ht="29.25" customHeight="1">
      <c r="A16" s="645"/>
      <c r="B16" s="646" t="s">
        <v>157</v>
      </c>
      <c r="C16" s="654" t="s">
        <v>4661</v>
      </c>
      <c r="D16" s="644" t="s">
        <v>3147</v>
      </c>
      <c r="E16" s="644" t="s">
        <v>3148</v>
      </c>
      <c r="F16" s="655" t="s">
        <v>4660</v>
      </c>
      <c r="G16" s="698" t="s">
        <v>159</v>
      </c>
      <c r="H16" s="663" t="s">
        <v>4661</v>
      </c>
      <c r="I16" s="664" t="s">
        <v>3147</v>
      </c>
      <c r="J16" s="664" t="s">
        <v>3148</v>
      </c>
      <c r="K16" s="665" t="s">
        <v>4660</v>
      </c>
      <c r="L16" s="701" t="s">
        <v>159</v>
      </c>
      <c r="M16" s="654" t="s">
        <v>4661</v>
      </c>
      <c r="N16" s="644" t="s">
        <v>3147</v>
      </c>
      <c r="O16" s="644" t="s">
        <v>3148</v>
      </c>
      <c r="P16" s="655" t="s">
        <v>3149</v>
      </c>
      <c r="Q16" s="655" t="s">
        <v>65</v>
      </c>
      <c r="R16" s="698" t="s">
        <v>159</v>
      </c>
      <c r="S16" s="663" t="s">
        <v>3808</v>
      </c>
      <c r="T16" s="664" t="s">
        <v>3149</v>
      </c>
      <c r="U16" s="664" t="s">
        <v>3150</v>
      </c>
      <c r="V16" s="665" t="s">
        <v>3809</v>
      </c>
      <c r="W16" s="701" t="s">
        <v>159</v>
      </c>
      <c r="X16" s="666" t="s">
        <v>3808</v>
      </c>
      <c r="Y16" s="667" t="s">
        <v>3149</v>
      </c>
      <c r="Z16" s="667" t="s">
        <v>3150</v>
      </c>
      <c r="AA16" s="668" t="s">
        <v>3809</v>
      </c>
      <c r="AB16" s="704" t="s">
        <v>159</v>
      </c>
      <c r="AC16" s="727"/>
      <c r="AD16" s="669" t="s">
        <v>3808</v>
      </c>
      <c r="AE16" s="670" t="s">
        <v>3149</v>
      </c>
      <c r="AF16" s="670" t="s">
        <v>3150</v>
      </c>
      <c r="AG16" s="671" t="s">
        <v>3809</v>
      </c>
      <c r="AH16" s="706" t="s">
        <v>159</v>
      </c>
      <c r="AI16" s="672" t="s">
        <v>3813</v>
      </c>
      <c r="AJ16" s="672" t="s">
        <v>3150</v>
      </c>
      <c r="AK16" s="673" t="s">
        <v>3809</v>
      </c>
      <c r="AL16" s="707" t="s">
        <v>159</v>
      </c>
      <c r="AM16" s="674" t="s">
        <v>3813</v>
      </c>
      <c r="AN16" s="674" t="s">
        <v>3150</v>
      </c>
      <c r="AO16" s="675" t="s">
        <v>3809</v>
      </c>
      <c r="AP16" s="708" t="s">
        <v>159</v>
      </c>
      <c r="AQ16" s="729"/>
      <c r="AR16" s="676" t="s">
        <v>3813</v>
      </c>
      <c r="AS16" s="676" t="s">
        <v>3150</v>
      </c>
      <c r="AT16" s="677" t="s">
        <v>3809</v>
      </c>
      <c r="AU16" s="709" t="s">
        <v>159</v>
      </c>
      <c r="AW16" s="627">
        <v>2025</v>
      </c>
      <c r="AX16" s="628" t="s">
        <v>2832</v>
      </c>
      <c r="AY16" s="696" t="s">
        <v>152</v>
      </c>
      <c r="AZ16" s="763" t="s">
        <v>410</v>
      </c>
      <c r="BA16" s="767">
        <v>20</v>
      </c>
    </row>
    <row r="17" spans="1:55" s="76" customFormat="1" ht="18" customHeight="1">
      <c r="A17" s="76" t="s">
        <v>4941</v>
      </c>
      <c r="B17" s="76">
        <v>1</v>
      </c>
      <c r="C17" s="1193">
        <v>45535</v>
      </c>
      <c r="D17" s="1197">
        <v>57461</v>
      </c>
      <c r="E17" s="1197">
        <v>61798</v>
      </c>
      <c r="F17" s="1201">
        <v>85108</v>
      </c>
      <c r="G17" s="699">
        <f t="shared" ref="G17:G55" si="3">MAX($C17,$D17,$E17,$F17)</f>
        <v>85108</v>
      </c>
      <c r="H17" s="1205">
        <v>41199</v>
      </c>
      <c r="I17" s="1206">
        <v>52040</v>
      </c>
      <c r="J17" s="1206">
        <v>61798</v>
      </c>
      <c r="K17" s="1207">
        <v>85108</v>
      </c>
      <c r="L17" s="702">
        <f>MAX($H17,$I17,$J17,$K17)</f>
        <v>85108</v>
      </c>
      <c r="M17" s="1193">
        <v>41741</v>
      </c>
      <c r="N17" s="1197">
        <v>52040</v>
      </c>
      <c r="O17" s="1197">
        <v>61798</v>
      </c>
      <c r="P17" s="1216">
        <v>73182</v>
      </c>
      <c r="Q17" s="1201">
        <v>79687</v>
      </c>
      <c r="R17" s="699">
        <f>MAX($M17,$N17,$O17,$P17,$Q17)</f>
        <v>79687</v>
      </c>
      <c r="S17" s="1205">
        <v>59088</v>
      </c>
      <c r="T17" s="1206">
        <v>73182</v>
      </c>
      <c r="U17" s="1206">
        <v>70471</v>
      </c>
      <c r="V17" s="1206">
        <v>70471</v>
      </c>
      <c r="W17" s="702">
        <f>MAX($S17,$T17,$U17,$V17)</f>
        <v>73182</v>
      </c>
      <c r="X17" s="1193">
        <v>61798</v>
      </c>
      <c r="Y17" s="1197">
        <v>81313</v>
      </c>
      <c r="Z17" s="1197">
        <v>92697</v>
      </c>
      <c r="AA17" s="1197">
        <v>92697</v>
      </c>
      <c r="AB17" s="699">
        <f>MAX($X17,$Y17,$Z17,$AA17)</f>
        <v>92697</v>
      </c>
      <c r="AC17" s="699">
        <f>MAX($W17,$AB17)</f>
        <v>92697</v>
      </c>
      <c r="AD17" s="1205">
        <v>55835</v>
      </c>
      <c r="AE17" s="1206">
        <v>71013</v>
      </c>
      <c r="AF17" s="1206">
        <v>79687</v>
      </c>
      <c r="AG17" s="1206">
        <v>79687</v>
      </c>
      <c r="AH17" s="702">
        <f>MAX($AD17,$AE17,$AF17,$AG17)</f>
        <v>79687</v>
      </c>
      <c r="AI17" s="1193">
        <v>66135</v>
      </c>
      <c r="AJ17" s="1197">
        <v>92697</v>
      </c>
      <c r="AK17" s="1201">
        <v>97034</v>
      </c>
      <c r="AL17" s="699">
        <f>MAX($AI17,$AJ17,$AK17)</f>
        <v>97034</v>
      </c>
      <c r="AM17" s="1205">
        <v>55835</v>
      </c>
      <c r="AN17" s="1206">
        <v>84024</v>
      </c>
      <c r="AO17" s="1207">
        <v>87818</v>
      </c>
      <c r="AP17" s="702">
        <f>MAX($AM17,$AN17,$AO17)</f>
        <v>87818</v>
      </c>
      <c r="AQ17" s="702">
        <f>MAX($AH17,$AL17,$AP17)</f>
        <v>97034</v>
      </c>
      <c r="AR17" s="1193">
        <v>85108</v>
      </c>
      <c r="AS17" s="1197">
        <v>108418</v>
      </c>
      <c r="AT17" s="1201">
        <v>113296</v>
      </c>
      <c r="AU17" s="710">
        <f>MAX(AR17,AS17,AT17)</f>
        <v>113296</v>
      </c>
      <c r="AW17" s="627">
        <v>2026</v>
      </c>
      <c r="AX17" s="628" t="s">
        <v>2832</v>
      </c>
      <c r="AY17" s="696" t="s">
        <v>152</v>
      </c>
      <c r="AZ17" s="763" t="s">
        <v>404</v>
      </c>
      <c r="BA17" s="764">
        <v>22</v>
      </c>
    </row>
    <row r="18" spans="1:55" s="299" customFormat="1" ht="17.25" customHeight="1">
      <c r="A18" s="299" t="s">
        <v>4942</v>
      </c>
      <c r="B18" s="299">
        <v>2</v>
      </c>
      <c r="C18" s="1194">
        <v>40657</v>
      </c>
      <c r="D18" s="1198">
        <v>48788</v>
      </c>
      <c r="E18" s="1198">
        <v>51498</v>
      </c>
      <c r="F18" s="1202">
        <v>72640</v>
      </c>
      <c r="G18" s="699">
        <f t="shared" si="3"/>
        <v>72640</v>
      </c>
      <c r="H18" s="1208">
        <v>42825</v>
      </c>
      <c r="I18" s="1209">
        <v>50956</v>
      </c>
      <c r="J18" s="1209">
        <v>54209</v>
      </c>
      <c r="K18" s="1210">
        <v>76434</v>
      </c>
      <c r="L18" s="702">
        <f t="shared" ref="L18:L55" si="4">MAX($H18,$I18,$J18,$K18)</f>
        <v>76434</v>
      </c>
      <c r="M18" s="1194">
        <v>48246</v>
      </c>
      <c r="N18" s="1198">
        <v>48246</v>
      </c>
      <c r="O18" s="1198">
        <v>51498</v>
      </c>
      <c r="P18" s="1217">
        <v>66135</v>
      </c>
      <c r="Q18" s="1202">
        <v>83481</v>
      </c>
      <c r="R18" s="699">
        <f t="shared" ref="R18:R55" si="5">MAX($M18,$N18,$O18,$P18,$Q18)</f>
        <v>83481</v>
      </c>
      <c r="S18" s="1208">
        <v>54209</v>
      </c>
      <c r="T18" s="1209">
        <v>65051</v>
      </c>
      <c r="U18" s="1209">
        <v>67761</v>
      </c>
      <c r="V18" s="1209">
        <v>67761</v>
      </c>
      <c r="W18" s="702">
        <f t="shared" ref="W18:W55" si="6">MAX($S18,$T18,$U18,$V18)</f>
        <v>67761</v>
      </c>
      <c r="X18" s="1194">
        <v>51498</v>
      </c>
      <c r="Y18" s="1198">
        <v>69387</v>
      </c>
      <c r="Z18" s="1198">
        <v>87818</v>
      </c>
      <c r="AA18" s="1198">
        <v>87818</v>
      </c>
      <c r="AB18" s="699">
        <f t="shared" ref="AB18:AB55" si="7">MAX($X18,$Y18,$Z18,$AA18)</f>
        <v>87818</v>
      </c>
      <c r="AC18" s="699">
        <f t="shared" ref="AC18:AC55" si="8">MAX($W18,$AB18)</f>
        <v>87818</v>
      </c>
      <c r="AD18" s="1208">
        <v>46620</v>
      </c>
      <c r="AE18" s="1209">
        <v>60714</v>
      </c>
      <c r="AF18" s="1209">
        <v>67761</v>
      </c>
      <c r="AG18" s="1209">
        <v>67761</v>
      </c>
      <c r="AH18" s="702">
        <f t="shared" ref="AH18:AH55" si="9">MAX($AD18,$AE18,$AF18,$AG18)</f>
        <v>67761</v>
      </c>
      <c r="AI18" s="1194">
        <v>62340</v>
      </c>
      <c r="AJ18" s="1198">
        <v>79145</v>
      </c>
      <c r="AK18" s="1202">
        <v>82939</v>
      </c>
      <c r="AL18" s="699">
        <f t="shared" ref="AL18:AL55" si="10">MAX($AI18,$AJ18,$AK18)</f>
        <v>82939</v>
      </c>
      <c r="AM18" s="1208">
        <v>62340</v>
      </c>
      <c r="AN18" s="1209">
        <v>79145</v>
      </c>
      <c r="AO18" s="1210">
        <v>82939</v>
      </c>
      <c r="AP18" s="702">
        <f t="shared" ref="AP18:AP55" si="11">MAX($AM18,$AN18,$AO18)</f>
        <v>82939</v>
      </c>
      <c r="AQ18" s="702">
        <f t="shared" ref="AQ18:AQ55" si="12">MAX($AH18,$AL18,$AP18)</f>
        <v>82939</v>
      </c>
      <c r="AR18" s="1194">
        <v>72640</v>
      </c>
      <c r="AS18" s="1198">
        <v>92155</v>
      </c>
      <c r="AT18" s="1202">
        <v>96492</v>
      </c>
      <c r="AU18" s="710">
        <f t="shared" ref="AU18:AU55" si="13">MAX(AR18,AS18,AT18)</f>
        <v>96492</v>
      </c>
      <c r="AW18" s="627">
        <v>2027</v>
      </c>
      <c r="AX18" s="628" t="s">
        <v>2833</v>
      </c>
      <c r="AY18" s="628" t="s">
        <v>420</v>
      </c>
      <c r="AZ18" s="763" t="s">
        <v>3965</v>
      </c>
      <c r="BA18" s="764">
        <v>29</v>
      </c>
    </row>
    <row r="19" spans="1:55">
      <c r="A19" s="228" t="s">
        <v>401</v>
      </c>
      <c r="B19" s="76">
        <v>3</v>
      </c>
      <c r="C19" s="1195">
        <v>65593</v>
      </c>
      <c r="D19" s="1199">
        <v>55835</v>
      </c>
      <c r="E19" s="1199">
        <v>78061</v>
      </c>
      <c r="F19" s="1203">
        <v>113838</v>
      </c>
      <c r="G19" s="699">
        <f t="shared" si="3"/>
        <v>113838</v>
      </c>
      <c r="H19" s="877">
        <v>68303</v>
      </c>
      <c r="I19" s="1211">
        <v>71556</v>
      </c>
      <c r="J19" s="1211">
        <v>74266</v>
      </c>
      <c r="K19" s="1212">
        <v>108418</v>
      </c>
      <c r="L19" s="702">
        <f t="shared" si="4"/>
        <v>108418</v>
      </c>
      <c r="M19" s="1195">
        <v>65051</v>
      </c>
      <c r="N19" s="1199">
        <v>71556</v>
      </c>
      <c r="O19" s="1199">
        <v>78061</v>
      </c>
      <c r="P19" s="1218">
        <v>93239</v>
      </c>
      <c r="Q19" s="1203">
        <v>81855</v>
      </c>
      <c r="R19" s="699">
        <f t="shared" si="5"/>
        <v>93239</v>
      </c>
      <c r="S19" s="877">
        <v>78061</v>
      </c>
      <c r="T19" s="1211">
        <v>92697</v>
      </c>
      <c r="U19" s="1211">
        <v>92155</v>
      </c>
      <c r="V19" s="1211">
        <v>92155</v>
      </c>
      <c r="W19" s="702">
        <f t="shared" si="6"/>
        <v>92697</v>
      </c>
      <c r="X19" s="1195">
        <v>78061</v>
      </c>
      <c r="Y19" s="1199">
        <v>102997</v>
      </c>
      <c r="Z19" s="1199">
        <v>112754</v>
      </c>
      <c r="AA19" s="1221">
        <v>126848</v>
      </c>
      <c r="AB19" s="699">
        <f t="shared" si="7"/>
        <v>126848</v>
      </c>
      <c r="AC19" s="699">
        <f t="shared" si="8"/>
        <v>126848</v>
      </c>
      <c r="AD19" s="877">
        <v>69929</v>
      </c>
      <c r="AE19" s="1211">
        <v>96492</v>
      </c>
      <c r="AF19" s="1211">
        <v>92155</v>
      </c>
      <c r="AG19" s="1220">
        <v>103539</v>
      </c>
      <c r="AH19" s="702">
        <f t="shared" si="9"/>
        <v>103539</v>
      </c>
      <c r="AI19" s="1195">
        <v>88360</v>
      </c>
      <c r="AJ19" s="1199">
        <v>104623</v>
      </c>
      <c r="AK19" s="1203">
        <v>109502</v>
      </c>
      <c r="AL19" s="699">
        <f t="shared" si="10"/>
        <v>109502</v>
      </c>
      <c r="AM19" s="877">
        <v>88360</v>
      </c>
      <c r="AN19" s="1211">
        <v>97034</v>
      </c>
      <c r="AO19" s="1212">
        <v>101912</v>
      </c>
      <c r="AP19" s="702">
        <f t="shared" si="11"/>
        <v>101912</v>
      </c>
      <c r="AQ19" s="702">
        <f t="shared" si="12"/>
        <v>109502</v>
      </c>
      <c r="AR19" s="1195">
        <v>113838</v>
      </c>
      <c r="AS19" s="1199">
        <v>140943</v>
      </c>
      <c r="AT19" s="1203">
        <v>147990</v>
      </c>
      <c r="AU19" s="710">
        <f t="shared" si="13"/>
        <v>147990</v>
      </c>
      <c r="AW19" s="627">
        <v>2028</v>
      </c>
      <c r="AX19" s="628" t="s">
        <v>2834</v>
      </c>
      <c r="AY19" s="628" t="s">
        <v>420</v>
      </c>
      <c r="AZ19" s="763" t="s">
        <v>3312</v>
      </c>
      <c r="BA19" s="764">
        <v>5</v>
      </c>
      <c r="BC19"/>
    </row>
    <row r="20" spans="1:55" s="299" customFormat="1">
      <c r="A20" s="647" t="s">
        <v>4943</v>
      </c>
      <c r="B20" s="299">
        <v>4</v>
      </c>
      <c r="C20" s="1194">
        <v>35778</v>
      </c>
      <c r="D20" s="1198">
        <v>47162</v>
      </c>
      <c r="E20" s="1198">
        <v>47162</v>
      </c>
      <c r="F20" s="1202">
        <v>71013</v>
      </c>
      <c r="G20" s="699">
        <f t="shared" si="3"/>
        <v>71013</v>
      </c>
      <c r="H20" s="1208">
        <v>35778</v>
      </c>
      <c r="I20" s="1209">
        <v>34694</v>
      </c>
      <c r="J20" s="1209">
        <v>34694</v>
      </c>
      <c r="K20" s="1210">
        <v>52582</v>
      </c>
      <c r="L20" s="702">
        <f t="shared" si="4"/>
        <v>52582</v>
      </c>
      <c r="M20" s="1194">
        <v>47162</v>
      </c>
      <c r="N20" s="1198">
        <v>47162</v>
      </c>
      <c r="O20" s="1198">
        <v>47162</v>
      </c>
      <c r="P20" s="1217">
        <v>46620</v>
      </c>
      <c r="Q20" s="1202">
        <v>52582</v>
      </c>
      <c r="R20" s="699">
        <f t="shared" si="5"/>
        <v>52582</v>
      </c>
      <c r="S20" s="1208">
        <v>42825</v>
      </c>
      <c r="T20" s="1209">
        <v>58003</v>
      </c>
      <c r="U20" s="1209">
        <v>65593</v>
      </c>
      <c r="V20" s="1209">
        <v>65593</v>
      </c>
      <c r="W20" s="702">
        <f t="shared" si="6"/>
        <v>65593</v>
      </c>
      <c r="X20" s="1194">
        <v>47162</v>
      </c>
      <c r="Y20" s="1198">
        <v>58003</v>
      </c>
      <c r="Z20" s="1198">
        <v>73182</v>
      </c>
      <c r="AA20" s="1198">
        <v>73182</v>
      </c>
      <c r="AB20" s="699">
        <f t="shared" si="7"/>
        <v>73182</v>
      </c>
      <c r="AC20" s="699">
        <f t="shared" si="8"/>
        <v>73182</v>
      </c>
      <c r="AD20" s="1208">
        <v>40657</v>
      </c>
      <c r="AE20" s="1209">
        <v>61256</v>
      </c>
      <c r="AF20" s="1209">
        <v>59088</v>
      </c>
      <c r="AG20" s="1209">
        <v>59088</v>
      </c>
      <c r="AH20" s="702">
        <f t="shared" si="9"/>
        <v>61256</v>
      </c>
      <c r="AI20" s="1194">
        <v>49330</v>
      </c>
      <c r="AJ20" s="1198">
        <v>66677</v>
      </c>
      <c r="AK20" s="1202">
        <v>69929</v>
      </c>
      <c r="AL20" s="699">
        <f t="shared" si="10"/>
        <v>69929</v>
      </c>
      <c r="AM20" s="1208">
        <v>61256</v>
      </c>
      <c r="AN20" s="1209">
        <v>68845</v>
      </c>
      <c r="AO20" s="1210">
        <v>72098</v>
      </c>
      <c r="AP20" s="702">
        <f t="shared" si="11"/>
        <v>72098</v>
      </c>
      <c r="AQ20" s="702">
        <f t="shared" si="12"/>
        <v>72098</v>
      </c>
      <c r="AR20" s="1194">
        <v>71013</v>
      </c>
      <c r="AS20" s="1198">
        <v>80229</v>
      </c>
      <c r="AT20" s="1202">
        <v>84024</v>
      </c>
      <c r="AU20" s="710">
        <f t="shared" si="13"/>
        <v>84024</v>
      </c>
      <c r="AW20" s="627">
        <v>2030</v>
      </c>
      <c r="AX20" s="628" t="s">
        <v>2835</v>
      </c>
      <c r="AY20" s="696" t="s">
        <v>152</v>
      </c>
      <c r="AZ20" s="763" t="s">
        <v>420</v>
      </c>
      <c r="BA20" s="764">
        <v>24</v>
      </c>
    </row>
    <row r="21" spans="1:55" s="299" customFormat="1">
      <c r="A21" s="648" t="s">
        <v>3312</v>
      </c>
      <c r="B21" s="76">
        <v>5</v>
      </c>
      <c r="C21" s="1194">
        <v>43909</v>
      </c>
      <c r="D21" s="1198">
        <v>60714</v>
      </c>
      <c r="E21" s="1198">
        <v>63966</v>
      </c>
      <c r="F21" s="1202">
        <v>97576</v>
      </c>
      <c r="G21" s="699">
        <f t="shared" si="3"/>
        <v>97576</v>
      </c>
      <c r="H21" s="1208">
        <v>40114</v>
      </c>
      <c r="I21" s="1209">
        <v>44451</v>
      </c>
      <c r="J21" s="1209">
        <v>47162</v>
      </c>
      <c r="K21" s="1210">
        <v>63966</v>
      </c>
      <c r="L21" s="702">
        <f t="shared" si="4"/>
        <v>63966</v>
      </c>
      <c r="M21" s="1194">
        <v>55293</v>
      </c>
      <c r="N21" s="1198">
        <v>55293</v>
      </c>
      <c r="O21" s="1198">
        <v>42283</v>
      </c>
      <c r="P21" s="1217">
        <v>56377</v>
      </c>
      <c r="Q21" s="1202">
        <v>60172</v>
      </c>
      <c r="R21" s="699">
        <f t="shared" si="5"/>
        <v>60172</v>
      </c>
      <c r="S21" s="1208">
        <v>55293</v>
      </c>
      <c r="T21" s="1209">
        <v>79687</v>
      </c>
      <c r="U21" s="1209">
        <v>76434</v>
      </c>
      <c r="V21" s="1209">
        <v>76434</v>
      </c>
      <c r="W21" s="702">
        <f t="shared" si="6"/>
        <v>79687</v>
      </c>
      <c r="X21" s="1194">
        <v>63966</v>
      </c>
      <c r="Y21" s="1198">
        <v>79687</v>
      </c>
      <c r="Z21" s="1198">
        <v>94323</v>
      </c>
      <c r="AA21" s="1198">
        <v>94323</v>
      </c>
      <c r="AB21" s="699">
        <f t="shared" si="7"/>
        <v>94323</v>
      </c>
      <c r="AC21" s="699">
        <f t="shared" si="8"/>
        <v>94323</v>
      </c>
      <c r="AD21" s="1208">
        <v>55293</v>
      </c>
      <c r="AE21" s="1209">
        <v>71556</v>
      </c>
      <c r="AF21" s="1209">
        <v>72098</v>
      </c>
      <c r="AG21" s="1209">
        <v>72098</v>
      </c>
      <c r="AH21" s="702">
        <f t="shared" si="9"/>
        <v>72098</v>
      </c>
      <c r="AI21" s="1194">
        <v>59630</v>
      </c>
      <c r="AJ21" s="1198">
        <v>83481</v>
      </c>
      <c r="AK21" s="1202">
        <v>87276</v>
      </c>
      <c r="AL21" s="699">
        <f t="shared" si="10"/>
        <v>87276</v>
      </c>
      <c r="AM21" s="1208">
        <v>83481</v>
      </c>
      <c r="AN21" s="1209">
        <v>89444</v>
      </c>
      <c r="AO21" s="1210">
        <v>93781</v>
      </c>
      <c r="AP21" s="702">
        <f t="shared" si="11"/>
        <v>93781</v>
      </c>
      <c r="AQ21" s="702">
        <f t="shared" si="12"/>
        <v>93781</v>
      </c>
      <c r="AR21" s="1194">
        <v>97576</v>
      </c>
      <c r="AS21" s="1198">
        <v>104081</v>
      </c>
      <c r="AT21" s="1202">
        <v>108960</v>
      </c>
      <c r="AU21" s="710">
        <f t="shared" si="13"/>
        <v>108960</v>
      </c>
      <c r="AW21" s="627">
        <v>2035</v>
      </c>
      <c r="AX21" s="628" t="s">
        <v>2835</v>
      </c>
      <c r="AY21" s="696" t="s">
        <v>152</v>
      </c>
      <c r="AZ21" s="763" t="s">
        <v>3778</v>
      </c>
      <c r="BA21" s="764">
        <v>11</v>
      </c>
    </row>
    <row r="22" spans="1:55">
      <c r="A22" s="231" t="s">
        <v>4944</v>
      </c>
      <c r="B22" s="299">
        <v>6</v>
      </c>
      <c r="C22" s="1195">
        <v>39030</v>
      </c>
      <c r="D22" s="1199">
        <v>52582</v>
      </c>
      <c r="E22" s="1199">
        <v>55293</v>
      </c>
      <c r="F22" s="1203">
        <v>79687</v>
      </c>
      <c r="G22" s="699">
        <f t="shared" si="3"/>
        <v>79687</v>
      </c>
      <c r="H22" s="877">
        <v>40657</v>
      </c>
      <c r="I22" s="1211">
        <v>47704</v>
      </c>
      <c r="J22" s="1211">
        <v>55293</v>
      </c>
      <c r="K22" s="1212">
        <v>52040</v>
      </c>
      <c r="L22" s="702">
        <f t="shared" si="4"/>
        <v>55293</v>
      </c>
      <c r="M22" s="1195">
        <v>55293</v>
      </c>
      <c r="N22" s="1199">
        <v>55293</v>
      </c>
      <c r="O22" s="1199">
        <v>57461</v>
      </c>
      <c r="P22" s="1218">
        <v>72098</v>
      </c>
      <c r="Q22" s="1203">
        <v>83481</v>
      </c>
      <c r="R22" s="699">
        <f t="shared" si="5"/>
        <v>83481</v>
      </c>
      <c r="S22" s="877">
        <v>57461</v>
      </c>
      <c r="T22" s="1211">
        <v>68303</v>
      </c>
      <c r="U22" s="1211">
        <v>74808</v>
      </c>
      <c r="V22" s="1211">
        <v>74808</v>
      </c>
      <c r="W22" s="702">
        <f t="shared" si="6"/>
        <v>74808</v>
      </c>
      <c r="X22" s="1195">
        <v>54751</v>
      </c>
      <c r="Y22" s="1199">
        <v>79145</v>
      </c>
      <c r="Z22" s="1199">
        <v>91613</v>
      </c>
      <c r="AA22" s="1199">
        <v>91613</v>
      </c>
      <c r="AB22" s="699">
        <f t="shared" si="7"/>
        <v>91613</v>
      </c>
      <c r="AC22" s="699">
        <f t="shared" si="8"/>
        <v>91613</v>
      </c>
      <c r="AD22" s="877">
        <v>49330</v>
      </c>
      <c r="AE22" s="1211">
        <v>71556</v>
      </c>
      <c r="AF22" s="1211">
        <v>74808</v>
      </c>
      <c r="AG22" s="1211">
        <v>74808</v>
      </c>
      <c r="AH22" s="702">
        <f t="shared" si="9"/>
        <v>74808</v>
      </c>
      <c r="AI22" s="1195">
        <v>61798</v>
      </c>
      <c r="AJ22" s="1199">
        <v>76434</v>
      </c>
      <c r="AK22" s="1203">
        <v>80229</v>
      </c>
      <c r="AL22" s="699">
        <f t="shared" si="10"/>
        <v>80229</v>
      </c>
      <c r="AM22" s="877">
        <v>68303</v>
      </c>
      <c r="AN22" s="1211">
        <v>78603</v>
      </c>
      <c r="AO22" s="1212">
        <v>82397</v>
      </c>
      <c r="AP22" s="702">
        <f t="shared" si="11"/>
        <v>82397</v>
      </c>
      <c r="AQ22" s="702">
        <f t="shared" si="12"/>
        <v>82397</v>
      </c>
      <c r="AR22" s="1195">
        <v>79687</v>
      </c>
      <c r="AS22" s="1199">
        <v>92155</v>
      </c>
      <c r="AT22" s="1203">
        <v>96492</v>
      </c>
      <c r="AU22" s="710">
        <f t="shared" si="13"/>
        <v>96492</v>
      </c>
      <c r="AW22" s="627">
        <v>2036</v>
      </c>
      <c r="AX22" s="628" t="s">
        <v>2835</v>
      </c>
      <c r="AY22" s="696" t="s">
        <v>152</v>
      </c>
      <c r="AZ22" s="768" t="s">
        <v>4407</v>
      </c>
      <c r="BA22" s="752">
        <v>39</v>
      </c>
      <c r="BC22"/>
    </row>
    <row r="23" spans="1:55">
      <c r="A23" s="228" t="s">
        <v>377</v>
      </c>
      <c r="B23" s="76">
        <v>7</v>
      </c>
      <c r="C23" s="1195">
        <v>44451</v>
      </c>
      <c r="D23" s="1199">
        <v>56919</v>
      </c>
      <c r="E23" s="1199">
        <v>56919</v>
      </c>
      <c r="F23" s="1203">
        <v>87276</v>
      </c>
      <c r="G23" s="699">
        <f t="shared" si="3"/>
        <v>87276</v>
      </c>
      <c r="H23" s="877">
        <v>40657</v>
      </c>
      <c r="I23" s="1211">
        <v>41741</v>
      </c>
      <c r="J23" s="1211">
        <v>52040</v>
      </c>
      <c r="K23" s="1212">
        <v>63966</v>
      </c>
      <c r="L23" s="702">
        <f t="shared" si="4"/>
        <v>63966</v>
      </c>
      <c r="M23" s="1195">
        <v>56919</v>
      </c>
      <c r="N23" s="1199">
        <v>56919</v>
      </c>
      <c r="O23" s="1199">
        <v>59630</v>
      </c>
      <c r="P23" s="1218">
        <v>63966</v>
      </c>
      <c r="Q23" s="1203">
        <v>75892</v>
      </c>
      <c r="R23" s="699">
        <f t="shared" si="5"/>
        <v>75892</v>
      </c>
      <c r="S23" s="877">
        <v>54209</v>
      </c>
      <c r="T23" s="1211">
        <v>71013</v>
      </c>
      <c r="U23" s="1211">
        <v>75892</v>
      </c>
      <c r="V23" s="1211">
        <v>75892</v>
      </c>
      <c r="W23" s="702">
        <f t="shared" si="6"/>
        <v>75892</v>
      </c>
      <c r="X23" s="1195">
        <v>56919</v>
      </c>
      <c r="Y23" s="1199">
        <v>79145</v>
      </c>
      <c r="Z23" s="1199">
        <v>102997</v>
      </c>
      <c r="AA23" s="1199">
        <v>102997</v>
      </c>
      <c r="AB23" s="699">
        <f t="shared" si="7"/>
        <v>102997</v>
      </c>
      <c r="AC23" s="699">
        <f t="shared" si="8"/>
        <v>102997</v>
      </c>
      <c r="AD23" s="877">
        <v>51498</v>
      </c>
      <c r="AE23" s="1211">
        <v>71013</v>
      </c>
      <c r="AF23" s="1211">
        <v>75892</v>
      </c>
      <c r="AG23" s="1211">
        <v>75892</v>
      </c>
      <c r="AH23" s="702">
        <f t="shared" si="9"/>
        <v>75892</v>
      </c>
      <c r="AI23" s="1195">
        <v>63966</v>
      </c>
      <c r="AJ23" s="1199">
        <v>86192</v>
      </c>
      <c r="AK23" s="1203">
        <v>89987</v>
      </c>
      <c r="AL23" s="699">
        <f t="shared" si="10"/>
        <v>89987</v>
      </c>
      <c r="AM23" s="877">
        <v>74808</v>
      </c>
      <c r="AN23" s="1211">
        <v>88360</v>
      </c>
      <c r="AO23" s="1212">
        <v>92697</v>
      </c>
      <c r="AP23" s="702">
        <f t="shared" si="11"/>
        <v>92697</v>
      </c>
      <c r="AQ23" s="702">
        <f t="shared" si="12"/>
        <v>92697</v>
      </c>
      <c r="AR23" s="1195">
        <v>87276</v>
      </c>
      <c r="AS23" s="1199">
        <v>102997</v>
      </c>
      <c r="AT23" s="1203">
        <v>108418</v>
      </c>
      <c r="AU23" s="710">
        <f t="shared" si="13"/>
        <v>108418</v>
      </c>
      <c r="AW23" s="627">
        <v>2038</v>
      </c>
      <c r="AX23" s="628" t="s">
        <v>2838</v>
      </c>
      <c r="AY23" s="696" t="s">
        <v>152</v>
      </c>
      <c r="AZ23" s="768" t="s">
        <v>2808</v>
      </c>
      <c r="BA23" s="764">
        <v>26</v>
      </c>
      <c r="BC23"/>
    </row>
    <row r="24" spans="1:55" s="299" customFormat="1">
      <c r="A24" s="649" t="s">
        <v>4945</v>
      </c>
      <c r="B24" s="299">
        <v>8</v>
      </c>
      <c r="C24" s="1194">
        <v>30357</v>
      </c>
      <c r="D24" s="1198">
        <v>42825</v>
      </c>
      <c r="E24" s="1198">
        <v>47704</v>
      </c>
      <c r="F24" s="1202">
        <v>62882</v>
      </c>
      <c r="G24" s="699">
        <f t="shared" si="3"/>
        <v>62882</v>
      </c>
      <c r="H24" s="1208">
        <v>27646</v>
      </c>
      <c r="I24" s="1209">
        <v>31441</v>
      </c>
      <c r="J24" s="1209">
        <v>34694</v>
      </c>
      <c r="K24" s="1210">
        <v>41199</v>
      </c>
      <c r="L24" s="702">
        <f t="shared" si="4"/>
        <v>41199</v>
      </c>
      <c r="M24" s="1194">
        <v>39030</v>
      </c>
      <c r="N24" s="1198">
        <v>39030</v>
      </c>
      <c r="O24" s="1198">
        <v>43367</v>
      </c>
      <c r="P24" s="1217">
        <v>46077</v>
      </c>
      <c r="Q24" s="1202">
        <v>54751</v>
      </c>
      <c r="R24" s="699">
        <f t="shared" si="5"/>
        <v>54751</v>
      </c>
      <c r="S24" s="1208">
        <v>39030</v>
      </c>
      <c r="T24" s="1209">
        <v>46077</v>
      </c>
      <c r="U24" s="1209">
        <v>54751</v>
      </c>
      <c r="V24" s="1209">
        <v>54751</v>
      </c>
      <c r="W24" s="702">
        <f t="shared" si="6"/>
        <v>54751</v>
      </c>
      <c r="X24" s="1194">
        <v>47162</v>
      </c>
      <c r="Y24" s="1198">
        <v>51498</v>
      </c>
      <c r="Z24" s="1198">
        <v>74266</v>
      </c>
      <c r="AA24" s="1198">
        <v>74266</v>
      </c>
      <c r="AB24" s="699">
        <f t="shared" si="7"/>
        <v>74266</v>
      </c>
      <c r="AC24" s="699">
        <f t="shared" si="8"/>
        <v>74266</v>
      </c>
      <c r="AD24" s="1208">
        <v>42825</v>
      </c>
      <c r="AE24" s="1209">
        <v>56377</v>
      </c>
      <c r="AF24" s="1209">
        <v>54751</v>
      </c>
      <c r="AG24" s="1209">
        <v>54751</v>
      </c>
      <c r="AH24" s="702">
        <f t="shared" si="9"/>
        <v>56377</v>
      </c>
      <c r="AI24" s="1194">
        <v>52040</v>
      </c>
      <c r="AJ24" s="1198">
        <v>62340</v>
      </c>
      <c r="AK24" s="1202">
        <v>65051</v>
      </c>
      <c r="AL24" s="699">
        <f t="shared" si="10"/>
        <v>65051</v>
      </c>
      <c r="AM24" s="1208">
        <v>53667</v>
      </c>
      <c r="AN24" s="1209">
        <v>63966</v>
      </c>
      <c r="AO24" s="1210">
        <v>67219</v>
      </c>
      <c r="AP24" s="702">
        <f t="shared" si="11"/>
        <v>67219</v>
      </c>
      <c r="AQ24" s="702">
        <f t="shared" si="12"/>
        <v>67219</v>
      </c>
      <c r="AR24" s="1194">
        <v>62882</v>
      </c>
      <c r="AS24" s="1198">
        <v>74808</v>
      </c>
      <c r="AT24" s="1202">
        <v>78061</v>
      </c>
      <c r="AU24" s="710">
        <f t="shared" si="13"/>
        <v>78061</v>
      </c>
      <c r="AW24" s="627">
        <v>2039</v>
      </c>
      <c r="AX24" s="628" t="s">
        <v>2839</v>
      </c>
      <c r="AY24" s="696" t="s">
        <v>152</v>
      </c>
      <c r="AZ24" s="768" t="s">
        <v>2589</v>
      </c>
      <c r="BA24" s="764">
        <v>31</v>
      </c>
    </row>
    <row r="25" spans="1:55" s="299" customFormat="1">
      <c r="A25" s="648" t="s">
        <v>716</v>
      </c>
      <c r="B25" s="76">
        <v>9</v>
      </c>
      <c r="C25" s="1194">
        <v>40114</v>
      </c>
      <c r="D25" s="1198">
        <v>55835</v>
      </c>
      <c r="E25" s="1198">
        <v>61256</v>
      </c>
      <c r="F25" s="1202">
        <v>75892</v>
      </c>
      <c r="G25" s="699">
        <f t="shared" si="3"/>
        <v>75892</v>
      </c>
      <c r="H25" s="1208">
        <v>36320</v>
      </c>
      <c r="I25" s="1209">
        <v>41199</v>
      </c>
      <c r="J25" s="1209">
        <v>44993</v>
      </c>
      <c r="K25" s="1210">
        <v>55835</v>
      </c>
      <c r="L25" s="702">
        <f t="shared" si="4"/>
        <v>55835</v>
      </c>
      <c r="M25" s="1194">
        <v>50414</v>
      </c>
      <c r="N25" s="1198">
        <v>50414</v>
      </c>
      <c r="O25" s="1198">
        <v>55293</v>
      </c>
      <c r="P25" s="1217">
        <v>68845</v>
      </c>
      <c r="Q25" s="1202">
        <v>67761</v>
      </c>
      <c r="R25" s="699">
        <f t="shared" si="5"/>
        <v>68845</v>
      </c>
      <c r="S25" s="1208">
        <v>58003</v>
      </c>
      <c r="T25" s="1209">
        <v>65051</v>
      </c>
      <c r="U25" s="1209">
        <v>64508</v>
      </c>
      <c r="V25" s="1209">
        <v>64508</v>
      </c>
      <c r="W25" s="702">
        <f t="shared" si="6"/>
        <v>65051</v>
      </c>
      <c r="X25" s="1194">
        <v>61256</v>
      </c>
      <c r="Y25" s="1198">
        <v>68845</v>
      </c>
      <c r="Z25" s="1198">
        <v>74808</v>
      </c>
      <c r="AA25" s="1198">
        <v>74808</v>
      </c>
      <c r="AB25" s="699">
        <f t="shared" si="7"/>
        <v>74808</v>
      </c>
      <c r="AC25" s="699">
        <f t="shared" si="8"/>
        <v>74808</v>
      </c>
      <c r="AD25" s="1208">
        <v>54751</v>
      </c>
      <c r="AE25" s="1209">
        <v>67761</v>
      </c>
      <c r="AF25" s="1209">
        <v>67219</v>
      </c>
      <c r="AG25" s="1209">
        <v>67219</v>
      </c>
      <c r="AH25" s="702">
        <f t="shared" si="9"/>
        <v>67761</v>
      </c>
      <c r="AI25" s="1194">
        <v>62882</v>
      </c>
      <c r="AJ25" s="1198">
        <v>62340</v>
      </c>
      <c r="AK25" s="1202">
        <v>65593</v>
      </c>
      <c r="AL25" s="699">
        <f t="shared" si="10"/>
        <v>65593</v>
      </c>
      <c r="AM25" s="1208">
        <v>65051</v>
      </c>
      <c r="AN25" s="1209">
        <v>64508</v>
      </c>
      <c r="AO25" s="1210">
        <v>67219</v>
      </c>
      <c r="AP25" s="702">
        <f t="shared" si="11"/>
        <v>67219</v>
      </c>
      <c r="AQ25" s="702">
        <f t="shared" si="12"/>
        <v>67761</v>
      </c>
      <c r="AR25" s="1194">
        <v>75892</v>
      </c>
      <c r="AS25" s="1198">
        <v>74808</v>
      </c>
      <c r="AT25" s="1202">
        <v>78603</v>
      </c>
      <c r="AU25" s="710">
        <f t="shared" si="13"/>
        <v>78603</v>
      </c>
      <c r="AW25" s="627">
        <v>2040</v>
      </c>
      <c r="AX25" s="628" t="s">
        <v>2840</v>
      </c>
      <c r="AY25" s="696" t="s">
        <v>152</v>
      </c>
      <c r="AZ25" s="768" t="s">
        <v>377</v>
      </c>
      <c r="BA25" s="764">
        <v>7</v>
      </c>
    </row>
    <row r="26" spans="1:55">
      <c r="A26" s="403" t="s">
        <v>4946</v>
      </c>
      <c r="B26" s="299">
        <v>10</v>
      </c>
      <c r="C26" s="1195">
        <v>33067</v>
      </c>
      <c r="D26" s="1199">
        <v>43909</v>
      </c>
      <c r="E26" s="1199">
        <v>43909</v>
      </c>
      <c r="F26" s="1203">
        <v>61798</v>
      </c>
      <c r="G26" s="699">
        <f t="shared" si="3"/>
        <v>61798</v>
      </c>
      <c r="H26" s="877">
        <v>30357</v>
      </c>
      <c r="I26" s="1211">
        <v>31983</v>
      </c>
      <c r="J26" s="1211">
        <v>39572</v>
      </c>
      <c r="K26" s="1212">
        <v>55835</v>
      </c>
      <c r="L26" s="702">
        <f t="shared" si="4"/>
        <v>55835</v>
      </c>
      <c r="M26" s="1195">
        <v>39572</v>
      </c>
      <c r="N26" s="1199">
        <v>39572</v>
      </c>
      <c r="O26" s="1199">
        <v>43367</v>
      </c>
      <c r="P26" s="1218">
        <v>45535</v>
      </c>
      <c r="Q26" s="1203">
        <v>54209</v>
      </c>
      <c r="R26" s="699">
        <f t="shared" si="5"/>
        <v>54209</v>
      </c>
      <c r="S26" s="877">
        <v>41741</v>
      </c>
      <c r="T26" s="1211">
        <v>53125</v>
      </c>
      <c r="U26" s="1211">
        <v>57461</v>
      </c>
      <c r="V26" s="1211">
        <v>57461</v>
      </c>
      <c r="W26" s="702">
        <f t="shared" si="6"/>
        <v>57461</v>
      </c>
      <c r="X26" s="1195">
        <v>43367</v>
      </c>
      <c r="Y26" s="1199">
        <v>55835</v>
      </c>
      <c r="Z26" s="1199">
        <v>66677</v>
      </c>
      <c r="AA26" s="1221">
        <v>73724</v>
      </c>
      <c r="AB26" s="699">
        <f t="shared" si="7"/>
        <v>73724</v>
      </c>
      <c r="AC26" s="699">
        <f t="shared" si="8"/>
        <v>73724</v>
      </c>
      <c r="AD26" s="877">
        <v>39030</v>
      </c>
      <c r="AE26" s="1211">
        <v>55293</v>
      </c>
      <c r="AF26" s="1211">
        <v>54209</v>
      </c>
      <c r="AG26" s="1211">
        <v>54209</v>
      </c>
      <c r="AH26" s="702">
        <f t="shared" si="9"/>
        <v>55293</v>
      </c>
      <c r="AI26" s="1195">
        <v>47704</v>
      </c>
      <c r="AJ26" s="1199">
        <v>61798</v>
      </c>
      <c r="AK26" s="1203">
        <v>71013</v>
      </c>
      <c r="AL26" s="699">
        <f t="shared" si="10"/>
        <v>71013</v>
      </c>
      <c r="AM26" s="877">
        <v>53125</v>
      </c>
      <c r="AN26" s="1211">
        <v>63424</v>
      </c>
      <c r="AO26" s="1212">
        <v>73182</v>
      </c>
      <c r="AP26" s="702">
        <f t="shared" si="11"/>
        <v>73182</v>
      </c>
      <c r="AQ26" s="702">
        <f t="shared" si="12"/>
        <v>73182</v>
      </c>
      <c r="AR26" s="1195">
        <v>61798</v>
      </c>
      <c r="AS26" s="1199">
        <v>73724</v>
      </c>
      <c r="AT26" s="1203">
        <v>85650</v>
      </c>
      <c r="AU26" s="710">
        <f t="shared" si="13"/>
        <v>85650</v>
      </c>
      <c r="AW26" s="635">
        <v>2042</v>
      </c>
      <c r="AX26" s="694" t="s">
        <v>2840</v>
      </c>
      <c r="AY26" s="696" t="s">
        <v>152</v>
      </c>
      <c r="AZ26" s="769" t="s">
        <v>152</v>
      </c>
      <c r="BA26" s="764">
        <v>1</v>
      </c>
      <c r="BC26"/>
    </row>
    <row r="27" spans="1:55">
      <c r="A27" s="228" t="s">
        <v>3778</v>
      </c>
      <c r="B27" s="76">
        <v>11</v>
      </c>
      <c r="C27" s="1195">
        <v>46077</v>
      </c>
      <c r="D27" s="1199">
        <v>57461</v>
      </c>
      <c r="E27" s="1199">
        <v>57461</v>
      </c>
      <c r="F27" s="1203">
        <v>81855</v>
      </c>
      <c r="G27" s="699">
        <f t="shared" si="3"/>
        <v>81855</v>
      </c>
      <c r="H27" s="877">
        <v>41741</v>
      </c>
      <c r="I27" s="1211">
        <v>42283</v>
      </c>
      <c r="J27" s="1211">
        <v>42283</v>
      </c>
      <c r="K27" s="1212">
        <v>60172</v>
      </c>
      <c r="L27" s="702">
        <f t="shared" si="4"/>
        <v>60172</v>
      </c>
      <c r="M27" s="1195">
        <v>52040</v>
      </c>
      <c r="N27" s="1199">
        <v>52040</v>
      </c>
      <c r="O27" s="1199">
        <v>52040</v>
      </c>
      <c r="P27" s="1218">
        <v>53667</v>
      </c>
      <c r="Q27" s="1203">
        <v>59630</v>
      </c>
      <c r="R27" s="699">
        <f t="shared" si="5"/>
        <v>59630</v>
      </c>
      <c r="S27" s="877">
        <v>54751</v>
      </c>
      <c r="T27" s="1211">
        <v>60172</v>
      </c>
      <c r="U27" s="1211">
        <v>75350</v>
      </c>
      <c r="V27" s="1211">
        <v>75350</v>
      </c>
      <c r="W27" s="702">
        <f t="shared" si="6"/>
        <v>75350</v>
      </c>
      <c r="X27" s="1195">
        <v>57461</v>
      </c>
      <c r="Y27" s="1199">
        <v>70471</v>
      </c>
      <c r="Z27" s="1199">
        <v>102455</v>
      </c>
      <c r="AA27" s="1199">
        <v>102455</v>
      </c>
      <c r="AB27" s="699">
        <f t="shared" si="7"/>
        <v>102455</v>
      </c>
      <c r="AC27" s="699">
        <f t="shared" si="8"/>
        <v>102455</v>
      </c>
      <c r="AD27" s="877">
        <v>52040</v>
      </c>
      <c r="AE27" s="1211">
        <v>66677</v>
      </c>
      <c r="AF27" s="1211">
        <v>66677</v>
      </c>
      <c r="AG27" s="1211">
        <v>66677</v>
      </c>
      <c r="AH27" s="702">
        <f t="shared" si="9"/>
        <v>66677</v>
      </c>
      <c r="AI27" s="1195">
        <v>60172</v>
      </c>
      <c r="AJ27" s="1199">
        <v>83481</v>
      </c>
      <c r="AK27" s="1203">
        <v>83481</v>
      </c>
      <c r="AL27" s="699">
        <f t="shared" si="10"/>
        <v>83481</v>
      </c>
      <c r="AM27" s="877">
        <v>69929</v>
      </c>
      <c r="AN27" s="1211">
        <v>87818</v>
      </c>
      <c r="AO27" s="1212">
        <v>92155</v>
      </c>
      <c r="AP27" s="702">
        <f t="shared" si="11"/>
        <v>92155</v>
      </c>
      <c r="AQ27" s="702">
        <f t="shared" si="12"/>
        <v>92155</v>
      </c>
      <c r="AR27" s="1195">
        <v>81855</v>
      </c>
      <c r="AS27" s="1199">
        <v>102455</v>
      </c>
      <c r="AT27" s="1203">
        <v>107333</v>
      </c>
      <c r="AU27" s="710">
        <f t="shared" si="13"/>
        <v>107333</v>
      </c>
      <c r="AW27" s="627">
        <v>2045</v>
      </c>
      <c r="AX27" s="630" t="s">
        <v>2841</v>
      </c>
      <c r="AY27" s="696" t="s">
        <v>152</v>
      </c>
      <c r="AZ27" s="769" t="s">
        <v>153</v>
      </c>
      <c r="BA27" s="764">
        <v>2</v>
      </c>
      <c r="BC27"/>
    </row>
    <row r="28" spans="1:55" s="299" customFormat="1">
      <c r="A28" s="649" t="s">
        <v>4947</v>
      </c>
      <c r="B28" s="299">
        <v>12</v>
      </c>
      <c r="C28" s="1194">
        <v>33067</v>
      </c>
      <c r="D28" s="1198">
        <v>34694</v>
      </c>
      <c r="E28" s="1198">
        <v>43367</v>
      </c>
      <c r="F28" s="1202">
        <v>58545</v>
      </c>
      <c r="G28" s="699">
        <f t="shared" si="3"/>
        <v>58545</v>
      </c>
      <c r="H28" s="1208">
        <v>30357</v>
      </c>
      <c r="I28" s="1209">
        <v>31441</v>
      </c>
      <c r="J28" s="1209">
        <v>31983</v>
      </c>
      <c r="K28" s="1210">
        <v>42825</v>
      </c>
      <c r="L28" s="702">
        <f t="shared" si="4"/>
        <v>42825</v>
      </c>
      <c r="M28" s="1194">
        <v>31441</v>
      </c>
      <c r="N28" s="1198">
        <v>31441</v>
      </c>
      <c r="O28" s="1198">
        <v>39572</v>
      </c>
      <c r="P28" s="1217">
        <v>42825</v>
      </c>
      <c r="Q28" s="1202">
        <v>42825</v>
      </c>
      <c r="R28" s="699">
        <f t="shared" si="5"/>
        <v>42825</v>
      </c>
      <c r="S28" s="1208">
        <v>37404</v>
      </c>
      <c r="T28" s="1209">
        <v>45535</v>
      </c>
      <c r="U28" s="1209">
        <v>51498</v>
      </c>
      <c r="V28" s="1209">
        <v>51498</v>
      </c>
      <c r="W28" s="702">
        <f t="shared" si="6"/>
        <v>51498</v>
      </c>
      <c r="X28" s="1194">
        <v>43367</v>
      </c>
      <c r="Y28" s="1198">
        <v>53125</v>
      </c>
      <c r="Z28" s="1198">
        <v>60172</v>
      </c>
      <c r="AA28" s="1221">
        <v>67219</v>
      </c>
      <c r="AB28" s="699">
        <f t="shared" si="7"/>
        <v>67219</v>
      </c>
      <c r="AC28" s="699">
        <f t="shared" si="8"/>
        <v>67219</v>
      </c>
      <c r="AD28" s="1208">
        <v>39030</v>
      </c>
      <c r="AE28" s="1209">
        <v>47704</v>
      </c>
      <c r="AF28" s="1209">
        <v>54209</v>
      </c>
      <c r="AG28" s="1209">
        <v>54209</v>
      </c>
      <c r="AH28" s="702">
        <f t="shared" si="9"/>
        <v>54209</v>
      </c>
      <c r="AI28" s="1194">
        <v>42825</v>
      </c>
      <c r="AJ28" s="1198">
        <v>61798</v>
      </c>
      <c r="AK28" s="1202">
        <v>61256</v>
      </c>
      <c r="AL28" s="699">
        <f t="shared" si="10"/>
        <v>61798</v>
      </c>
      <c r="AM28" s="1208">
        <v>49872</v>
      </c>
      <c r="AN28" s="1209">
        <v>63424</v>
      </c>
      <c r="AO28" s="1210">
        <v>73724</v>
      </c>
      <c r="AP28" s="702">
        <f t="shared" si="11"/>
        <v>73724</v>
      </c>
      <c r="AQ28" s="702">
        <f t="shared" si="12"/>
        <v>73724</v>
      </c>
      <c r="AR28" s="1194">
        <v>58545</v>
      </c>
      <c r="AS28" s="1198">
        <v>73724</v>
      </c>
      <c r="AT28" s="1202">
        <v>86192</v>
      </c>
      <c r="AU28" s="710">
        <f t="shared" si="13"/>
        <v>86192</v>
      </c>
      <c r="AW28" s="627">
        <v>2049</v>
      </c>
      <c r="AX28" s="628" t="s">
        <v>2842</v>
      </c>
      <c r="AY28" s="696" t="s">
        <v>152</v>
      </c>
      <c r="AZ28" s="768" t="s">
        <v>3346</v>
      </c>
      <c r="BA28" s="764">
        <v>27</v>
      </c>
    </row>
    <row r="29" spans="1:55" s="299" customFormat="1">
      <c r="A29" s="648" t="s">
        <v>2056</v>
      </c>
      <c r="B29" s="76">
        <v>13</v>
      </c>
      <c r="C29" s="1194">
        <v>40114</v>
      </c>
      <c r="D29" s="1198">
        <v>53125</v>
      </c>
      <c r="E29" s="1198">
        <v>59630</v>
      </c>
      <c r="F29" s="1202">
        <v>78603</v>
      </c>
      <c r="G29" s="699">
        <f t="shared" si="3"/>
        <v>78603</v>
      </c>
      <c r="H29" s="1208">
        <v>36320</v>
      </c>
      <c r="I29" s="1209">
        <v>39030</v>
      </c>
      <c r="J29" s="1209">
        <v>43909</v>
      </c>
      <c r="K29" s="1210">
        <v>50956</v>
      </c>
      <c r="L29" s="702">
        <f t="shared" si="4"/>
        <v>50956</v>
      </c>
      <c r="M29" s="1194">
        <v>48246</v>
      </c>
      <c r="N29" s="1198">
        <v>48246</v>
      </c>
      <c r="O29" s="1198">
        <v>53667</v>
      </c>
      <c r="P29" s="1217">
        <v>57461</v>
      </c>
      <c r="Q29" s="1202">
        <v>63966</v>
      </c>
      <c r="R29" s="699">
        <f t="shared" si="5"/>
        <v>63966</v>
      </c>
      <c r="S29" s="1208">
        <v>56377</v>
      </c>
      <c r="T29" s="1209">
        <v>63966</v>
      </c>
      <c r="U29" s="1209">
        <v>71013</v>
      </c>
      <c r="V29" s="1209">
        <v>71013</v>
      </c>
      <c r="W29" s="702">
        <f t="shared" si="6"/>
        <v>71013</v>
      </c>
      <c r="X29" s="1194">
        <v>53667</v>
      </c>
      <c r="Y29" s="1198">
        <v>71013</v>
      </c>
      <c r="Z29" s="1198">
        <v>79145</v>
      </c>
      <c r="AA29" s="1198">
        <v>79145</v>
      </c>
      <c r="AB29" s="699">
        <f t="shared" si="7"/>
        <v>79145</v>
      </c>
      <c r="AC29" s="699">
        <f t="shared" si="8"/>
        <v>79145</v>
      </c>
      <c r="AD29" s="1208">
        <v>53125</v>
      </c>
      <c r="AE29" s="1209">
        <v>63966</v>
      </c>
      <c r="AF29" s="1209">
        <v>63966</v>
      </c>
      <c r="AG29" s="1209">
        <v>63966</v>
      </c>
      <c r="AH29" s="702">
        <f t="shared" si="9"/>
        <v>63966</v>
      </c>
      <c r="AI29" s="1194">
        <v>57461</v>
      </c>
      <c r="AJ29" s="1198">
        <v>72640</v>
      </c>
      <c r="AK29" s="1202">
        <v>79687</v>
      </c>
      <c r="AL29" s="699">
        <f t="shared" si="10"/>
        <v>79687</v>
      </c>
      <c r="AM29" s="1208">
        <v>67219</v>
      </c>
      <c r="AN29" s="1209">
        <v>74808</v>
      </c>
      <c r="AO29" s="1210">
        <v>81855</v>
      </c>
      <c r="AP29" s="702">
        <f t="shared" si="11"/>
        <v>81855</v>
      </c>
      <c r="AQ29" s="702">
        <f t="shared" si="12"/>
        <v>81855</v>
      </c>
      <c r="AR29" s="1194">
        <v>78603</v>
      </c>
      <c r="AS29" s="1198">
        <v>87276</v>
      </c>
      <c r="AT29" s="1202">
        <v>95950</v>
      </c>
      <c r="AU29" s="710">
        <f t="shared" si="13"/>
        <v>95950</v>
      </c>
      <c r="AW29" s="627">
        <v>2051</v>
      </c>
      <c r="AX29" s="628" t="s">
        <v>2843</v>
      </c>
      <c r="AY29" s="696" t="s">
        <v>152</v>
      </c>
      <c r="AZ29" s="768" t="s">
        <v>423</v>
      </c>
      <c r="BA29" s="764">
        <v>28</v>
      </c>
    </row>
    <row r="30" spans="1:55">
      <c r="A30" s="403" t="s">
        <v>4948</v>
      </c>
      <c r="B30" s="299">
        <v>14</v>
      </c>
      <c r="C30" s="1193">
        <v>42825</v>
      </c>
      <c r="D30" s="1197">
        <v>54751</v>
      </c>
      <c r="E30" s="1197">
        <v>55293</v>
      </c>
      <c r="F30" s="1201">
        <v>71013</v>
      </c>
      <c r="G30" s="699">
        <f t="shared" si="3"/>
        <v>71013</v>
      </c>
      <c r="H30" s="1205">
        <v>44993</v>
      </c>
      <c r="I30" s="1206">
        <v>40657</v>
      </c>
      <c r="J30" s="1206">
        <v>40657</v>
      </c>
      <c r="K30" s="1207">
        <v>52040</v>
      </c>
      <c r="L30" s="702">
        <f t="shared" si="4"/>
        <v>52040</v>
      </c>
      <c r="M30" s="1193">
        <v>49872</v>
      </c>
      <c r="N30" s="1197">
        <v>49872</v>
      </c>
      <c r="O30" s="1197">
        <v>49872</v>
      </c>
      <c r="P30" s="1216">
        <v>52040</v>
      </c>
      <c r="Q30" s="1201">
        <v>58003</v>
      </c>
      <c r="R30" s="699">
        <f t="shared" si="5"/>
        <v>58003</v>
      </c>
      <c r="S30" s="1205">
        <v>44993</v>
      </c>
      <c r="T30" s="1206">
        <v>55293</v>
      </c>
      <c r="U30" s="1206">
        <v>65051</v>
      </c>
      <c r="V30" s="1206">
        <v>65051</v>
      </c>
      <c r="W30" s="702">
        <f t="shared" si="6"/>
        <v>65051</v>
      </c>
      <c r="X30" s="1193">
        <v>49872</v>
      </c>
      <c r="Y30" s="1197">
        <v>64508</v>
      </c>
      <c r="Z30" s="1197">
        <v>80229</v>
      </c>
      <c r="AA30" s="1197">
        <v>80229</v>
      </c>
      <c r="AB30" s="699">
        <f t="shared" si="7"/>
        <v>80229</v>
      </c>
      <c r="AC30" s="699">
        <f t="shared" si="8"/>
        <v>80229</v>
      </c>
      <c r="AD30" s="1205">
        <v>49330</v>
      </c>
      <c r="AE30" s="1206">
        <v>58003</v>
      </c>
      <c r="AF30" s="1206">
        <v>65051</v>
      </c>
      <c r="AG30" s="1206">
        <v>65051</v>
      </c>
      <c r="AH30" s="702">
        <f t="shared" si="9"/>
        <v>65051</v>
      </c>
      <c r="AI30" s="1193">
        <v>52040</v>
      </c>
      <c r="AJ30" s="1197">
        <v>73724</v>
      </c>
      <c r="AK30" s="1201">
        <v>84024</v>
      </c>
      <c r="AL30" s="699">
        <f t="shared" si="10"/>
        <v>84024</v>
      </c>
      <c r="AM30" s="1205">
        <v>61256</v>
      </c>
      <c r="AN30" s="1206">
        <v>75892</v>
      </c>
      <c r="AO30" s="1207">
        <v>86734</v>
      </c>
      <c r="AP30" s="702">
        <f t="shared" si="11"/>
        <v>86734</v>
      </c>
      <c r="AQ30" s="702">
        <f t="shared" si="12"/>
        <v>86734</v>
      </c>
      <c r="AR30" s="1193">
        <v>71013</v>
      </c>
      <c r="AS30" s="1197">
        <v>88360</v>
      </c>
      <c r="AT30" s="1201">
        <v>100828</v>
      </c>
      <c r="AU30" s="710">
        <f t="shared" si="13"/>
        <v>100828</v>
      </c>
      <c r="AW30" s="627">
        <v>2053</v>
      </c>
      <c r="AX30" s="628" t="s">
        <v>538</v>
      </c>
      <c r="AY30" s="696" t="s">
        <v>152</v>
      </c>
      <c r="AZ30" s="768" t="s">
        <v>3863</v>
      </c>
      <c r="BA30" s="766">
        <v>17</v>
      </c>
      <c r="BC30"/>
    </row>
    <row r="31" spans="1:55">
      <c r="A31" s="228" t="s">
        <v>4949</v>
      </c>
      <c r="B31" s="76">
        <v>15</v>
      </c>
      <c r="C31" s="1193">
        <v>42825</v>
      </c>
      <c r="D31" s="1197">
        <v>56377</v>
      </c>
      <c r="E31" s="1197">
        <v>61256</v>
      </c>
      <c r="F31" s="1201">
        <v>88902</v>
      </c>
      <c r="G31" s="699">
        <f t="shared" si="3"/>
        <v>88902</v>
      </c>
      <c r="H31" s="1205">
        <v>44993</v>
      </c>
      <c r="I31" s="1206">
        <v>41199</v>
      </c>
      <c r="J31" s="1206">
        <v>55835</v>
      </c>
      <c r="K31" s="1207">
        <v>65051</v>
      </c>
      <c r="L31" s="702">
        <f t="shared" si="4"/>
        <v>65051</v>
      </c>
      <c r="M31" s="1193">
        <v>50956</v>
      </c>
      <c r="N31" s="1197">
        <v>50956</v>
      </c>
      <c r="O31" s="1197">
        <v>55835</v>
      </c>
      <c r="P31" s="1216">
        <v>51498</v>
      </c>
      <c r="Q31" s="1201">
        <v>51498</v>
      </c>
      <c r="R31" s="699">
        <f t="shared" si="5"/>
        <v>55835</v>
      </c>
      <c r="S31" s="1205">
        <v>58545</v>
      </c>
      <c r="T31" s="1206">
        <v>72640</v>
      </c>
      <c r="U31" s="1206">
        <v>68303</v>
      </c>
      <c r="V31" s="1206">
        <v>68303</v>
      </c>
      <c r="W31" s="702">
        <f t="shared" si="6"/>
        <v>72640</v>
      </c>
      <c r="X31" s="1193">
        <v>61256</v>
      </c>
      <c r="Y31" s="1197">
        <v>80771</v>
      </c>
      <c r="Z31" s="1197">
        <v>80229</v>
      </c>
      <c r="AA31" s="1197">
        <v>80229</v>
      </c>
      <c r="AB31" s="699">
        <f t="shared" si="7"/>
        <v>80771</v>
      </c>
      <c r="AC31" s="699">
        <f t="shared" si="8"/>
        <v>80771</v>
      </c>
      <c r="AD31" s="1205">
        <v>55293</v>
      </c>
      <c r="AE31" s="1206">
        <v>72640</v>
      </c>
      <c r="AF31" s="1206">
        <v>65051</v>
      </c>
      <c r="AG31" s="1206">
        <v>65051</v>
      </c>
      <c r="AH31" s="702">
        <f t="shared" si="9"/>
        <v>72640</v>
      </c>
      <c r="AI31" s="1193">
        <v>65051</v>
      </c>
      <c r="AJ31" s="1197">
        <v>79145</v>
      </c>
      <c r="AK31" s="1201">
        <v>90529</v>
      </c>
      <c r="AL31" s="699">
        <f t="shared" si="10"/>
        <v>90529</v>
      </c>
      <c r="AM31" s="1205">
        <v>76434</v>
      </c>
      <c r="AN31" s="1206">
        <v>75892</v>
      </c>
      <c r="AO31" s="1207">
        <v>86734</v>
      </c>
      <c r="AP31" s="702">
        <f t="shared" si="11"/>
        <v>86734</v>
      </c>
      <c r="AQ31" s="702">
        <f t="shared" si="12"/>
        <v>90529</v>
      </c>
      <c r="AR31" s="1193">
        <v>88902</v>
      </c>
      <c r="AS31" s="1197">
        <v>88360</v>
      </c>
      <c r="AT31" s="1201">
        <v>100828</v>
      </c>
      <c r="AU31" s="710">
        <f t="shared" si="13"/>
        <v>100828</v>
      </c>
      <c r="AW31" s="627">
        <v>2060</v>
      </c>
      <c r="AX31" s="628" t="s">
        <v>539</v>
      </c>
      <c r="AY31" s="628" t="s">
        <v>402</v>
      </c>
      <c r="AZ31" s="768" t="s">
        <v>428</v>
      </c>
      <c r="BA31" s="764">
        <v>30</v>
      </c>
      <c r="BC31"/>
    </row>
    <row r="32" spans="1:55" s="299" customFormat="1">
      <c r="A32" s="649" t="s">
        <v>4950</v>
      </c>
      <c r="B32" s="299">
        <v>16</v>
      </c>
      <c r="C32" s="1194">
        <v>41741</v>
      </c>
      <c r="D32" s="1198">
        <v>55293</v>
      </c>
      <c r="E32" s="1198">
        <v>55835</v>
      </c>
      <c r="F32" s="1202">
        <v>72640</v>
      </c>
      <c r="G32" s="699">
        <f t="shared" si="3"/>
        <v>72640</v>
      </c>
      <c r="H32" s="1208">
        <v>43909</v>
      </c>
      <c r="I32" s="1209">
        <v>49872</v>
      </c>
      <c r="J32" s="1209">
        <v>50956</v>
      </c>
      <c r="K32" s="1210">
        <v>65593</v>
      </c>
      <c r="L32" s="702">
        <f t="shared" si="4"/>
        <v>65593</v>
      </c>
      <c r="M32" s="1194">
        <v>58003</v>
      </c>
      <c r="N32" s="1198">
        <v>58003</v>
      </c>
      <c r="O32" s="1198">
        <v>50956</v>
      </c>
      <c r="P32" s="1217">
        <v>65593</v>
      </c>
      <c r="Q32" s="1202">
        <v>84024</v>
      </c>
      <c r="R32" s="699">
        <f t="shared" si="5"/>
        <v>84024</v>
      </c>
      <c r="S32" s="1208">
        <v>53125</v>
      </c>
      <c r="T32" s="1209">
        <v>68845</v>
      </c>
      <c r="U32" s="1209">
        <v>71013</v>
      </c>
      <c r="V32" s="1209">
        <v>71013</v>
      </c>
      <c r="W32" s="702">
        <f t="shared" si="6"/>
        <v>71013</v>
      </c>
      <c r="X32" s="1194">
        <v>55835</v>
      </c>
      <c r="Y32" s="1198">
        <v>65593</v>
      </c>
      <c r="Z32" s="1198">
        <v>84024</v>
      </c>
      <c r="AA32" s="1198">
        <v>84024</v>
      </c>
      <c r="AB32" s="699">
        <f t="shared" si="7"/>
        <v>84024</v>
      </c>
      <c r="AC32" s="699">
        <f t="shared" si="8"/>
        <v>84024</v>
      </c>
      <c r="AD32" s="1208">
        <v>50414</v>
      </c>
      <c r="AE32" s="1209">
        <v>59088</v>
      </c>
      <c r="AF32" s="1209">
        <v>67761</v>
      </c>
      <c r="AG32" s="1209">
        <v>67761</v>
      </c>
      <c r="AH32" s="702">
        <f t="shared" si="9"/>
        <v>67761</v>
      </c>
      <c r="AI32" s="1194">
        <v>65051</v>
      </c>
      <c r="AJ32" s="1198">
        <v>82939</v>
      </c>
      <c r="AK32" s="1202">
        <v>86734</v>
      </c>
      <c r="AL32" s="699">
        <f t="shared" si="10"/>
        <v>86734</v>
      </c>
      <c r="AM32" s="1208">
        <v>56377</v>
      </c>
      <c r="AN32" s="1209">
        <v>71556</v>
      </c>
      <c r="AO32" s="1210">
        <v>74808</v>
      </c>
      <c r="AP32" s="702">
        <f t="shared" si="11"/>
        <v>74808</v>
      </c>
      <c r="AQ32" s="702">
        <f t="shared" si="12"/>
        <v>86734</v>
      </c>
      <c r="AR32" s="1194">
        <v>72640</v>
      </c>
      <c r="AS32" s="1198">
        <v>92155</v>
      </c>
      <c r="AT32" s="1202">
        <v>96492</v>
      </c>
      <c r="AU32" s="710">
        <f t="shared" si="13"/>
        <v>96492</v>
      </c>
      <c r="AW32" s="627">
        <v>2063</v>
      </c>
      <c r="AX32" s="628" t="s">
        <v>540</v>
      </c>
      <c r="AY32" s="628" t="s">
        <v>402</v>
      </c>
      <c r="AZ32" s="768" t="s">
        <v>2056</v>
      </c>
      <c r="BA32" s="764">
        <v>13</v>
      </c>
    </row>
    <row r="33" spans="1:55" s="299" customFormat="1">
      <c r="A33" s="648" t="s">
        <v>4951</v>
      </c>
      <c r="B33" s="76">
        <v>17</v>
      </c>
      <c r="C33" s="1194">
        <v>47162</v>
      </c>
      <c r="D33" s="1198">
        <v>65051</v>
      </c>
      <c r="E33" s="1198">
        <v>65051</v>
      </c>
      <c r="F33" s="1202">
        <v>95407</v>
      </c>
      <c r="G33" s="699">
        <f t="shared" si="3"/>
        <v>95407</v>
      </c>
      <c r="H33" s="1208">
        <v>49330</v>
      </c>
      <c r="I33" s="1209">
        <v>59088</v>
      </c>
      <c r="J33" s="1209">
        <v>59088</v>
      </c>
      <c r="K33" s="1210">
        <v>86734</v>
      </c>
      <c r="L33" s="702">
        <f t="shared" si="4"/>
        <v>86734</v>
      </c>
      <c r="M33" s="1194">
        <v>65051</v>
      </c>
      <c r="N33" s="1198">
        <v>65051</v>
      </c>
      <c r="O33" s="1198">
        <v>65051</v>
      </c>
      <c r="P33" s="1217">
        <v>95407</v>
      </c>
      <c r="Q33" s="1202">
        <v>97576</v>
      </c>
      <c r="R33" s="699">
        <f t="shared" si="5"/>
        <v>97576</v>
      </c>
      <c r="S33" s="1208">
        <v>65051</v>
      </c>
      <c r="T33" s="1209">
        <v>78061</v>
      </c>
      <c r="U33" s="1209">
        <v>79687</v>
      </c>
      <c r="V33" s="1209">
        <v>79687</v>
      </c>
      <c r="W33" s="702">
        <f t="shared" si="6"/>
        <v>79687</v>
      </c>
      <c r="X33" s="1194">
        <v>65051</v>
      </c>
      <c r="Y33" s="1198">
        <v>86734</v>
      </c>
      <c r="Z33" s="1198">
        <v>88360</v>
      </c>
      <c r="AA33" s="1198">
        <v>88360</v>
      </c>
      <c r="AB33" s="699">
        <f t="shared" si="7"/>
        <v>88360</v>
      </c>
      <c r="AC33" s="699">
        <f t="shared" si="8"/>
        <v>88360</v>
      </c>
      <c r="AD33" s="1208">
        <v>58545</v>
      </c>
      <c r="AE33" s="1209">
        <v>78061</v>
      </c>
      <c r="AF33" s="1209">
        <v>71556</v>
      </c>
      <c r="AG33" s="1209">
        <v>71556</v>
      </c>
      <c r="AH33" s="702">
        <f t="shared" si="9"/>
        <v>78061</v>
      </c>
      <c r="AI33" s="1194">
        <v>78061</v>
      </c>
      <c r="AJ33" s="1198">
        <v>87818</v>
      </c>
      <c r="AK33" s="1202">
        <v>91613</v>
      </c>
      <c r="AL33" s="699">
        <f t="shared" si="10"/>
        <v>91613</v>
      </c>
      <c r="AM33" s="1208">
        <v>74266</v>
      </c>
      <c r="AN33" s="1209">
        <v>75892</v>
      </c>
      <c r="AO33" s="1210">
        <v>79145</v>
      </c>
      <c r="AP33" s="702">
        <f t="shared" si="11"/>
        <v>79145</v>
      </c>
      <c r="AQ33" s="702">
        <f t="shared" si="12"/>
        <v>91613</v>
      </c>
      <c r="AR33" s="1194">
        <v>95407</v>
      </c>
      <c r="AS33" s="1198">
        <v>97576</v>
      </c>
      <c r="AT33" s="1202">
        <v>101912</v>
      </c>
      <c r="AU33" s="710">
        <f t="shared" si="13"/>
        <v>101912</v>
      </c>
      <c r="AW33" s="627">
        <v>2064</v>
      </c>
      <c r="AX33" s="628" t="s">
        <v>1079</v>
      </c>
      <c r="AY33" s="628" t="s">
        <v>402</v>
      </c>
      <c r="AZ33" s="768" t="s">
        <v>3483</v>
      </c>
      <c r="BA33" s="765">
        <v>15</v>
      </c>
    </row>
    <row r="34" spans="1:55">
      <c r="A34" s="403" t="s">
        <v>4952</v>
      </c>
      <c r="B34" s="299">
        <v>18</v>
      </c>
      <c r="C34" s="1193">
        <v>37946</v>
      </c>
      <c r="D34" s="1197">
        <v>44993</v>
      </c>
      <c r="E34" s="1197">
        <v>55293</v>
      </c>
      <c r="F34" s="1201">
        <v>67761</v>
      </c>
      <c r="G34" s="699">
        <f t="shared" si="3"/>
        <v>67761</v>
      </c>
      <c r="H34" s="1205">
        <v>39572</v>
      </c>
      <c r="I34" s="1206">
        <v>41199</v>
      </c>
      <c r="J34" s="1206">
        <v>45535</v>
      </c>
      <c r="K34" s="1207">
        <v>49872</v>
      </c>
      <c r="L34" s="702">
        <f t="shared" si="4"/>
        <v>49872</v>
      </c>
      <c r="M34" s="1193">
        <v>44993</v>
      </c>
      <c r="N34" s="1197">
        <v>44993</v>
      </c>
      <c r="O34" s="1197">
        <v>50414</v>
      </c>
      <c r="P34" s="1216">
        <v>49872</v>
      </c>
      <c r="Q34" s="1201">
        <v>60714</v>
      </c>
      <c r="R34" s="699">
        <f t="shared" si="5"/>
        <v>60714</v>
      </c>
      <c r="S34" s="1205">
        <v>50414</v>
      </c>
      <c r="T34" s="1206">
        <v>61798</v>
      </c>
      <c r="U34" s="1206">
        <v>60714</v>
      </c>
      <c r="V34" s="1206">
        <v>60714</v>
      </c>
      <c r="W34" s="702">
        <f t="shared" si="6"/>
        <v>61798</v>
      </c>
      <c r="X34" s="1193">
        <v>50414</v>
      </c>
      <c r="Y34" s="1197">
        <v>61798</v>
      </c>
      <c r="Z34" s="1197">
        <v>75350</v>
      </c>
      <c r="AA34" s="1197">
        <v>75350</v>
      </c>
      <c r="AB34" s="699">
        <f t="shared" si="7"/>
        <v>75350</v>
      </c>
      <c r="AC34" s="699">
        <f t="shared" si="8"/>
        <v>75350</v>
      </c>
      <c r="AD34" s="1205">
        <v>49872</v>
      </c>
      <c r="AE34" s="1206">
        <v>55293</v>
      </c>
      <c r="AF34" s="1206">
        <v>60714</v>
      </c>
      <c r="AG34" s="1206">
        <v>60714</v>
      </c>
      <c r="AH34" s="702">
        <f t="shared" si="9"/>
        <v>60714</v>
      </c>
      <c r="AI34" s="1193">
        <v>49872</v>
      </c>
      <c r="AJ34" s="1197">
        <v>74266</v>
      </c>
      <c r="AK34" s="1201">
        <v>78061</v>
      </c>
      <c r="AL34" s="699">
        <f t="shared" si="10"/>
        <v>78061</v>
      </c>
      <c r="AM34" s="1205">
        <v>58003</v>
      </c>
      <c r="AN34" s="1206">
        <v>71013</v>
      </c>
      <c r="AO34" s="1207">
        <v>74266</v>
      </c>
      <c r="AP34" s="702">
        <f t="shared" si="11"/>
        <v>74266</v>
      </c>
      <c r="AQ34" s="702">
        <f t="shared" si="12"/>
        <v>78061</v>
      </c>
      <c r="AR34" s="1193">
        <v>67761</v>
      </c>
      <c r="AS34" s="1197">
        <v>82939</v>
      </c>
      <c r="AT34" s="1201">
        <v>86734</v>
      </c>
      <c r="AU34" s="710">
        <f t="shared" si="13"/>
        <v>86734</v>
      </c>
      <c r="AW34" s="627">
        <v>2065</v>
      </c>
      <c r="AX34" s="628" t="s">
        <v>542</v>
      </c>
      <c r="AY34" s="628" t="s">
        <v>402</v>
      </c>
      <c r="AZ34" s="768" t="s">
        <v>1468</v>
      </c>
      <c r="BA34" s="764">
        <v>33</v>
      </c>
      <c r="BC34"/>
    </row>
    <row r="35" spans="1:55">
      <c r="A35" s="651" t="s">
        <v>4648</v>
      </c>
      <c r="B35" s="76">
        <v>19</v>
      </c>
      <c r="C35" s="1193">
        <v>52040</v>
      </c>
      <c r="D35" s="1197">
        <v>60714</v>
      </c>
      <c r="E35" s="1197">
        <v>61256</v>
      </c>
      <c r="F35" s="1201">
        <v>87818</v>
      </c>
      <c r="G35" s="699">
        <f t="shared" si="3"/>
        <v>87818</v>
      </c>
      <c r="H35" s="1205">
        <v>37946</v>
      </c>
      <c r="I35" s="1206">
        <v>44451</v>
      </c>
      <c r="J35" s="1206">
        <v>44993</v>
      </c>
      <c r="K35" s="1207">
        <v>64508</v>
      </c>
      <c r="L35" s="702">
        <f t="shared" si="4"/>
        <v>64508</v>
      </c>
      <c r="M35" s="1193">
        <v>55293</v>
      </c>
      <c r="N35" s="1197">
        <v>55293</v>
      </c>
      <c r="O35" s="1197">
        <v>55835</v>
      </c>
      <c r="P35" s="1216">
        <v>64508</v>
      </c>
      <c r="Q35" s="1201">
        <v>78061</v>
      </c>
      <c r="R35" s="699">
        <f t="shared" si="5"/>
        <v>78061</v>
      </c>
      <c r="S35" s="1205">
        <v>61256</v>
      </c>
      <c r="T35" s="1206">
        <v>64508</v>
      </c>
      <c r="U35" s="1206">
        <v>78061</v>
      </c>
      <c r="V35" s="1206">
        <v>78061</v>
      </c>
      <c r="W35" s="702">
        <f t="shared" si="6"/>
        <v>78061</v>
      </c>
      <c r="X35" s="1193">
        <v>61256</v>
      </c>
      <c r="Y35" s="1197">
        <v>79687</v>
      </c>
      <c r="Z35" s="1197">
        <v>96492</v>
      </c>
      <c r="AA35" s="1197">
        <v>96492</v>
      </c>
      <c r="AB35" s="699">
        <f t="shared" si="7"/>
        <v>96492</v>
      </c>
      <c r="AC35" s="699">
        <f t="shared" si="8"/>
        <v>96492</v>
      </c>
      <c r="AD35" s="1205">
        <v>55293</v>
      </c>
      <c r="AE35" s="1206">
        <v>72098</v>
      </c>
      <c r="AF35" s="1206">
        <v>69387</v>
      </c>
      <c r="AG35" s="1206">
        <v>69387</v>
      </c>
      <c r="AH35" s="702">
        <f t="shared" si="9"/>
        <v>72098</v>
      </c>
      <c r="AI35" s="1193">
        <v>64508</v>
      </c>
      <c r="AJ35" s="1197">
        <v>95407</v>
      </c>
      <c r="AK35" s="1201">
        <v>100286</v>
      </c>
      <c r="AL35" s="699">
        <f t="shared" si="10"/>
        <v>100286</v>
      </c>
      <c r="AM35" s="1205">
        <v>75350</v>
      </c>
      <c r="AN35" s="1206">
        <v>91071</v>
      </c>
      <c r="AO35" s="1207">
        <v>95407</v>
      </c>
      <c r="AP35" s="702">
        <f t="shared" si="11"/>
        <v>95407</v>
      </c>
      <c r="AQ35" s="702">
        <f t="shared" si="12"/>
        <v>100286</v>
      </c>
      <c r="AR35" s="1193">
        <v>87818</v>
      </c>
      <c r="AS35" s="1197">
        <v>106249</v>
      </c>
      <c r="AT35" s="1201">
        <v>111670</v>
      </c>
      <c r="AU35" s="710">
        <f t="shared" si="13"/>
        <v>111670</v>
      </c>
      <c r="AW35" s="627">
        <v>2066</v>
      </c>
      <c r="AX35" s="628" t="s">
        <v>1080</v>
      </c>
      <c r="AY35" s="628" t="s">
        <v>402</v>
      </c>
      <c r="AZ35" s="768" t="s">
        <v>3687</v>
      </c>
      <c r="BA35" s="764">
        <v>23</v>
      </c>
      <c r="BC35"/>
    </row>
    <row r="36" spans="1:55" s="299" customFormat="1">
      <c r="A36" s="649" t="s">
        <v>4953</v>
      </c>
      <c r="B36" s="299">
        <v>20</v>
      </c>
      <c r="C36" s="1194">
        <v>29815</v>
      </c>
      <c r="D36" s="1198">
        <v>42825</v>
      </c>
      <c r="E36" s="1198">
        <v>44993</v>
      </c>
      <c r="F36" s="1202">
        <v>59630</v>
      </c>
      <c r="G36" s="699">
        <f t="shared" si="3"/>
        <v>59630</v>
      </c>
      <c r="H36" s="1208">
        <v>27104</v>
      </c>
      <c r="I36" s="1209">
        <v>31441</v>
      </c>
      <c r="J36" s="1209">
        <v>33067</v>
      </c>
      <c r="K36" s="1210">
        <v>43909</v>
      </c>
      <c r="L36" s="702">
        <f t="shared" si="4"/>
        <v>43909</v>
      </c>
      <c r="M36" s="1194">
        <v>44993</v>
      </c>
      <c r="N36" s="1198">
        <v>44993</v>
      </c>
      <c r="O36" s="1198">
        <v>47162</v>
      </c>
      <c r="P36" s="1217">
        <v>43909</v>
      </c>
      <c r="Q36" s="1202">
        <v>43367</v>
      </c>
      <c r="R36" s="699">
        <f t="shared" si="5"/>
        <v>47162</v>
      </c>
      <c r="S36" s="1208">
        <v>36862</v>
      </c>
      <c r="T36" s="1209">
        <v>48788</v>
      </c>
      <c r="U36" s="1209">
        <v>54751</v>
      </c>
      <c r="V36" s="1209">
        <v>54751</v>
      </c>
      <c r="W36" s="702">
        <f t="shared" si="6"/>
        <v>54751</v>
      </c>
      <c r="X36" s="1194">
        <v>44993</v>
      </c>
      <c r="Y36" s="1198">
        <v>48788</v>
      </c>
      <c r="Z36" s="1198">
        <v>60714</v>
      </c>
      <c r="AA36" s="1198">
        <v>60714</v>
      </c>
      <c r="AB36" s="699">
        <f t="shared" si="7"/>
        <v>60714</v>
      </c>
      <c r="AC36" s="699">
        <f t="shared" si="8"/>
        <v>60714</v>
      </c>
      <c r="AD36" s="1208">
        <v>40657</v>
      </c>
      <c r="AE36" s="1209">
        <v>48788</v>
      </c>
      <c r="AF36" s="1209">
        <v>54751</v>
      </c>
      <c r="AG36" s="1209">
        <v>54751</v>
      </c>
      <c r="AH36" s="702">
        <f t="shared" si="9"/>
        <v>54751</v>
      </c>
      <c r="AI36" s="1194">
        <v>43909</v>
      </c>
      <c r="AJ36" s="1198">
        <v>61798</v>
      </c>
      <c r="AK36" s="1202">
        <v>68303</v>
      </c>
      <c r="AL36" s="699">
        <f t="shared" si="10"/>
        <v>68303</v>
      </c>
      <c r="AM36" s="1208">
        <v>46077</v>
      </c>
      <c r="AN36" s="1209">
        <v>58003</v>
      </c>
      <c r="AO36" s="1210">
        <v>63424</v>
      </c>
      <c r="AP36" s="702">
        <f t="shared" si="11"/>
        <v>63424</v>
      </c>
      <c r="AQ36" s="702">
        <f t="shared" si="12"/>
        <v>68303</v>
      </c>
      <c r="AR36" s="1194">
        <v>59630</v>
      </c>
      <c r="AS36" s="1198">
        <v>74266</v>
      </c>
      <c r="AT36" s="1202">
        <v>81855</v>
      </c>
      <c r="AU36" s="710">
        <f t="shared" si="13"/>
        <v>81855</v>
      </c>
      <c r="AW36" s="627">
        <v>2066</v>
      </c>
      <c r="AX36" s="628" t="s">
        <v>1081</v>
      </c>
      <c r="AY36" s="628" t="s">
        <v>402</v>
      </c>
      <c r="AZ36" s="768" t="s">
        <v>4145</v>
      </c>
      <c r="BA36" s="764">
        <v>35</v>
      </c>
    </row>
    <row r="37" spans="1:55" s="299" customFormat="1">
      <c r="A37" s="648" t="s">
        <v>1036</v>
      </c>
      <c r="B37" s="76">
        <v>21</v>
      </c>
      <c r="C37" s="1194">
        <v>36320</v>
      </c>
      <c r="D37" s="1198">
        <v>48788</v>
      </c>
      <c r="E37" s="1198">
        <v>50414</v>
      </c>
      <c r="F37" s="1202">
        <v>63966</v>
      </c>
      <c r="G37" s="699">
        <f t="shared" si="3"/>
        <v>63966</v>
      </c>
      <c r="H37" s="1208">
        <v>33067</v>
      </c>
      <c r="I37" s="1209">
        <v>35778</v>
      </c>
      <c r="J37" s="1209">
        <v>36862</v>
      </c>
      <c r="K37" s="1210">
        <v>47162</v>
      </c>
      <c r="L37" s="702">
        <f t="shared" si="4"/>
        <v>47162</v>
      </c>
      <c r="M37" s="1194">
        <v>35778</v>
      </c>
      <c r="N37" s="1198">
        <v>35778</v>
      </c>
      <c r="O37" s="1198">
        <v>36862</v>
      </c>
      <c r="P37" s="1217">
        <v>41741</v>
      </c>
      <c r="Q37" s="1202">
        <v>54751</v>
      </c>
      <c r="R37" s="699">
        <f t="shared" si="5"/>
        <v>54751</v>
      </c>
      <c r="S37" s="1208">
        <v>48246</v>
      </c>
      <c r="T37" s="1209">
        <v>60714</v>
      </c>
      <c r="U37" s="1209">
        <v>61256</v>
      </c>
      <c r="V37" s="1209">
        <v>61256</v>
      </c>
      <c r="W37" s="702">
        <f t="shared" si="6"/>
        <v>61256</v>
      </c>
      <c r="X37" s="1194">
        <v>45535</v>
      </c>
      <c r="Y37" s="1198">
        <v>58003</v>
      </c>
      <c r="Z37" s="1198">
        <v>75350</v>
      </c>
      <c r="AA37" s="1198">
        <v>75350</v>
      </c>
      <c r="AB37" s="699">
        <f t="shared" si="7"/>
        <v>75350</v>
      </c>
      <c r="AC37" s="699">
        <f t="shared" si="8"/>
        <v>75350</v>
      </c>
      <c r="AD37" s="1208">
        <v>44993</v>
      </c>
      <c r="AE37" s="1209">
        <v>52040</v>
      </c>
      <c r="AF37" s="1209">
        <v>58003</v>
      </c>
      <c r="AG37" s="1209">
        <v>58003</v>
      </c>
      <c r="AH37" s="702">
        <f t="shared" si="9"/>
        <v>58003</v>
      </c>
      <c r="AI37" s="1194">
        <v>47162</v>
      </c>
      <c r="AJ37" s="1198">
        <v>69387</v>
      </c>
      <c r="AK37" s="1202">
        <v>84566</v>
      </c>
      <c r="AL37" s="699">
        <f t="shared" si="10"/>
        <v>84566</v>
      </c>
      <c r="AM37" s="1208">
        <v>54751</v>
      </c>
      <c r="AN37" s="1209">
        <v>71556</v>
      </c>
      <c r="AO37" s="1210">
        <v>86734</v>
      </c>
      <c r="AP37" s="702">
        <f t="shared" si="11"/>
        <v>86734</v>
      </c>
      <c r="AQ37" s="702">
        <f t="shared" si="12"/>
        <v>86734</v>
      </c>
      <c r="AR37" s="1194">
        <v>63966</v>
      </c>
      <c r="AS37" s="1198">
        <v>83481</v>
      </c>
      <c r="AT37" s="1202">
        <v>101370</v>
      </c>
      <c r="AU37" s="710">
        <f t="shared" si="13"/>
        <v>101370</v>
      </c>
      <c r="AW37" s="627">
        <v>2067</v>
      </c>
      <c r="AX37" s="628" t="s">
        <v>1082</v>
      </c>
      <c r="AY37" s="628" t="s">
        <v>420</v>
      </c>
      <c r="AZ37" s="768" t="s">
        <v>2945</v>
      </c>
      <c r="BA37" s="764">
        <v>25</v>
      </c>
    </row>
    <row r="38" spans="1:55">
      <c r="A38" s="641" t="s">
        <v>55</v>
      </c>
      <c r="B38" s="299">
        <v>22</v>
      </c>
      <c r="C38" s="1193">
        <v>34694</v>
      </c>
      <c r="D38" s="1197">
        <v>47704</v>
      </c>
      <c r="E38" s="1197">
        <v>47704</v>
      </c>
      <c r="F38" s="1201">
        <v>71013</v>
      </c>
      <c r="G38" s="699">
        <f t="shared" si="3"/>
        <v>71013</v>
      </c>
      <c r="H38" s="1205">
        <v>36862</v>
      </c>
      <c r="I38" s="1206">
        <v>35236</v>
      </c>
      <c r="J38" s="1206">
        <v>34694</v>
      </c>
      <c r="K38" s="1207">
        <v>52040</v>
      </c>
      <c r="L38" s="702">
        <f t="shared" si="4"/>
        <v>52040</v>
      </c>
      <c r="M38" s="1193">
        <v>49872</v>
      </c>
      <c r="N38" s="1197">
        <v>49872</v>
      </c>
      <c r="O38" s="1197">
        <v>47704</v>
      </c>
      <c r="P38" s="1216">
        <v>52040</v>
      </c>
      <c r="Q38" s="1201">
        <v>57461</v>
      </c>
      <c r="R38" s="699">
        <f t="shared" si="5"/>
        <v>57461</v>
      </c>
      <c r="S38" s="1205">
        <v>45535</v>
      </c>
      <c r="T38" s="1206">
        <v>67761</v>
      </c>
      <c r="U38" s="1206">
        <v>57461</v>
      </c>
      <c r="V38" s="1206">
        <v>57461</v>
      </c>
      <c r="W38" s="702">
        <f t="shared" si="6"/>
        <v>67761</v>
      </c>
      <c r="X38" s="1193">
        <v>47162</v>
      </c>
      <c r="Y38" s="1197">
        <v>64508</v>
      </c>
      <c r="Z38" s="1197">
        <v>78061</v>
      </c>
      <c r="AA38" s="1197">
        <v>78061</v>
      </c>
      <c r="AB38" s="699">
        <f t="shared" si="7"/>
        <v>78061</v>
      </c>
      <c r="AC38" s="699">
        <f t="shared" si="8"/>
        <v>78061</v>
      </c>
      <c r="AD38" s="1205">
        <v>42825</v>
      </c>
      <c r="AE38" s="1206">
        <v>58003</v>
      </c>
      <c r="AF38" s="1206">
        <v>54209</v>
      </c>
      <c r="AG38" s="1206">
        <v>54209</v>
      </c>
      <c r="AH38" s="702">
        <f t="shared" si="9"/>
        <v>58003</v>
      </c>
      <c r="AI38" s="1193">
        <v>52040</v>
      </c>
      <c r="AJ38" s="1197">
        <v>65051</v>
      </c>
      <c r="AK38" s="1201">
        <v>68303</v>
      </c>
      <c r="AL38" s="699">
        <f t="shared" si="10"/>
        <v>68303</v>
      </c>
      <c r="AM38" s="1205">
        <v>46077</v>
      </c>
      <c r="AN38" s="1206">
        <v>60714</v>
      </c>
      <c r="AO38" s="1207">
        <v>60172</v>
      </c>
      <c r="AP38" s="702">
        <f t="shared" si="11"/>
        <v>60714</v>
      </c>
      <c r="AQ38" s="702">
        <f t="shared" si="12"/>
        <v>68303</v>
      </c>
      <c r="AR38" s="1193">
        <v>71013</v>
      </c>
      <c r="AS38" s="1197">
        <v>78061</v>
      </c>
      <c r="AT38" s="1201">
        <v>81855</v>
      </c>
      <c r="AU38" s="710">
        <f t="shared" si="13"/>
        <v>81855</v>
      </c>
      <c r="AW38" s="627">
        <v>2071</v>
      </c>
      <c r="AX38" s="628" t="s">
        <v>3981</v>
      </c>
      <c r="AY38" s="696" t="s">
        <v>152</v>
      </c>
      <c r="AZ38" s="768" t="s">
        <v>435</v>
      </c>
      <c r="BA38" s="764">
        <v>32</v>
      </c>
      <c r="BC38"/>
    </row>
    <row r="39" spans="1:55">
      <c r="A39" s="228" t="s">
        <v>3687</v>
      </c>
      <c r="B39" s="76">
        <v>23</v>
      </c>
      <c r="C39" s="1193">
        <v>46077</v>
      </c>
      <c r="D39" s="1197">
        <v>61256</v>
      </c>
      <c r="E39" s="1197">
        <v>61256</v>
      </c>
      <c r="F39" s="1201">
        <v>82939</v>
      </c>
      <c r="G39" s="699">
        <f t="shared" si="3"/>
        <v>82939</v>
      </c>
      <c r="H39" s="1205">
        <v>48246</v>
      </c>
      <c r="I39" s="1206">
        <v>44993</v>
      </c>
      <c r="J39" s="1206">
        <v>44993</v>
      </c>
      <c r="K39" s="1207">
        <v>61256</v>
      </c>
      <c r="L39" s="702">
        <f t="shared" si="4"/>
        <v>61256</v>
      </c>
      <c r="M39" s="1193">
        <v>55293</v>
      </c>
      <c r="N39" s="1197">
        <v>55293</v>
      </c>
      <c r="O39" s="1197">
        <v>55293</v>
      </c>
      <c r="P39" s="1216">
        <v>61256</v>
      </c>
      <c r="Q39" s="1201">
        <v>65593</v>
      </c>
      <c r="R39" s="699">
        <f t="shared" si="5"/>
        <v>65593</v>
      </c>
      <c r="S39" s="1205">
        <v>49872</v>
      </c>
      <c r="T39" s="1206">
        <v>67761</v>
      </c>
      <c r="U39" s="1206">
        <v>83481</v>
      </c>
      <c r="V39" s="1206">
        <v>83481</v>
      </c>
      <c r="W39" s="702">
        <f t="shared" si="6"/>
        <v>83481</v>
      </c>
      <c r="X39" s="1193">
        <v>61256</v>
      </c>
      <c r="Y39" s="1197">
        <v>75350</v>
      </c>
      <c r="Z39" s="1197">
        <v>112754</v>
      </c>
      <c r="AA39" s="1197">
        <v>112754</v>
      </c>
      <c r="AB39" s="699">
        <f t="shared" si="7"/>
        <v>112754</v>
      </c>
      <c r="AC39" s="699">
        <f t="shared" si="8"/>
        <v>112754</v>
      </c>
      <c r="AD39" s="1205">
        <v>54751</v>
      </c>
      <c r="AE39" s="1206">
        <v>67761</v>
      </c>
      <c r="AF39" s="1206">
        <v>73724</v>
      </c>
      <c r="AG39" s="1206">
        <v>73724</v>
      </c>
      <c r="AH39" s="702">
        <f t="shared" si="9"/>
        <v>73724</v>
      </c>
      <c r="AI39" s="1193">
        <v>61256</v>
      </c>
      <c r="AJ39" s="1197">
        <v>94323</v>
      </c>
      <c r="AK39" s="1201">
        <v>98660</v>
      </c>
      <c r="AL39" s="699">
        <f t="shared" si="10"/>
        <v>98660</v>
      </c>
      <c r="AM39" s="1205">
        <v>71556</v>
      </c>
      <c r="AN39" s="1206">
        <v>97034</v>
      </c>
      <c r="AO39" s="1207">
        <v>101912</v>
      </c>
      <c r="AP39" s="702">
        <f t="shared" si="11"/>
        <v>101912</v>
      </c>
      <c r="AQ39" s="702">
        <f t="shared" si="12"/>
        <v>101912</v>
      </c>
      <c r="AR39" s="1193">
        <v>82939</v>
      </c>
      <c r="AS39" s="1197">
        <v>113296</v>
      </c>
      <c r="AT39" s="1201">
        <v>118717</v>
      </c>
      <c r="AU39" s="710">
        <f t="shared" si="13"/>
        <v>118717</v>
      </c>
      <c r="AW39" s="627">
        <v>2072</v>
      </c>
      <c r="AX39" s="628" t="s">
        <v>3982</v>
      </c>
      <c r="AY39" s="696" t="s">
        <v>152</v>
      </c>
      <c r="AZ39" s="768" t="s">
        <v>421</v>
      </c>
      <c r="BA39" s="764">
        <v>34</v>
      </c>
      <c r="BC39"/>
    </row>
    <row r="40" spans="1:55" s="299" customFormat="1">
      <c r="A40" s="650" t="s">
        <v>56</v>
      </c>
      <c r="B40" s="299">
        <v>24</v>
      </c>
      <c r="C40" s="1194">
        <v>34694</v>
      </c>
      <c r="D40" s="1198">
        <v>46620</v>
      </c>
      <c r="E40" s="1198">
        <v>46620</v>
      </c>
      <c r="F40" s="1202">
        <v>65593</v>
      </c>
      <c r="G40" s="699">
        <f t="shared" si="3"/>
        <v>65593</v>
      </c>
      <c r="H40" s="1208">
        <v>36862</v>
      </c>
      <c r="I40" s="1209">
        <v>46620</v>
      </c>
      <c r="J40" s="1209">
        <v>46620</v>
      </c>
      <c r="K40" s="1210">
        <v>65593</v>
      </c>
      <c r="L40" s="702">
        <f t="shared" si="4"/>
        <v>65593</v>
      </c>
      <c r="M40" s="1194">
        <v>48788</v>
      </c>
      <c r="N40" s="1198">
        <v>48788</v>
      </c>
      <c r="O40" s="1198">
        <v>48788</v>
      </c>
      <c r="P40" s="1217">
        <v>59630</v>
      </c>
      <c r="Q40" s="1202">
        <v>66135</v>
      </c>
      <c r="R40" s="699">
        <f t="shared" si="5"/>
        <v>66135</v>
      </c>
      <c r="S40" s="1208">
        <v>48788</v>
      </c>
      <c r="T40" s="1209">
        <v>68845</v>
      </c>
      <c r="U40" s="1209">
        <v>65593</v>
      </c>
      <c r="V40" s="1209">
        <v>65593</v>
      </c>
      <c r="W40" s="702">
        <f t="shared" si="6"/>
        <v>68845</v>
      </c>
      <c r="X40" s="1194">
        <v>46620</v>
      </c>
      <c r="Y40" s="1198">
        <v>59630</v>
      </c>
      <c r="Z40" s="1198">
        <v>72640</v>
      </c>
      <c r="AA40" s="1198">
        <v>72640</v>
      </c>
      <c r="AB40" s="699">
        <f t="shared" si="7"/>
        <v>72640</v>
      </c>
      <c r="AC40" s="699">
        <f t="shared" si="8"/>
        <v>72640</v>
      </c>
      <c r="AD40" s="1208">
        <v>41741</v>
      </c>
      <c r="AE40" s="1209">
        <v>53667</v>
      </c>
      <c r="AF40" s="1209">
        <v>59630</v>
      </c>
      <c r="AG40" s="1209">
        <v>59630</v>
      </c>
      <c r="AH40" s="702">
        <f t="shared" si="9"/>
        <v>59630</v>
      </c>
      <c r="AI40" s="1194">
        <v>54751</v>
      </c>
      <c r="AJ40" s="1198">
        <v>60714</v>
      </c>
      <c r="AK40" s="1202">
        <v>66677</v>
      </c>
      <c r="AL40" s="699">
        <f t="shared" si="10"/>
        <v>66677</v>
      </c>
      <c r="AM40" s="1208">
        <v>56377</v>
      </c>
      <c r="AN40" s="1209">
        <v>56377</v>
      </c>
      <c r="AO40" s="1210">
        <v>68845</v>
      </c>
      <c r="AP40" s="702">
        <f t="shared" si="11"/>
        <v>68845</v>
      </c>
      <c r="AQ40" s="702">
        <f t="shared" si="12"/>
        <v>68845</v>
      </c>
      <c r="AR40" s="1194">
        <v>65593</v>
      </c>
      <c r="AS40" s="1198">
        <v>73182</v>
      </c>
      <c r="AT40" s="1202">
        <v>80229</v>
      </c>
      <c r="AU40" s="710">
        <f t="shared" si="13"/>
        <v>80229</v>
      </c>
      <c r="AW40" s="627">
        <v>2073</v>
      </c>
      <c r="AX40" s="628" t="s">
        <v>3983</v>
      </c>
      <c r="AY40" s="696" t="s">
        <v>152</v>
      </c>
      <c r="AZ40" s="768" t="s">
        <v>419</v>
      </c>
      <c r="BA40" s="764">
        <v>36</v>
      </c>
    </row>
    <row r="41" spans="1:55" s="299" customFormat="1">
      <c r="A41" s="648" t="s">
        <v>2945</v>
      </c>
      <c r="B41" s="76">
        <v>25</v>
      </c>
      <c r="C41" s="1194">
        <v>52582</v>
      </c>
      <c r="D41" s="1198">
        <v>69387</v>
      </c>
      <c r="E41" s="1198">
        <v>69387</v>
      </c>
      <c r="F41" s="1202">
        <v>98118</v>
      </c>
      <c r="G41" s="699">
        <f t="shared" si="3"/>
        <v>98118</v>
      </c>
      <c r="H41" s="1208">
        <v>54751</v>
      </c>
      <c r="I41" s="1209">
        <v>62882</v>
      </c>
      <c r="J41" s="1209">
        <v>71556</v>
      </c>
      <c r="K41" s="1210">
        <v>100828</v>
      </c>
      <c r="L41" s="702">
        <f t="shared" si="4"/>
        <v>100828</v>
      </c>
      <c r="M41" s="1194">
        <v>72640</v>
      </c>
      <c r="N41" s="1198">
        <v>72640</v>
      </c>
      <c r="O41" s="1198">
        <v>72640</v>
      </c>
      <c r="P41" s="1217">
        <v>88902</v>
      </c>
      <c r="Q41" s="1202">
        <v>100286</v>
      </c>
      <c r="R41" s="699">
        <f t="shared" si="5"/>
        <v>100286</v>
      </c>
      <c r="S41" s="1208">
        <v>62340</v>
      </c>
      <c r="T41" s="1209">
        <v>88360</v>
      </c>
      <c r="U41" s="1209">
        <v>99202</v>
      </c>
      <c r="V41" s="1209">
        <v>99202</v>
      </c>
      <c r="W41" s="702">
        <f t="shared" si="6"/>
        <v>99202</v>
      </c>
      <c r="X41" s="1194">
        <v>69387</v>
      </c>
      <c r="Y41" s="1198">
        <v>80229</v>
      </c>
      <c r="Z41" s="1198">
        <v>110044</v>
      </c>
      <c r="AA41" s="1198">
        <v>110044</v>
      </c>
      <c r="AB41" s="699">
        <f t="shared" si="7"/>
        <v>110044</v>
      </c>
      <c r="AC41" s="699">
        <f t="shared" si="8"/>
        <v>110044</v>
      </c>
      <c r="AD41" s="1208">
        <v>62340</v>
      </c>
      <c r="AE41" s="1209">
        <v>80229</v>
      </c>
      <c r="AF41" s="1209">
        <v>89987</v>
      </c>
      <c r="AG41" s="1209">
        <v>89987</v>
      </c>
      <c r="AH41" s="702">
        <f t="shared" si="9"/>
        <v>89987</v>
      </c>
      <c r="AI41" s="1194">
        <v>81855</v>
      </c>
      <c r="AJ41" s="1198">
        <v>92155</v>
      </c>
      <c r="AK41" s="1202">
        <v>96492</v>
      </c>
      <c r="AL41" s="699">
        <f t="shared" si="10"/>
        <v>96492</v>
      </c>
      <c r="AM41" s="1208">
        <v>84024</v>
      </c>
      <c r="AN41" s="1209">
        <v>94865</v>
      </c>
      <c r="AO41" s="1210">
        <v>99202</v>
      </c>
      <c r="AP41" s="702">
        <f t="shared" si="11"/>
        <v>99202</v>
      </c>
      <c r="AQ41" s="702">
        <f t="shared" si="12"/>
        <v>99202</v>
      </c>
      <c r="AR41" s="1194">
        <v>98118</v>
      </c>
      <c r="AS41" s="1198">
        <v>110586</v>
      </c>
      <c r="AT41" s="1202">
        <v>116007</v>
      </c>
      <c r="AU41" s="710">
        <f t="shared" si="13"/>
        <v>116007</v>
      </c>
      <c r="AW41" s="627">
        <v>2074</v>
      </c>
      <c r="AX41" s="628" t="s">
        <v>3984</v>
      </c>
      <c r="AY41" s="696" t="s">
        <v>152</v>
      </c>
      <c r="AZ41" s="768" t="s">
        <v>158</v>
      </c>
      <c r="BA41" s="764">
        <v>37</v>
      </c>
    </row>
    <row r="42" spans="1:55">
      <c r="A42" s="403" t="s">
        <v>57</v>
      </c>
      <c r="B42" s="299">
        <v>26</v>
      </c>
      <c r="C42" s="1193">
        <v>33067</v>
      </c>
      <c r="D42" s="1197">
        <v>47162</v>
      </c>
      <c r="E42" s="1197">
        <v>47704</v>
      </c>
      <c r="F42" s="1201">
        <v>64508</v>
      </c>
      <c r="G42" s="699">
        <f t="shared" si="3"/>
        <v>64508</v>
      </c>
      <c r="H42" s="1205">
        <v>30357</v>
      </c>
      <c r="I42" s="1206">
        <v>34694</v>
      </c>
      <c r="J42" s="1206">
        <v>30899</v>
      </c>
      <c r="K42" s="1207">
        <v>42283</v>
      </c>
      <c r="L42" s="702">
        <f t="shared" si="4"/>
        <v>42283</v>
      </c>
      <c r="M42" s="1193">
        <v>42825</v>
      </c>
      <c r="N42" s="1197">
        <v>42825</v>
      </c>
      <c r="O42" s="1197">
        <v>27646</v>
      </c>
      <c r="P42" s="1216">
        <v>32525</v>
      </c>
      <c r="Q42" s="1201">
        <v>38488</v>
      </c>
      <c r="R42" s="699">
        <f t="shared" si="5"/>
        <v>42825</v>
      </c>
      <c r="S42" s="1205">
        <v>39030</v>
      </c>
      <c r="T42" s="1206">
        <v>47162</v>
      </c>
      <c r="U42" s="1206">
        <v>49872</v>
      </c>
      <c r="V42" s="1206">
        <v>49872</v>
      </c>
      <c r="W42" s="702">
        <f t="shared" si="6"/>
        <v>49872</v>
      </c>
      <c r="X42" s="1193">
        <v>47162</v>
      </c>
      <c r="Y42" s="1197">
        <v>58545</v>
      </c>
      <c r="Z42" s="1197">
        <v>61798</v>
      </c>
      <c r="AA42" s="1197">
        <v>61798</v>
      </c>
      <c r="AB42" s="699">
        <f t="shared" si="7"/>
        <v>61798</v>
      </c>
      <c r="AC42" s="699">
        <f t="shared" si="8"/>
        <v>61798</v>
      </c>
      <c r="AD42" s="1205">
        <v>42825</v>
      </c>
      <c r="AE42" s="1206">
        <v>52582</v>
      </c>
      <c r="AF42" s="1206">
        <v>61798</v>
      </c>
      <c r="AG42" s="1206">
        <v>61798</v>
      </c>
      <c r="AH42" s="702">
        <f t="shared" si="9"/>
        <v>61798</v>
      </c>
      <c r="AI42" s="1193">
        <v>47162</v>
      </c>
      <c r="AJ42" s="1197">
        <v>55835</v>
      </c>
      <c r="AK42" s="1201">
        <v>58545</v>
      </c>
      <c r="AL42" s="699">
        <f t="shared" si="10"/>
        <v>58545</v>
      </c>
      <c r="AM42" s="1205">
        <v>55293</v>
      </c>
      <c r="AN42" s="1206">
        <v>65051</v>
      </c>
      <c r="AO42" s="1207">
        <v>68303</v>
      </c>
      <c r="AP42" s="702">
        <f t="shared" si="11"/>
        <v>68303</v>
      </c>
      <c r="AQ42" s="702">
        <f t="shared" si="12"/>
        <v>68303</v>
      </c>
      <c r="AR42" s="1193">
        <v>64508</v>
      </c>
      <c r="AS42" s="1197">
        <v>75892</v>
      </c>
      <c r="AT42" s="1201">
        <v>79687</v>
      </c>
      <c r="AU42" s="710">
        <f t="shared" si="13"/>
        <v>79687</v>
      </c>
      <c r="AW42" s="627">
        <v>2080</v>
      </c>
      <c r="AX42" s="628" t="s">
        <v>3985</v>
      </c>
      <c r="AY42" s="696" t="s">
        <v>152</v>
      </c>
      <c r="AZ42" s="768" t="s">
        <v>432</v>
      </c>
      <c r="BA42" s="764">
        <v>38</v>
      </c>
      <c r="BC42"/>
    </row>
    <row r="43" spans="1:55" ht="13.5" thickBot="1">
      <c r="A43" s="228" t="s">
        <v>3346</v>
      </c>
      <c r="B43" s="76">
        <v>27</v>
      </c>
      <c r="C43" s="1193">
        <v>34152</v>
      </c>
      <c r="D43" s="1197">
        <v>47704</v>
      </c>
      <c r="E43" s="1197">
        <v>47704</v>
      </c>
      <c r="F43" s="1201">
        <v>73724</v>
      </c>
      <c r="G43" s="699">
        <f t="shared" si="3"/>
        <v>73724</v>
      </c>
      <c r="H43" s="1205">
        <v>35778</v>
      </c>
      <c r="I43" s="1206">
        <v>35236</v>
      </c>
      <c r="J43" s="1206">
        <v>34694</v>
      </c>
      <c r="K43" s="1207">
        <v>54209</v>
      </c>
      <c r="L43" s="702">
        <f t="shared" si="4"/>
        <v>54209</v>
      </c>
      <c r="M43" s="1193">
        <v>35236</v>
      </c>
      <c r="N43" s="1197">
        <v>35236</v>
      </c>
      <c r="O43" s="1197">
        <v>34694</v>
      </c>
      <c r="P43" s="1216">
        <v>42825</v>
      </c>
      <c r="Q43" s="1201">
        <v>46077</v>
      </c>
      <c r="R43" s="699">
        <f t="shared" si="5"/>
        <v>46077</v>
      </c>
      <c r="S43" s="1205">
        <v>39030</v>
      </c>
      <c r="T43" s="1206">
        <v>54209</v>
      </c>
      <c r="U43" s="1206">
        <v>52040</v>
      </c>
      <c r="V43" s="1206">
        <v>52040</v>
      </c>
      <c r="W43" s="702">
        <f t="shared" si="6"/>
        <v>54209</v>
      </c>
      <c r="X43" s="1193">
        <v>47162</v>
      </c>
      <c r="Y43" s="1197">
        <v>60172</v>
      </c>
      <c r="Z43" s="1197">
        <v>71556</v>
      </c>
      <c r="AA43" s="1197">
        <v>71556</v>
      </c>
      <c r="AB43" s="699">
        <f t="shared" si="7"/>
        <v>71556</v>
      </c>
      <c r="AC43" s="699">
        <f t="shared" si="8"/>
        <v>71556</v>
      </c>
      <c r="AD43" s="1205">
        <v>42825</v>
      </c>
      <c r="AE43" s="1206">
        <v>60172</v>
      </c>
      <c r="AF43" s="1206">
        <v>58545</v>
      </c>
      <c r="AG43" s="1206">
        <v>58545</v>
      </c>
      <c r="AH43" s="702">
        <f t="shared" si="9"/>
        <v>60172</v>
      </c>
      <c r="AI43" s="1193">
        <v>54209</v>
      </c>
      <c r="AJ43" s="1197">
        <v>71556</v>
      </c>
      <c r="AK43" s="1201">
        <v>71556</v>
      </c>
      <c r="AL43" s="699">
        <f t="shared" si="10"/>
        <v>71556</v>
      </c>
      <c r="AM43" s="1205">
        <v>63424</v>
      </c>
      <c r="AN43" s="1206">
        <v>68303</v>
      </c>
      <c r="AO43" s="1207">
        <v>68303</v>
      </c>
      <c r="AP43" s="702">
        <f t="shared" si="11"/>
        <v>68303</v>
      </c>
      <c r="AQ43" s="702">
        <f t="shared" si="12"/>
        <v>71556</v>
      </c>
      <c r="AR43" s="1193">
        <v>73724</v>
      </c>
      <c r="AS43" s="1197">
        <v>79687</v>
      </c>
      <c r="AT43" s="1201">
        <v>79687</v>
      </c>
      <c r="AU43" s="710">
        <f t="shared" si="13"/>
        <v>79687</v>
      </c>
      <c r="AW43" s="627">
        <v>2081</v>
      </c>
      <c r="AX43" s="628" t="s">
        <v>3986</v>
      </c>
      <c r="AY43" s="696" t="s">
        <v>152</v>
      </c>
      <c r="AZ43" s="770" t="s">
        <v>4456</v>
      </c>
      <c r="BA43" s="771">
        <v>39</v>
      </c>
      <c r="BC43"/>
    </row>
    <row r="44" spans="1:55" s="299" customFormat="1" ht="13.5" thickTop="1">
      <c r="A44" s="649" t="s">
        <v>58</v>
      </c>
      <c r="B44" s="299">
        <v>28</v>
      </c>
      <c r="C44" s="1194">
        <v>46077</v>
      </c>
      <c r="D44" s="1198">
        <v>60172</v>
      </c>
      <c r="E44" s="1198">
        <v>59630</v>
      </c>
      <c r="F44" s="1202">
        <v>73724</v>
      </c>
      <c r="G44" s="699">
        <f t="shared" si="3"/>
        <v>73724</v>
      </c>
      <c r="H44" s="1208">
        <v>48246</v>
      </c>
      <c r="I44" s="1209">
        <v>44451</v>
      </c>
      <c r="J44" s="1209">
        <v>43909</v>
      </c>
      <c r="K44" s="1210">
        <v>54209</v>
      </c>
      <c r="L44" s="702">
        <f t="shared" si="4"/>
        <v>54209</v>
      </c>
      <c r="M44" s="1194">
        <v>44451</v>
      </c>
      <c r="N44" s="1198">
        <v>44451</v>
      </c>
      <c r="O44" s="1198">
        <v>43909</v>
      </c>
      <c r="P44" s="1217">
        <v>54209</v>
      </c>
      <c r="Q44" s="1202">
        <v>66677</v>
      </c>
      <c r="R44" s="699">
        <f t="shared" si="5"/>
        <v>66677</v>
      </c>
      <c r="S44" s="1208">
        <v>56919</v>
      </c>
      <c r="T44" s="1209">
        <v>69929</v>
      </c>
      <c r="U44" s="1209">
        <v>66677</v>
      </c>
      <c r="V44" s="1209">
        <v>66677</v>
      </c>
      <c r="W44" s="702">
        <f t="shared" si="6"/>
        <v>69929</v>
      </c>
      <c r="X44" s="1194">
        <v>59360</v>
      </c>
      <c r="Y44" s="1198">
        <v>69929</v>
      </c>
      <c r="Z44" s="1198">
        <v>91071</v>
      </c>
      <c r="AA44" s="1198">
        <v>91071</v>
      </c>
      <c r="AB44" s="699">
        <f t="shared" si="7"/>
        <v>91071</v>
      </c>
      <c r="AC44" s="699">
        <f t="shared" si="8"/>
        <v>91071</v>
      </c>
      <c r="AD44" s="1208">
        <v>53667</v>
      </c>
      <c r="AE44" s="1209">
        <v>61256</v>
      </c>
      <c r="AF44" s="1209">
        <v>63424</v>
      </c>
      <c r="AG44" s="1209">
        <v>63424</v>
      </c>
      <c r="AH44" s="702">
        <f t="shared" si="9"/>
        <v>63424</v>
      </c>
      <c r="AI44" s="1194">
        <v>54209</v>
      </c>
      <c r="AJ44" s="1198">
        <v>78061</v>
      </c>
      <c r="AK44" s="1202">
        <v>81855</v>
      </c>
      <c r="AL44" s="699">
        <f t="shared" si="10"/>
        <v>81855</v>
      </c>
      <c r="AM44" s="1208">
        <v>62882</v>
      </c>
      <c r="AN44" s="1209">
        <v>78061</v>
      </c>
      <c r="AO44" s="1210">
        <v>81855</v>
      </c>
      <c r="AP44" s="702">
        <f t="shared" si="11"/>
        <v>81855</v>
      </c>
      <c r="AQ44" s="702">
        <f t="shared" si="12"/>
        <v>81855</v>
      </c>
      <c r="AR44" s="1194">
        <v>73724</v>
      </c>
      <c r="AS44" s="1198">
        <v>91071</v>
      </c>
      <c r="AT44" s="1202">
        <v>95407</v>
      </c>
      <c r="AU44" s="710">
        <f t="shared" si="13"/>
        <v>95407</v>
      </c>
      <c r="AW44" s="627">
        <v>2083</v>
      </c>
      <c r="AX44" s="628" t="s">
        <v>3987</v>
      </c>
      <c r="AY44" s="693" t="s">
        <v>152</v>
      </c>
      <c r="BA44" s="196"/>
    </row>
    <row r="45" spans="1:55" s="299" customFormat="1">
      <c r="A45" s="648" t="s">
        <v>3965</v>
      </c>
      <c r="B45" s="76">
        <v>29</v>
      </c>
      <c r="C45" s="1194">
        <v>49872</v>
      </c>
      <c r="D45" s="1198">
        <v>60714</v>
      </c>
      <c r="E45" s="1198">
        <v>60172</v>
      </c>
      <c r="F45" s="1202">
        <v>73724</v>
      </c>
      <c r="G45" s="699">
        <f t="shared" si="3"/>
        <v>73724</v>
      </c>
      <c r="H45" s="1208">
        <v>45535</v>
      </c>
      <c r="I45" s="1209">
        <v>44451</v>
      </c>
      <c r="J45" s="1209">
        <v>44451</v>
      </c>
      <c r="K45" s="1210">
        <v>66677</v>
      </c>
      <c r="L45" s="702">
        <f t="shared" si="4"/>
        <v>66677</v>
      </c>
      <c r="M45" s="1194">
        <v>44451</v>
      </c>
      <c r="N45" s="1198">
        <v>44451</v>
      </c>
      <c r="O45" s="1198">
        <v>44451</v>
      </c>
      <c r="P45" s="1217">
        <v>54209</v>
      </c>
      <c r="Q45" s="1202">
        <v>66677</v>
      </c>
      <c r="R45" s="699">
        <f t="shared" si="5"/>
        <v>66677</v>
      </c>
      <c r="S45" s="1208">
        <v>57461</v>
      </c>
      <c r="T45" s="1209">
        <v>69929</v>
      </c>
      <c r="U45" s="1209">
        <v>66677</v>
      </c>
      <c r="V45" s="1209">
        <v>66677</v>
      </c>
      <c r="W45" s="702">
        <f t="shared" si="6"/>
        <v>69929</v>
      </c>
      <c r="X45" s="1194">
        <v>60172</v>
      </c>
      <c r="Y45" s="1198">
        <v>69929</v>
      </c>
      <c r="Z45" s="1198">
        <v>91071</v>
      </c>
      <c r="AA45" s="1198">
        <v>91071</v>
      </c>
      <c r="AB45" s="699">
        <f t="shared" si="7"/>
        <v>91071</v>
      </c>
      <c r="AC45" s="699">
        <f t="shared" si="8"/>
        <v>91071</v>
      </c>
      <c r="AD45" s="1208">
        <v>54209</v>
      </c>
      <c r="AE45" s="1209">
        <v>61256</v>
      </c>
      <c r="AF45" s="1209">
        <v>63424</v>
      </c>
      <c r="AG45" s="1209">
        <v>63424</v>
      </c>
      <c r="AH45" s="702">
        <f t="shared" si="9"/>
        <v>63424</v>
      </c>
      <c r="AI45" s="1194">
        <v>54209</v>
      </c>
      <c r="AJ45" s="1198">
        <v>78061</v>
      </c>
      <c r="AK45" s="1202">
        <v>81855</v>
      </c>
      <c r="AL45" s="699">
        <f t="shared" si="10"/>
        <v>81855</v>
      </c>
      <c r="AM45" s="1208">
        <v>62882</v>
      </c>
      <c r="AN45" s="1209">
        <v>78061</v>
      </c>
      <c r="AO45" s="1210">
        <v>81855</v>
      </c>
      <c r="AP45" s="702">
        <f t="shared" si="11"/>
        <v>81855</v>
      </c>
      <c r="AQ45" s="702">
        <f t="shared" si="12"/>
        <v>81855</v>
      </c>
      <c r="AR45" s="1194">
        <v>73724</v>
      </c>
      <c r="AS45" s="1198">
        <v>91071</v>
      </c>
      <c r="AT45" s="1202">
        <v>95407</v>
      </c>
      <c r="AU45" s="710">
        <f t="shared" si="13"/>
        <v>95407</v>
      </c>
      <c r="AW45" s="627">
        <v>2084</v>
      </c>
      <c r="AX45" s="628" t="s">
        <v>3988</v>
      </c>
      <c r="AY45" s="693" t="s">
        <v>152</v>
      </c>
      <c r="BA45" s="196"/>
    </row>
    <row r="46" spans="1:55">
      <c r="A46" s="403" t="s">
        <v>59</v>
      </c>
      <c r="B46" s="299">
        <v>30</v>
      </c>
      <c r="C46" s="1193">
        <v>37404</v>
      </c>
      <c r="D46" s="1197">
        <v>47704</v>
      </c>
      <c r="E46" s="1197">
        <v>47162</v>
      </c>
      <c r="F46" s="1201">
        <v>71013</v>
      </c>
      <c r="G46" s="699">
        <f t="shared" si="3"/>
        <v>71013</v>
      </c>
      <c r="H46" s="1205">
        <v>39572</v>
      </c>
      <c r="I46" s="1206">
        <v>35236</v>
      </c>
      <c r="J46" s="1206">
        <v>49330</v>
      </c>
      <c r="K46" s="1207">
        <v>74808</v>
      </c>
      <c r="L46" s="702">
        <f t="shared" si="4"/>
        <v>74808</v>
      </c>
      <c r="M46" s="1193">
        <v>39030</v>
      </c>
      <c r="N46" s="1197">
        <v>43367</v>
      </c>
      <c r="O46" s="1197">
        <v>49330</v>
      </c>
      <c r="P46" s="1216">
        <v>52040</v>
      </c>
      <c r="Q46" s="1201">
        <v>55293</v>
      </c>
      <c r="R46" s="699">
        <f t="shared" si="5"/>
        <v>55293</v>
      </c>
      <c r="S46" s="1205">
        <v>47162</v>
      </c>
      <c r="T46" s="1206">
        <v>61256</v>
      </c>
      <c r="U46" s="1206">
        <v>69929</v>
      </c>
      <c r="V46" s="1206">
        <v>69929</v>
      </c>
      <c r="W46" s="702">
        <f t="shared" si="6"/>
        <v>69929</v>
      </c>
      <c r="X46" s="1193">
        <v>47162</v>
      </c>
      <c r="Y46" s="1197">
        <v>67761</v>
      </c>
      <c r="Z46" s="1197">
        <v>95407</v>
      </c>
      <c r="AA46" s="1197">
        <v>95407</v>
      </c>
      <c r="AB46" s="699">
        <f t="shared" si="7"/>
        <v>95407</v>
      </c>
      <c r="AC46" s="699">
        <f t="shared" si="8"/>
        <v>95407</v>
      </c>
      <c r="AD46" s="1205">
        <v>42283</v>
      </c>
      <c r="AE46" s="1206">
        <v>59088</v>
      </c>
      <c r="AF46" s="1206">
        <v>66135</v>
      </c>
      <c r="AG46" s="1206">
        <v>66135</v>
      </c>
      <c r="AH46" s="702">
        <f t="shared" si="9"/>
        <v>66135</v>
      </c>
      <c r="AI46" s="1193">
        <v>52040</v>
      </c>
      <c r="AJ46" s="1197">
        <v>81855</v>
      </c>
      <c r="AK46" s="1201">
        <v>85650</v>
      </c>
      <c r="AL46" s="699">
        <f t="shared" si="10"/>
        <v>85650</v>
      </c>
      <c r="AM46" s="1205">
        <v>61256</v>
      </c>
      <c r="AN46" s="1206">
        <v>81855</v>
      </c>
      <c r="AO46" s="1207">
        <v>85650</v>
      </c>
      <c r="AP46" s="702">
        <f t="shared" si="11"/>
        <v>85650</v>
      </c>
      <c r="AQ46" s="702">
        <f t="shared" si="12"/>
        <v>85650</v>
      </c>
      <c r="AR46" s="1193">
        <v>71013</v>
      </c>
      <c r="AS46" s="1197">
        <v>95407</v>
      </c>
      <c r="AT46" s="1201">
        <v>100286</v>
      </c>
      <c r="AU46" s="710">
        <f t="shared" si="13"/>
        <v>100286</v>
      </c>
      <c r="AW46" s="627">
        <v>2085</v>
      </c>
      <c r="AX46" s="628" t="s">
        <v>3989</v>
      </c>
      <c r="AY46" s="693" t="s">
        <v>152</v>
      </c>
      <c r="AZ46"/>
      <c r="BA46" s="196"/>
      <c r="BC46"/>
    </row>
    <row r="47" spans="1:55">
      <c r="A47" s="652" t="s">
        <v>2589</v>
      </c>
      <c r="B47" s="76">
        <v>31</v>
      </c>
      <c r="C47" s="1193">
        <v>50414</v>
      </c>
      <c r="D47" s="1197">
        <v>68845</v>
      </c>
      <c r="E47" s="1197">
        <v>69387</v>
      </c>
      <c r="F47" s="1201">
        <v>87276</v>
      </c>
      <c r="G47" s="699">
        <f t="shared" si="3"/>
        <v>87276</v>
      </c>
      <c r="H47" s="1205">
        <v>52582</v>
      </c>
      <c r="I47" s="1206">
        <v>72098</v>
      </c>
      <c r="J47" s="1206">
        <v>72640</v>
      </c>
      <c r="K47" s="1207">
        <v>91613</v>
      </c>
      <c r="L47" s="702">
        <f t="shared" si="4"/>
        <v>91613</v>
      </c>
      <c r="M47" s="1193">
        <v>72098</v>
      </c>
      <c r="N47" s="1197">
        <v>72098</v>
      </c>
      <c r="O47" s="1197">
        <v>72640</v>
      </c>
      <c r="P47" s="1216">
        <v>79145</v>
      </c>
      <c r="Q47" s="1201">
        <v>114380</v>
      </c>
      <c r="R47" s="699">
        <f t="shared" si="5"/>
        <v>114380</v>
      </c>
      <c r="S47" s="1205">
        <v>72640</v>
      </c>
      <c r="T47" s="1206">
        <v>91613</v>
      </c>
      <c r="U47" s="1206">
        <v>92697</v>
      </c>
      <c r="V47" s="1206">
        <v>92697</v>
      </c>
      <c r="W47" s="702">
        <f t="shared" si="6"/>
        <v>92697</v>
      </c>
      <c r="X47" s="1193">
        <v>69387</v>
      </c>
      <c r="Y47" s="1197">
        <v>79145</v>
      </c>
      <c r="Z47" s="1197">
        <v>125764</v>
      </c>
      <c r="AA47" s="1197">
        <v>125764</v>
      </c>
      <c r="AB47" s="699">
        <f t="shared" si="7"/>
        <v>125764</v>
      </c>
      <c r="AC47" s="699">
        <f t="shared" si="8"/>
        <v>125764</v>
      </c>
      <c r="AD47" s="1205">
        <v>62340</v>
      </c>
      <c r="AE47" s="1206">
        <v>72640</v>
      </c>
      <c r="AF47" s="1206">
        <v>87276</v>
      </c>
      <c r="AG47" s="1206">
        <v>87276</v>
      </c>
      <c r="AH47" s="702">
        <f t="shared" si="9"/>
        <v>87276</v>
      </c>
      <c r="AI47" s="1193">
        <v>74808</v>
      </c>
      <c r="AJ47" s="1197">
        <v>107875</v>
      </c>
      <c r="AK47" s="1201">
        <v>118175</v>
      </c>
      <c r="AL47" s="699">
        <f t="shared" si="10"/>
        <v>118175</v>
      </c>
      <c r="AM47" s="1205">
        <v>74808</v>
      </c>
      <c r="AN47" s="1206">
        <v>107875</v>
      </c>
      <c r="AO47" s="1207">
        <v>118175</v>
      </c>
      <c r="AP47" s="702">
        <f t="shared" si="11"/>
        <v>118175</v>
      </c>
      <c r="AQ47" s="702">
        <f t="shared" si="12"/>
        <v>118175</v>
      </c>
      <c r="AR47" s="1193">
        <v>87276</v>
      </c>
      <c r="AS47" s="1197">
        <v>125764</v>
      </c>
      <c r="AT47" s="1201">
        <v>138232</v>
      </c>
      <c r="AU47" s="710">
        <f t="shared" si="13"/>
        <v>138232</v>
      </c>
      <c r="AW47" s="627">
        <v>2086</v>
      </c>
      <c r="AX47" s="628" t="s">
        <v>3990</v>
      </c>
      <c r="AY47" s="693" t="s">
        <v>152</v>
      </c>
      <c r="AZ47"/>
      <c r="BA47" s="196"/>
      <c r="BC47"/>
    </row>
    <row r="48" spans="1:55" s="299" customFormat="1">
      <c r="A48" s="299" t="s">
        <v>60</v>
      </c>
      <c r="B48" s="299">
        <v>32</v>
      </c>
      <c r="C48" s="1194">
        <v>37404</v>
      </c>
      <c r="D48" s="1198">
        <v>47704</v>
      </c>
      <c r="E48" s="1198">
        <v>47162</v>
      </c>
      <c r="F48" s="1202">
        <v>69929</v>
      </c>
      <c r="G48" s="699">
        <f t="shared" si="3"/>
        <v>69929</v>
      </c>
      <c r="H48" s="1208">
        <v>39572</v>
      </c>
      <c r="I48" s="1209">
        <v>49872</v>
      </c>
      <c r="J48" s="1209">
        <v>42825</v>
      </c>
      <c r="K48" s="1210">
        <v>45535</v>
      </c>
      <c r="L48" s="702">
        <f t="shared" si="4"/>
        <v>49872</v>
      </c>
      <c r="M48" s="1194">
        <v>49872</v>
      </c>
      <c r="N48" s="1198">
        <v>49872</v>
      </c>
      <c r="O48" s="1198">
        <v>49330</v>
      </c>
      <c r="P48" s="1217">
        <v>63424</v>
      </c>
      <c r="Q48" s="1202">
        <v>71556</v>
      </c>
      <c r="R48" s="699">
        <f t="shared" si="5"/>
        <v>71556</v>
      </c>
      <c r="S48" s="1208">
        <v>49330</v>
      </c>
      <c r="T48" s="1209">
        <v>73724</v>
      </c>
      <c r="U48" s="1209">
        <v>82397</v>
      </c>
      <c r="V48" s="1220">
        <v>70471</v>
      </c>
      <c r="W48" s="702">
        <f t="shared" si="6"/>
        <v>82397</v>
      </c>
      <c r="X48" s="1194">
        <v>47162</v>
      </c>
      <c r="Y48" s="1198">
        <v>63424</v>
      </c>
      <c r="Z48" s="1198">
        <v>78603</v>
      </c>
      <c r="AA48" s="1198">
        <v>78603</v>
      </c>
      <c r="AB48" s="699">
        <f t="shared" si="7"/>
        <v>78603</v>
      </c>
      <c r="AC48" s="699">
        <f t="shared" si="8"/>
        <v>82397</v>
      </c>
      <c r="AD48" s="1208">
        <v>42283</v>
      </c>
      <c r="AE48" s="1209">
        <v>58545</v>
      </c>
      <c r="AF48" s="1209">
        <v>54751</v>
      </c>
      <c r="AG48" s="1209">
        <v>54751</v>
      </c>
      <c r="AH48" s="702">
        <f t="shared" si="9"/>
        <v>58545</v>
      </c>
      <c r="AI48" s="1194">
        <v>60172</v>
      </c>
      <c r="AJ48" s="1198">
        <v>67219</v>
      </c>
      <c r="AK48" s="1202">
        <v>74266</v>
      </c>
      <c r="AL48" s="699">
        <f t="shared" si="10"/>
        <v>74266</v>
      </c>
      <c r="AM48" s="1208">
        <v>60172</v>
      </c>
      <c r="AN48" s="1209">
        <v>67219</v>
      </c>
      <c r="AO48" s="1210">
        <v>74266</v>
      </c>
      <c r="AP48" s="702">
        <f t="shared" si="11"/>
        <v>74266</v>
      </c>
      <c r="AQ48" s="702">
        <f t="shared" si="12"/>
        <v>74266</v>
      </c>
      <c r="AR48" s="1194">
        <v>69929</v>
      </c>
      <c r="AS48" s="1198">
        <v>78603</v>
      </c>
      <c r="AT48" s="1202">
        <v>86734</v>
      </c>
      <c r="AU48" s="710">
        <f t="shared" si="13"/>
        <v>86734</v>
      </c>
      <c r="AW48" s="627">
        <v>2087</v>
      </c>
      <c r="AX48" s="628" t="s">
        <v>3986</v>
      </c>
      <c r="AY48" s="693" t="s">
        <v>152</v>
      </c>
      <c r="BA48" s="196"/>
    </row>
    <row r="49" spans="1:55" s="299" customFormat="1">
      <c r="A49" s="621" t="s">
        <v>1468</v>
      </c>
      <c r="B49" s="76">
        <v>33</v>
      </c>
      <c r="C49" s="1194">
        <v>47162</v>
      </c>
      <c r="D49" s="1198">
        <v>56919</v>
      </c>
      <c r="E49" s="1198">
        <v>56919</v>
      </c>
      <c r="F49" s="1202">
        <v>70471</v>
      </c>
      <c r="G49" s="699">
        <f t="shared" si="3"/>
        <v>70471</v>
      </c>
      <c r="H49" s="1208">
        <v>42825</v>
      </c>
      <c r="I49" s="1209">
        <v>37404</v>
      </c>
      <c r="J49" s="1209">
        <v>37404</v>
      </c>
      <c r="K49" s="1210">
        <v>46077</v>
      </c>
      <c r="L49" s="702">
        <f t="shared" si="4"/>
        <v>46077</v>
      </c>
      <c r="M49" s="1194">
        <v>41741</v>
      </c>
      <c r="N49" s="1198">
        <v>41741</v>
      </c>
      <c r="O49" s="1198">
        <v>41741</v>
      </c>
      <c r="P49" s="1217">
        <v>41199</v>
      </c>
      <c r="Q49" s="1202">
        <v>45535</v>
      </c>
      <c r="R49" s="699">
        <f t="shared" si="5"/>
        <v>45535</v>
      </c>
      <c r="S49" s="1208">
        <v>41741</v>
      </c>
      <c r="T49" s="1209">
        <v>46077</v>
      </c>
      <c r="U49" s="1209">
        <v>51498</v>
      </c>
      <c r="V49" s="1209">
        <v>51498</v>
      </c>
      <c r="W49" s="702">
        <f t="shared" si="6"/>
        <v>51498</v>
      </c>
      <c r="X49" s="1194">
        <v>56919</v>
      </c>
      <c r="Y49" s="1198">
        <v>63966</v>
      </c>
      <c r="Z49" s="1198">
        <v>78603</v>
      </c>
      <c r="AA49" s="1198">
        <v>78603</v>
      </c>
      <c r="AB49" s="699">
        <f t="shared" si="7"/>
        <v>78603</v>
      </c>
      <c r="AC49" s="699">
        <f t="shared" si="8"/>
        <v>78603</v>
      </c>
      <c r="AD49" s="1208">
        <v>51498</v>
      </c>
      <c r="AE49" s="1209">
        <v>58545</v>
      </c>
      <c r="AF49" s="1209">
        <v>54751</v>
      </c>
      <c r="AG49" s="1209">
        <v>54751</v>
      </c>
      <c r="AH49" s="702">
        <f t="shared" si="9"/>
        <v>58545</v>
      </c>
      <c r="AI49" s="1194">
        <v>57461</v>
      </c>
      <c r="AJ49" s="1198">
        <v>64508</v>
      </c>
      <c r="AK49" s="1202">
        <v>71013</v>
      </c>
      <c r="AL49" s="699">
        <f t="shared" si="10"/>
        <v>71013</v>
      </c>
      <c r="AM49" s="1208">
        <v>60714</v>
      </c>
      <c r="AN49" s="1209">
        <v>67761</v>
      </c>
      <c r="AO49" s="1210">
        <v>74266</v>
      </c>
      <c r="AP49" s="702">
        <f t="shared" si="11"/>
        <v>74266</v>
      </c>
      <c r="AQ49" s="702">
        <f t="shared" si="12"/>
        <v>74266</v>
      </c>
      <c r="AR49" s="1194">
        <v>70471</v>
      </c>
      <c r="AS49" s="1198">
        <v>78603</v>
      </c>
      <c r="AT49" s="1202">
        <v>86734</v>
      </c>
      <c r="AU49" s="710">
        <f t="shared" si="13"/>
        <v>86734</v>
      </c>
      <c r="AW49" s="627">
        <v>2089</v>
      </c>
      <c r="AX49" s="628" t="s">
        <v>3991</v>
      </c>
      <c r="AY49" s="693" t="s">
        <v>152</v>
      </c>
      <c r="BA49" s="196"/>
    </row>
    <row r="50" spans="1:55">
      <c r="A50" s="76" t="s">
        <v>61</v>
      </c>
      <c r="B50" s="299">
        <v>34</v>
      </c>
      <c r="C50" s="1193">
        <v>30899</v>
      </c>
      <c r="D50" s="1197">
        <v>43909</v>
      </c>
      <c r="E50" s="1197">
        <v>47704</v>
      </c>
      <c r="F50" s="1201">
        <v>67761</v>
      </c>
      <c r="G50" s="699">
        <f t="shared" si="3"/>
        <v>67761</v>
      </c>
      <c r="H50" s="1205">
        <v>32525</v>
      </c>
      <c r="I50" s="1206">
        <v>43909</v>
      </c>
      <c r="J50" s="1206">
        <v>47704</v>
      </c>
      <c r="K50" s="1207">
        <v>67761</v>
      </c>
      <c r="L50" s="702">
        <f t="shared" si="4"/>
        <v>67761</v>
      </c>
      <c r="M50" s="1193">
        <v>40114</v>
      </c>
      <c r="N50" s="1197">
        <v>40114</v>
      </c>
      <c r="O50" s="1197">
        <v>49872</v>
      </c>
      <c r="P50" s="1216">
        <v>67219</v>
      </c>
      <c r="Q50" s="1201">
        <v>85650</v>
      </c>
      <c r="R50" s="699">
        <f t="shared" si="5"/>
        <v>85650</v>
      </c>
      <c r="S50" s="1205">
        <v>49872</v>
      </c>
      <c r="T50" s="1206">
        <v>60714</v>
      </c>
      <c r="U50" s="1206">
        <v>62882</v>
      </c>
      <c r="V50" s="1206">
        <v>62882</v>
      </c>
      <c r="W50" s="702">
        <f t="shared" si="6"/>
        <v>62882</v>
      </c>
      <c r="X50" s="1193">
        <v>47162</v>
      </c>
      <c r="Y50" s="1197">
        <v>61256</v>
      </c>
      <c r="Z50" s="1197">
        <v>85650</v>
      </c>
      <c r="AA50" s="1197">
        <v>85650</v>
      </c>
      <c r="AB50" s="699">
        <f t="shared" si="7"/>
        <v>85650</v>
      </c>
      <c r="AC50" s="699">
        <f t="shared" si="8"/>
        <v>85650</v>
      </c>
      <c r="AD50" s="1205">
        <v>42825</v>
      </c>
      <c r="AE50" s="1206">
        <v>56377</v>
      </c>
      <c r="AF50" s="1206">
        <v>59630</v>
      </c>
      <c r="AG50" s="1206">
        <v>59630</v>
      </c>
      <c r="AH50" s="702">
        <f t="shared" si="9"/>
        <v>59630</v>
      </c>
      <c r="AI50" s="1193">
        <v>55293</v>
      </c>
      <c r="AJ50" s="1197">
        <v>69929</v>
      </c>
      <c r="AK50" s="1201">
        <v>76434</v>
      </c>
      <c r="AL50" s="699">
        <f t="shared" si="10"/>
        <v>76434</v>
      </c>
      <c r="AM50" s="1205">
        <v>58003</v>
      </c>
      <c r="AN50" s="1206">
        <v>73724</v>
      </c>
      <c r="AO50" s="1207">
        <v>80229</v>
      </c>
      <c r="AP50" s="702">
        <f t="shared" si="11"/>
        <v>80229</v>
      </c>
      <c r="AQ50" s="702">
        <f t="shared" si="12"/>
        <v>80229</v>
      </c>
      <c r="AR50" s="1193">
        <v>67761</v>
      </c>
      <c r="AS50" s="1197">
        <v>85650</v>
      </c>
      <c r="AT50" s="1201">
        <v>93239</v>
      </c>
      <c r="AU50" s="710">
        <f t="shared" si="13"/>
        <v>93239</v>
      </c>
      <c r="AW50" s="627">
        <v>2091</v>
      </c>
      <c r="AX50" s="628" t="s">
        <v>3993</v>
      </c>
      <c r="AY50" s="629" t="s">
        <v>402</v>
      </c>
      <c r="AZ50"/>
      <c r="BA50" s="196"/>
      <c r="BC50"/>
    </row>
    <row r="51" spans="1:55">
      <c r="A51" s="652" t="s">
        <v>4145</v>
      </c>
      <c r="B51" s="76">
        <v>35</v>
      </c>
      <c r="C51" s="1193">
        <v>30899</v>
      </c>
      <c r="D51" s="1197">
        <v>43909</v>
      </c>
      <c r="E51" s="1197">
        <v>52582</v>
      </c>
      <c r="F51" s="1201">
        <v>67761</v>
      </c>
      <c r="G51" s="699">
        <f t="shared" si="3"/>
        <v>67761</v>
      </c>
      <c r="H51" s="1205">
        <v>32525</v>
      </c>
      <c r="I51" s="1206">
        <v>46077</v>
      </c>
      <c r="J51" s="1206">
        <v>55293</v>
      </c>
      <c r="K51" s="1207">
        <v>71013</v>
      </c>
      <c r="L51" s="702">
        <f t="shared" si="4"/>
        <v>71013</v>
      </c>
      <c r="M51" s="1193">
        <v>46077</v>
      </c>
      <c r="N51" s="1197">
        <v>46077</v>
      </c>
      <c r="O51" s="1197">
        <v>55293</v>
      </c>
      <c r="P51" s="1216">
        <v>61256</v>
      </c>
      <c r="Q51" s="1201">
        <v>78061</v>
      </c>
      <c r="R51" s="699">
        <f t="shared" si="5"/>
        <v>78061</v>
      </c>
      <c r="S51" s="1205">
        <v>55293</v>
      </c>
      <c r="T51" s="1206">
        <v>67761</v>
      </c>
      <c r="U51" s="1206">
        <v>73724</v>
      </c>
      <c r="V51" s="1206">
        <v>73724</v>
      </c>
      <c r="W51" s="702">
        <f t="shared" si="6"/>
        <v>73724</v>
      </c>
      <c r="X51" s="1193">
        <v>52582</v>
      </c>
      <c r="Y51" s="1197">
        <v>61256</v>
      </c>
      <c r="Z51" s="1197">
        <v>85650</v>
      </c>
      <c r="AA51" s="1197">
        <v>85650</v>
      </c>
      <c r="AB51" s="699">
        <f t="shared" si="7"/>
        <v>85650</v>
      </c>
      <c r="AC51" s="699">
        <f t="shared" si="8"/>
        <v>85650</v>
      </c>
      <c r="AD51" s="1205">
        <v>47162</v>
      </c>
      <c r="AE51" s="1206">
        <v>56377</v>
      </c>
      <c r="AF51" s="1206">
        <v>59630</v>
      </c>
      <c r="AG51" s="1206">
        <v>59630</v>
      </c>
      <c r="AH51" s="702">
        <f t="shared" si="9"/>
        <v>59630</v>
      </c>
      <c r="AI51" s="1193">
        <v>58003</v>
      </c>
      <c r="AJ51" s="1197">
        <v>73724</v>
      </c>
      <c r="AK51" s="1201">
        <v>80229</v>
      </c>
      <c r="AL51" s="699">
        <f t="shared" si="10"/>
        <v>80229</v>
      </c>
      <c r="AM51" s="1205">
        <v>58003</v>
      </c>
      <c r="AN51" s="1206">
        <v>73724</v>
      </c>
      <c r="AO51" s="1207">
        <v>80229</v>
      </c>
      <c r="AP51" s="702">
        <f t="shared" si="11"/>
        <v>80229</v>
      </c>
      <c r="AQ51" s="702">
        <f t="shared" si="12"/>
        <v>80229</v>
      </c>
      <c r="AR51" s="1193">
        <v>67761</v>
      </c>
      <c r="AS51" s="1197">
        <v>85650</v>
      </c>
      <c r="AT51" s="1201">
        <v>93239</v>
      </c>
      <c r="AU51" s="710">
        <f t="shared" si="13"/>
        <v>93239</v>
      </c>
      <c r="AW51" s="627">
        <v>2092</v>
      </c>
      <c r="AX51" s="628" t="s">
        <v>3994</v>
      </c>
      <c r="AY51" s="693" t="s">
        <v>152</v>
      </c>
      <c r="AZ51"/>
      <c r="BA51" s="196"/>
      <c r="BC51"/>
    </row>
    <row r="52" spans="1:55" s="299" customFormat="1">
      <c r="A52" s="299" t="s">
        <v>62</v>
      </c>
      <c r="B52" s="299">
        <v>36</v>
      </c>
      <c r="C52" s="1194">
        <v>35236</v>
      </c>
      <c r="D52" s="1198">
        <v>46620</v>
      </c>
      <c r="E52" s="1198">
        <v>46077</v>
      </c>
      <c r="F52" s="1202">
        <v>73724</v>
      </c>
      <c r="G52" s="699">
        <f t="shared" si="3"/>
        <v>73724</v>
      </c>
      <c r="H52" s="1208">
        <v>37404</v>
      </c>
      <c r="I52" s="1209">
        <v>34152</v>
      </c>
      <c r="J52" s="1209">
        <v>41741</v>
      </c>
      <c r="K52" s="1210">
        <v>66677</v>
      </c>
      <c r="L52" s="702">
        <f t="shared" si="4"/>
        <v>66677</v>
      </c>
      <c r="M52" s="1194">
        <v>48788</v>
      </c>
      <c r="N52" s="1198">
        <v>48788</v>
      </c>
      <c r="O52" s="1198">
        <v>48246</v>
      </c>
      <c r="P52" s="1217">
        <v>54209</v>
      </c>
      <c r="Q52" s="1202">
        <v>64508</v>
      </c>
      <c r="R52" s="699">
        <f t="shared" si="5"/>
        <v>64508</v>
      </c>
      <c r="S52" s="1208">
        <v>43909</v>
      </c>
      <c r="T52" s="1209">
        <v>60172</v>
      </c>
      <c r="U52" s="1209">
        <v>64508</v>
      </c>
      <c r="V52" s="1209">
        <v>64508</v>
      </c>
      <c r="W52" s="702">
        <f t="shared" si="6"/>
        <v>64508</v>
      </c>
      <c r="X52" s="1194">
        <v>46077</v>
      </c>
      <c r="Y52" s="1198">
        <v>60172</v>
      </c>
      <c r="Z52" s="1198">
        <v>87276</v>
      </c>
      <c r="AA52" s="1198">
        <v>87276</v>
      </c>
      <c r="AB52" s="699">
        <f t="shared" si="7"/>
        <v>87276</v>
      </c>
      <c r="AC52" s="699">
        <f t="shared" si="8"/>
        <v>87276</v>
      </c>
      <c r="AD52" s="1208">
        <v>41741</v>
      </c>
      <c r="AE52" s="1209">
        <v>61256</v>
      </c>
      <c r="AF52" s="1209">
        <v>60714</v>
      </c>
      <c r="AG52" s="1209">
        <v>60714</v>
      </c>
      <c r="AH52" s="702">
        <f t="shared" si="9"/>
        <v>61256</v>
      </c>
      <c r="AI52" s="1194">
        <v>54209</v>
      </c>
      <c r="AJ52" s="1198">
        <v>71556</v>
      </c>
      <c r="AK52" s="1202">
        <v>74808</v>
      </c>
      <c r="AL52" s="699">
        <f t="shared" si="10"/>
        <v>74808</v>
      </c>
      <c r="AM52" s="1208">
        <v>62882</v>
      </c>
      <c r="AN52" s="1209">
        <v>74808</v>
      </c>
      <c r="AO52" s="1210">
        <v>78603</v>
      </c>
      <c r="AP52" s="702">
        <f t="shared" si="11"/>
        <v>78603</v>
      </c>
      <c r="AQ52" s="702">
        <f t="shared" si="12"/>
        <v>78603</v>
      </c>
      <c r="AR52" s="1194">
        <v>73724</v>
      </c>
      <c r="AS52" s="1198">
        <v>87276</v>
      </c>
      <c r="AT52" s="1202">
        <v>92613</v>
      </c>
      <c r="AU52" s="710">
        <f t="shared" si="13"/>
        <v>92613</v>
      </c>
      <c r="AW52" s="627">
        <v>2093</v>
      </c>
      <c r="AX52" s="628" t="s">
        <v>3995</v>
      </c>
      <c r="AY52" s="693" t="s">
        <v>152</v>
      </c>
      <c r="BA52" s="196"/>
    </row>
    <row r="53" spans="1:55" s="299" customFormat="1">
      <c r="A53" s="621" t="s">
        <v>419</v>
      </c>
      <c r="B53" s="76">
        <v>37</v>
      </c>
      <c r="C53" s="1194">
        <v>34694</v>
      </c>
      <c r="D53" s="1198">
        <v>47162</v>
      </c>
      <c r="E53" s="1198">
        <v>55835</v>
      </c>
      <c r="F53" s="1202">
        <v>78603</v>
      </c>
      <c r="G53" s="699">
        <f t="shared" si="3"/>
        <v>78603</v>
      </c>
      <c r="H53" s="1208">
        <v>36862</v>
      </c>
      <c r="I53" s="1209">
        <v>42825</v>
      </c>
      <c r="J53" s="1209">
        <v>50956</v>
      </c>
      <c r="K53" s="1210">
        <v>71556</v>
      </c>
      <c r="L53" s="702">
        <f t="shared" si="4"/>
        <v>71556</v>
      </c>
      <c r="M53" s="1194">
        <v>42825</v>
      </c>
      <c r="N53" s="1198">
        <v>42825</v>
      </c>
      <c r="O53" s="1198">
        <v>50956</v>
      </c>
      <c r="P53" s="1217">
        <v>58003</v>
      </c>
      <c r="Q53" s="1202">
        <v>64508</v>
      </c>
      <c r="R53" s="699">
        <f t="shared" si="5"/>
        <v>64508</v>
      </c>
      <c r="S53" s="1208">
        <v>50414</v>
      </c>
      <c r="T53" s="1209">
        <v>63966</v>
      </c>
      <c r="U53" s="1209">
        <v>71556</v>
      </c>
      <c r="V53" s="1209">
        <v>71556</v>
      </c>
      <c r="W53" s="702">
        <f t="shared" si="6"/>
        <v>71556</v>
      </c>
      <c r="X53" s="1194">
        <v>55835</v>
      </c>
      <c r="Y53" s="1198">
        <v>63966</v>
      </c>
      <c r="Z53" s="1198">
        <v>78603</v>
      </c>
      <c r="AA53" s="1198">
        <v>78603</v>
      </c>
      <c r="AB53" s="699">
        <f t="shared" si="7"/>
        <v>78603</v>
      </c>
      <c r="AC53" s="699">
        <f t="shared" si="8"/>
        <v>78603</v>
      </c>
      <c r="AD53" s="1208">
        <v>50414</v>
      </c>
      <c r="AE53" s="1209">
        <v>65593</v>
      </c>
      <c r="AF53" s="1209">
        <v>60714</v>
      </c>
      <c r="AG53" s="1209">
        <v>60714</v>
      </c>
      <c r="AH53" s="702">
        <f t="shared" si="9"/>
        <v>65593</v>
      </c>
      <c r="AI53" s="1194">
        <v>63966</v>
      </c>
      <c r="AJ53" s="1198">
        <v>74808</v>
      </c>
      <c r="AK53" s="1202">
        <v>78603</v>
      </c>
      <c r="AL53" s="699">
        <f t="shared" si="10"/>
        <v>78603</v>
      </c>
      <c r="AM53" s="1208">
        <v>67219</v>
      </c>
      <c r="AN53" s="1209">
        <v>74808</v>
      </c>
      <c r="AO53" s="1210">
        <v>78603</v>
      </c>
      <c r="AP53" s="702">
        <f t="shared" si="11"/>
        <v>78603</v>
      </c>
      <c r="AQ53" s="702">
        <f t="shared" si="12"/>
        <v>78603</v>
      </c>
      <c r="AR53" s="1194">
        <v>78603</v>
      </c>
      <c r="AS53" s="1198">
        <v>87276</v>
      </c>
      <c r="AT53" s="1202">
        <v>91613</v>
      </c>
      <c r="AU53" s="710">
        <f t="shared" si="13"/>
        <v>91613</v>
      </c>
      <c r="AW53" s="627">
        <v>2094</v>
      </c>
      <c r="AX53" s="628" t="s">
        <v>1087</v>
      </c>
      <c r="AY53" s="693" t="s">
        <v>152</v>
      </c>
      <c r="BA53" s="196"/>
    </row>
    <row r="54" spans="1:55">
      <c r="A54" s="76" t="s">
        <v>63</v>
      </c>
      <c r="B54" s="299">
        <v>38</v>
      </c>
      <c r="C54" s="1193">
        <v>42825</v>
      </c>
      <c r="D54" s="1197">
        <v>43909</v>
      </c>
      <c r="E54" s="1197">
        <v>43367</v>
      </c>
      <c r="F54" s="1201">
        <v>62340</v>
      </c>
      <c r="G54" s="699">
        <f t="shared" si="3"/>
        <v>62340</v>
      </c>
      <c r="H54" s="1205">
        <v>44993</v>
      </c>
      <c r="I54" s="1206">
        <v>45535</v>
      </c>
      <c r="J54" s="1206">
        <v>45535</v>
      </c>
      <c r="K54" s="1207">
        <v>65593</v>
      </c>
      <c r="L54" s="702">
        <f t="shared" si="4"/>
        <v>65593</v>
      </c>
      <c r="M54" s="1193">
        <v>45535</v>
      </c>
      <c r="N54" s="1197">
        <v>45535</v>
      </c>
      <c r="O54" s="1197">
        <v>45535</v>
      </c>
      <c r="P54" s="1216">
        <v>56919</v>
      </c>
      <c r="Q54" s="1201">
        <v>49872</v>
      </c>
      <c r="R54" s="699">
        <f t="shared" si="5"/>
        <v>56919</v>
      </c>
      <c r="S54" s="1205">
        <v>45535</v>
      </c>
      <c r="T54" s="1206">
        <v>62340</v>
      </c>
      <c r="U54" s="1206">
        <v>60714</v>
      </c>
      <c r="V54" s="1206">
        <v>60714</v>
      </c>
      <c r="W54" s="702">
        <f t="shared" si="6"/>
        <v>62340</v>
      </c>
      <c r="X54" s="1193">
        <v>43367</v>
      </c>
      <c r="Y54" s="1197">
        <v>56919</v>
      </c>
      <c r="Z54" s="1197">
        <v>67761</v>
      </c>
      <c r="AA54" s="1197">
        <v>67761</v>
      </c>
      <c r="AB54" s="699">
        <f t="shared" si="7"/>
        <v>67761</v>
      </c>
      <c r="AC54" s="699">
        <f t="shared" si="8"/>
        <v>67761</v>
      </c>
      <c r="AD54" s="1205">
        <v>39030</v>
      </c>
      <c r="AE54" s="1206">
        <v>52040</v>
      </c>
      <c r="AF54" s="1206">
        <v>47162</v>
      </c>
      <c r="AG54" s="1206">
        <v>47162</v>
      </c>
      <c r="AH54" s="702">
        <f t="shared" si="9"/>
        <v>52040</v>
      </c>
      <c r="AI54" s="1193">
        <v>53667</v>
      </c>
      <c r="AJ54" s="1197">
        <v>58003</v>
      </c>
      <c r="AK54" s="1201">
        <v>63966</v>
      </c>
      <c r="AL54" s="699">
        <f t="shared" si="10"/>
        <v>63966</v>
      </c>
      <c r="AM54" s="1205">
        <v>53667</v>
      </c>
      <c r="AN54" s="1206">
        <v>58003</v>
      </c>
      <c r="AO54" s="1207">
        <v>63966</v>
      </c>
      <c r="AP54" s="702">
        <f t="shared" si="11"/>
        <v>63966</v>
      </c>
      <c r="AQ54" s="702">
        <f t="shared" si="12"/>
        <v>63966</v>
      </c>
      <c r="AR54" s="1193">
        <v>62340</v>
      </c>
      <c r="AS54" s="1197">
        <v>67761</v>
      </c>
      <c r="AT54" s="1201">
        <v>74266</v>
      </c>
      <c r="AU54" s="710">
        <f t="shared" si="13"/>
        <v>74266</v>
      </c>
      <c r="AW54" s="627">
        <v>2094</v>
      </c>
      <c r="AX54" s="628" t="s">
        <v>3992</v>
      </c>
      <c r="AY54" s="693" t="s">
        <v>152</v>
      </c>
      <c r="AZ54"/>
      <c r="BA54" s="196"/>
      <c r="BC54"/>
    </row>
    <row r="55" spans="1:55" ht="13.5" thickBot="1">
      <c r="A55" s="652" t="s">
        <v>64</v>
      </c>
      <c r="B55" s="76">
        <v>39</v>
      </c>
      <c r="C55" s="1196">
        <v>42825</v>
      </c>
      <c r="D55" s="1200">
        <v>47704</v>
      </c>
      <c r="E55" s="1200">
        <v>47704</v>
      </c>
      <c r="F55" s="1204">
        <v>68303</v>
      </c>
      <c r="G55" s="699">
        <f t="shared" si="3"/>
        <v>68303</v>
      </c>
      <c r="H55" s="1213">
        <v>44993</v>
      </c>
      <c r="I55" s="1214">
        <v>43367</v>
      </c>
      <c r="J55" s="1214">
        <v>43367</v>
      </c>
      <c r="K55" s="1215">
        <v>61798</v>
      </c>
      <c r="L55" s="702">
        <f t="shared" si="4"/>
        <v>61798</v>
      </c>
      <c r="M55" s="1196">
        <v>43367</v>
      </c>
      <c r="N55" s="1200">
        <v>43367</v>
      </c>
      <c r="O55" s="1200">
        <v>43367</v>
      </c>
      <c r="P55" s="1219">
        <v>61798</v>
      </c>
      <c r="Q55" s="1204">
        <v>67761</v>
      </c>
      <c r="R55" s="699">
        <f t="shared" si="5"/>
        <v>67761</v>
      </c>
      <c r="S55" s="1213">
        <v>49872</v>
      </c>
      <c r="T55" s="1214">
        <v>71556</v>
      </c>
      <c r="U55" s="1214">
        <v>67761</v>
      </c>
      <c r="V55" s="1214">
        <v>67761</v>
      </c>
      <c r="W55" s="702">
        <f t="shared" si="6"/>
        <v>71556</v>
      </c>
      <c r="X55" s="1196">
        <v>47704</v>
      </c>
      <c r="Y55" s="1200">
        <v>61798</v>
      </c>
      <c r="Z55" s="1200">
        <v>74266</v>
      </c>
      <c r="AA55" s="1200">
        <v>74266</v>
      </c>
      <c r="AB55" s="699">
        <f t="shared" si="7"/>
        <v>74266</v>
      </c>
      <c r="AC55" s="699">
        <f t="shared" si="8"/>
        <v>74266</v>
      </c>
      <c r="AD55" s="1213">
        <v>42825</v>
      </c>
      <c r="AE55" s="1214">
        <v>56919</v>
      </c>
      <c r="AF55" s="1214">
        <v>52040</v>
      </c>
      <c r="AG55" s="1214">
        <v>52040</v>
      </c>
      <c r="AH55" s="702">
        <f t="shared" si="9"/>
        <v>56919</v>
      </c>
      <c r="AI55" s="1196">
        <v>55835</v>
      </c>
      <c r="AJ55" s="1200">
        <v>63966</v>
      </c>
      <c r="AK55" s="1204">
        <v>78061</v>
      </c>
      <c r="AL55" s="699">
        <f t="shared" si="10"/>
        <v>78061</v>
      </c>
      <c r="AM55" s="1213">
        <v>58545</v>
      </c>
      <c r="AN55" s="1214">
        <v>63966</v>
      </c>
      <c r="AO55" s="1215">
        <v>78061</v>
      </c>
      <c r="AP55" s="702">
        <f t="shared" si="11"/>
        <v>78061</v>
      </c>
      <c r="AQ55" s="702">
        <f t="shared" si="12"/>
        <v>78061</v>
      </c>
      <c r="AR55" s="1196">
        <v>68303</v>
      </c>
      <c r="AS55" s="1200">
        <v>74808</v>
      </c>
      <c r="AT55" s="1204">
        <v>91071</v>
      </c>
      <c r="AU55" s="710">
        <f t="shared" si="13"/>
        <v>91071</v>
      </c>
      <c r="AW55" s="627">
        <v>2095</v>
      </c>
      <c r="AX55" s="628" t="s">
        <v>3997</v>
      </c>
      <c r="AY55" s="693" t="s">
        <v>152</v>
      </c>
      <c r="AZ55"/>
      <c r="BA55" s="196"/>
      <c r="BC55"/>
    </row>
    <row r="56" spans="1:55" s="76" customFormat="1" ht="13.5" thickBot="1">
      <c r="R56" s="76">
        <v>1</v>
      </c>
      <c r="S56" s="798">
        <v>2</v>
      </c>
      <c r="T56" s="76">
        <v>3</v>
      </c>
      <c r="U56" s="798">
        <v>4</v>
      </c>
      <c r="V56" s="76">
        <v>5</v>
      </c>
      <c r="W56" s="798">
        <v>6</v>
      </c>
      <c r="X56" s="76">
        <v>7</v>
      </c>
      <c r="Y56" s="798">
        <v>8</v>
      </c>
      <c r="Z56" s="76">
        <v>9</v>
      </c>
      <c r="AW56" s="627">
        <v>2096</v>
      </c>
      <c r="AX56" s="628" t="s">
        <v>3998</v>
      </c>
      <c r="AY56" s="693" t="s">
        <v>152</v>
      </c>
      <c r="BA56" s="196"/>
    </row>
    <row r="57" spans="1:55" s="76" customFormat="1">
      <c r="B57" s="272" t="s">
        <v>3824</v>
      </c>
      <c r="C57" s="653" t="s">
        <v>3817</v>
      </c>
      <c r="D57" s="734" t="s">
        <v>3818</v>
      </c>
      <c r="E57" s="735"/>
      <c r="F57" s="736"/>
      <c r="G57" s="686"/>
      <c r="H57" s="3408" t="s">
        <v>3822</v>
      </c>
      <c r="I57" s="3409"/>
      <c r="J57" s="272"/>
      <c r="L57" s="3410" t="s">
        <v>3105</v>
      </c>
      <c r="M57" s="3411"/>
      <c r="N57" s="3412"/>
      <c r="Q57" s="76" t="s">
        <v>3120</v>
      </c>
      <c r="R57" s="272" t="s">
        <v>3824</v>
      </c>
      <c r="S57" s="653" t="s">
        <v>3817</v>
      </c>
      <c r="T57" s="734" t="s">
        <v>3818</v>
      </c>
      <c r="U57" s="735"/>
      <c r="V57" s="736"/>
      <c r="W57" s="686"/>
      <c r="X57" s="3408" t="s">
        <v>3822</v>
      </c>
      <c r="Y57" s="3409"/>
      <c r="Z57" s="272"/>
      <c r="AB57" s="251" t="s">
        <v>174</v>
      </c>
      <c r="AW57" s="627">
        <v>2097</v>
      </c>
      <c r="AX57" s="628" t="s">
        <v>3999</v>
      </c>
      <c r="AY57" s="693" t="s">
        <v>152</v>
      </c>
      <c r="BA57" s="196"/>
    </row>
    <row r="58" spans="1:55" s="76" customFormat="1" ht="26.25" thickBot="1">
      <c r="A58" s="652" t="s">
        <v>3816</v>
      </c>
      <c r="B58" s="272" t="s">
        <v>3825</v>
      </c>
      <c r="C58" s="680"/>
      <c r="D58" s="681" t="s">
        <v>3819</v>
      </c>
      <c r="E58" s="681" t="s">
        <v>3820</v>
      </c>
      <c r="F58" s="681" t="s">
        <v>3821</v>
      </c>
      <c r="G58" s="681" t="s">
        <v>159</v>
      </c>
      <c r="H58" s="682" t="s">
        <v>3823</v>
      </c>
      <c r="I58" s="683" t="s">
        <v>3821</v>
      </c>
      <c r="J58" s="724" t="s">
        <v>159</v>
      </c>
      <c r="L58" s="779" t="s">
        <v>3819</v>
      </c>
      <c r="M58" s="682" t="s">
        <v>3820</v>
      </c>
      <c r="N58" s="780" t="s">
        <v>3821</v>
      </c>
      <c r="Q58" s="652" t="s">
        <v>3816</v>
      </c>
      <c r="R58" s="272" t="s">
        <v>3825</v>
      </c>
      <c r="S58" s="680"/>
      <c r="T58" s="681" t="s">
        <v>3819</v>
      </c>
      <c r="U58" s="681" t="s">
        <v>3820</v>
      </c>
      <c r="V58" s="681" t="s">
        <v>3821</v>
      </c>
      <c r="W58" s="681" t="s">
        <v>159</v>
      </c>
      <c r="X58" s="682" t="s">
        <v>3823</v>
      </c>
      <c r="Y58" s="683" t="s">
        <v>3821</v>
      </c>
      <c r="Z58" s="724" t="s">
        <v>159</v>
      </c>
      <c r="AB58" s="3410" t="s">
        <v>3105</v>
      </c>
      <c r="AC58" s="3411"/>
      <c r="AD58" s="3412"/>
      <c r="AE58" s="796" t="s">
        <v>4846</v>
      </c>
      <c r="AW58" s="627">
        <v>2098</v>
      </c>
      <c r="AX58" s="628" t="s">
        <v>4000</v>
      </c>
      <c r="AY58" s="693" t="s">
        <v>152</v>
      </c>
      <c r="BA58" s="196"/>
    </row>
    <row r="59" spans="1:55" ht="13.5" thickBot="1">
      <c r="A59" s="76" t="s">
        <v>4941</v>
      </c>
      <c r="B59" s="76">
        <v>1</v>
      </c>
      <c r="C59" s="1222">
        <v>62589</v>
      </c>
      <c r="D59" s="1612">
        <v>110070</v>
      </c>
      <c r="E59" s="1223">
        <v>144601</v>
      </c>
      <c r="F59" s="1224">
        <v>180572</v>
      </c>
      <c r="G59" s="723">
        <f t="shared" ref="G59:G97" si="14">MAX($F59,$E59,$D59)</f>
        <v>180572</v>
      </c>
      <c r="H59" s="1222">
        <v>137407</v>
      </c>
      <c r="I59" s="1225">
        <v>171939</v>
      </c>
      <c r="J59" s="390">
        <f>MAX(H59,I59)</f>
        <v>171939</v>
      </c>
      <c r="L59" s="781"/>
      <c r="M59" s="269"/>
      <c r="N59" s="782"/>
      <c r="Q59" s="76" t="s">
        <v>4941</v>
      </c>
      <c r="R59" s="76">
        <v>1</v>
      </c>
      <c r="S59" s="678"/>
      <c r="T59" s="679">
        <f>D59-$G59</f>
        <v>-70502</v>
      </c>
      <c r="U59" s="679">
        <f>E59-$G59</f>
        <v>-35971</v>
      </c>
      <c r="V59" s="679">
        <f>F59-$G59</f>
        <v>0</v>
      </c>
      <c r="W59" s="723"/>
      <c r="X59" s="678">
        <f>H59-$J59</f>
        <v>-34532</v>
      </c>
      <c r="Y59" s="678">
        <f>I59-$J59</f>
        <v>0</v>
      </c>
      <c r="Z59" s="390"/>
      <c r="AB59" s="779" t="s">
        <v>3819</v>
      </c>
      <c r="AC59" s="682" t="s">
        <v>3820</v>
      </c>
      <c r="AD59" s="780" t="s">
        <v>3821</v>
      </c>
      <c r="AW59" s="627">
        <v>2099</v>
      </c>
      <c r="AX59" s="628" t="s">
        <v>4000</v>
      </c>
      <c r="AY59" s="693" t="s">
        <v>152</v>
      </c>
      <c r="AZ59"/>
      <c r="BA59" s="196"/>
      <c r="BC59"/>
    </row>
    <row r="60" spans="1:55">
      <c r="A60" s="299" t="s">
        <v>4942</v>
      </c>
      <c r="B60" s="299">
        <v>2</v>
      </c>
      <c r="C60" s="1194">
        <v>57553</v>
      </c>
      <c r="D60" s="1613">
        <v>102876</v>
      </c>
      <c r="E60" s="1209">
        <v>146760</v>
      </c>
      <c r="F60" s="1210">
        <v>163306</v>
      </c>
      <c r="G60" s="723">
        <f t="shared" si="14"/>
        <v>163306</v>
      </c>
      <c r="H60" s="1194">
        <v>124458</v>
      </c>
      <c r="I60" s="1198">
        <v>171939</v>
      </c>
      <c r="J60" s="390">
        <f t="shared" ref="J60:J97" si="15">MAX(H60,I60)</f>
        <v>171939</v>
      </c>
      <c r="L60" s="781"/>
      <c r="M60" s="269"/>
      <c r="N60" s="782"/>
      <c r="Q60" s="299" t="s">
        <v>4942</v>
      </c>
      <c r="R60" s="299">
        <v>2</v>
      </c>
      <c r="S60" s="659"/>
      <c r="T60" s="679">
        <f t="shared" ref="T60:T97" si="16">D60-$G60</f>
        <v>-60430</v>
      </c>
      <c r="U60" s="679">
        <f t="shared" ref="U60:U97" si="17">E60-$G60</f>
        <v>-16546</v>
      </c>
      <c r="V60" s="679">
        <f t="shared" ref="V60:V97" si="18">F60-$G60</f>
        <v>0</v>
      </c>
      <c r="W60" s="723"/>
      <c r="X60" s="678">
        <f t="shared" ref="X60:X97" si="19">H60-$J60</f>
        <v>-47481</v>
      </c>
      <c r="Y60" s="678">
        <f t="shared" ref="Y60:Y97" si="20">I60-$J60</f>
        <v>0</v>
      </c>
      <c r="Z60" s="390"/>
      <c r="AB60" s="781"/>
      <c r="AC60" s="269"/>
      <c r="AD60" s="782"/>
      <c r="AW60" s="627">
        <v>2100</v>
      </c>
      <c r="AX60" s="628" t="s">
        <v>4002</v>
      </c>
      <c r="AY60" s="693" t="s">
        <v>152</v>
      </c>
      <c r="AZ60"/>
      <c r="BA60" s="196"/>
      <c r="BC60"/>
    </row>
    <row r="61" spans="1:55" ht="13.5" thickBot="1">
      <c r="A61" s="228" t="s">
        <v>401</v>
      </c>
      <c r="B61" s="76">
        <v>3</v>
      </c>
      <c r="C61" s="1195">
        <v>79855</v>
      </c>
      <c r="D61" s="1614">
        <v>118703</v>
      </c>
      <c r="E61" s="1211">
        <v>164026</v>
      </c>
      <c r="F61" s="1212">
        <v>192802</v>
      </c>
      <c r="G61" s="723">
        <f t="shared" si="14"/>
        <v>192802</v>
      </c>
      <c r="H61" s="1195">
        <v>146760</v>
      </c>
      <c r="I61" s="1199">
        <v>210787</v>
      </c>
      <c r="J61" s="390">
        <f t="shared" si="15"/>
        <v>210787</v>
      </c>
      <c r="L61" s="783">
        <f>NDK!G$21</f>
        <v>0</v>
      </c>
      <c r="M61" s="783">
        <f>NDK!H$21</f>
        <v>0</v>
      </c>
      <c r="N61" s="783">
        <f>NDK!I$21</f>
        <v>0</v>
      </c>
      <c r="Q61" s="228" t="s">
        <v>401</v>
      </c>
      <c r="R61" s="76">
        <v>3</v>
      </c>
      <c r="S61" s="660"/>
      <c r="T61" s="679">
        <f t="shared" si="16"/>
        <v>-74099</v>
      </c>
      <c r="U61" s="679">
        <f t="shared" si="17"/>
        <v>-28776</v>
      </c>
      <c r="V61" s="679">
        <f t="shared" si="18"/>
        <v>0</v>
      </c>
      <c r="W61" s="723"/>
      <c r="X61" s="678">
        <f t="shared" si="19"/>
        <v>-64027</v>
      </c>
      <c r="Y61" s="678">
        <f t="shared" si="20"/>
        <v>0</v>
      </c>
      <c r="Z61" s="390"/>
      <c r="AB61" s="781"/>
      <c r="AC61" s="269"/>
      <c r="AD61" s="782"/>
      <c r="AW61" s="635">
        <v>2102</v>
      </c>
      <c r="AX61" s="694" t="s">
        <v>4002</v>
      </c>
      <c r="AY61" s="693" t="s">
        <v>152</v>
      </c>
      <c r="AZ61"/>
      <c r="BA61" s="196"/>
      <c r="BC61"/>
    </row>
    <row r="62" spans="1:55" ht="14.25" thickTop="1" thickBot="1">
      <c r="A62" s="647" t="s">
        <v>4943</v>
      </c>
      <c r="B62" s="299">
        <v>4</v>
      </c>
      <c r="C62" s="1194">
        <v>66186</v>
      </c>
      <c r="D62" s="1613">
        <v>127336</v>
      </c>
      <c r="E62" s="1209">
        <v>145321</v>
      </c>
      <c r="F62" s="1210">
        <v>171220</v>
      </c>
      <c r="G62" s="723">
        <f t="shared" si="14"/>
        <v>171220</v>
      </c>
      <c r="H62" s="1194">
        <v>130213</v>
      </c>
      <c r="I62" s="1198">
        <v>174097</v>
      </c>
      <c r="J62" s="390">
        <f t="shared" si="15"/>
        <v>174097</v>
      </c>
      <c r="Q62" s="647" t="s">
        <v>4943</v>
      </c>
      <c r="R62" s="299">
        <v>4</v>
      </c>
      <c r="S62" s="659"/>
      <c r="T62" s="679">
        <f t="shared" si="16"/>
        <v>-43884</v>
      </c>
      <c r="U62" s="679">
        <f t="shared" si="17"/>
        <v>-25899</v>
      </c>
      <c r="V62" s="679">
        <f t="shared" si="18"/>
        <v>0</v>
      </c>
      <c r="W62" s="723"/>
      <c r="X62" s="678">
        <f t="shared" si="19"/>
        <v>-43884</v>
      </c>
      <c r="Y62" s="678">
        <f t="shared" si="20"/>
        <v>0</v>
      </c>
      <c r="Z62" s="390"/>
      <c r="AB62" s="783">
        <f>L61*VLOOKUP($AT$7,$R$59:$Z$97,3)</f>
        <v>0</v>
      </c>
      <c r="AC62" s="783">
        <f>M61*VLOOKUP($AT$7,$R$59:$Z$97,4)</f>
        <v>0</v>
      </c>
      <c r="AD62" s="783">
        <f>N61*VLOOKUP($AT$7,$R$59:$Z$97,5)</f>
        <v>0</v>
      </c>
      <c r="AE62">
        <f>AB62+AC62+AD62</f>
        <v>0</v>
      </c>
      <c r="AW62" s="627">
        <v>2111</v>
      </c>
      <c r="AX62" s="630" t="s">
        <v>4003</v>
      </c>
      <c r="AY62" s="693" t="s">
        <v>152</v>
      </c>
      <c r="AZ62"/>
      <c r="BA62" s="196"/>
      <c r="BC62"/>
    </row>
    <row r="63" spans="1:55" ht="13.5" thickTop="1">
      <c r="A63" s="648" t="s">
        <v>3312</v>
      </c>
      <c r="B63" s="76">
        <v>5</v>
      </c>
      <c r="C63" s="1194">
        <v>55395</v>
      </c>
      <c r="D63" s="1613">
        <v>135969</v>
      </c>
      <c r="E63" s="1209">
        <v>159709</v>
      </c>
      <c r="F63" s="1210">
        <v>199996</v>
      </c>
      <c r="G63" s="723">
        <f t="shared" si="14"/>
        <v>199996</v>
      </c>
      <c r="H63" s="1194">
        <v>152515</v>
      </c>
      <c r="I63" s="1198">
        <v>208629</v>
      </c>
      <c r="J63" s="390">
        <f t="shared" si="15"/>
        <v>208629</v>
      </c>
      <c r="L63" s="784" t="s">
        <v>3106</v>
      </c>
      <c r="M63" s="785"/>
      <c r="N63" s="785"/>
      <c r="O63" s="795"/>
      <c r="Q63" s="648" t="s">
        <v>3312</v>
      </c>
      <c r="R63" s="76">
        <v>5</v>
      </c>
      <c r="S63" s="659"/>
      <c r="T63" s="679">
        <f t="shared" si="16"/>
        <v>-64027</v>
      </c>
      <c r="U63" s="679">
        <f t="shared" si="17"/>
        <v>-40287</v>
      </c>
      <c r="V63" s="679">
        <f t="shared" si="18"/>
        <v>0</v>
      </c>
      <c r="W63" s="723"/>
      <c r="X63" s="678">
        <f t="shared" si="19"/>
        <v>-56114</v>
      </c>
      <c r="Y63" s="678">
        <f t="shared" si="20"/>
        <v>0</v>
      </c>
      <c r="Z63" s="390"/>
      <c r="AE63" t="s">
        <v>4847</v>
      </c>
      <c r="AW63" s="627">
        <v>2112</v>
      </c>
      <c r="AX63" s="628" t="s">
        <v>4004</v>
      </c>
      <c r="AY63" s="693" t="s">
        <v>152</v>
      </c>
      <c r="AZ63"/>
      <c r="BA63" s="196"/>
      <c r="BC63"/>
    </row>
    <row r="64" spans="1:55">
      <c r="A64" s="231" t="s">
        <v>4944</v>
      </c>
      <c r="B64" s="299">
        <v>6</v>
      </c>
      <c r="C64" s="1195">
        <v>62589</v>
      </c>
      <c r="D64" s="1614">
        <v>110789</v>
      </c>
      <c r="E64" s="1211">
        <v>153954</v>
      </c>
      <c r="F64" s="1212">
        <v>192802</v>
      </c>
      <c r="G64" s="723">
        <f t="shared" si="14"/>
        <v>192802</v>
      </c>
      <c r="H64" s="1195">
        <v>146760</v>
      </c>
      <c r="I64" s="1199">
        <v>206471</v>
      </c>
      <c r="J64" s="390">
        <f t="shared" si="15"/>
        <v>206471</v>
      </c>
      <c r="L64" s="786">
        <f>NDK!$B$18*VLOOKUP(AT7,B59:J97,2)</f>
        <v>0</v>
      </c>
      <c r="M64" s="1618" t="s">
        <v>2374</v>
      </c>
      <c r="N64" s="72">
        <v>1</v>
      </c>
      <c r="O64" s="787" t="s">
        <v>3112</v>
      </c>
      <c r="Q64" s="231" t="s">
        <v>4944</v>
      </c>
      <c r="R64" s="299">
        <v>6</v>
      </c>
      <c r="S64" s="660"/>
      <c r="T64" s="679">
        <f t="shared" si="16"/>
        <v>-82013</v>
      </c>
      <c r="U64" s="679">
        <f t="shared" si="17"/>
        <v>-38848</v>
      </c>
      <c r="V64" s="679">
        <f t="shared" si="18"/>
        <v>0</v>
      </c>
      <c r="W64" s="723"/>
      <c r="X64" s="678">
        <f t="shared" si="19"/>
        <v>-59711</v>
      </c>
      <c r="Y64" s="678">
        <f t="shared" si="20"/>
        <v>0</v>
      </c>
      <c r="Z64" s="390"/>
      <c r="AE64" t="s">
        <v>4848</v>
      </c>
      <c r="AW64" s="627">
        <v>2113</v>
      </c>
      <c r="AX64" s="628" t="s">
        <v>4005</v>
      </c>
      <c r="AY64" s="693" t="s">
        <v>152</v>
      </c>
      <c r="AZ64"/>
      <c r="BA64" s="196"/>
      <c r="BC64"/>
    </row>
    <row r="65" spans="1:55" ht="13.5" thickBot="1">
      <c r="A65" s="228" t="s">
        <v>377</v>
      </c>
      <c r="B65" s="76">
        <v>7</v>
      </c>
      <c r="C65" s="1195">
        <v>64747</v>
      </c>
      <c r="D65" s="1614">
        <v>165464</v>
      </c>
      <c r="E65" s="1211">
        <v>154673</v>
      </c>
      <c r="F65" s="1212">
        <v>193521</v>
      </c>
      <c r="G65" s="723">
        <f t="shared" si="14"/>
        <v>193521</v>
      </c>
      <c r="H65" s="1195">
        <v>147479</v>
      </c>
      <c r="I65" s="1199">
        <v>210068</v>
      </c>
      <c r="J65" s="390">
        <f t="shared" si="15"/>
        <v>210068</v>
      </c>
      <c r="L65" s="760" t="s">
        <v>3110</v>
      </c>
      <c r="M65" s="643">
        <f>L64*N64*I10</f>
        <v>0</v>
      </c>
      <c r="N65" s="643" t="s">
        <v>3111</v>
      </c>
      <c r="O65" s="788">
        <f>ROUND(M65/366,0)*366</f>
        <v>0</v>
      </c>
      <c r="Q65" s="228" t="s">
        <v>377</v>
      </c>
      <c r="R65" s="76">
        <v>7</v>
      </c>
      <c r="S65" s="660"/>
      <c r="T65" s="679">
        <f t="shared" si="16"/>
        <v>-28057</v>
      </c>
      <c r="U65" s="679">
        <f t="shared" si="17"/>
        <v>-38848</v>
      </c>
      <c r="V65" s="679">
        <f t="shared" si="18"/>
        <v>0</v>
      </c>
      <c r="W65" s="723"/>
      <c r="X65" s="678">
        <f t="shared" si="19"/>
        <v>-62589</v>
      </c>
      <c r="Y65" s="678">
        <f t="shared" si="20"/>
        <v>0</v>
      </c>
      <c r="Z65" s="390"/>
      <c r="AE65" t="s">
        <v>4849</v>
      </c>
      <c r="AF65">
        <f>AE62*$I$10*$N$69</f>
        <v>0</v>
      </c>
      <c r="AW65" s="627">
        <v>2114</v>
      </c>
      <c r="AX65" s="628" t="s">
        <v>4006</v>
      </c>
      <c r="AY65" s="693" t="s">
        <v>152</v>
      </c>
      <c r="AZ65"/>
      <c r="BA65" s="196"/>
      <c r="BC65"/>
    </row>
    <row r="66" spans="1:55" ht="13.5" thickTop="1">
      <c r="A66" s="649" t="s">
        <v>4945</v>
      </c>
      <c r="B66" s="299">
        <v>8</v>
      </c>
      <c r="C66" s="1194">
        <v>59711</v>
      </c>
      <c r="D66" s="1613">
        <v>106473</v>
      </c>
      <c r="E66" s="1209">
        <v>111509</v>
      </c>
      <c r="F66" s="1210">
        <v>139566</v>
      </c>
      <c r="G66" s="723">
        <f t="shared" si="14"/>
        <v>139566</v>
      </c>
      <c r="H66" s="1194">
        <v>106473</v>
      </c>
      <c r="I66" s="1198">
        <v>163306</v>
      </c>
      <c r="J66" s="390">
        <f t="shared" si="15"/>
        <v>163306</v>
      </c>
      <c r="L66" s="784" t="s">
        <v>3107</v>
      </c>
      <c r="M66" s="785"/>
      <c r="N66" s="785"/>
      <c r="O66" s="757"/>
      <c r="Q66" s="649" t="s">
        <v>4945</v>
      </c>
      <c r="R66" s="299">
        <v>8</v>
      </c>
      <c r="S66" s="659"/>
      <c r="T66" s="679">
        <f t="shared" si="16"/>
        <v>-33093</v>
      </c>
      <c r="U66" s="679">
        <f t="shared" si="17"/>
        <v>-28057</v>
      </c>
      <c r="V66" s="679">
        <f t="shared" si="18"/>
        <v>0</v>
      </c>
      <c r="W66" s="723"/>
      <c r="X66" s="678">
        <f t="shared" si="19"/>
        <v>-56833</v>
      </c>
      <c r="Y66" s="678">
        <f t="shared" si="20"/>
        <v>0</v>
      </c>
      <c r="Z66" s="390"/>
      <c r="AC66" s="797" t="s">
        <v>4851</v>
      </c>
      <c r="AD66" s="251" t="s">
        <v>4850</v>
      </c>
      <c r="AE66" s="251"/>
      <c r="AF66" s="529">
        <f>ROUND(AF65/366,0)*366</f>
        <v>0</v>
      </c>
      <c r="AW66" s="627">
        <v>2115</v>
      </c>
      <c r="AX66" s="628" t="s">
        <v>4007</v>
      </c>
      <c r="AY66" s="693" t="s">
        <v>152</v>
      </c>
      <c r="AZ66"/>
      <c r="BA66" s="196"/>
      <c r="BC66"/>
    </row>
    <row r="67" spans="1:55">
      <c r="A67" s="648" t="s">
        <v>716</v>
      </c>
      <c r="B67" s="76">
        <v>9</v>
      </c>
      <c r="C67" s="1194">
        <v>59711</v>
      </c>
      <c r="D67" s="1613">
        <v>110070</v>
      </c>
      <c r="E67" s="1209">
        <v>129494</v>
      </c>
      <c r="F67" s="1210">
        <v>161867</v>
      </c>
      <c r="G67" s="723">
        <f t="shared" si="14"/>
        <v>161867</v>
      </c>
      <c r="H67" s="1194">
        <v>123019</v>
      </c>
      <c r="I67" s="1198">
        <v>178414</v>
      </c>
      <c r="J67" s="390">
        <f t="shared" si="15"/>
        <v>178414</v>
      </c>
      <c r="L67" s="758">
        <f>NDK!$B$21*VLOOKUP(AT7,B59:J97,6)</f>
        <v>0</v>
      </c>
      <c r="M67" s="72"/>
      <c r="N67" s="72"/>
      <c r="O67" s="642"/>
      <c r="Q67" s="648" t="s">
        <v>716</v>
      </c>
      <c r="R67" s="76">
        <v>9</v>
      </c>
      <c r="S67" s="659"/>
      <c r="T67" s="679">
        <f t="shared" si="16"/>
        <v>-51797</v>
      </c>
      <c r="U67" s="679">
        <f t="shared" si="17"/>
        <v>-32373</v>
      </c>
      <c r="V67" s="679">
        <f t="shared" si="18"/>
        <v>0</v>
      </c>
      <c r="W67" s="723"/>
      <c r="X67" s="678">
        <f t="shared" si="19"/>
        <v>-55395</v>
      </c>
      <c r="Y67" s="678">
        <f t="shared" si="20"/>
        <v>0</v>
      </c>
      <c r="Z67" s="390"/>
      <c r="AW67" s="627">
        <v>2116</v>
      </c>
      <c r="AX67" s="628" t="s">
        <v>4008</v>
      </c>
      <c r="AY67" s="693" t="s">
        <v>152</v>
      </c>
      <c r="AZ67"/>
      <c r="BA67" s="196"/>
      <c r="BC67"/>
    </row>
    <row r="68" spans="1:55" ht="13.5" thickBot="1">
      <c r="A68" s="403" t="s">
        <v>4946</v>
      </c>
      <c r="B68" s="299">
        <v>10</v>
      </c>
      <c r="C68" s="1195">
        <v>48920</v>
      </c>
      <c r="D68" s="1614">
        <v>94962</v>
      </c>
      <c r="E68" s="1211">
        <v>111509</v>
      </c>
      <c r="F68" s="1212">
        <v>139566</v>
      </c>
      <c r="G68" s="723">
        <f t="shared" si="14"/>
        <v>139566</v>
      </c>
      <c r="H68" s="1195">
        <v>106473</v>
      </c>
      <c r="I68" s="1199">
        <v>147479</v>
      </c>
      <c r="J68" s="390">
        <f t="shared" si="15"/>
        <v>147479</v>
      </c>
      <c r="L68" s="758" t="s">
        <v>3108</v>
      </c>
      <c r="M68" s="72"/>
      <c r="N68" s="72"/>
      <c r="O68" s="789" t="s">
        <v>3114</v>
      </c>
      <c r="Q68" s="403" t="s">
        <v>4946</v>
      </c>
      <c r="R68" s="299">
        <v>10</v>
      </c>
      <c r="S68" s="660"/>
      <c r="T68" s="679">
        <f t="shared" si="16"/>
        <v>-44604</v>
      </c>
      <c r="U68" s="679">
        <f t="shared" si="17"/>
        <v>-28057</v>
      </c>
      <c r="V68" s="679">
        <f t="shared" si="18"/>
        <v>0</v>
      </c>
      <c r="W68" s="723"/>
      <c r="X68" s="678">
        <f t="shared" si="19"/>
        <v>-41006</v>
      </c>
      <c r="Y68" s="678">
        <f t="shared" si="20"/>
        <v>0</v>
      </c>
      <c r="Z68" s="390"/>
      <c r="AW68" s="627">
        <v>2117</v>
      </c>
      <c r="AX68" s="628" t="s">
        <v>4009</v>
      </c>
      <c r="AY68" s="693" t="s">
        <v>152</v>
      </c>
      <c r="AZ68"/>
      <c r="BA68" s="196"/>
      <c r="BC68"/>
    </row>
    <row r="69" spans="1:55" ht="26.25" thickTop="1">
      <c r="A69" s="228" t="s">
        <v>3778</v>
      </c>
      <c r="B69" s="76">
        <v>11</v>
      </c>
      <c r="C69" s="1195">
        <v>71222</v>
      </c>
      <c r="D69" s="1614">
        <v>121580</v>
      </c>
      <c r="E69" s="1211">
        <v>152515</v>
      </c>
      <c r="F69" s="1212">
        <v>190644</v>
      </c>
      <c r="G69" s="723">
        <f t="shared" si="14"/>
        <v>190644</v>
      </c>
      <c r="H69" s="1195">
        <v>145321</v>
      </c>
      <c r="I69" s="1199">
        <v>209348</v>
      </c>
      <c r="J69" s="390">
        <f t="shared" si="15"/>
        <v>209348</v>
      </c>
      <c r="L69" s="758" t="s">
        <v>3109</v>
      </c>
      <c r="M69" s="72"/>
      <c r="N69" s="72">
        <v>1.8</v>
      </c>
      <c r="O69" s="787" t="s">
        <v>3113</v>
      </c>
      <c r="Q69" s="228" t="s">
        <v>3778</v>
      </c>
      <c r="R69" s="76">
        <v>11</v>
      </c>
      <c r="S69" s="660"/>
      <c r="T69" s="679">
        <f t="shared" si="16"/>
        <v>-69064</v>
      </c>
      <c r="U69" s="679">
        <f t="shared" si="17"/>
        <v>-38129</v>
      </c>
      <c r="V69" s="679">
        <f t="shared" si="18"/>
        <v>0</v>
      </c>
      <c r="W69" s="723"/>
      <c r="X69" s="678">
        <f t="shared" si="19"/>
        <v>-64027</v>
      </c>
      <c r="Y69" s="678">
        <f t="shared" si="20"/>
        <v>0</v>
      </c>
      <c r="Z69" s="390"/>
      <c r="AB69" s="3406" t="s">
        <v>3119</v>
      </c>
      <c r="AC69" s="3407"/>
      <c r="AE69" s="796" t="s">
        <v>4846</v>
      </c>
      <c r="AW69" s="627">
        <v>2118</v>
      </c>
      <c r="AX69" s="628" t="s">
        <v>4010</v>
      </c>
      <c r="AY69" s="693" t="s">
        <v>152</v>
      </c>
      <c r="AZ69"/>
      <c r="BA69" s="196"/>
      <c r="BC69"/>
    </row>
    <row r="70" spans="1:55" ht="13.5" thickBot="1">
      <c r="A70" s="649" t="s">
        <v>4947</v>
      </c>
      <c r="B70" s="299">
        <v>12</v>
      </c>
      <c r="C70" s="1194">
        <v>47481</v>
      </c>
      <c r="D70" s="1613">
        <v>78416</v>
      </c>
      <c r="E70" s="1209">
        <v>127336</v>
      </c>
      <c r="F70" s="1210">
        <v>127336</v>
      </c>
      <c r="G70" s="723">
        <f t="shared" si="14"/>
        <v>127336</v>
      </c>
      <c r="H70" s="1194">
        <v>97120</v>
      </c>
      <c r="I70" s="1198">
        <v>142443</v>
      </c>
      <c r="J70" s="390">
        <f t="shared" si="15"/>
        <v>142443</v>
      </c>
      <c r="L70" s="760" t="s">
        <v>3110</v>
      </c>
      <c r="M70" s="643">
        <f>L67*N69*I10</f>
        <v>0</v>
      </c>
      <c r="N70" s="643" t="s">
        <v>3111</v>
      </c>
      <c r="O70" s="788">
        <f>ROUND(M70/366,0)*366</f>
        <v>0</v>
      </c>
      <c r="Q70" s="649" t="s">
        <v>4947</v>
      </c>
      <c r="R70" s="299">
        <v>12</v>
      </c>
      <c r="S70" s="659"/>
      <c r="T70" s="679">
        <f t="shared" si="16"/>
        <v>-48920</v>
      </c>
      <c r="U70" s="679">
        <f t="shared" si="17"/>
        <v>0</v>
      </c>
      <c r="V70" s="679">
        <f t="shared" si="18"/>
        <v>0</v>
      </c>
      <c r="W70" s="723"/>
      <c r="X70" s="678">
        <f t="shared" si="19"/>
        <v>-45323</v>
      </c>
      <c r="Y70" s="678">
        <f t="shared" si="20"/>
        <v>0</v>
      </c>
      <c r="Z70" s="390"/>
      <c r="AB70" s="793" t="s">
        <v>3823</v>
      </c>
      <c r="AC70" s="794" t="s">
        <v>3821</v>
      </c>
      <c r="AW70" s="627">
        <v>2119</v>
      </c>
      <c r="AX70" s="628" t="s">
        <v>4011</v>
      </c>
      <c r="AY70" s="693" t="s">
        <v>152</v>
      </c>
      <c r="AZ70"/>
      <c r="BA70" s="196"/>
      <c r="BC70"/>
    </row>
    <row r="71" spans="1:55" ht="13.5" thickTop="1">
      <c r="A71" s="648" t="s">
        <v>2056</v>
      </c>
      <c r="B71" s="76">
        <v>13</v>
      </c>
      <c r="C71" s="1194">
        <v>58992</v>
      </c>
      <c r="D71" s="1613">
        <v>102156</v>
      </c>
      <c r="E71" s="1209">
        <v>136688</v>
      </c>
      <c r="F71" s="1210">
        <v>136688</v>
      </c>
      <c r="G71" s="723">
        <f t="shared" si="14"/>
        <v>136688</v>
      </c>
      <c r="H71" s="1194">
        <v>104314</v>
      </c>
      <c r="I71" s="1198">
        <v>151076</v>
      </c>
      <c r="J71" s="390">
        <f t="shared" si="15"/>
        <v>151076</v>
      </c>
      <c r="L71" s="784" t="s">
        <v>3115</v>
      </c>
      <c r="M71" s="785"/>
      <c r="N71" s="785"/>
      <c r="O71" s="757"/>
      <c r="Q71" s="648" t="s">
        <v>2056</v>
      </c>
      <c r="R71" s="76">
        <v>13</v>
      </c>
      <c r="S71" s="659"/>
      <c r="T71" s="679">
        <f t="shared" si="16"/>
        <v>-34532</v>
      </c>
      <c r="U71" s="679">
        <f t="shared" si="17"/>
        <v>0</v>
      </c>
      <c r="V71" s="679">
        <f t="shared" si="18"/>
        <v>0</v>
      </c>
      <c r="W71" s="723"/>
      <c r="X71" s="678">
        <f t="shared" si="19"/>
        <v>-46762</v>
      </c>
      <c r="Y71" s="678">
        <f t="shared" si="20"/>
        <v>0</v>
      </c>
      <c r="Z71" s="390"/>
      <c r="AB71" s="790"/>
      <c r="AC71" s="791"/>
      <c r="AW71" s="627">
        <v>2120</v>
      </c>
      <c r="AX71" s="628" t="s">
        <v>4012</v>
      </c>
      <c r="AY71" s="693" t="s">
        <v>152</v>
      </c>
      <c r="AZ71"/>
      <c r="BA71" s="196"/>
      <c r="BC71"/>
    </row>
    <row r="72" spans="1:55" ht="13.5" thickBot="1">
      <c r="A72" s="403" t="s">
        <v>4948</v>
      </c>
      <c r="B72" s="299">
        <v>14</v>
      </c>
      <c r="C72" s="1193">
        <v>52517</v>
      </c>
      <c r="D72" s="1615">
        <v>123019</v>
      </c>
      <c r="E72" s="1206">
        <v>145321</v>
      </c>
      <c r="F72" s="1207">
        <v>181291</v>
      </c>
      <c r="G72" s="723">
        <f t="shared" si="14"/>
        <v>181291</v>
      </c>
      <c r="H72" s="1193">
        <v>138127</v>
      </c>
      <c r="I72" s="1197">
        <v>187047</v>
      </c>
      <c r="J72" s="390">
        <f t="shared" si="15"/>
        <v>187047</v>
      </c>
      <c r="L72" s="758">
        <f>NDK!$B$24*VLOOKUP(AT7,B59:J97,9)</f>
        <v>0</v>
      </c>
      <c r="M72" s="72"/>
      <c r="N72" s="72"/>
      <c r="O72" s="642"/>
      <c r="Q72" s="403" t="s">
        <v>4948</v>
      </c>
      <c r="R72" s="299">
        <v>14</v>
      </c>
      <c r="S72" s="656"/>
      <c r="T72" s="679">
        <f t="shared" si="16"/>
        <v>-58272</v>
      </c>
      <c r="U72" s="679">
        <f t="shared" si="17"/>
        <v>-35970</v>
      </c>
      <c r="V72" s="679">
        <f t="shared" si="18"/>
        <v>0</v>
      </c>
      <c r="W72" s="723"/>
      <c r="X72" s="678">
        <f t="shared" si="19"/>
        <v>-48920</v>
      </c>
      <c r="Y72" s="678">
        <f t="shared" si="20"/>
        <v>0</v>
      </c>
      <c r="Z72" s="390"/>
      <c r="AB72" s="792">
        <f>L80*VLOOKUP($AT$7,$R$59:$Z$97,7)</f>
        <v>0</v>
      </c>
      <c r="AC72" s="792">
        <f>M80*VLOOKUP($AT$7,$R$59:$Z$97,8)</f>
        <v>0</v>
      </c>
      <c r="AE72">
        <f>AB72+AC72</f>
        <v>0</v>
      </c>
      <c r="AW72" s="627">
        <v>2131</v>
      </c>
      <c r="AX72" s="628" t="s">
        <v>4013</v>
      </c>
      <c r="AY72" s="693" t="s">
        <v>152</v>
      </c>
      <c r="AZ72"/>
      <c r="BA72" s="196"/>
      <c r="BC72"/>
    </row>
    <row r="73" spans="1:55" ht="13.5" thickTop="1">
      <c r="A73" s="228" t="s">
        <v>4949</v>
      </c>
      <c r="B73" s="76">
        <v>15</v>
      </c>
      <c r="C73" s="1193">
        <v>55395</v>
      </c>
      <c r="D73" s="1615">
        <v>123019</v>
      </c>
      <c r="E73" s="1206">
        <v>145321</v>
      </c>
      <c r="F73" s="1207">
        <v>181291</v>
      </c>
      <c r="G73" s="723">
        <f t="shared" si="14"/>
        <v>181291</v>
      </c>
      <c r="H73" s="1193">
        <v>138127</v>
      </c>
      <c r="I73" s="1197">
        <v>187047</v>
      </c>
      <c r="J73" s="390">
        <f t="shared" si="15"/>
        <v>187047</v>
      </c>
      <c r="L73" s="758" t="s">
        <v>3108</v>
      </c>
      <c r="M73" s="72"/>
      <c r="N73" s="72"/>
      <c r="O73" s="789" t="s">
        <v>3114</v>
      </c>
      <c r="Q73" s="228" t="s">
        <v>4949</v>
      </c>
      <c r="R73" s="76">
        <v>15</v>
      </c>
      <c r="S73" s="656"/>
      <c r="T73" s="679">
        <f t="shared" si="16"/>
        <v>-58272</v>
      </c>
      <c r="U73" s="679">
        <f t="shared" si="17"/>
        <v>-35970</v>
      </c>
      <c r="V73" s="679">
        <f t="shared" si="18"/>
        <v>0</v>
      </c>
      <c r="W73" s="723"/>
      <c r="X73" s="678">
        <f t="shared" si="19"/>
        <v>-48920</v>
      </c>
      <c r="Y73" s="678">
        <f t="shared" si="20"/>
        <v>0</v>
      </c>
      <c r="Z73" s="390"/>
      <c r="AE73" t="s">
        <v>4847</v>
      </c>
      <c r="AW73" s="627">
        <v>2132</v>
      </c>
      <c r="AX73" s="628" t="s">
        <v>4013</v>
      </c>
      <c r="AY73" s="693" t="s">
        <v>152</v>
      </c>
      <c r="AZ73"/>
      <c r="BA73" s="196"/>
      <c r="BC73"/>
    </row>
    <row r="74" spans="1:55">
      <c r="A74" s="649" t="s">
        <v>4950</v>
      </c>
      <c r="B74" s="299">
        <v>16</v>
      </c>
      <c r="C74" s="1194">
        <v>58272</v>
      </c>
      <c r="D74" s="1613">
        <v>94962</v>
      </c>
      <c r="E74" s="1209">
        <v>139566</v>
      </c>
      <c r="F74" s="1210">
        <v>139566</v>
      </c>
      <c r="G74" s="723">
        <f t="shared" si="14"/>
        <v>139566</v>
      </c>
      <c r="H74" s="1194">
        <v>106473</v>
      </c>
      <c r="I74" s="1198">
        <v>154673</v>
      </c>
      <c r="J74" s="390">
        <f t="shared" si="15"/>
        <v>154673</v>
      </c>
      <c r="L74" s="758" t="s">
        <v>3116</v>
      </c>
      <c r="M74" s="72"/>
      <c r="N74" s="1617">
        <v>1.8</v>
      </c>
      <c r="O74" s="787" t="s">
        <v>3117</v>
      </c>
      <c r="Q74" s="649" t="s">
        <v>4950</v>
      </c>
      <c r="R74" s="299">
        <v>16</v>
      </c>
      <c r="S74" s="659"/>
      <c r="T74" s="679">
        <f t="shared" si="16"/>
        <v>-44604</v>
      </c>
      <c r="U74" s="679">
        <f t="shared" si="17"/>
        <v>0</v>
      </c>
      <c r="V74" s="679">
        <f t="shared" si="18"/>
        <v>0</v>
      </c>
      <c r="W74" s="723"/>
      <c r="X74" s="678">
        <f t="shared" si="19"/>
        <v>-48200</v>
      </c>
      <c r="Y74" s="678">
        <f t="shared" si="20"/>
        <v>0</v>
      </c>
      <c r="Z74" s="390"/>
      <c r="AE74" t="s">
        <v>4848</v>
      </c>
      <c r="AW74" s="627">
        <v>2133</v>
      </c>
      <c r="AX74" s="628" t="s">
        <v>1092</v>
      </c>
      <c r="AY74" s="693" t="s">
        <v>152</v>
      </c>
      <c r="AZ74"/>
      <c r="BA74" s="196"/>
      <c r="BC74"/>
    </row>
    <row r="75" spans="1:55" ht="13.5" thickBot="1">
      <c r="A75" s="648" t="s">
        <v>4951</v>
      </c>
      <c r="B75" s="76">
        <v>17</v>
      </c>
      <c r="C75" s="1194">
        <v>53956</v>
      </c>
      <c r="D75" s="1613">
        <v>123019</v>
      </c>
      <c r="E75" s="1209">
        <v>145321</v>
      </c>
      <c r="F75" s="1210">
        <v>181291</v>
      </c>
      <c r="G75" s="723">
        <f t="shared" si="14"/>
        <v>181291</v>
      </c>
      <c r="H75" s="1194">
        <v>138127</v>
      </c>
      <c r="I75" s="1198">
        <v>187047</v>
      </c>
      <c r="J75" s="390">
        <f t="shared" si="15"/>
        <v>187047</v>
      </c>
      <c r="L75" s="760" t="s">
        <v>3110</v>
      </c>
      <c r="M75" s="643">
        <f>L72*I10*N74</f>
        <v>0</v>
      </c>
      <c r="N75" s="643" t="s">
        <v>3111</v>
      </c>
      <c r="O75" s="788">
        <f>ROUND(M75/366,0)*366</f>
        <v>0</v>
      </c>
      <c r="Q75" s="648" t="s">
        <v>4951</v>
      </c>
      <c r="R75" s="76">
        <v>17</v>
      </c>
      <c r="S75" s="659"/>
      <c r="T75" s="679">
        <f t="shared" si="16"/>
        <v>-58272</v>
      </c>
      <c r="U75" s="679">
        <f t="shared" si="17"/>
        <v>-35970</v>
      </c>
      <c r="V75" s="679">
        <f t="shared" si="18"/>
        <v>0</v>
      </c>
      <c r="W75" s="723"/>
      <c r="X75" s="678">
        <f t="shared" si="19"/>
        <v>-48920</v>
      </c>
      <c r="Y75" s="678">
        <f t="shared" si="20"/>
        <v>0</v>
      </c>
      <c r="Z75" s="390"/>
      <c r="AE75" t="s">
        <v>4849</v>
      </c>
      <c r="AF75">
        <f>AE72*$N$74*$I$10</f>
        <v>0</v>
      </c>
      <c r="AW75" s="627">
        <v>2134</v>
      </c>
      <c r="AX75" s="628" t="s">
        <v>4016</v>
      </c>
      <c r="AY75" s="693" t="s">
        <v>152</v>
      </c>
      <c r="AZ75"/>
      <c r="BA75" s="196"/>
      <c r="BC75"/>
    </row>
    <row r="76" spans="1:55" ht="14.25" thickTop="1" thickBot="1">
      <c r="A76" s="403" t="s">
        <v>4952</v>
      </c>
      <c r="B76" s="299">
        <v>18</v>
      </c>
      <c r="C76" s="1193">
        <v>44603</v>
      </c>
      <c r="D76" s="1615">
        <v>94962</v>
      </c>
      <c r="E76" s="1206">
        <v>139566</v>
      </c>
      <c r="F76" s="1207">
        <v>139566</v>
      </c>
      <c r="G76" s="723">
        <f t="shared" si="14"/>
        <v>139566</v>
      </c>
      <c r="H76" s="1193">
        <v>106473</v>
      </c>
      <c r="I76" s="1197">
        <v>143882</v>
      </c>
      <c r="J76" s="390">
        <f t="shared" si="15"/>
        <v>143882</v>
      </c>
      <c r="Q76" s="403" t="s">
        <v>4952</v>
      </c>
      <c r="R76" s="299">
        <v>18</v>
      </c>
      <c r="S76" s="656"/>
      <c r="T76" s="679">
        <f t="shared" si="16"/>
        <v>-44604</v>
      </c>
      <c r="U76" s="679">
        <f t="shared" si="17"/>
        <v>0</v>
      </c>
      <c r="V76" s="679">
        <f t="shared" si="18"/>
        <v>0</v>
      </c>
      <c r="W76" s="723"/>
      <c r="X76" s="678">
        <f t="shared" si="19"/>
        <v>-37409</v>
      </c>
      <c r="Y76" s="678">
        <f t="shared" si="20"/>
        <v>0</v>
      </c>
      <c r="Z76" s="390"/>
      <c r="AC76" s="529" t="s">
        <v>4852</v>
      </c>
      <c r="AD76" s="529" t="s">
        <v>4850</v>
      </c>
      <c r="AE76" s="529"/>
      <c r="AF76" s="529">
        <f>ROUND(AF75/366,0)*366</f>
        <v>0</v>
      </c>
      <c r="AW76" s="627">
        <v>2135</v>
      </c>
      <c r="AX76" s="628" t="s">
        <v>4017</v>
      </c>
      <c r="AY76" s="693" t="s">
        <v>152</v>
      </c>
      <c r="AZ76"/>
      <c r="BA76" s="196"/>
      <c r="BC76"/>
    </row>
    <row r="77" spans="1:55" ht="13.5" thickTop="1">
      <c r="A77" s="651" t="s">
        <v>4648</v>
      </c>
      <c r="B77" s="76">
        <v>19</v>
      </c>
      <c r="C77" s="1193">
        <v>60430</v>
      </c>
      <c r="D77" s="1615">
        <v>107192</v>
      </c>
      <c r="E77" s="1206">
        <v>153954</v>
      </c>
      <c r="F77" s="1207">
        <v>192802</v>
      </c>
      <c r="G77" s="723">
        <f t="shared" si="14"/>
        <v>192802</v>
      </c>
      <c r="H77" s="1193">
        <v>146760</v>
      </c>
      <c r="I77" s="1197">
        <v>206471</v>
      </c>
      <c r="J77" s="390">
        <f t="shared" si="15"/>
        <v>206471</v>
      </c>
      <c r="L77" s="3406" t="s">
        <v>3119</v>
      </c>
      <c r="M77" s="3407"/>
      <c r="O77" s="799" t="s">
        <v>4853</v>
      </c>
      <c r="Q77" s="651" t="s">
        <v>4648</v>
      </c>
      <c r="R77" s="76">
        <v>19</v>
      </c>
      <c r="S77" s="656"/>
      <c r="T77" s="679">
        <f t="shared" si="16"/>
        <v>-85610</v>
      </c>
      <c r="U77" s="679">
        <f t="shared" si="17"/>
        <v>-38848</v>
      </c>
      <c r="V77" s="679">
        <f t="shared" si="18"/>
        <v>0</v>
      </c>
      <c r="W77" s="723"/>
      <c r="X77" s="678">
        <f t="shared" si="19"/>
        <v>-59711</v>
      </c>
      <c r="Y77" s="678">
        <f t="shared" si="20"/>
        <v>0</v>
      </c>
      <c r="Z77" s="390"/>
      <c r="AW77" s="627">
        <v>2141</v>
      </c>
      <c r="AX77" s="628" t="s">
        <v>4018</v>
      </c>
      <c r="AY77" s="693" t="s">
        <v>152</v>
      </c>
      <c r="AZ77"/>
      <c r="BA77" s="196"/>
      <c r="BC77"/>
    </row>
    <row r="78" spans="1:55" ht="15.75">
      <c r="A78" s="649" t="s">
        <v>4953</v>
      </c>
      <c r="B78" s="299">
        <v>20</v>
      </c>
      <c r="C78" s="1194">
        <v>47481</v>
      </c>
      <c r="D78" s="1613">
        <v>94962</v>
      </c>
      <c r="E78" s="1209">
        <v>139566</v>
      </c>
      <c r="F78" s="1210">
        <v>139566</v>
      </c>
      <c r="G78" s="723">
        <f t="shared" si="14"/>
        <v>139566</v>
      </c>
      <c r="H78" s="1194">
        <v>106473</v>
      </c>
      <c r="I78" s="1198">
        <v>143882</v>
      </c>
      <c r="J78" s="390">
        <f t="shared" si="15"/>
        <v>143882</v>
      </c>
      <c r="L78" s="793" t="s">
        <v>3823</v>
      </c>
      <c r="M78" s="794" t="s">
        <v>3821</v>
      </c>
      <c r="O78" s="801">
        <f>O65+O70+O75</f>
        <v>0</v>
      </c>
      <c r="Q78" s="649" t="s">
        <v>4953</v>
      </c>
      <c r="R78" s="299">
        <v>20</v>
      </c>
      <c r="S78" s="659"/>
      <c r="T78" s="679">
        <f t="shared" si="16"/>
        <v>-44604</v>
      </c>
      <c r="U78" s="679">
        <f t="shared" si="17"/>
        <v>0</v>
      </c>
      <c r="V78" s="679">
        <f t="shared" si="18"/>
        <v>0</v>
      </c>
      <c r="W78" s="723"/>
      <c r="X78" s="678">
        <f t="shared" si="19"/>
        <v>-37409</v>
      </c>
      <c r="Y78" s="678">
        <f t="shared" si="20"/>
        <v>0</v>
      </c>
      <c r="Z78" s="390"/>
      <c r="AB78" s="799" t="s">
        <v>4319</v>
      </c>
      <c r="AC78" s="799"/>
      <c r="AD78" s="799"/>
      <c r="AE78" s="800">
        <f>AF66+AF76</f>
        <v>0</v>
      </c>
      <c r="AW78" s="627">
        <v>2142</v>
      </c>
      <c r="AX78" s="628" t="s">
        <v>4019</v>
      </c>
      <c r="AY78" s="693" t="s">
        <v>152</v>
      </c>
      <c r="AZ78"/>
      <c r="BA78" s="196"/>
      <c r="BC78"/>
    </row>
    <row r="79" spans="1:55">
      <c r="A79" s="648" t="s">
        <v>1036</v>
      </c>
      <c r="B79" s="76">
        <v>21</v>
      </c>
      <c r="C79" s="1194">
        <v>59711</v>
      </c>
      <c r="D79" s="1613">
        <v>119422</v>
      </c>
      <c r="E79" s="1209">
        <v>153954</v>
      </c>
      <c r="F79" s="1210">
        <v>153954</v>
      </c>
      <c r="G79" s="723">
        <f t="shared" si="14"/>
        <v>153954</v>
      </c>
      <c r="H79" s="1194">
        <v>117264</v>
      </c>
      <c r="I79" s="1198">
        <v>158270</v>
      </c>
      <c r="J79" s="390">
        <f t="shared" si="15"/>
        <v>158270</v>
      </c>
      <c r="L79" s="790"/>
      <c r="M79" s="791"/>
      <c r="Q79" s="648" t="s">
        <v>1036</v>
      </c>
      <c r="R79" s="76">
        <v>21</v>
      </c>
      <c r="S79" s="659"/>
      <c r="T79" s="679">
        <f t="shared" si="16"/>
        <v>-34532</v>
      </c>
      <c r="U79" s="679">
        <f t="shared" si="17"/>
        <v>0</v>
      </c>
      <c r="V79" s="679">
        <f t="shared" si="18"/>
        <v>0</v>
      </c>
      <c r="W79" s="723"/>
      <c r="X79" s="678">
        <f t="shared" si="19"/>
        <v>-41006</v>
      </c>
      <c r="Y79" s="678">
        <f t="shared" si="20"/>
        <v>0</v>
      </c>
      <c r="Z79" s="390"/>
      <c r="AW79" s="627">
        <v>2143</v>
      </c>
      <c r="AX79" s="628" t="s">
        <v>1093</v>
      </c>
      <c r="AY79" s="693" t="s">
        <v>152</v>
      </c>
      <c r="AZ79"/>
      <c r="BA79" s="196"/>
      <c r="BC79"/>
    </row>
    <row r="80" spans="1:55" ht="26.25" thickBot="1">
      <c r="A80" s="641" t="s">
        <v>55</v>
      </c>
      <c r="B80" s="299">
        <v>22</v>
      </c>
      <c r="C80" s="1193">
        <v>49639</v>
      </c>
      <c r="D80" s="1615">
        <v>86329</v>
      </c>
      <c r="E80" s="1206">
        <v>127336</v>
      </c>
      <c r="F80" s="1207">
        <v>127336</v>
      </c>
      <c r="G80" s="723">
        <f t="shared" si="14"/>
        <v>127336</v>
      </c>
      <c r="H80" s="1193">
        <v>97120</v>
      </c>
      <c r="I80" s="1197">
        <v>143882</v>
      </c>
      <c r="J80" s="390">
        <f t="shared" si="15"/>
        <v>143882</v>
      </c>
      <c r="L80" s="792">
        <f>NDK!G$24</f>
        <v>0</v>
      </c>
      <c r="M80" s="792">
        <f>NDK!H$24</f>
        <v>0</v>
      </c>
      <c r="Q80" s="641" t="s">
        <v>55</v>
      </c>
      <c r="R80" s="299">
        <v>22</v>
      </c>
      <c r="S80" s="656"/>
      <c r="T80" s="679">
        <f t="shared" si="16"/>
        <v>-41007</v>
      </c>
      <c r="U80" s="679">
        <f t="shared" si="17"/>
        <v>0</v>
      </c>
      <c r="V80" s="679">
        <f t="shared" si="18"/>
        <v>0</v>
      </c>
      <c r="W80" s="723"/>
      <c r="X80" s="678">
        <f t="shared" si="19"/>
        <v>-46762</v>
      </c>
      <c r="Y80" s="678">
        <f t="shared" si="20"/>
        <v>0</v>
      </c>
      <c r="Z80" s="390"/>
      <c r="AB80" s="802" t="s">
        <v>4320</v>
      </c>
      <c r="AC80" s="802"/>
      <c r="AD80" s="802"/>
      <c r="AE80" s="803">
        <f>O78+AE78</f>
        <v>0</v>
      </c>
      <c r="AW80" s="627">
        <v>2144</v>
      </c>
      <c r="AX80" s="628" t="s">
        <v>4022</v>
      </c>
      <c r="AY80" s="693" t="s">
        <v>152</v>
      </c>
      <c r="AZ80"/>
      <c r="BA80" s="196"/>
      <c r="BC80"/>
    </row>
    <row r="81" spans="1:55" ht="13.5" thickTop="1">
      <c r="A81" s="228" t="s">
        <v>3687</v>
      </c>
      <c r="B81" s="76">
        <v>23</v>
      </c>
      <c r="C81" s="1193">
        <v>49639</v>
      </c>
      <c r="D81" s="1615">
        <v>88487</v>
      </c>
      <c r="E81" s="1206">
        <v>143163</v>
      </c>
      <c r="F81" s="1207">
        <v>143163</v>
      </c>
      <c r="G81" s="723">
        <f t="shared" si="14"/>
        <v>143163</v>
      </c>
      <c r="H81" s="1193">
        <v>109350</v>
      </c>
      <c r="I81" s="1197">
        <v>143882</v>
      </c>
      <c r="J81" s="390">
        <f t="shared" si="15"/>
        <v>143882</v>
      </c>
      <c r="Q81" s="228" t="s">
        <v>3687</v>
      </c>
      <c r="R81" s="76">
        <v>23</v>
      </c>
      <c r="S81" s="656"/>
      <c r="T81" s="679">
        <f t="shared" si="16"/>
        <v>-54676</v>
      </c>
      <c r="U81" s="679">
        <f t="shared" si="17"/>
        <v>0</v>
      </c>
      <c r="V81" s="679">
        <f t="shared" si="18"/>
        <v>0</v>
      </c>
      <c r="W81" s="723"/>
      <c r="X81" s="678">
        <f t="shared" si="19"/>
        <v>-34532</v>
      </c>
      <c r="Y81" s="678">
        <f t="shared" si="20"/>
        <v>0</v>
      </c>
      <c r="Z81" s="390"/>
      <c r="AW81" s="627">
        <v>2145</v>
      </c>
      <c r="AX81" s="628" t="s">
        <v>2971</v>
      </c>
      <c r="AY81" s="629" t="s">
        <v>420</v>
      </c>
      <c r="AZ81"/>
      <c r="BA81" s="196"/>
      <c r="BC81"/>
    </row>
    <row r="82" spans="1:55">
      <c r="A82" s="650" t="s">
        <v>56</v>
      </c>
      <c r="B82" s="299">
        <v>24</v>
      </c>
      <c r="C82" s="1194">
        <v>61150</v>
      </c>
      <c r="D82" s="1613">
        <v>105753</v>
      </c>
      <c r="E82" s="1209">
        <v>151076</v>
      </c>
      <c r="F82" s="1210">
        <v>151076</v>
      </c>
      <c r="G82" s="723">
        <f t="shared" si="14"/>
        <v>151076</v>
      </c>
      <c r="H82" s="1194">
        <v>115106</v>
      </c>
      <c r="I82" s="1198">
        <v>174097</v>
      </c>
      <c r="J82" s="390">
        <f t="shared" si="15"/>
        <v>174097</v>
      </c>
      <c r="Q82" s="650" t="s">
        <v>56</v>
      </c>
      <c r="R82" s="299">
        <v>24</v>
      </c>
      <c r="S82" s="659"/>
      <c r="T82" s="679">
        <f t="shared" si="16"/>
        <v>-45323</v>
      </c>
      <c r="U82" s="679">
        <f t="shared" si="17"/>
        <v>0</v>
      </c>
      <c r="V82" s="679">
        <f t="shared" si="18"/>
        <v>0</v>
      </c>
      <c r="W82" s="723"/>
      <c r="X82" s="678">
        <f t="shared" si="19"/>
        <v>-58991</v>
      </c>
      <c r="Y82" s="678">
        <f t="shared" si="20"/>
        <v>0</v>
      </c>
      <c r="Z82" s="390"/>
      <c r="AW82" s="627">
        <v>2146</v>
      </c>
      <c r="AX82" s="628" t="s">
        <v>4023</v>
      </c>
      <c r="AY82" s="693" t="s">
        <v>152</v>
      </c>
      <c r="AZ82"/>
      <c r="BA82" s="196"/>
      <c r="BC82"/>
    </row>
    <row r="83" spans="1:55">
      <c r="A83" s="648" t="s">
        <v>2945</v>
      </c>
      <c r="B83" s="76">
        <v>25</v>
      </c>
      <c r="C83" s="1194">
        <v>61150</v>
      </c>
      <c r="D83" s="1613">
        <v>132371</v>
      </c>
      <c r="E83" s="1209">
        <v>166903</v>
      </c>
      <c r="F83" s="1210">
        <v>166903</v>
      </c>
      <c r="G83" s="723">
        <f t="shared" si="14"/>
        <v>166903</v>
      </c>
      <c r="H83" s="1194">
        <v>127336</v>
      </c>
      <c r="I83" s="1198">
        <v>174097</v>
      </c>
      <c r="J83" s="390">
        <f t="shared" si="15"/>
        <v>174097</v>
      </c>
      <c r="Q83" s="648" t="s">
        <v>2945</v>
      </c>
      <c r="R83" s="76">
        <v>25</v>
      </c>
      <c r="S83" s="659"/>
      <c r="T83" s="679">
        <f t="shared" si="16"/>
        <v>-34532</v>
      </c>
      <c r="U83" s="679">
        <f t="shared" si="17"/>
        <v>0</v>
      </c>
      <c r="V83" s="679">
        <f t="shared" si="18"/>
        <v>0</v>
      </c>
      <c r="W83" s="723"/>
      <c r="X83" s="678">
        <f t="shared" si="19"/>
        <v>-46761</v>
      </c>
      <c r="Y83" s="678">
        <f t="shared" si="20"/>
        <v>0</v>
      </c>
      <c r="Z83" s="390"/>
      <c r="AW83" s="627">
        <v>2151</v>
      </c>
      <c r="AX83" s="628" t="s">
        <v>1096</v>
      </c>
      <c r="AY83" s="693" t="s">
        <v>152</v>
      </c>
      <c r="AZ83"/>
      <c r="BA83" s="196"/>
      <c r="BC83"/>
    </row>
    <row r="84" spans="1:55">
      <c r="A84" s="403" t="s">
        <v>57</v>
      </c>
      <c r="B84" s="299">
        <v>26</v>
      </c>
      <c r="C84" s="1193">
        <v>58272</v>
      </c>
      <c r="D84" s="1615">
        <v>90646</v>
      </c>
      <c r="E84" s="1206">
        <v>133091</v>
      </c>
      <c r="F84" s="1207">
        <v>133091</v>
      </c>
      <c r="G84" s="723">
        <f t="shared" si="14"/>
        <v>133091</v>
      </c>
      <c r="H84" s="1193">
        <v>101437</v>
      </c>
      <c r="I84" s="1197">
        <v>137407</v>
      </c>
      <c r="J84" s="390">
        <f t="shared" si="15"/>
        <v>137407</v>
      </c>
      <c r="Q84" s="403" t="s">
        <v>57</v>
      </c>
      <c r="R84" s="299">
        <v>26</v>
      </c>
      <c r="S84" s="656"/>
      <c r="T84" s="679">
        <f t="shared" si="16"/>
        <v>-42445</v>
      </c>
      <c r="U84" s="679">
        <f t="shared" si="17"/>
        <v>0</v>
      </c>
      <c r="V84" s="679">
        <f t="shared" si="18"/>
        <v>0</v>
      </c>
      <c r="W84" s="723"/>
      <c r="X84" s="678">
        <f t="shared" si="19"/>
        <v>-35970</v>
      </c>
      <c r="Y84" s="678">
        <f t="shared" si="20"/>
        <v>0</v>
      </c>
      <c r="Z84" s="390"/>
      <c r="AW84" s="627">
        <v>2161</v>
      </c>
      <c r="AX84" s="628" t="s">
        <v>4025</v>
      </c>
      <c r="AY84" s="693" t="s">
        <v>152</v>
      </c>
      <c r="AZ84"/>
      <c r="BA84" s="196"/>
      <c r="BC84"/>
    </row>
    <row r="85" spans="1:55">
      <c r="A85" s="228" t="s">
        <v>3346</v>
      </c>
      <c r="B85" s="76">
        <v>27</v>
      </c>
      <c r="C85" s="1193">
        <v>58272</v>
      </c>
      <c r="D85" s="1615">
        <v>96401</v>
      </c>
      <c r="E85" s="1206">
        <v>147479</v>
      </c>
      <c r="F85" s="1207">
        <v>184169</v>
      </c>
      <c r="G85" s="723">
        <f t="shared" si="14"/>
        <v>184169</v>
      </c>
      <c r="H85" s="1193">
        <v>140285</v>
      </c>
      <c r="I85" s="1197">
        <v>189205</v>
      </c>
      <c r="J85" s="390">
        <f t="shared" si="15"/>
        <v>189205</v>
      </c>
      <c r="Q85" s="228" t="s">
        <v>3346</v>
      </c>
      <c r="R85" s="76">
        <v>27</v>
      </c>
      <c r="S85" s="656"/>
      <c r="T85" s="679">
        <f t="shared" si="16"/>
        <v>-87768</v>
      </c>
      <c r="U85" s="679">
        <f t="shared" si="17"/>
        <v>-36690</v>
      </c>
      <c r="V85" s="679">
        <f t="shared" si="18"/>
        <v>0</v>
      </c>
      <c r="W85" s="723"/>
      <c r="X85" s="678">
        <f t="shared" si="19"/>
        <v>-48920</v>
      </c>
      <c r="Y85" s="678">
        <f t="shared" si="20"/>
        <v>0</v>
      </c>
      <c r="Z85" s="390"/>
      <c r="AW85" s="627">
        <v>2162</v>
      </c>
      <c r="AX85" s="628" t="s">
        <v>4026</v>
      </c>
      <c r="AY85" s="693" t="s">
        <v>152</v>
      </c>
      <c r="AZ85"/>
      <c r="BA85" s="196"/>
      <c r="BC85"/>
    </row>
    <row r="86" spans="1:55">
      <c r="A86" s="649" t="s">
        <v>58</v>
      </c>
      <c r="B86" s="299">
        <v>28</v>
      </c>
      <c r="C86" s="1194">
        <v>45323</v>
      </c>
      <c r="D86" s="1613">
        <v>105034</v>
      </c>
      <c r="E86" s="1209">
        <v>145321</v>
      </c>
      <c r="F86" s="1210">
        <v>181291</v>
      </c>
      <c r="G86" s="723">
        <f t="shared" si="14"/>
        <v>181291</v>
      </c>
      <c r="H86" s="1194">
        <v>138127</v>
      </c>
      <c r="I86" s="1198">
        <v>187047</v>
      </c>
      <c r="J86" s="390">
        <f t="shared" si="15"/>
        <v>187047</v>
      </c>
      <c r="Q86" s="649" t="s">
        <v>58</v>
      </c>
      <c r="R86" s="299">
        <v>28</v>
      </c>
      <c r="S86" s="659"/>
      <c r="T86" s="679">
        <f t="shared" si="16"/>
        <v>-76257</v>
      </c>
      <c r="U86" s="679">
        <f t="shared" si="17"/>
        <v>-35970</v>
      </c>
      <c r="V86" s="679">
        <f t="shared" si="18"/>
        <v>0</v>
      </c>
      <c r="W86" s="723"/>
      <c r="X86" s="678">
        <f t="shared" si="19"/>
        <v>-48920</v>
      </c>
      <c r="Y86" s="678">
        <f t="shared" si="20"/>
        <v>0</v>
      </c>
      <c r="Z86" s="390"/>
      <c r="AW86" s="627">
        <v>2163</v>
      </c>
      <c r="AX86" s="628" t="s">
        <v>4027</v>
      </c>
      <c r="AY86" s="693" t="s">
        <v>152</v>
      </c>
      <c r="AZ86"/>
      <c r="BA86" s="196"/>
      <c r="BC86"/>
    </row>
    <row r="87" spans="1:55">
      <c r="A87" s="648" t="s">
        <v>3965</v>
      </c>
      <c r="B87" s="76">
        <v>29</v>
      </c>
      <c r="C87" s="1194">
        <v>66186</v>
      </c>
      <c r="D87" s="1613">
        <v>112947</v>
      </c>
      <c r="E87" s="1209">
        <v>145321</v>
      </c>
      <c r="F87" s="1210">
        <v>181291</v>
      </c>
      <c r="G87" s="723">
        <f t="shared" si="14"/>
        <v>181291</v>
      </c>
      <c r="H87" s="1194">
        <v>138127</v>
      </c>
      <c r="I87" s="1198">
        <v>191363</v>
      </c>
      <c r="J87" s="390">
        <f t="shared" si="15"/>
        <v>191363</v>
      </c>
      <c r="Q87" s="648" t="s">
        <v>3965</v>
      </c>
      <c r="R87" s="76">
        <v>29</v>
      </c>
      <c r="S87" s="659"/>
      <c r="T87" s="679">
        <f t="shared" si="16"/>
        <v>-68344</v>
      </c>
      <c r="U87" s="679">
        <f t="shared" si="17"/>
        <v>-35970</v>
      </c>
      <c r="V87" s="679">
        <f t="shared" si="18"/>
        <v>0</v>
      </c>
      <c r="W87" s="723"/>
      <c r="X87" s="678">
        <f t="shared" si="19"/>
        <v>-53236</v>
      </c>
      <c r="Y87" s="678">
        <f t="shared" si="20"/>
        <v>0</v>
      </c>
      <c r="Z87" s="390"/>
      <c r="AW87" s="627">
        <v>2164</v>
      </c>
      <c r="AX87" s="628" t="s">
        <v>4028</v>
      </c>
      <c r="AY87" s="693" t="s">
        <v>152</v>
      </c>
      <c r="AZ87"/>
      <c r="BA87" s="196"/>
      <c r="BC87"/>
    </row>
    <row r="88" spans="1:55">
      <c r="A88" s="403" t="s">
        <v>59</v>
      </c>
      <c r="B88" s="299">
        <v>30</v>
      </c>
      <c r="C88" s="1193">
        <v>52517</v>
      </c>
      <c r="D88" s="1615">
        <v>105034</v>
      </c>
      <c r="E88" s="1206">
        <v>161148</v>
      </c>
      <c r="F88" s="1207">
        <v>179133</v>
      </c>
      <c r="G88" s="723">
        <f t="shared" si="14"/>
        <v>179133</v>
      </c>
      <c r="H88" s="1193">
        <v>135969</v>
      </c>
      <c r="I88" s="1197">
        <v>184169</v>
      </c>
      <c r="J88" s="390">
        <f t="shared" si="15"/>
        <v>184169</v>
      </c>
      <c r="Q88" s="403" t="s">
        <v>59</v>
      </c>
      <c r="R88" s="299">
        <v>30</v>
      </c>
      <c r="S88" s="656"/>
      <c r="T88" s="679">
        <f t="shared" si="16"/>
        <v>-74099</v>
      </c>
      <c r="U88" s="679">
        <f t="shared" si="17"/>
        <v>-17985</v>
      </c>
      <c r="V88" s="679">
        <f t="shared" si="18"/>
        <v>0</v>
      </c>
      <c r="W88" s="723"/>
      <c r="X88" s="678">
        <f t="shared" si="19"/>
        <v>-48200</v>
      </c>
      <c r="Y88" s="678">
        <f t="shared" si="20"/>
        <v>0</v>
      </c>
      <c r="Z88" s="390"/>
      <c r="AW88" s="627">
        <v>2165</v>
      </c>
      <c r="AX88" s="628" t="s">
        <v>4029</v>
      </c>
      <c r="AY88" s="693" t="s">
        <v>152</v>
      </c>
      <c r="AZ88"/>
      <c r="BA88" s="196"/>
      <c r="BC88"/>
    </row>
    <row r="89" spans="1:55">
      <c r="A89" s="652" t="s">
        <v>2589</v>
      </c>
      <c r="B89" s="76">
        <v>31</v>
      </c>
      <c r="C89" s="1193">
        <v>52517</v>
      </c>
      <c r="D89" s="1615">
        <v>105034</v>
      </c>
      <c r="E89" s="1206">
        <v>143163</v>
      </c>
      <c r="F89" s="1207">
        <v>179133</v>
      </c>
      <c r="G89" s="723">
        <f t="shared" si="14"/>
        <v>179133</v>
      </c>
      <c r="H89" s="1193">
        <v>135969</v>
      </c>
      <c r="I89" s="1197">
        <v>184169</v>
      </c>
      <c r="J89" s="390">
        <f t="shared" si="15"/>
        <v>184169</v>
      </c>
      <c r="Q89" s="652" t="s">
        <v>2589</v>
      </c>
      <c r="R89" s="76">
        <v>31</v>
      </c>
      <c r="S89" s="656"/>
      <c r="T89" s="679">
        <f t="shared" si="16"/>
        <v>-74099</v>
      </c>
      <c r="U89" s="679">
        <f t="shared" si="17"/>
        <v>-35970</v>
      </c>
      <c r="V89" s="679">
        <f t="shared" si="18"/>
        <v>0</v>
      </c>
      <c r="W89" s="723"/>
      <c r="X89" s="678">
        <f t="shared" si="19"/>
        <v>-48200</v>
      </c>
      <c r="Y89" s="678">
        <f t="shared" si="20"/>
        <v>0</v>
      </c>
      <c r="Z89" s="390"/>
      <c r="AW89" s="627">
        <v>2166</v>
      </c>
      <c r="AX89" s="628" t="s">
        <v>4030</v>
      </c>
      <c r="AY89" s="693" t="s">
        <v>152</v>
      </c>
      <c r="AZ89"/>
      <c r="BA89" s="196"/>
      <c r="BC89"/>
    </row>
    <row r="90" spans="1:55">
      <c r="A90" s="299" t="s">
        <v>60</v>
      </c>
      <c r="B90" s="299">
        <v>32</v>
      </c>
      <c r="C90" s="1194">
        <v>52517</v>
      </c>
      <c r="D90" s="1613">
        <v>93523</v>
      </c>
      <c r="E90" s="1209">
        <v>163306</v>
      </c>
      <c r="F90" s="1210">
        <v>163306</v>
      </c>
      <c r="G90" s="723">
        <f t="shared" si="14"/>
        <v>163306</v>
      </c>
      <c r="H90" s="1194">
        <v>124458</v>
      </c>
      <c r="I90" s="1198">
        <v>176256</v>
      </c>
      <c r="J90" s="390">
        <f t="shared" si="15"/>
        <v>176256</v>
      </c>
      <c r="Q90" s="299" t="s">
        <v>60</v>
      </c>
      <c r="R90" s="299">
        <v>32</v>
      </c>
      <c r="S90" s="659"/>
      <c r="T90" s="679">
        <f t="shared" si="16"/>
        <v>-69783</v>
      </c>
      <c r="U90" s="679">
        <f t="shared" si="17"/>
        <v>0</v>
      </c>
      <c r="V90" s="679">
        <f t="shared" si="18"/>
        <v>0</v>
      </c>
      <c r="W90" s="723"/>
      <c r="X90" s="678">
        <f t="shared" si="19"/>
        <v>-51798</v>
      </c>
      <c r="Y90" s="678">
        <f t="shared" si="20"/>
        <v>0</v>
      </c>
      <c r="Z90" s="390"/>
      <c r="AW90" s="627">
        <v>2167</v>
      </c>
      <c r="AX90" s="628" t="s">
        <v>4031</v>
      </c>
      <c r="AY90" s="693" t="s">
        <v>152</v>
      </c>
      <c r="AZ90"/>
      <c r="BA90" s="196"/>
      <c r="BC90"/>
    </row>
    <row r="91" spans="1:55">
      <c r="A91" s="621" t="s">
        <v>1468</v>
      </c>
      <c r="B91" s="76">
        <v>33</v>
      </c>
      <c r="C91" s="1194">
        <v>56833</v>
      </c>
      <c r="D91" s="1613">
        <v>107192</v>
      </c>
      <c r="E91" s="1209">
        <v>153954</v>
      </c>
      <c r="F91" s="1210">
        <v>171220</v>
      </c>
      <c r="G91" s="723">
        <f t="shared" si="14"/>
        <v>171220</v>
      </c>
      <c r="H91" s="1194">
        <v>130213</v>
      </c>
      <c r="I91" s="1198">
        <v>176256</v>
      </c>
      <c r="J91" s="390">
        <f t="shared" si="15"/>
        <v>176256</v>
      </c>
      <c r="Q91" s="621" t="s">
        <v>1468</v>
      </c>
      <c r="R91" s="76">
        <v>33</v>
      </c>
      <c r="S91" s="659"/>
      <c r="T91" s="679">
        <f t="shared" si="16"/>
        <v>-64028</v>
      </c>
      <c r="U91" s="679">
        <f t="shared" si="17"/>
        <v>-17266</v>
      </c>
      <c r="V91" s="679">
        <f t="shared" si="18"/>
        <v>0</v>
      </c>
      <c r="W91" s="723"/>
      <c r="X91" s="678">
        <f t="shared" si="19"/>
        <v>-46043</v>
      </c>
      <c r="Y91" s="678">
        <f t="shared" si="20"/>
        <v>0</v>
      </c>
      <c r="Z91" s="390"/>
      <c r="AW91" s="627">
        <v>2170</v>
      </c>
      <c r="AX91" s="628" t="s">
        <v>4032</v>
      </c>
      <c r="AY91" s="693" t="s">
        <v>152</v>
      </c>
      <c r="AZ91"/>
      <c r="BA91" s="196"/>
      <c r="BC91"/>
    </row>
    <row r="92" spans="1:55">
      <c r="A92" s="76" t="s">
        <v>61</v>
      </c>
      <c r="B92" s="299">
        <v>34</v>
      </c>
      <c r="C92" s="1193">
        <v>56833</v>
      </c>
      <c r="D92" s="1615">
        <v>87049</v>
      </c>
      <c r="E92" s="1206">
        <v>127336</v>
      </c>
      <c r="F92" s="1207">
        <v>127336</v>
      </c>
      <c r="G92" s="723">
        <f t="shared" si="14"/>
        <v>127336</v>
      </c>
      <c r="H92" s="1193">
        <v>97120</v>
      </c>
      <c r="I92" s="1197">
        <v>130933</v>
      </c>
      <c r="J92" s="390">
        <f t="shared" si="15"/>
        <v>130933</v>
      </c>
      <c r="Q92" s="76" t="s">
        <v>61</v>
      </c>
      <c r="R92" s="299">
        <v>34</v>
      </c>
      <c r="S92" s="656"/>
      <c r="T92" s="679">
        <f t="shared" si="16"/>
        <v>-40287</v>
      </c>
      <c r="U92" s="679">
        <f t="shared" si="17"/>
        <v>0</v>
      </c>
      <c r="V92" s="679">
        <f t="shared" si="18"/>
        <v>0</v>
      </c>
      <c r="W92" s="723"/>
      <c r="X92" s="678">
        <f t="shared" si="19"/>
        <v>-33813</v>
      </c>
      <c r="Y92" s="678">
        <f t="shared" si="20"/>
        <v>0</v>
      </c>
      <c r="Z92" s="390"/>
      <c r="AW92" s="627">
        <v>2173</v>
      </c>
      <c r="AX92" s="628" t="s">
        <v>4033</v>
      </c>
      <c r="AY92" s="693" t="s">
        <v>152</v>
      </c>
      <c r="AZ92"/>
      <c r="BA92" s="196"/>
      <c r="BC92"/>
    </row>
    <row r="93" spans="1:55">
      <c r="A93" s="652" t="s">
        <v>4145</v>
      </c>
      <c r="B93" s="76">
        <v>35</v>
      </c>
      <c r="C93" s="1193">
        <v>61150</v>
      </c>
      <c r="D93" s="1615">
        <v>100717</v>
      </c>
      <c r="E93" s="1206">
        <v>146760</v>
      </c>
      <c r="F93" s="1207">
        <v>146760</v>
      </c>
      <c r="G93" s="723">
        <f t="shared" si="14"/>
        <v>146760</v>
      </c>
      <c r="H93" s="1193">
        <v>111509</v>
      </c>
      <c r="I93" s="1197">
        <v>151076</v>
      </c>
      <c r="J93" s="390">
        <f t="shared" si="15"/>
        <v>151076</v>
      </c>
      <c r="Q93" s="652" t="s">
        <v>4145</v>
      </c>
      <c r="R93" s="76">
        <v>35</v>
      </c>
      <c r="S93" s="656"/>
      <c r="T93" s="679">
        <f t="shared" si="16"/>
        <v>-46043</v>
      </c>
      <c r="U93" s="679">
        <f t="shared" si="17"/>
        <v>0</v>
      </c>
      <c r="V93" s="679">
        <f t="shared" si="18"/>
        <v>0</v>
      </c>
      <c r="W93" s="723"/>
      <c r="X93" s="678">
        <f t="shared" si="19"/>
        <v>-39567</v>
      </c>
      <c r="Y93" s="678">
        <f t="shared" si="20"/>
        <v>0</v>
      </c>
      <c r="Z93" s="390"/>
      <c r="AW93" s="627">
        <v>2174</v>
      </c>
      <c r="AX93" s="628" t="s">
        <v>4034</v>
      </c>
      <c r="AY93" s="693" t="s">
        <v>152</v>
      </c>
      <c r="AZ93"/>
      <c r="BA93" s="196"/>
      <c r="BC93"/>
    </row>
    <row r="94" spans="1:55">
      <c r="A94" s="299" t="s">
        <v>62</v>
      </c>
      <c r="B94" s="299">
        <v>36</v>
      </c>
      <c r="C94" s="1194">
        <v>56833</v>
      </c>
      <c r="D94" s="1613">
        <v>99279</v>
      </c>
      <c r="E94" s="1209">
        <v>139566</v>
      </c>
      <c r="F94" s="1210">
        <v>139566</v>
      </c>
      <c r="G94" s="723">
        <f t="shared" si="14"/>
        <v>139566</v>
      </c>
      <c r="H94" s="1194">
        <v>106473</v>
      </c>
      <c r="I94" s="1198">
        <v>150357</v>
      </c>
      <c r="J94" s="390">
        <f t="shared" si="15"/>
        <v>150357</v>
      </c>
      <c r="Q94" s="299" t="s">
        <v>62</v>
      </c>
      <c r="R94" s="299">
        <v>36</v>
      </c>
      <c r="S94" s="659"/>
      <c r="T94" s="679">
        <f t="shared" si="16"/>
        <v>-40287</v>
      </c>
      <c r="U94" s="679">
        <f t="shared" si="17"/>
        <v>0</v>
      </c>
      <c r="V94" s="679">
        <f t="shared" si="18"/>
        <v>0</v>
      </c>
      <c r="W94" s="723"/>
      <c r="X94" s="678">
        <f t="shared" si="19"/>
        <v>-43884</v>
      </c>
      <c r="Y94" s="678">
        <f t="shared" si="20"/>
        <v>0</v>
      </c>
      <c r="Z94" s="390"/>
      <c r="AW94" s="627">
        <v>2175</v>
      </c>
      <c r="AX94" s="628" t="s">
        <v>4035</v>
      </c>
      <c r="AY94" s="629" t="s">
        <v>2808</v>
      </c>
      <c r="AZ94"/>
      <c r="BA94" s="196"/>
      <c r="BC94"/>
    </row>
    <row r="95" spans="1:55">
      <c r="A95" s="621" t="s">
        <v>419</v>
      </c>
      <c r="B95" s="76">
        <v>37</v>
      </c>
      <c r="C95" s="1194">
        <v>56833</v>
      </c>
      <c r="D95" s="1613">
        <v>99279</v>
      </c>
      <c r="E95" s="1209">
        <v>146040</v>
      </c>
      <c r="F95" s="1210">
        <v>146040</v>
      </c>
      <c r="G95" s="723">
        <f t="shared" si="14"/>
        <v>146040</v>
      </c>
      <c r="H95" s="1194">
        <v>111509</v>
      </c>
      <c r="I95" s="1198">
        <v>150357</v>
      </c>
      <c r="J95" s="390">
        <f t="shared" si="15"/>
        <v>150357</v>
      </c>
      <c r="Q95" s="621" t="s">
        <v>419</v>
      </c>
      <c r="R95" s="76">
        <v>37</v>
      </c>
      <c r="S95" s="659"/>
      <c r="T95" s="679">
        <f t="shared" si="16"/>
        <v>-46761</v>
      </c>
      <c r="U95" s="679">
        <f t="shared" si="17"/>
        <v>0</v>
      </c>
      <c r="V95" s="679">
        <f t="shared" si="18"/>
        <v>0</v>
      </c>
      <c r="W95" s="723"/>
      <c r="X95" s="678">
        <f t="shared" si="19"/>
        <v>-38848</v>
      </c>
      <c r="Y95" s="678">
        <f t="shared" si="20"/>
        <v>0</v>
      </c>
      <c r="Z95" s="390"/>
      <c r="AW95" s="627">
        <v>2176</v>
      </c>
      <c r="AX95" s="628" t="s">
        <v>4036</v>
      </c>
      <c r="AY95" s="629" t="s">
        <v>2808</v>
      </c>
      <c r="AZ95"/>
      <c r="BA95" s="196"/>
      <c r="BC95"/>
    </row>
    <row r="96" spans="1:55">
      <c r="A96" s="76" t="s">
        <v>63</v>
      </c>
      <c r="B96" s="299">
        <v>38</v>
      </c>
      <c r="C96" s="1193">
        <v>45323</v>
      </c>
      <c r="D96" s="1615">
        <v>94962</v>
      </c>
      <c r="E96" s="1206">
        <v>139566</v>
      </c>
      <c r="F96" s="1207">
        <v>139566</v>
      </c>
      <c r="G96" s="723">
        <f t="shared" si="14"/>
        <v>139566</v>
      </c>
      <c r="H96" s="1193">
        <v>106473</v>
      </c>
      <c r="I96" s="1197">
        <v>143882</v>
      </c>
      <c r="J96" s="390">
        <f t="shared" si="15"/>
        <v>143882</v>
      </c>
      <c r="Q96" s="76" t="s">
        <v>63</v>
      </c>
      <c r="R96" s="299">
        <v>38</v>
      </c>
      <c r="S96" s="656"/>
      <c r="T96" s="679">
        <f t="shared" si="16"/>
        <v>-44604</v>
      </c>
      <c r="U96" s="679">
        <f t="shared" si="17"/>
        <v>0</v>
      </c>
      <c r="V96" s="679">
        <f t="shared" si="18"/>
        <v>0</v>
      </c>
      <c r="W96" s="723"/>
      <c r="X96" s="678">
        <f t="shared" si="19"/>
        <v>-37409</v>
      </c>
      <c r="Y96" s="678">
        <f t="shared" si="20"/>
        <v>0</v>
      </c>
      <c r="Z96" s="390"/>
      <c r="AW96" s="627">
        <v>2177</v>
      </c>
      <c r="AX96" s="628" t="s">
        <v>4037</v>
      </c>
      <c r="AY96" s="629" t="s">
        <v>2808</v>
      </c>
      <c r="AZ96"/>
      <c r="BA96" s="196"/>
      <c r="BC96"/>
    </row>
    <row r="97" spans="1:55" ht="13.5" thickBot="1">
      <c r="A97" s="652" t="s">
        <v>64</v>
      </c>
      <c r="B97" s="76">
        <v>39</v>
      </c>
      <c r="C97" s="1196">
        <v>51078</v>
      </c>
      <c r="D97" s="1616">
        <v>94962</v>
      </c>
      <c r="E97" s="1214">
        <v>139566</v>
      </c>
      <c r="F97" s="1215">
        <v>139566</v>
      </c>
      <c r="G97" s="723">
        <f t="shared" si="14"/>
        <v>139566</v>
      </c>
      <c r="H97" s="1196">
        <v>106473</v>
      </c>
      <c r="I97" s="1200">
        <v>146760</v>
      </c>
      <c r="J97" s="390">
        <f t="shared" si="15"/>
        <v>146760</v>
      </c>
      <c r="Q97" s="652" t="s">
        <v>64</v>
      </c>
      <c r="R97" s="76">
        <v>39</v>
      </c>
      <c r="S97" s="661"/>
      <c r="T97" s="679">
        <f t="shared" si="16"/>
        <v>-44604</v>
      </c>
      <c r="U97" s="679">
        <f t="shared" si="17"/>
        <v>0</v>
      </c>
      <c r="V97" s="679">
        <f t="shared" si="18"/>
        <v>0</v>
      </c>
      <c r="W97" s="723"/>
      <c r="X97" s="678">
        <f t="shared" si="19"/>
        <v>-40287</v>
      </c>
      <c r="Y97" s="678">
        <f t="shared" si="20"/>
        <v>0</v>
      </c>
      <c r="Z97" s="390"/>
      <c r="AW97" s="627">
        <v>2181</v>
      </c>
      <c r="AX97" s="628" t="s">
        <v>4038</v>
      </c>
      <c r="AY97" s="693" t="s">
        <v>152</v>
      </c>
      <c r="AZ97"/>
      <c r="BA97" s="196"/>
      <c r="BC97"/>
    </row>
    <row r="98" spans="1:55">
      <c r="AW98" s="627">
        <v>2182</v>
      </c>
      <c r="AX98" s="628" t="s">
        <v>4039</v>
      </c>
      <c r="AY98" s="693" t="s">
        <v>152</v>
      </c>
      <c r="AZ98"/>
      <c r="BA98" s="196"/>
      <c r="BC98"/>
    </row>
    <row r="99" spans="1:55" ht="15.75">
      <c r="A99" s="652" t="s">
        <v>658</v>
      </c>
      <c r="D99" t="s">
        <v>4321</v>
      </c>
      <c r="F99" t="s">
        <v>4322</v>
      </c>
      <c r="I99" s="800" t="s">
        <v>4323</v>
      </c>
      <c r="AW99" s="627">
        <v>2183</v>
      </c>
      <c r="AX99" s="628" t="s">
        <v>4040</v>
      </c>
      <c r="AY99" s="693" t="s">
        <v>152</v>
      </c>
      <c r="AZ99"/>
      <c r="BA99" s="196"/>
      <c r="BC99"/>
    </row>
    <row r="100" spans="1:55" ht="15.75">
      <c r="A100" s="114" t="s">
        <v>1494</v>
      </c>
      <c r="B100" s="2420">
        <v>17266</v>
      </c>
      <c r="C100" s="2246"/>
      <c r="D100" s="2246">
        <f>B100*NDK!$B26*$I$10</f>
        <v>0</v>
      </c>
      <c r="E100" s="2246"/>
      <c r="F100" s="2246">
        <f>ROUND(D100/366,0)*366</f>
        <v>0</v>
      </c>
      <c r="I100" s="801">
        <f>F124</f>
        <v>0</v>
      </c>
      <c r="AW100" s="627">
        <v>2184</v>
      </c>
      <c r="AX100" s="628" t="s">
        <v>4041</v>
      </c>
      <c r="AY100" s="693" t="s">
        <v>152</v>
      </c>
      <c r="AZ100"/>
      <c r="BA100" s="196"/>
      <c r="BC100"/>
    </row>
    <row r="101" spans="1:55">
      <c r="A101" s="114" t="s">
        <v>3072</v>
      </c>
      <c r="B101" s="1846">
        <v>74825</v>
      </c>
      <c r="C101" s="2246"/>
      <c r="D101" s="2246">
        <f>B101*NDK!$B27*$I$10</f>
        <v>0</v>
      </c>
      <c r="E101" s="2246"/>
      <c r="F101" s="2246">
        <f t="shared" ref="F101:F123" si="21">ROUND(D101/366,0)*366</f>
        <v>0</v>
      </c>
      <c r="AW101" s="627">
        <v>2185</v>
      </c>
      <c r="AX101" s="628" t="s">
        <v>4042</v>
      </c>
      <c r="AY101" s="693" t="s">
        <v>152</v>
      </c>
      <c r="AZ101"/>
      <c r="BA101" s="196"/>
      <c r="BC101"/>
    </row>
    <row r="102" spans="1:55">
      <c r="A102" s="257" t="s">
        <v>1862</v>
      </c>
      <c r="B102" s="2414"/>
      <c r="C102" s="2246"/>
      <c r="D102" s="2246">
        <f>B102*NDK!$B28*$I$10</f>
        <v>0</v>
      </c>
      <c r="E102" s="2246"/>
      <c r="F102" s="2246">
        <f t="shared" si="21"/>
        <v>0</v>
      </c>
      <c r="AW102" s="627">
        <v>2191</v>
      </c>
      <c r="AX102" s="628" t="s">
        <v>4043</v>
      </c>
      <c r="AY102" s="693" t="s">
        <v>152</v>
      </c>
      <c r="AZ102"/>
      <c r="BA102" s="196"/>
      <c r="BC102"/>
    </row>
    <row r="103" spans="1:55" ht="15.75">
      <c r="A103" s="2421" t="s">
        <v>3071</v>
      </c>
      <c r="B103" s="2420">
        <v>99280</v>
      </c>
      <c r="C103" s="2424"/>
      <c r="D103" s="2422">
        <f>NDK!$B$29*$K$115</f>
        <v>0</v>
      </c>
      <c r="E103" s="2246"/>
      <c r="F103" s="2246">
        <f t="shared" si="21"/>
        <v>0</v>
      </c>
      <c r="K103" s="1838">
        <v>2015</v>
      </c>
      <c r="AW103" s="627">
        <v>2192</v>
      </c>
      <c r="AX103" s="628" t="s">
        <v>4044</v>
      </c>
      <c r="AY103" s="693" t="s">
        <v>152</v>
      </c>
      <c r="AZ103"/>
      <c r="BA103" s="196"/>
      <c r="BC103"/>
    </row>
    <row r="104" spans="1:55">
      <c r="A104" s="114" t="s">
        <v>3073</v>
      </c>
      <c r="B104" s="2414"/>
      <c r="C104" s="2246"/>
      <c r="D104" s="2246">
        <f>B104*NDK!$B30*$I$10</f>
        <v>0</v>
      </c>
      <c r="E104" s="2246"/>
      <c r="F104" s="2246">
        <f t="shared" si="21"/>
        <v>0</v>
      </c>
      <c r="I104" t="s">
        <v>330</v>
      </c>
      <c r="J104" s="73">
        <f>Q10</f>
        <v>0</v>
      </c>
      <c r="K104" s="1840" t="s">
        <v>1328</v>
      </c>
      <c r="L104" s="1840"/>
      <c r="M104" s="1840"/>
      <c r="N104" s="1841">
        <f>J104+J105+J106</f>
        <v>0</v>
      </c>
      <c r="AW104" s="627">
        <v>2193</v>
      </c>
      <c r="AX104" s="628" t="s">
        <v>4045</v>
      </c>
      <c r="AY104" s="693" t="s">
        <v>152</v>
      </c>
      <c r="AZ104"/>
      <c r="BA104" s="196"/>
      <c r="BC104"/>
    </row>
    <row r="105" spans="1:55">
      <c r="A105" s="114" t="s">
        <v>491</v>
      </c>
      <c r="B105" s="2415">
        <v>297116</v>
      </c>
      <c r="C105" s="2246"/>
      <c r="D105" s="2416">
        <f>$B$105*NDK!$B$31*$I$10*$J$110</f>
        <v>0</v>
      </c>
      <c r="E105" s="2246"/>
      <c r="F105" s="2246">
        <f t="shared" si="21"/>
        <v>0</v>
      </c>
      <c r="I105" t="s">
        <v>331</v>
      </c>
      <c r="J105" s="73">
        <f>AE80</f>
        <v>0</v>
      </c>
      <c r="K105" s="1838" t="s">
        <v>1725</v>
      </c>
      <c r="L105" s="1838"/>
      <c r="M105" s="1838" t="str">
        <f>KÉRDÉSEK!C382</f>
        <v>NEM</v>
      </c>
      <c r="N105" s="290" t="s">
        <v>4201</v>
      </c>
      <c r="AW105" s="627">
        <v>2194</v>
      </c>
      <c r="AX105" s="628" t="s">
        <v>4046</v>
      </c>
      <c r="AY105" s="693" t="s">
        <v>152</v>
      </c>
      <c r="AZ105"/>
      <c r="BA105" s="196"/>
      <c r="BC105"/>
    </row>
    <row r="106" spans="1:55">
      <c r="A106" s="114" t="s">
        <v>492</v>
      </c>
      <c r="B106" s="2417">
        <v>297116</v>
      </c>
      <c r="C106" s="2246"/>
      <c r="D106" s="2416">
        <f>$B$106*NDK!$B$32*$I$10*$J$110</f>
        <v>0</v>
      </c>
      <c r="E106" s="2246"/>
      <c r="F106" s="2246">
        <f t="shared" si="21"/>
        <v>0</v>
      </c>
      <c r="I106" t="s">
        <v>332</v>
      </c>
      <c r="J106" s="73">
        <f>I100</f>
        <v>0</v>
      </c>
      <c r="K106" s="1838" t="s">
        <v>1329</v>
      </c>
      <c r="L106" s="1838"/>
      <c r="M106" s="1838">
        <f>KÉRDÉSEK!C383</f>
        <v>0</v>
      </c>
      <c r="N106" s="290" t="s">
        <v>4202</v>
      </c>
      <c r="AW106" s="627">
        <v>2200</v>
      </c>
      <c r="AX106" s="628" t="s">
        <v>4051</v>
      </c>
      <c r="AY106" s="693" t="s">
        <v>152</v>
      </c>
      <c r="AZ106"/>
      <c r="BA106" s="196"/>
      <c r="BC106"/>
    </row>
    <row r="107" spans="1:55" ht="15.75">
      <c r="A107" s="114" t="s">
        <v>1179</v>
      </c>
      <c r="B107" s="2417">
        <v>17266</v>
      </c>
      <c r="C107" s="2246"/>
      <c r="D107" s="2428">
        <f>$B$107*NDK!$B33*$I$10</f>
        <v>0</v>
      </c>
      <c r="E107" s="2246"/>
      <c r="F107" s="2246">
        <f t="shared" si="21"/>
        <v>0</v>
      </c>
      <c r="I107" s="807" t="s">
        <v>329</v>
      </c>
      <c r="J107" s="808">
        <f>IF(M105=N105,N104*M106,N104)</f>
        <v>0</v>
      </c>
      <c r="AW107" s="627">
        <v>2209</v>
      </c>
      <c r="AX107" s="628" t="s">
        <v>4048</v>
      </c>
      <c r="AY107" s="693" t="s">
        <v>152</v>
      </c>
      <c r="AZ107"/>
      <c r="BA107" s="196"/>
      <c r="BC107"/>
    </row>
    <row r="108" spans="1:55" ht="15.75">
      <c r="A108" s="114" t="s">
        <v>3074</v>
      </c>
      <c r="B108" s="2417">
        <v>7670</v>
      </c>
      <c r="C108" s="2246"/>
      <c r="D108" s="2428">
        <f>B108*NDK!$B34*$I$10</f>
        <v>0</v>
      </c>
      <c r="E108" s="2246"/>
      <c r="F108" s="2246">
        <f t="shared" si="21"/>
        <v>0</v>
      </c>
      <c r="AW108" s="627">
        <v>2211</v>
      </c>
      <c r="AX108" s="628" t="s">
        <v>4049</v>
      </c>
      <c r="AY108" s="693" t="s">
        <v>152</v>
      </c>
      <c r="AZ108"/>
      <c r="BA108" s="196"/>
      <c r="BC108"/>
    </row>
    <row r="109" spans="1:55" ht="15.75">
      <c r="A109" s="114" t="s">
        <v>1234</v>
      </c>
      <c r="B109" s="2417">
        <v>9549</v>
      </c>
      <c r="C109" s="2246"/>
      <c r="D109" s="2428">
        <f>B109*NDK!$B35*$I$10</f>
        <v>0</v>
      </c>
      <c r="E109" s="2246"/>
      <c r="F109" s="2246">
        <f t="shared" si="21"/>
        <v>0</v>
      </c>
      <c r="AW109" s="627">
        <v>2212</v>
      </c>
      <c r="AX109" s="628" t="s">
        <v>4050</v>
      </c>
      <c r="AY109" s="693" t="s">
        <v>152</v>
      </c>
      <c r="AZ109"/>
      <c r="BA109" s="196"/>
      <c r="BC109"/>
    </row>
    <row r="110" spans="1:55" ht="15.75">
      <c r="A110" s="114" t="s">
        <v>1235</v>
      </c>
      <c r="B110" s="2417">
        <v>9549</v>
      </c>
      <c r="C110" s="2246"/>
      <c r="D110" s="2428">
        <f>B110*NDK!$B36*$I$10</f>
        <v>0</v>
      </c>
      <c r="E110" s="2246"/>
      <c r="F110" s="2246">
        <f t="shared" si="21"/>
        <v>0</v>
      </c>
      <c r="I110" s="388" t="s">
        <v>2375</v>
      </c>
      <c r="J110" s="388">
        <v>1.5</v>
      </c>
      <c r="AW110" s="627">
        <v>2213</v>
      </c>
      <c r="AX110" s="628" t="s">
        <v>4047</v>
      </c>
      <c r="AY110" s="693" t="s">
        <v>152</v>
      </c>
      <c r="AZ110"/>
      <c r="BA110" s="196"/>
      <c r="BC110"/>
    </row>
    <row r="111" spans="1:55" ht="15.75">
      <c r="A111" s="114" t="s">
        <v>1236</v>
      </c>
      <c r="B111" s="2417">
        <v>31542</v>
      </c>
      <c r="C111" s="2246"/>
      <c r="D111" s="2428">
        <f>B111*NDK!$B37*$I$10</f>
        <v>0</v>
      </c>
      <c r="E111" s="2246"/>
      <c r="F111" s="2246">
        <f t="shared" si="21"/>
        <v>0</v>
      </c>
      <c r="AW111" s="627">
        <v>2214</v>
      </c>
      <c r="AX111" s="628" t="s">
        <v>4052</v>
      </c>
      <c r="AY111" s="693" t="s">
        <v>152</v>
      </c>
      <c r="AZ111"/>
      <c r="BA111" s="196"/>
      <c r="BC111"/>
    </row>
    <row r="112" spans="1:55" ht="18">
      <c r="A112" s="258" t="s">
        <v>2710</v>
      </c>
      <c r="B112" s="2414"/>
      <c r="C112" s="2246"/>
      <c r="D112" s="2246">
        <f>B112*NDK!$B38*$I$10</f>
        <v>0</v>
      </c>
      <c r="E112" s="2246"/>
      <c r="F112" s="2246">
        <f t="shared" si="21"/>
        <v>0</v>
      </c>
      <c r="I112" s="2426" t="s">
        <v>5070</v>
      </c>
      <c r="J112" s="2321"/>
      <c r="K112" s="2321"/>
      <c r="L112" s="2425"/>
      <c r="M112" s="2425"/>
      <c r="N112" s="2425"/>
      <c r="AW112" s="627">
        <v>2215</v>
      </c>
      <c r="AX112" s="628" t="s">
        <v>4053</v>
      </c>
      <c r="AY112" s="693" t="s">
        <v>152</v>
      </c>
      <c r="AZ112"/>
      <c r="BA112" s="196"/>
      <c r="BC112"/>
    </row>
    <row r="113" spans="1:55">
      <c r="A113" s="114" t="s">
        <v>1237</v>
      </c>
      <c r="B113" s="2414"/>
      <c r="C113" s="2246"/>
      <c r="D113" s="2246">
        <f>B113*NDK!$B39*$I$10</f>
        <v>0</v>
      </c>
      <c r="E113" s="2246"/>
      <c r="F113" s="2246">
        <f t="shared" si="21"/>
        <v>0</v>
      </c>
      <c r="I113" s="2423" t="s">
        <v>5068</v>
      </c>
      <c r="J113" s="2427">
        <v>195640</v>
      </c>
      <c r="K113" s="2422"/>
      <c r="L113" s="2425"/>
      <c r="M113" s="2425"/>
      <c r="N113" s="2425"/>
      <c r="AW113" s="627">
        <v>2216</v>
      </c>
      <c r="AX113" s="628" t="s">
        <v>4054</v>
      </c>
      <c r="AY113" s="693" t="s">
        <v>152</v>
      </c>
      <c r="AZ113"/>
      <c r="BA113" s="196"/>
      <c r="BC113"/>
    </row>
    <row r="114" spans="1:55">
      <c r="A114" s="114" t="s">
        <v>1238</v>
      </c>
      <c r="B114" s="2417">
        <v>12993</v>
      </c>
      <c r="C114" s="2246"/>
      <c r="D114" s="2246">
        <f>B114*NDK!$B40*$I$10</f>
        <v>0</v>
      </c>
      <c r="E114" s="2246"/>
      <c r="F114" s="2246">
        <f t="shared" si="21"/>
        <v>0</v>
      </c>
      <c r="I114" s="2423" t="s">
        <v>5069</v>
      </c>
      <c r="J114" s="2422"/>
      <c r="K114" s="2422">
        <f>$B$103*$I$10</f>
        <v>0</v>
      </c>
      <c r="L114" s="2425"/>
      <c r="M114" s="2425"/>
      <c r="N114" s="2425"/>
      <c r="AW114" s="627">
        <v>2217</v>
      </c>
      <c r="AX114" s="628" t="s">
        <v>4055</v>
      </c>
      <c r="AY114" s="693" t="s">
        <v>152</v>
      </c>
      <c r="AZ114"/>
      <c r="BA114" s="196"/>
      <c r="BC114"/>
    </row>
    <row r="115" spans="1:55">
      <c r="A115" s="115" t="s">
        <v>497</v>
      </c>
      <c r="B115" s="2417">
        <v>12993</v>
      </c>
      <c r="C115" s="2246"/>
      <c r="D115" s="2246">
        <f>B115*NDK!$B41*$I$10</f>
        <v>0</v>
      </c>
      <c r="E115" s="2246"/>
      <c r="F115" s="2246">
        <f t="shared" si="21"/>
        <v>0</v>
      </c>
      <c r="I115" s="2423" t="s">
        <v>232</v>
      </c>
      <c r="J115" s="2422"/>
      <c r="K115" s="2422">
        <f>MAX(J113,K114)</f>
        <v>195640</v>
      </c>
      <c r="L115" s="2425"/>
      <c r="M115" s="2425"/>
      <c r="N115" s="2425"/>
      <c r="AW115" s="627">
        <v>2220</v>
      </c>
      <c r="AX115" s="628" t="s">
        <v>4056</v>
      </c>
      <c r="AY115" s="693" t="s">
        <v>152</v>
      </c>
      <c r="AZ115"/>
      <c r="BA115" s="196"/>
      <c r="BC115"/>
    </row>
    <row r="116" spans="1:55">
      <c r="A116" s="106" t="s">
        <v>493</v>
      </c>
      <c r="B116" s="2417">
        <v>15827</v>
      </c>
      <c r="C116" s="2246"/>
      <c r="D116" s="2246">
        <f>B116*NDK!$B42*$I$10</f>
        <v>0</v>
      </c>
      <c r="E116" s="2246"/>
      <c r="F116" s="2246">
        <f t="shared" si="21"/>
        <v>0</v>
      </c>
      <c r="I116" s="2425"/>
      <c r="J116" s="2425"/>
      <c r="K116" s="2425"/>
      <c r="L116" s="2425"/>
      <c r="M116" s="2425"/>
      <c r="N116" s="2425"/>
      <c r="AW116" s="627">
        <v>2225</v>
      </c>
      <c r="AX116" s="628" t="s">
        <v>4057</v>
      </c>
      <c r="AY116" s="693" t="s">
        <v>152</v>
      </c>
      <c r="AZ116"/>
      <c r="BA116" s="196"/>
      <c r="BC116"/>
    </row>
    <row r="117" spans="1:55">
      <c r="A117" s="106" t="s">
        <v>494</v>
      </c>
      <c r="B117" s="2417">
        <v>15827</v>
      </c>
      <c r="C117" s="2246"/>
      <c r="D117" s="2246">
        <f>B117*NDK!$B43*$I$10</f>
        <v>0</v>
      </c>
      <c r="E117" s="2246"/>
      <c r="F117" s="2246">
        <f t="shared" si="21"/>
        <v>0</v>
      </c>
      <c r="AW117" s="627">
        <v>2230</v>
      </c>
      <c r="AX117" s="628" t="s">
        <v>4058</v>
      </c>
      <c r="AY117" s="693" t="s">
        <v>152</v>
      </c>
      <c r="AZ117"/>
      <c r="BA117" s="196"/>
      <c r="BC117"/>
    </row>
    <row r="118" spans="1:55" ht="15.75">
      <c r="A118" s="114" t="s">
        <v>1178</v>
      </c>
      <c r="B118" s="2418">
        <v>198559</v>
      </c>
      <c r="C118" s="2246"/>
      <c r="D118" s="2246">
        <f>B118*NDK!$B44*$I$10</f>
        <v>0</v>
      </c>
      <c r="E118" s="2246"/>
      <c r="F118" s="2246">
        <f t="shared" si="21"/>
        <v>0</v>
      </c>
      <c r="AW118" s="627">
        <v>2233</v>
      </c>
      <c r="AX118" s="628" t="s">
        <v>4059</v>
      </c>
      <c r="AY118" s="693" t="s">
        <v>152</v>
      </c>
      <c r="AZ118"/>
      <c r="BA118" s="196"/>
      <c r="BC118"/>
    </row>
    <row r="119" spans="1:55" ht="15.75">
      <c r="A119" s="114" t="s">
        <v>1239</v>
      </c>
      <c r="B119" s="2418">
        <v>511505</v>
      </c>
      <c r="C119" s="2246"/>
      <c r="D119" s="2246">
        <f>B119*NDK!$B45*$I$10</f>
        <v>0</v>
      </c>
      <c r="E119" s="2246"/>
      <c r="F119" s="2246">
        <f t="shared" si="21"/>
        <v>0</v>
      </c>
      <c r="AW119" s="627">
        <v>2234</v>
      </c>
      <c r="AX119" s="628" t="s">
        <v>4060</v>
      </c>
      <c r="AY119" s="693" t="s">
        <v>152</v>
      </c>
      <c r="AZ119"/>
      <c r="BA119" s="196"/>
      <c r="BC119"/>
    </row>
    <row r="120" spans="1:55" ht="15.75">
      <c r="A120" s="114" t="s">
        <v>1240</v>
      </c>
      <c r="B120" s="2418">
        <v>511505</v>
      </c>
      <c r="C120" s="2246"/>
      <c r="D120" s="2246">
        <f>B120*NDK!$B46*$I$10</f>
        <v>0</v>
      </c>
      <c r="E120" s="2246"/>
      <c r="F120" s="2246">
        <f t="shared" si="21"/>
        <v>0</v>
      </c>
      <c r="AW120" s="627">
        <v>2235</v>
      </c>
      <c r="AX120" s="628" t="s">
        <v>4061</v>
      </c>
      <c r="AY120" s="693" t="s">
        <v>152</v>
      </c>
      <c r="AZ120"/>
      <c r="BA120" s="196"/>
      <c r="BC120"/>
    </row>
    <row r="121" spans="1:55" ht="15.75">
      <c r="A121" s="114" t="s">
        <v>4873</v>
      </c>
      <c r="B121" s="2418">
        <v>511505</v>
      </c>
      <c r="C121" s="2246"/>
      <c r="D121" s="2246">
        <f>B121*NDK!$B47*$I$10</f>
        <v>0</v>
      </c>
      <c r="E121" s="2246"/>
      <c r="F121" s="2246">
        <f t="shared" si="21"/>
        <v>0</v>
      </c>
      <c r="AW121" s="627">
        <v>2241</v>
      </c>
      <c r="AX121" s="628" t="s">
        <v>4063</v>
      </c>
      <c r="AY121" s="693" t="s">
        <v>152</v>
      </c>
      <c r="AZ121"/>
      <c r="BA121" s="196"/>
      <c r="BC121"/>
    </row>
    <row r="122" spans="1:55">
      <c r="A122" s="114" t="s">
        <v>490</v>
      </c>
      <c r="B122" s="2414"/>
      <c r="C122" s="2246"/>
      <c r="D122" s="2246">
        <f>B122*NDK!$B48*$I$10</f>
        <v>0</v>
      </c>
      <c r="E122" s="2246"/>
      <c r="F122" s="2246">
        <f t="shared" si="21"/>
        <v>0</v>
      </c>
      <c r="AW122" s="627">
        <v>2242</v>
      </c>
      <c r="AX122" s="628" t="s">
        <v>4063</v>
      </c>
      <c r="AY122" s="693" t="s">
        <v>152</v>
      </c>
      <c r="AZ122"/>
      <c r="BA122" s="196"/>
      <c r="BC122"/>
    </row>
    <row r="123" spans="1:55">
      <c r="A123" s="114" t="s">
        <v>4874</v>
      </c>
      <c r="B123" s="2419">
        <v>0</v>
      </c>
      <c r="C123" s="2246"/>
      <c r="D123" s="2246">
        <f>B123*NDK!$B49*$I$10</f>
        <v>0</v>
      </c>
      <c r="E123" s="2246"/>
      <c r="F123" s="2246">
        <f t="shared" si="21"/>
        <v>0</v>
      </c>
      <c r="AW123" s="627">
        <v>2243</v>
      </c>
      <c r="AX123" s="628" t="s">
        <v>4064</v>
      </c>
      <c r="AY123" s="693" t="s">
        <v>152</v>
      </c>
      <c r="AZ123"/>
      <c r="BA123" s="196"/>
      <c r="BC123"/>
    </row>
    <row r="124" spans="1:55">
      <c r="B124" s="2246"/>
      <c r="C124" s="2246"/>
      <c r="D124" s="2246"/>
      <c r="E124" s="2246"/>
      <c r="F124" s="2246">
        <f>SUM(F100:F123)</f>
        <v>0</v>
      </c>
      <c r="AW124" s="627">
        <v>2244</v>
      </c>
      <c r="AX124" s="628" t="s">
        <v>4065</v>
      </c>
      <c r="AY124" s="693" t="s">
        <v>152</v>
      </c>
      <c r="AZ124"/>
      <c r="BA124" s="196"/>
      <c r="BC124"/>
    </row>
    <row r="125" spans="1:55">
      <c r="AW125" s="627">
        <v>2251</v>
      </c>
      <c r="AX125" s="628" t="s">
        <v>4066</v>
      </c>
      <c r="AY125" s="693" t="s">
        <v>152</v>
      </c>
      <c r="AZ125"/>
      <c r="BA125" s="196"/>
      <c r="BC125"/>
    </row>
    <row r="126" spans="1:55" ht="13.5" thickBot="1">
      <c r="A126" s="725" t="s">
        <v>164</v>
      </c>
      <c r="B126">
        <v>1</v>
      </c>
      <c r="C126">
        <v>2</v>
      </c>
      <c r="D126">
        <v>3</v>
      </c>
      <c r="E126">
        <v>4</v>
      </c>
      <c r="F126">
        <v>5</v>
      </c>
      <c r="G126">
        <v>6</v>
      </c>
      <c r="H126">
        <v>7</v>
      </c>
      <c r="I126">
        <v>8</v>
      </c>
      <c r="J126">
        <v>9</v>
      </c>
      <c r="K126">
        <v>10</v>
      </c>
      <c r="L126">
        <v>11</v>
      </c>
      <c r="M126">
        <v>12</v>
      </c>
      <c r="N126">
        <v>13</v>
      </c>
      <c r="O126">
        <v>14</v>
      </c>
      <c r="P126">
        <v>15</v>
      </c>
      <c r="Q126">
        <v>16</v>
      </c>
      <c r="R126">
        <v>17</v>
      </c>
      <c r="S126">
        <v>18</v>
      </c>
      <c r="T126">
        <v>19</v>
      </c>
      <c r="U126">
        <v>20</v>
      </c>
      <c r="V126">
        <v>21</v>
      </c>
      <c r="W126">
        <v>22</v>
      </c>
      <c r="X126">
        <v>23</v>
      </c>
      <c r="Y126">
        <v>24</v>
      </c>
      <c r="Z126">
        <v>25</v>
      </c>
      <c r="AA126">
        <v>26</v>
      </c>
      <c r="AB126">
        <v>27</v>
      </c>
      <c r="AC126">
        <v>28</v>
      </c>
      <c r="AD126">
        <v>29</v>
      </c>
      <c r="AE126">
        <v>30</v>
      </c>
      <c r="AF126">
        <v>31</v>
      </c>
      <c r="AG126">
        <v>32</v>
      </c>
      <c r="AH126">
        <v>33</v>
      </c>
      <c r="AI126">
        <v>34</v>
      </c>
      <c r="AJ126">
        <v>35</v>
      </c>
      <c r="AK126">
        <v>36</v>
      </c>
      <c r="AL126">
        <v>37</v>
      </c>
      <c r="AM126">
        <v>38</v>
      </c>
      <c r="AN126">
        <v>39</v>
      </c>
      <c r="AO126">
        <v>40</v>
      </c>
      <c r="AP126">
        <v>41</v>
      </c>
      <c r="AQ126">
        <v>42</v>
      </c>
      <c r="AR126">
        <v>43</v>
      </c>
      <c r="AS126">
        <v>44</v>
      </c>
      <c r="AT126">
        <v>45</v>
      </c>
      <c r="AU126">
        <v>46</v>
      </c>
      <c r="AW126" s="627">
        <v>2252</v>
      </c>
      <c r="AX126" s="628" t="s">
        <v>4067</v>
      </c>
      <c r="AY126" s="693" t="s">
        <v>152</v>
      </c>
      <c r="AZ126"/>
      <c r="BA126" s="196"/>
      <c r="BC126"/>
    </row>
    <row r="127" spans="1:55" ht="25.5">
      <c r="A127" s="730" t="s">
        <v>173</v>
      </c>
      <c r="C127" s="731" t="s">
        <v>2451</v>
      </c>
      <c r="D127" s="732"/>
      <c r="E127" s="732"/>
      <c r="F127" s="733"/>
      <c r="G127" s="697"/>
      <c r="H127" s="3419" t="s">
        <v>2452</v>
      </c>
      <c r="I127" s="3420"/>
      <c r="J127" s="3420"/>
      <c r="K127" s="3421"/>
      <c r="L127" s="700"/>
      <c r="M127" s="3428" t="s">
        <v>1490</v>
      </c>
      <c r="N127" s="3408"/>
      <c r="O127" s="3408"/>
      <c r="P127" s="3429"/>
      <c r="Q127" s="3409"/>
      <c r="R127" s="697"/>
      <c r="S127" s="3419" t="s">
        <v>3807</v>
      </c>
      <c r="T127" s="3420"/>
      <c r="U127" s="3420"/>
      <c r="V127" s="3421"/>
      <c r="W127" s="700"/>
      <c r="X127" s="3422" t="s">
        <v>3810</v>
      </c>
      <c r="Y127" s="3423"/>
      <c r="Z127" s="3423"/>
      <c r="AA127" s="3424"/>
      <c r="AB127" s="703"/>
      <c r="AC127" s="726" t="s">
        <v>165</v>
      </c>
      <c r="AD127" s="3425" t="s">
        <v>3811</v>
      </c>
      <c r="AE127" s="3426"/>
      <c r="AF127" s="3426"/>
      <c r="AG127" s="3427"/>
      <c r="AH127" s="705"/>
      <c r="AI127" s="3433" t="s">
        <v>3812</v>
      </c>
      <c r="AJ127" s="3434"/>
      <c r="AK127" s="3435"/>
      <c r="AL127" s="684"/>
      <c r="AM127" s="3413" t="s">
        <v>3814</v>
      </c>
      <c r="AN127" s="3414"/>
      <c r="AO127" s="3415"/>
      <c r="AP127" s="685"/>
      <c r="AQ127" s="728" t="s">
        <v>166</v>
      </c>
      <c r="AR127" s="3416" t="s">
        <v>3815</v>
      </c>
      <c r="AS127" s="3417"/>
      <c r="AT127" s="3418"/>
      <c r="AU127" s="709"/>
      <c r="AW127" s="627">
        <v>2253</v>
      </c>
      <c r="AX127" s="628" t="s">
        <v>4068</v>
      </c>
      <c r="AY127" s="693" t="s">
        <v>152</v>
      </c>
      <c r="AZ127"/>
      <c r="BA127" s="196"/>
      <c r="BC127"/>
    </row>
    <row r="128" spans="1:55" ht="25.5">
      <c r="A128" s="645"/>
      <c r="B128" s="646" t="s">
        <v>157</v>
      </c>
      <c r="C128" s="654" t="s">
        <v>4661</v>
      </c>
      <c r="D128" s="644" t="s">
        <v>3147</v>
      </c>
      <c r="E128" s="644" t="s">
        <v>3148</v>
      </c>
      <c r="F128" s="655" t="s">
        <v>4660</v>
      </c>
      <c r="G128" s="698"/>
      <c r="H128" s="663" t="s">
        <v>4661</v>
      </c>
      <c r="I128" s="664" t="s">
        <v>3147</v>
      </c>
      <c r="J128" s="664" t="s">
        <v>3148</v>
      </c>
      <c r="K128" s="665" t="s">
        <v>4660</v>
      </c>
      <c r="L128" s="701"/>
      <c r="M128" s="654" t="s">
        <v>4661</v>
      </c>
      <c r="N128" s="644" t="s">
        <v>3147</v>
      </c>
      <c r="O128" s="644" t="s">
        <v>3148</v>
      </c>
      <c r="P128" s="655" t="s">
        <v>3149</v>
      </c>
      <c r="Q128" s="655" t="s">
        <v>65</v>
      </c>
      <c r="R128" s="698" t="s">
        <v>159</v>
      </c>
      <c r="S128" s="663" t="s">
        <v>3808</v>
      </c>
      <c r="T128" s="664" t="s">
        <v>3149</v>
      </c>
      <c r="U128" s="664" t="s">
        <v>3150</v>
      </c>
      <c r="V128" s="665" t="s">
        <v>3809</v>
      </c>
      <c r="W128" s="701" t="s">
        <v>159</v>
      </c>
      <c r="X128" s="666" t="s">
        <v>3808</v>
      </c>
      <c r="Y128" s="667" t="s">
        <v>3149</v>
      </c>
      <c r="Z128" s="667" t="s">
        <v>3150</v>
      </c>
      <c r="AA128" s="668" t="s">
        <v>3809</v>
      </c>
      <c r="AB128" s="704" t="s">
        <v>159</v>
      </c>
      <c r="AC128" s="727"/>
      <c r="AD128" s="669" t="s">
        <v>3808</v>
      </c>
      <c r="AE128" s="670" t="s">
        <v>3149</v>
      </c>
      <c r="AF128" s="670" t="s">
        <v>3150</v>
      </c>
      <c r="AG128" s="671" t="s">
        <v>3809</v>
      </c>
      <c r="AH128" s="706" t="s">
        <v>159</v>
      </c>
      <c r="AI128" s="672" t="s">
        <v>3813</v>
      </c>
      <c r="AJ128" s="672" t="s">
        <v>3150</v>
      </c>
      <c r="AK128" s="673" t="s">
        <v>3809</v>
      </c>
      <c r="AL128" s="707" t="s">
        <v>159</v>
      </c>
      <c r="AM128" s="674" t="s">
        <v>3813</v>
      </c>
      <c r="AN128" s="674" t="s">
        <v>3150</v>
      </c>
      <c r="AO128" s="675" t="s">
        <v>3809</v>
      </c>
      <c r="AP128" s="708" t="s">
        <v>159</v>
      </c>
      <c r="AQ128" s="729"/>
      <c r="AR128" s="676" t="s">
        <v>3813</v>
      </c>
      <c r="AS128" s="676" t="s">
        <v>3150</v>
      </c>
      <c r="AT128" s="677" t="s">
        <v>3809</v>
      </c>
      <c r="AU128" s="709" t="s">
        <v>159</v>
      </c>
      <c r="AW128" s="692">
        <v>2254</v>
      </c>
      <c r="AX128" s="628" t="s">
        <v>4069</v>
      </c>
      <c r="AY128" s="693" t="s">
        <v>152</v>
      </c>
      <c r="AZ128"/>
      <c r="BA128" s="196"/>
      <c r="BC128"/>
    </row>
    <row r="129" spans="1:55">
      <c r="A129" s="76" t="s">
        <v>4941</v>
      </c>
      <c r="B129" s="76">
        <v>1</v>
      </c>
      <c r="C129" s="656">
        <f t="shared" ref="C129:C167" si="22">$C17-$G17</f>
        <v>-39573</v>
      </c>
      <c r="D129" s="657">
        <f t="shared" ref="D129:D167" si="23">$D17-$G17</f>
        <v>-27647</v>
      </c>
      <c r="E129" s="657">
        <f t="shared" ref="E129:E167" si="24">E17-G17</f>
        <v>-23310</v>
      </c>
      <c r="F129" s="658">
        <f>F17-G17</f>
        <v>0</v>
      </c>
      <c r="G129" s="699"/>
      <c r="H129" s="662">
        <f t="shared" ref="H129:H165" si="25">H17-$L17</f>
        <v>-43909</v>
      </c>
      <c r="I129" s="662">
        <f>I17-$L17</f>
        <v>-33068</v>
      </c>
      <c r="J129" s="662">
        <f>J17-$L17</f>
        <v>-23310</v>
      </c>
      <c r="K129" s="662">
        <f>K17-$L17</f>
        <v>0</v>
      </c>
      <c r="L129" s="702"/>
      <c r="M129" s="656">
        <f t="shared" ref="M129:Q138" si="26">M17-$R17</f>
        <v>-37946</v>
      </c>
      <c r="N129" s="656">
        <f t="shared" si="26"/>
        <v>-27647</v>
      </c>
      <c r="O129" s="656">
        <f t="shared" si="26"/>
        <v>-17889</v>
      </c>
      <c r="P129" s="656">
        <f t="shared" si="26"/>
        <v>-6505</v>
      </c>
      <c r="Q129" s="656">
        <f t="shared" si="26"/>
        <v>0</v>
      </c>
      <c r="R129" s="699"/>
      <c r="S129" s="662">
        <f t="shared" ref="S129:V148" si="27">S17-$AC17</f>
        <v>-33609</v>
      </c>
      <c r="T129" s="662">
        <f t="shared" si="27"/>
        <v>-19515</v>
      </c>
      <c r="U129" s="662">
        <f t="shared" si="27"/>
        <v>-22226</v>
      </c>
      <c r="V129" s="662">
        <f t="shared" si="27"/>
        <v>-22226</v>
      </c>
      <c r="W129" s="702"/>
      <c r="X129" s="656">
        <f t="shared" ref="X129:AA148" si="28">X17-$AC17</f>
        <v>-30899</v>
      </c>
      <c r="Y129" s="656">
        <f t="shared" si="28"/>
        <v>-11384</v>
      </c>
      <c r="Z129" s="656">
        <f t="shared" si="28"/>
        <v>0</v>
      </c>
      <c r="AA129" s="656">
        <f t="shared" si="28"/>
        <v>0</v>
      </c>
      <c r="AB129" s="699"/>
      <c r="AC129" s="699"/>
      <c r="AD129" s="662">
        <f t="shared" ref="AD129:AG148" si="29">AD17-$AQ17</f>
        <v>-41199</v>
      </c>
      <c r="AE129" s="662">
        <f t="shared" si="29"/>
        <v>-26021</v>
      </c>
      <c r="AF129" s="662">
        <f t="shared" si="29"/>
        <v>-17347</v>
      </c>
      <c r="AG129" s="662">
        <f t="shared" si="29"/>
        <v>-17347</v>
      </c>
      <c r="AH129" s="702"/>
      <c r="AI129" s="656">
        <f t="shared" ref="AI129:AK148" si="30">AI17-$AQ17</f>
        <v>-30899</v>
      </c>
      <c r="AJ129" s="656">
        <f t="shared" si="30"/>
        <v>-4337</v>
      </c>
      <c r="AK129" s="656">
        <f t="shared" si="30"/>
        <v>0</v>
      </c>
      <c r="AL129" s="699"/>
      <c r="AM129" s="662">
        <f t="shared" ref="AM129:AO148" si="31">AM17-$AQ17</f>
        <v>-41199</v>
      </c>
      <c r="AN129" s="662">
        <f t="shared" si="31"/>
        <v>-13010</v>
      </c>
      <c r="AO129" s="662">
        <f t="shared" si="31"/>
        <v>-9216</v>
      </c>
      <c r="AP129" s="702"/>
      <c r="AQ129" s="702"/>
      <c r="AR129" s="656">
        <f t="shared" ref="AR129:AT148" si="32">AR17-$AU17</f>
        <v>-28188</v>
      </c>
      <c r="AS129" s="656">
        <f t="shared" si="32"/>
        <v>-4878</v>
      </c>
      <c r="AT129" s="656">
        <f t="shared" si="32"/>
        <v>0</v>
      </c>
      <c r="AU129" s="710"/>
      <c r="AW129" s="627">
        <v>2255</v>
      </c>
      <c r="AX129" s="628" t="s">
        <v>436</v>
      </c>
      <c r="AY129" s="693" t="s">
        <v>152</v>
      </c>
      <c r="AZ129"/>
      <c r="BA129" s="196"/>
      <c r="BC129"/>
    </row>
    <row r="130" spans="1:55">
      <c r="A130" s="299" t="s">
        <v>4942</v>
      </c>
      <c r="B130" s="299">
        <v>2</v>
      </c>
      <c r="C130" s="656">
        <f t="shared" si="22"/>
        <v>-31983</v>
      </c>
      <c r="D130" s="657">
        <f t="shared" si="23"/>
        <v>-23852</v>
      </c>
      <c r="E130" s="657">
        <f t="shared" si="24"/>
        <v>-21142</v>
      </c>
      <c r="F130" s="658">
        <f t="shared" ref="F130:F167" si="33">F18-G18</f>
        <v>0</v>
      </c>
      <c r="G130" s="699"/>
      <c r="H130" s="662">
        <f t="shared" si="25"/>
        <v>-33609</v>
      </c>
      <c r="I130" s="662">
        <f t="shared" ref="I130:K149" si="34">I18-$L18</f>
        <v>-25478</v>
      </c>
      <c r="J130" s="662">
        <f t="shared" si="34"/>
        <v>-22225</v>
      </c>
      <c r="K130" s="662">
        <f t="shared" si="34"/>
        <v>0</v>
      </c>
      <c r="L130" s="702"/>
      <c r="M130" s="656">
        <f t="shared" si="26"/>
        <v>-35235</v>
      </c>
      <c r="N130" s="656">
        <f t="shared" si="26"/>
        <v>-35235</v>
      </c>
      <c r="O130" s="656">
        <f t="shared" si="26"/>
        <v>-31983</v>
      </c>
      <c r="P130" s="656">
        <f t="shared" si="26"/>
        <v>-17346</v>
      </c>
      <c r="Q130" s="656">
        <f t="shared" si="26"/>
        <v>0</v>
      </c>
      <c r="R130" s="699"/>
      <c r="S130" s="662">
        <f t="shared" si="27"/>
        <v>-33609</v>
      </c>
      <c r="T130" s="662">
        <f t="shared" si="27"/>
        <v>-22767</v>
      </c>
      <c r="U130" s="662">
        <f t="shared" si="27"/>
        <v>-20057</v>
      </c>
      <c r="V130" s="662">
        <f t="shared" si="27"/>
        <v>-20057</v>
      </c>
      <c r="W130" s="702"/>
      <c r="X130" s="656">
        <f t="shared" si="28"/>
        <v>-36320</v>
      </c>
      <c r="Y130" s="656">
        <f t="shared" si="28"/>
        <v>-18431</v>
      </c>
      <c r="Z130" s="656">
        <f t="shared" si="28"/>
        <v>0</v>
      </c>
      <c r="AA130" s="656">
        <f t="shared" si="28"/>
        <v>0</v>
      </c>
      <c r="AB130" s="699"/>
      <c r="AC130" s="699"/>
      <c r="AD130" s="662">
        <f t="shared" si="29"/>
        <v>-36319</v>
      </c>
      <c r="AE130" s="662">
        <f t="shared" si="29"/>
        <v>-22225</v>
      </c>
      <c r="AF130" s="662">
        <f t="shared" si="29"/>
        <v>-15178</v>
      </c>
      <c r="AG130" s="662">
        <f t="shared" si="29"/>
        <v>-15178</v>
      </c>
      <c r="AH130" s="702"/>
      <c r="AI130" s="656">
        <f t="shared" si="30"/>
        <v>-20599</v>
      </c>
      <c r="AJ130" s="656">
        <f t="shared" si="30"/>
        <v>-3794</v>
      </c>
      <c r="AK130" s="656">
        <f t="shared" si="30"/>
        <v>0</v>
      </c>
      <c r="AL130" s="699"/>
      <c r="AM130" s="662">
        <f t="shared" si="31"/>
        <v>-20599</v>
      </c>
      <c r="AN130" s="662">
        <f t="shared" si="31"/>
        <v>-3794</v>
      </c>
      <c r="AO130" s="662">
        <f t="shared" si="31"/>
        <v>0</v>
      </c>
      <c r="AP130" s="702"/>
      <c r="AQ130" s="702"/>
      <c r="AR130" s="656">
        <f t="shared" si="32"/>
        <v>-23852</v>
      </c>
      <c r="AS130" s="656">
        <f t="shared" si="32"/>
        <v>-4337</v>
      </c>
      <c r="AT130" s="656">
        <f t="shared" si="32"/>
        <v>0</v>
      </c>
      <c r="AU130" s="710"/>
      <c r="AW130" s="627">
        <v>2300</v>
      </c>
      <c r="AX130" s="628" t="s">
        <v>437</v>
      </c>
      <c r="AY130" s="693" t="s">
        <v>152</v>
      </c>
      <c r="AZ130"/>
      <c r="BA130" s="196"/>
      <c r="BC130"/>
    </row>
    <row r="131" spans="1:55">
      <c r="A131" s="228" t="s">
        <v>401</v>
      </c>
      <c r="B131" s="76">
        <v>3</v>
      </c>
      <c r="C131" s="656">
        <f t="shared" si="22"/>
        <v>-48245</v>
      </c>
      <c r="D131" s="657">
        <f t="shared" si="23"/>
        <v>-58003</v>
      </c>
      <c r="E131" s="657">
        <f t="shared" si="24"/>
        <v>-35777</v>
      </c>
      <c r="F131" s="658">
        <f t="shared" si="33"/>
        <v>0</v>
      </c>
      <c r="G131" s="699"/>
      <c r="H131" s="662">
        <f t="shared" si="25"/>
        <v>-40115</v>
      </c>
      <c r="I131" s="662">
        <f t="shared" si="34"/>
        <v>-36862</v>
      </c>
      <c r="J131" s="662">
        <f t="shared" si="34"/>
        <v>-34152</v>
      </c>
      <c r="K131" s="662">
        <f t="shared" si="34"/>
        <v>0</v>
      </c>
      <c r="L131" s="702"/>
      <c r="M131" s="656">
        <f t="shared" si="26"/>
        <v>-28188</v>
      </c>
      <c r="N131" s="656">
        <f t="shared" si="26"/>
        <v>-21683</v>
      </c>
      <c r="O131" s="656">
        <f t="shared" si="26"/>
        <v>-15178</v>
      </c>
      <c r="P131" s="656">
        <f t="shared" si="26"/>
        <v>0</v>
      </c>
      <c r="Q131" s="656">
        <f t="shared" si="26"/>
        <v>-11384</v>
      </c>
      <c r="R131" s="699"/>
      <c r="S131" s="662">
        <f t="shared" si="27"/>
        <v>-48787</v>
      </c>
      <c r="T131" s="662">
        <f t="shared" si="27"/>
        <v>-34151</v>
      </c>
      <c r="U131" s="662">
        <f t="shared" si="27"/>
        <v>-34693</v>
      </c>
      <c r="V131" s="662">
        <f t="shared" si="27"/>
        <v>-34693</v>
      </c>
      <c r="W131" s="702"/>
      <c r="X131" s="656">
        <f t="shared" si="28"/>
        <v>-48787</v>
      </c>
      <c r="Y131" s="656">
        <f t="shared" si="28"/>
        <v>-23851</v>
      </c>
      <c r="Z131" s="656">
        <f t="shared" si="28"/>
        <v>-14094</v>
      </c>
      <c r="AA131" s="656">
        <f t="shared" si="28"/>
        <v>0</v>
      </c>
      <c r="AB131" s="699"/>
      <c r="AC131" s="699"/>
      <c r="AD131" s="662">
        <f t="shared" si="29"/>
        <v>-39573</v>
      </c>
      <c r="AE131" s="662">
        <f t="shared" si="29"/>
        <v>-13010</v>
      </c>
      <c r="AF131" s="662">
        <f t="shared" si="29"/>
        <v>-17347</v>
      </c>
      <c r="AG131" s="662">
        <f t="shared" si="29"/>
        <v>-5963</v>
      </c>
      <c r="AH131" s="702"/>
      <c r="AI131" s="656">
        <f t="shared" si="30"/>
        <v>-21142</v>
      </c>
      <c r="AJ131" s="656">
        <f t="shared" si="30"/>
        <v>-4879</v>
      </c>
      <c r="AK131" s="656">
        <f t="shared" si="30"/>
        <v>0</v>
      </c>
      <c r="AL131" s="699"/>
      <c r="AM131" s="662">
        <f t="shared" si="31"/>
        <v>-21142</v>
      </c>
      <c r="AN131" s="662">
        <f t="shared" si="31"/>
        <v>-12468</v>
      </c>
      <c r="AO131" s="662">
        <f t="shared" si="31"/>
        <v>-7590</v>
      </c>
      <c r="AP131" s="702"/>
      <c r="AQ131" s="702"/>
      <c r="AR131" s="656">
        <f t="shared" si="32"/>
        <v>-34152</v>
      </c>
      <c r="AS131" s="656">
        <f t="shared" si="32"/>
        <v>-7047</v>
      </c>
      <c r="AT131" s="656">
        <f t="shared" si="32"/>
        <v>0</v>
      </c>
      <c r="AU131" s="710"/>
      <c r="AW131" s="627">
        <v>2309</v>
      </c>
      <c r="AX131" s="628" t="s">
        <v>438</v>
      </c>
      <c r="AY131" s="693" t="s">
        <v>152</v>
      </c>
      <c r="AZ131"/>
      <c r="BA131" s="196"/>
      <c r="BC131"/>
    </row>
    <row r="132" spans="1:55">
      <c r="A132" s="647" t="s">
        <v>4943</v>
      </c>
      <c r="B132" s="299">
        <v>4</v>
      </c>
      <c r="C132" s="656">
        <f t="shared" si="22"/>
        <v>-35235</v>
      </c>
      <c r="D132" s="657">
        <f t="shared" si="23"/>
        <v>-23851</v>
      </c>
      <c r="E132" s="657">
        <f t="shared" si="24"/>
        <v>-23851</v>
      </c>
      <c r="F132" s="658">
        <f t="shared" si="33"/>
        <v>0</v>
      </c>
      <c r="G132" s="699"/>
      <c r="H132" s="662">
        <f t="shared" si="25"/>
        <v>-16804</v>
      </c>
      <c r="I132" s="662">
        <f t="shared" si="34"/>
        <v>-17888</v>
      </c>
      <c r="J132" s="662">
        <f t="shared" si="34"/>
        <v>-17888</v>
      </c>
      <c r="K132" s="662">
        <f t="shared" si="34"/>
        <v>0</v>
      </c>
      <c r="L132" s="702"/>
      <c r="M132" s="656">
        <f t="shared" si="26"/>
        <v>-5420</v>
      </c>
      <c r="N132" s="656">
        <f t="shared" si="26"/>
        <v>-5420</v>
      </c>
      <c r="O132" s="656">
        <f t="shared" si="26"/>
        <v>-5420</v>
      </c>
      <c r="P132" s="656">
        <f t="shared" si="26"/>
        <v>-5962</v>
      </c>
      <c r="Q132" s="656">
        <f t="shared" si="26"/>
        <v>0</v>
      </c>
      <c r="R132" s="699"/>
      <c r="S132" s="662">
        <f t="shared" si="27"/>
        <v>-30357</v>
      </c>
      <c r="T132" s="662">
        <f t="shared" si="27"/>
        <v>-15179</v>
      </c>
      <c r="U132" s="662">
        <f t="shared" si="27"/>
        <v>-7589</v>
      </c>
      <c r="V132" s="662">
        <f t="shared" si="27"/>
        <v>-7589</v>
      </c>
      <c r="W132" s="702"/>
      <c r="X132" s="656">
        <f t="shared" si="28"/>
        <v>-26020</v>
      </c>
      <c r="Y132" s="656">
        <f t="shared" si="28"/>
        <v>-15179</v>
      </c>
      <c r="Z132" s="656">
        <f t="shared" si="28"/>
        <v>0</v>
      </c>
      <c r="AA132" s="656">
        <f t="shared" si="28"/>
        <v>0</v>
      </c>
      <c r="AB132" s="699"/>
      <c r="AC132" s="699"/>
      <c r="AD132" s="662">
        <f t="shared" si="29"/>
        <v>-31441</v>
      </c>
      <c r="AE132" s="662">
        <f t="shared" si="29"/>
        <v>-10842</v>
      </c>
      <c r="AF132" s="662">
        <f t="shared" si="29"/>
        <v>-13010</v>
      </c>
      <c r="AG132" s="662">
        <f t="shared" si="29"/>
        <v>-13010</v>
      </c>
      <c r="AH132" s="702"/>
      <c r="AI132" s="656">
        <f t="shared" si="30"/>
        <v>-22768</v>
      </c>
      <c r="AJ132" s="656">
        <f t="shared" si="30"/>
        <v>-5421</v>
      </c>
      <c r="AK132" s="656">
        <f t="shared" si="30"/>
        <v>-2169</v>
      </c>
      <c r="AL132" s="699"/>
      <c r="AM132" s="662">
        <f t="shared" si="31"/>
        <v>-10842</v>
      </c>
      <c r="AN132" s="662">
        <f t="shared" si="31"/>
        <v>-3253</v>
      </c>
      <c r="AO132" s="662">
        <f t="shared" si="31"/>
        <v>0</v>
      </c>
      <c r="AP132" s="702"/>
      <c r="AQ132" s="702"/>
      <c r="AR132" s="656">
        <f t="shared" si="32"/>
        <v>-13011</v>
      </c>
      <c r="AS132" s="656">
        <f t="shared" si="32"/>
        <v>-3795</v>
      </c>
      <c r="AT132" s="656">
        <f t="shared" si="32"/>
        <v>0</v>
      </c>
      <c r="AU132" s="710"/>
      <c r="AW132" s="627">
        <v>2310</v>
      </c>
      <c r="AX132" s="628" t="s">
        <v>270</v>
      </c>
      <c r="AY132" s="693" t="s">
        <v>152</v>
      </c>
      <c r="AZ132"/>
      <c r="BA132" s="196"/>
      <c r="BC132"/>
    </row>
    <row r="133" spans="1:55">
      <c r="A133" s="648" t="s">
        <v>3312</v>
      </c>
      <c r="B133" s="76">
        <v>5</v>
      </c>
      <c r="C133" s="656">
        <f t="shared" si="22"/>
        <v>-53667</v>
      </c>
      <c r="D133" s="657">
        <f t="shared" si="23"/>
        <v>-36862</v>
      </c>
      <c r="E133" s="657">
        <f t="shared" si="24"/>
        <v>-33610</v>
      </c>
      <c r="F133" s="658">
        <f t="shared" si="33"/>
        <v>0</v>
      </c>
      <c r="G133" s="699"/>
      <c r="H133" s="662">
        <f t="shared" si="25"/>
        <v>-23852</v>
      </c>
      <c r="I133" s="662">
        <f t="shared" si="34"/>
        <v>-19515</v>
      </c>
      <c r="J133" s="662">
        <f t="shared" si="34"/>
        <v>-16804</v>
      </c>
      <c r="K133" s="662">
        <f t="shared" si="34"/>
        <v>0</v>
      </c>
      <c r="L133" s="702"/>
      <c r="M133" s="656">
        <f t="shared" si="26"/>
        <v>-4879</v>
      </c>
      <c r="N133" s="656">
        <f t="shared" si="26"/>
        <v>-4879</v>
      </c>
      <c r="O133" s="656">
        <f t="shared" si="26"/>
        <v>-17889</v>
      </c>
      <c r="P133" s="656">
        <f t="shared" si="26"/>
        <v>-3795</v>
      </c>
      <c r="Q133" s="656">
        <f t="shared" si="26"/>
        <v>0</v>
      </c>
      <c r="R133" s="699"/>
      <c r="S133" s="662">
        <f t="shared" si="27"/>
        <v>-39030</v>
      </c>
      <c r="T133" s="662">
        <f t="shared" si="27"/>
        <v>-14636</v>
      </c>
      <c r="U133" s="662">
        <f t="shared" si="27"/>
        <v>-17889</v>
      </c>
      <c r="V133" s="662">
        <f t="shared" si="27"/>
        <v>-17889</v>
      </c>
      <c r="W133" s="702"/>
      <c r="X133" s="656">
        <f t="shared" si="28"/>
        <v>-30357</v>
      </c>
      <c r="Y133" s="656">
        <f t="shared" si="28"/>
        <v>-14636</v>
      </c>
      <c r="Z133" s="656">
        <f t="shared" si="28"/>
        <v>0</v>
      </c>
      <c r="AA133" s="656">
        <f t="shared" si="28"/>
        <v>0</v>
      </c>
      <c r="AB133" s="699"/>
      <c r="AC133" s="699"/>
      <c r="AD133" s="662">
        <f t="shared" si="29"/>
        <v>-38488</v>
      </c>
      <c r="AE133" s="662">
        <f t="shared" si="29"/>
        <v>-22225</v>
      </c>
      <c r="AF133" s="662">
        <f t="shared" si="29"/>
        <v>-21683</v>
      </c>
      <c r="AG133" s="662">
        <f t="shared" si="29"/>
        <v>-21683</v>
      </c>
      <c r="AH133" s="702"/>
      <c r="AI133" s="656">
        <f t="shared" si="30"/>
        <v>-34151</v>
      </c>
      <c r="AJ133" s="656">
        <f t="shared" si="30"/>
        <v>-10300</v>
      </c>
      <c r="AK133" s="656">
        <f t="shared" si="30"/>
        <v>-6505</v>
      </c>
      <c r="AL133" s="699"/>
      <c r="AM133" s="662">
        <f t="shared" si="31"/>
        <v>-10300</v>
      </c>
      <c r="AN133" s="662">
        <f t="shared" si="31"/>
        <v>-4337</v>
      </c>
      <c r="AO133" s="662">
        <f t="shared" si="31"/>
        <v>0</v>
      </c>
      <c r="AP133" s="702"/>
      <c r="AQ133" s="702"/>
      <c r="AR133" s="656">
        <f t="shared" si="32"/>
        <v>-11384</v>
      </c>
      <c r="AS133" s="656">
        <f t="shared" si="32"/>
        <v>-4879</v>
      </c>
      <c r="AT133" s="656">
        <f t="shared" si="32"/>
        <v>0</v>
      </c>
      <c r="AU133" s="710"/>
      <c r="AW133" s="627">
        <v>2314</v>
      </c>
      <c r="AX133" s="628" t="s">
        <v>440</v>
      </c>
      <c r="AY133" s="693" t="s">
        <v>152</v>
      </c>
      <c r="AZ133"/>
      <c r="BA133" s="196"/>
      <c r="BC133"/>
    </row>
    <row r="134" spans="1:55">
      <c r="A134" s="231" t="s">
        <v>4944</v>
      </c>
      <c r="B134" s="299">
        <v>6</v>
      </c>
      <c r="C134" s="656">
        <f t="shared" si="22"/>
        <v>-40657</v>
      </c>
      <c r="D134" s="657">
        <f t="shared" si="23"/>
        <v>-27105</v>
      </c>
      <c r="E134" s="657">
        <f t="shared" si="24"/>
        <v>-24394</v>
      </c>
      <c r="F134" s="658">
        <f t="shared" si="33"/>
        <v>0</v>
      </c>
      <c r="G134" s="699"/>
      <c r="H134" s="662">
        <f t="shared" si="25"/>
        <v>-14636</v>
      </c>
      <c r="I134" s="662">
        <f t="shared" si="34"/>
        <v>-7589</v>
      </c>
      <c r="J134" s="662">
        <f t="shared" si="34"/>
        <v>0</v>
      </c>
      <c r="K134" s="662">
        <f t="shared" si="34"/>
        <v>-3253</v>
      </c>
      <c r="L134" s="702"/>
      <c r="M134" s="656">
        <f t="shared" si="26"/>
        <v>-28188</v>
      </c>
      <c r="N134" s="656">
        <f t="shared" si="26"/>
        <v>-28188</v>
      </c>
      <c r="O134" s="656">
        <f t="shared" si="26"/>
        <v>-26020</v>
      </c>
      <c r="P134" s="656">
        <f t="shared" si="26"/>
        <v>-11383</v>
      </c>
      <c r="Q134" s="656">
        <f t="shared" si="26"/>
        <v>0</v>
      </c>
      <c r="R134" s="699"/>
      <c r="S134" s="662">
        <f t="shared" si="27"/>
        <v>-34152</v>
      </c>
      <c r="T134" s="662">
        <f t="shared" si="27"/>
        <v>-23310</v>
      </c>
      <c r="U134" s="662">
        <f t="shared" si="27"/>
        <v>-16805</v>
      </c>
      <c r="V134" s="662">
        <f t="shared" si="27"/>
        <v>-16805</v>
      </c>
      <c r="W134" s="702"/>
      <c r="X134" s="656">
        <f t="shared" si="28"/>
        <v>-36862</v>
      </c>
      <c r="Y134" s="656">
        <f t="shared" si="28"/>
        <v>-12468</v>
      </c>
      <c r="Z134" s="656">
        <f t="shared" si="28"/>
        <v>0</v>
      </c>
      <c r="AA134" s="656">
        <f t="shared" si="28"/>
        <v>0</v>
      </c>
      <c r="AB134" s="699"/>
      <c r="AC134" s="699"/>
      <c r="AD134" s="662">
        <f t="shared" si="29"/>
        <v>-33067</v>
      </c>
      <c r="AE134" s="662">
        <f t="shared" si="29"/>
        <v>-10841</v>
      </c>
      <c r="AF134" s="662">
        <f t="shared" si="29"/>
        <v>-7589</v>
      </c>
      <c r="AG134" s="662">
        <f t="shared" si="29"/>
        <v>-7589</v>
      </c>
      <c r="AH134" s="702"/>
      <c r="AI134" s="656">
        <f t="shared" si="30"/>
        <v>-20599</v>
      </c>
      <c r="AJ134" s="656">
        <f t="shared" si="30"/>
        <v>-5963</v>
      </c>
      <c r="AK134" s="656">
        <f t="shared" si="30"/>
        <v>-2168</v>
      </c>
      <c r="AL134" s="699"/>
      <c r="AM134" s="662">
        <f t="shared" si="31"/>
        <v>-14094</v>
      </c>
      <c r="AN134" s="662">
        <f t="shared" si="31"/>
        <v>-3794</v>
      </c>
      <c r="AO134" s="662">
        <f t="shared" si="31"/>
        <v>0</v>
      </c>
      <c r="AP134" s="702"/>
      <c r="AQ134" s="702"/>
      <c r="AR134" s="656">
        <f t="shared" si="32"/>
        <v>-16805</v>
      </c>
      <c r="AS134" s="656">
        <f t="shared" si="32"/>
        <v>-4337</v>
      </c>
      <c r="AT134" s="656">
        <f t="shared" si="32"/>
        <v>0</v>
      </c>
      <c r="AU134" s="710"/>
      <c r="AW134" s="627">
        <v>2315</v>
      </c>
      <c r="AX134" s="628" t="s">
        <v>441</v>
      </c>
      <c r="AY134" s="693" t="s">
        <v>152</v>
      </c>
      <c r="AZ134"/>
      <c r="BA134" s="196"/>
      <c r="BC134"/>
    </row>
    <row r="135" spans="1:55">
      <c r="A135" s="228" t="s">
        <v>377</v>
      </c>
      <c r="B135" s="76">
        <v>7</v>
      </c>
      <c r="C135" s="656">
        <f t="shared" si="22"/>
        <v>-42825</v>
      </c>
      <c r="D135" s="657">
        <f t="shared" si="23"/>
        <v>-30357</v>
      </c>
      <c r="E135" s="657">
        <f t="shared" si="24"/>
        <v>-30357</v>
      </c>
      <c r="F135" s="658">
        <f t="shared" si="33"/>
        <v>0</v>
      </c>
      <c r="G135" s="699"/>
      <c r="H135" s="662">
        <f t="shared" si="25"/>
        <v>-23309</v>
      </c>
      <c r="I135" s="662">
        <f t="shared" si="34"/>
        <v>-22225</v>
      </c>
      <c r="J135" s="662">
        <f t="shared" si="34"/>
        <v>-11926</v>
      </c>
      <c r="K135" s="662">
        <f t="shared" si="34"/>
        <v>0</v>
      </c>
      <c r="L135" s="702"/>
      <c r="M135" s="656">
        <f t="shared" si="26"/>
        <v>-18973</v>
      </c>
      <c r="N135" s="656">
        <f t="shared" si="26"/>
        <v>-18973</v>
      </c>
      <c r="O135" s="656">
        <f t="shared" si="26"/>
        <v>-16262</v>
      </c>
      <c r="P135" s="656">
        <f t="shared" si="26"/>
        <v>-11926</v>
      </c>
      <c r="Q135" s="656">
        <f t="shared" si="26"/>
        <v>0</v>
      </c>
      <c r="R135" s="699"/>
      <c r="S135" s="662">
        <f t="shared" si="27"/>
        <v>-48788</v>
      </c>
      <c r="T135" s="662">
        <f t="shared" si="27"/>
        <v>-31984</v>
      </c>
      <c r="U135" s="662">
        <f t="shared" si="27"/>
        <v>-27105</v>
      </c>
      <c r="V135" s="662">
        <f t="shared" si="27"/>
        <v>-27105</v>
      </c>
      <c r="W135" s="702"/>
      <c r="X135" s="656">
        <f t="shared" si="28"/>
        <v>-46078</v>
      </c>
      <c r="Y135" s="656">
        <f t="shared" si="28"/>
        <v>-23852</v>
      </c>
      <c r="Z135" s="656">
        <f t="shared" si="28"/>
        <v>0</v>
      </c>
      <c r="AA135" s="656">
        <f t="shared" si="28"/>
        <v>0</v>
      </c>
      <c r="AB135" s="699"/>
      <c r="AC135" s="699"/>
      <c r="AD135" s="662">
        <f t="shared" si="29"/>
        <v>-41199</v>
      </c>
      <c r="AE135" s="662">
        <f t="shared" si="29"/>
        <v>-21684</v>
      </c>
      <c r="AF135" s="662">
        <f t="shared" si="29"/>
        <v>-16805</v>
      </c>
      <c r="AG135" s="662">
        <f t="shared" si="29"/>
        <v>-16805</v>
      </c>
      <c r="AH135" s="702"/>
      <c r="AI135" s="656">
        <f t="shared" si="30"/>
        <v>-28731</v>
      </c>
      <c r="AJ135" s="656">
        <f t="shared" si="30"/>
        <v>-6505</v>
      </c>
      <c r="AK135" s="656">
        <f t="shared" si="30"/>
        <v>-2710</v>
      </c>
      <c r="AL135" s="699"/>
      <c r="AM135" s="662">
        <f t="shared" si="31"/>
        <v>-17889</v>
      </c>
      <c r="AN135" s="662">
        <f t="shared" si="31"/>
        <v>-4337</v>
      </c>
      <c r="AO135" s="662">
        <f t="shared" si="31"/>
        <v>0</v>
      </c>
      <c r="AP135" s="702"/>
      <c r="AQ135" s="702"/>
      <c r="AR135" s="656">
        <f t="shared" si="32"/>
        <v>-21142</v>
      </c>
      <c r="AS135" s="656">
        <f t="shared" si="32"/>
        <v>-5421</v>
      </c>
      <c r="AT135" s="656">
        <f t="shared" si="32"/>
        <v>0</v>
      </c>
      <c r="AU135" s="710"/>
      <c r="AW135" s="627">
        <v>2316</v>
      </c>
      <c r="AX135" s="628" t="s">
        <v>442</v>
      </c>
      <c r="AY135" s="693" t="s">
        <v>152</v>
      </c>
      <c r="AZ135"/>
      <c r="BA135" s="196"/>
      <c r="BC135"/>
    </row>
    <row r="136" spans="1:55">
      <c r="A136" s="649" t="s">
        <v>4945</v>
      </c>
      <c r="B136" s="299">
        <v>8</v>
      </c>
      <c r="C136" s="656">
        <f t="shared" si="22"/>
        <v>-32525</v>
      </c>
      <c r="D136" s="657">
        <f t="shared" si="23"/>
        <v>-20057</v>
      </c>
      <c r="E136" s="657">
        <f t="shared" si="24"/>
        <v>-15178</v>
      </c>
      <c r="F136" s="658">
        <f t="shared" si="33"/>
        <v>0</v>
      </c>
      <c r="G136" s="699"/>
      <c r="H136" s="662">
        <f t="shared" si="25"/>
        <v>-13553</v>
      </c>
      <c r="I136" s="662">
        <f t="shared" si="34"/>
        <v>-9758</v>
      </c>
      <c r="J136" s="662">
        <f t="shared" si="34"/>
        <v>-6505</v>
      </c>
      <c r="K136" s="662">
        <f t="shared" si="34"/>
        <v>0</v>
      </c>
      <c r="L136" s="702"/>
      <c r="M136" s="656">
        <f t="shared" si="26"/>
        <v>-15721</v>
      </c>
      <c r="N136" s="656">
        <f t="shared" si="26"/>
        <v>-15721</v>
      </c>
      <c r="O136" s="656">
        <f t="shared" si="26"/>
        <v>-11384</v>
      </c>
      <c r="P136" s="656">
        <f t="shared" si="26"/>
        <v>-8674</v>
      </c>
      <c r="Q136" s="656">
        <f t="shared" si="26"/>
        <v>0</v>
      </c>
      <c r="R136" s="699"/>
      <c r="S136" s="662">
        <f t="shared" si="27"/>
        <v>-35236</v>
      </c>
      <c r="T136" s="662">
        <f t="shared" si="27"/>
        <v>-28189</v>
      </c>
      <c r="U136" s="662">
        <f t="shared" si="27"/>
        <v>-19515</v>
      </c>
      <c r="V136" s="662">
        <f t="shared" si="27"/>
        <v>-19515</v>
      </c>
      <c r="W136" s="702"/>
      <c r="X136" s="656">
        <f t="shared" si="28"/>
        <v>-27104</v>
      </c>
      <c r="Y136" s="656">
        <f t="shared" si="28"/>
        <v>-22768</v>
      </c>
      <c r="Z136" s="656">
        <f t="shared" si="28"/>
        <v>0</v>
      </c>
      <c r="AA136" s="656">
        <f t="shared" si="28"/>
        <v>0</v>
      </c>
      <c r="AB136" s="699"/>
      <c r="AC136" s="699"/>
      <c r="AD136" s="662">
        <f t="shared" si="29"/>
        <v>-24394</v>
      </c>
      <c r="AE136" s="662">
        <f t="shared" si="29"/>
        <v>-10842</v>
      </c>
      <c r="AF136" s="662">
        <f t="shared" si="29"/>
        <v>-12468</v>
      </c>
      <c r="AG136" s="662">
        <f t="shared" si="29"/>
        <v>-12468</v>
      </c>
      <c r="AH136" s="702"/>
      <c r="AI136" s="656">
        <f t="shared" si="30"/>
        <v>-15179</v>
      </c>
      <c r="AJ136" s="656">
        <f t="shared" si="30"/>
        <v>-4879</v>
      </c>
      <c r="AK136" s="656">
        <f t="shared" si="30"/>
        <v>-2168</v>
      </c>
      <c r="AL136" s="699"/>
      <c r="AM136" s="662">
        <f t="shared" si="31"/>
        <v>-13552</v>
      </c>
      <c r="AN136" s="662">
        <f t="shared" si="31"/>
        <v>-3253</v>
      </c>
      <c r="AO136" s="662">
        <f t="shared" si="31"/>
        <v>0</v>
      </c>
      <c r="AP136" s="702"/>
      <c r="AQ136" s="702"/>
      <c r="AR136" s="656">
        <f t="shared" si="32"/>
        <v>-15179</v>
      </c>
      <c r="AS136" s="656">
        <f t="shared" si="32"/>
        <v>-3253</v>
      </c>
      <c r="AT136" s="656">
        <f t="shared" si="32"/>
        <v>0</v>
      </c>
      <c r="AU136" s="710"/>
      <c r="AW136" s="627">
        <v>2317</v>
      </c>
      <c r="AX136" s="628" t="s">
        <v>443</v>
      </c>
      <c r="AY136" s="693" t="s">
        <v>152</v>
      </c>
      <c r="AZ136"/>
      <c r="BA136" s="196"/>
      <c r="BC136"/>
    </row>
    <row r="137" spans="1:55">
      <c r="A137" s="648" t="s">
        <v>716</v>
      </c>
      <c r="B137" s="76">
        <v>9</v>
      </c>
      <c r="C137" s="656">
        <f t="shared" si="22"/>
        <v>-35778</v>
      </c>
      <c r="D137" s="657">
        <f t="shared" si="23"/>
        <v>-20057</v>
      </c>
      <c r="E137" s="657">
        <f t="shared" si="24"/>
        <v>-14636</v>
      </c>
      <c r="F137" s="658">
        <f t="shared" si="33"/>
        <v>0</v>
      </c>
      <c r="G137" s="699"/>
      <c r="H137" s="662">
        <f t="shared" si="25"/>
        <v>-19515</v>
      </c>
      <c r="I137" s="662">
        <f t="shared" si="34"/>
        <v>-14636</v>
      </c>
      <c r="J137" s="662">
        <f t="shared" si="34"/>
        <v>-10842</v>
      </c>
      <c r="K137" s="662">
        <f t="shared" si="34"/>
        <v>0</v>
      </c>
      <c r="L137" s="702"/>
      <c r="M137" s="656">
        <f t="shared" si="26"/>
        <v>-18431</v>
      </c>
      <c r="N137" s="656">
        <f t="shared" si="26"/>
        <v>-18431</v>
      </c>
      <c r="O137" s="656">
        <f t="shared" si="26"/>
        <v>-13552</v>
      </c>
      <c r="P137" s="656">
        <f t="shared" si="26"/>
        <v>0</v>
      </c>
      <c r="Q137" s="656">
        <f t="shared" si="26"/>
        <v>-1084</v>
      </c>
      <c r="R137" s="699"/>
      <c r="S137" s="662">
        <f t="shared" si="27"/>
        <v>-16805</v>
      </c>
      <c r="T137" s="662">
        <f t="shared" si="27"/>
        <v>-9757</v>
      </c>
      <c r="U137" s="662">
        <f t="shared" si="27"/>
        <v>-10300</v>
      </c>
      <c r="V137" s="662">
        <f t="shared" si="27"/>
        <v>-10300</v>
      </c>
      <c r="W137" s="702"/>
      <c r="X137" s="656">
        <f t="shared" si="28"/>
        <v>-13552</v>
      </c>
      <c r="Y137" s="656">
        <f t="shared" si="28"/>
        <v>-5963</v>
      </c>
      <c r="Z137" s="656">
        <f t="shared" si="28"/>
        <v>0</v>
      </c>
      <c r="AA137" s="656">
        <f t="shared" si="28"/>
        <v>0</v>
      </c>
      <c r="AB137" s="699"/>
      <c r="AC137" s="699"/>
      <c r="AD137" s="662">
        <f t="shared" si="29"/>
        <v>-13010</v>
      </c>
      <c r="AE137" s="662">
        <f t="shared" si="29"/>
        <v>0</v>
      </c>
      <c r="AF137" s="662">
        <f t="shared" si="29"/>
        <v>-542</v>
      </c>
      <c r="AG137" s="662">
        <f t="shared" si="29"/>
        <v>-542</v>
      </c>
      <c r="AH137" s="702"/>
      <c r="AI137" s="656">
        <f t="shared" si="30"/>
        <v>-4879</v>
      </c>
      <c r="AJ137" s="656">
        <f t="shared" si="30"/>
        <v>-5421</v>
      </c>
      <c r="AK137" s="656">
        <f t="shared" si="30"/>
        <v>-2168</v>
      </c>
      <c r="AL137" s="699"/>
      <c r="AM137" s="662">
        <f t="shared" si="31"/>
        <v>-2710</v>
      </c>
      <c r="AN137" s="662">
        <f t="shared" si="31"/>
        <v>-3253</v>
      </c>
      <c r="AO137" s="662">
        <f t="shared" si="31"/>
        <v>-542</v>
      </c>
      <c r="AP137" s="702"/>
      <c r="AQ137" s="702"/>
      <c r="AR137" s="656">
        <f t="shared" si="32"/>
        <v>-2711</v>
      </c>
      <c r="AS137" s="656">
        <f t="shared" si="32"/>
        <v>-3795</v>
      </c>
      <c r="AT137" s="656">
        <f t="shared" si="32"/>
        <v>0</v>
      </c>
      <c r="AU137" s="710"/>
      <c r="AW137" s="627">
        <v>2318</v>
      </c>
      <c r="AX137" s="628" t="s">
        <v>444</v>
      </c>
      <c r="AY137" s="693" t="s">
        <v>152</v>
      </c>
      <c r="AZ137"/>
      <c r="BA137" s="196"/>
      <c r="BC137"/>
    </row>
    <row r="138" spans="1:55">
      <c r="A138" s="403" t="s">
        <v>4946</v>
      </c>
      <c r="B138" s="299">
        <v>10</v>
      </c>
      <c r="C138" s="656">
        <f t="shared" si="22"/>
        <v>-28731</v>
      </c>
      <c r="D138" s="657">
        <f t="shared" si="23"/>
        <v>-17889</v>
      </c>
      <c r="E138" s="657">
        <f t="shared" si="24"/>
        <v>-17889</v>
      </c>
      <c r="F138" s="658">
        <f t="shared" si="33"/>
        <v>0</v>
      </c>
      <c r="G138" s="699"/>
      <c r="H138" s="662">
        <f t="shared" si="25"/>
        <v>-25478</v>
      </c>
      <c r="I138" s="662">
        <f t="shared" si="34"/>
        <v>-23852</v>
      </c>
      <c r="J138" s="662">
        <f t="shared" si="34"/>
        <v>-16263</v>
      </c>
      <c r="K138" s="662">
        <f t="shared" si="34"/>
        <v>0</v>
      </c>
      <c r="L138" s="702"/>
      <c r="M138" s="656">
        <f t="shared" si="26"/>
        <v>-14637</v>
      </c>
      <c r="N138" s="656">
        <f t="shared" si="26"/>
        <v>-14637</v>
      </c>
      <c r="O138" s="656">
        <f t="shared" si="26"/>
        <v>-10842</v>
      </c>
      <c r="P138" s="656">
        <f t="shared" si="26"/>
        <v>-8674</v>
      </c>
      <c r="Q138" s="656">
        <f t="shared" si="26"/>
        <v>0</v>
      </c>
      <c r="R138" s="699"/>
      <c r="S138" s="662">
        <f t="shared" si="27"/>
        <v>-31983</v>
      </c>
      <c r="T138" s="662">
        <f t="shared" si="27"/>
        <v>-20599</v>
      </c>
      <c r="U138" s="662">
        <f t="shared" si="27"/>
        <v>-16263</v>
      </c>
      <c r="V138" s="662">
        <f t="shared" si="27"/>
        <v>-16263</v>
      </c>
      <c r="W138" s="702"/>
      <c r="X138" s="656">
        <f t="shared" si="28"/>
        <v>-30357</v>
      </c>
      <c r="Y138" s="656">
        <f t="shared" si="28"/>
        <v>-17889</v>
      </c>
      <c r="Z138" s="656">
        <f t="shared" si="28"/>
        <v>-7047</v>
      </c>
      <c r="AA138" s="656">
        <f t="shared" si="28"/>
        <v>0</v>
      </c>
      <c r="AB138" s="699"/>
      <c r="AC138" s="699"/>
      <c r="AD138" s="662">
        <f t="shared" si="29"/>
        <v>-34152</v>
      </c>
      <c r="AE138" s="662">
        <f t="shared" si="29"/>
        <v>-17889</v>
      </c>
      <c r="AF138" s="662">
        <f t="shared" si="29"/>
        <v>-18973</v>
      </c>
      <c r="AG138" s="662">
        <f t="shared" si="29"/>
        <v>-18973</v>
      </c>
      <c r="AH138" s="702"/>
      <c r="AI138" s="656">
        <f t="shared" si="30"/>
        <v>-25478</v>
      </c>
      <c r="AJ138" s="656">
        <f t="shared" si="30"/>
        <v>-11384</v>
      </c>
      <c r="AK138" s="656">
        <f t="shared" si="30"/>
        <v>-2169</v>
      </c>
      <c r="AL138" s="699"/>
      <c r="AM138" s="662">
        <f t="shared" si="31"/>
        <v>-20057</v>
      </c>
      <c r="AN138" s="662">
        <f t="shared" si="31"/>
        <v>-9758</v>
      </c>
      <c r="AO138" s="662">
        <f t="shared" si="31"/>
        <v>0</v>
      </c>
      <c r="AP138" s="702"/>
      <c r="AQ138" s="702"/>
      <c r="AR138" s="656">
        <f t="shared" si="32"/>
        <v>-23852</v>
      </c>
      <c r="AS138" s="656">
        <f t="shared" si="32"/>
        <v>-11926</v>
      </c>
      <c r="AT138" s="656">
        <f t="shared" si="32"/>
        <v>0</v>
      </c>
      <c r="AU138" s="710"/>
      <c r="AW138" s="627">
        <v>2319</v>
      </c>
      <c r="AX138" s="628" t="s">
        <v>445</v>
      </c>
      <c r="AY138" s="693" t="s">
        <v>152</v>
      </c>
      <c r="AZ138"/>
      <c r="BA138" s="196"/>
      <c r="BC138"/>
    </row>
    <row r="139" spans="1:55">
      <c r="A139" s="228" t="s">
        <v>3778</v>
      </c>
      <c r="B139" s="76">
        <v>11</v>
      </c>
      <c r="C139" s="656">
        <f t="shared" si="22"/>
        <v>-35778</v>
      </c>
      <c r="D139" s="657">
        <f t="shared" si="23"/>
        <v>-24394</v>
      </c>
      <c r="E139" s="657">
        <f t="shared" si="24"/>
        <v>-24394</v>
      </c>
      <c r="F139" s="658">
        <f t="shared" si="33"/>
        <v>0</v>
      </c>
      <c r="G139" s="699"/>
      <c r="H139" s="662">
        <f t="shared" si="25"/>
        <v>-18431</v>
      </c>
      <c r="I139" s="662">
        <f t="shared" si="34"/>
        <v>-17889</v>
      </c>
      <c r="J139" s="662">
        <f t="shared" si="34"/>
        <v>-17889</v>
      </c>
      <c r="K139" s="662">
        <f t="shared" si="34"/>
        <v>0</v>
      </c>
      <c r="L139" s="702"/>
      <c r="M139" s="656">
        <f t="shared" ref="M139:Q148" si="35">M27-$R27</f>
        <v>-7590</v>
      </c>
      <c r="N139" s="656">
        <f t="shared" si="35"/>
        <v>-7590</v>
      </c>
      <c r="O139" s="656">
        <f t="shared" si="35"/>
        <v>-7590</v>
      </c>
      <c r="P139" s="656">
        <f t="shared" si="35"/>
        <v>-5963</v>
      </c>
      <c r="Q139" s="656">
        <f t="shared" si="35"/>
        <v>0</v>
      </c>
      <c r="R139" s="699"/>
      <c r="S139" s="662">
        <f t="shared" si="27"/>
        <v>-47704</v>
      </c>
      <c r="T139" s="662">
        <f t="shared" si="27"/>
        <v>-42283</v>
      </c>
      <c r="U139" s="662">
        <f t="shared" si="27"/>
        <v>-27105</v>
      </c>
      <c r="V139" s="662">
        <f t="shared" si="27"/>
        <v>-27105</v>
      </c>
      <c r="W139" s="702"/>
      <c r="X139" s="656">
        <f t="shared" si="28"/>
        <v>-44994</v>
      </c>
      <c r="Y139" s="656">
        <f t="shared" si="28"/>
        <v>-31984</v>
      </c>
      <c r="Z139" s="656">
        <f t="shared" si="28"/>
        <v>0</v>
      </c>
      <c r="AA139" s="656">
        <f t="shared" si="28"/>
        <v>0</v>
      </c>
      <c r="AB139" s="699"/>
      <c r="AC139" s="699"/>
      <c r="AD139" s="662">
        <f t="shared" si="29"/>
        <v>-40115</v>
      </c>
      <c r="AE139" s="662">
        <f t="shared" si="29"/>
        <v>-25478</v>
      </c>
      <c r="AF139" s="662">
        <f t="shared" si="29"/>
        <v>-25478</v>
      </c>
      <c r="AG139" s="662">
        <f t="shared" si="29"/>
        <v>-25478</v>
      </c>
      <c r="AH139" s="702"/>
      <c r="AI139" s="656">
        <f t="shared" si="30"/>
        <v>-31983</v>
      </c>
      <c r="AJ139" s="656">
        <f t="shared" si="30"/>
        <v>-8674</v>
      </c>
      <c r="AK139" s="656">
        <f t="shared" si="30"/>
        <v>-8674</v>
      </c>
      <c r="AL139" s="699"/>
      <c r="AM139" s="662">
        <f t="shared" si="31"/>
        <v>-22226</v>
      </c>
      <c r="AN139" s="662">
        <f t="shared" si="31"/>
        <v>-4337</v>
      </c>
      <c r="AO139" s="662">
        <f t="shared" si="31"/>
        <v>0</v>
      </c>
      <c r="AP139" s="702"/>
      <c r="AQ139" s="702"/>
      <c r="AR139" s="656">
        <f t="shared" si="32"/>
        <v>-25478</v>
      </c>
      <c r="AS139" s="656">
        <f t="shared" si="32"/>
        <v>-4878</v>
      </c>
      <c r="AT139" s="656">
        <f t="shared" si="32"/>
        <v>0</v>
      </c>
      <c r="AU139" s="710"/>
      <c r="AW139" s="627">
        <v>2321</v>
      </c>
      <c r="AX139" s="628" t="s">
        <v>446</v>
      </c>
      <c r="AY139" s="693" t="s">
        <v>152</v>
      </c>
      <c r="AZ139"/>
      <c r="BA139" s="196"/>
      <c r="BC139"/>
    </row>
    <row r="140" spans="1:55">
      <c r="A140" s="649" t="s">
        <v>4947</v>
      </c>
      <c r="B140" s="299">
        <v>12</v>
      </c>
      <c r="C140" s="656">
        <f t="shared" si="22"/>
        <v>-25478</v>
      </c>
      <c r="D140" s="657">
        <f t="shared" si="23"/>
        <v>-23851</v>
      </c>
      <c r="E140" s="657">
        <f t="shared" si="24"/>
        <v>-15178</v>
      </c>
      <c r="F140" s="658">
        <f t="shared" si="33"/>
        <v>0</v>
      </c>
      <c r="G140" s="699"/>
      <c r="H140" s="662">
        <f t="shared" si="25"/>
        <v>-12468</v>
      </c>
      <c r="I140" s="662">
        <f t="shared" si="34"/>
        <v>-11384</v>
      </c>
      <c r="J140" s="662">
        <f t="shared" si="34"/>
        <v>-10842</v>
      </c>
      <c r="K140" s="662">
        <f t="shared" si="34"/>
        <v>0</v>
      </c>
      <c r="L140" s="702"/>
      <c r="M140" s="656">
        <f t="shared" si="35"/>
        <v>-11384</v>
      </c>
      <c r="N140" s="656">
        <f t="shared" si="35"/>
        <v>-11384</v>
      </c>
      <c r="O140" s="656">
        <f t="shared" si="35"/>
        <v>-3253</v>
      </c>
      <c r="P140" s="656">
        <f t="shared" si="35"/>
        <v>0</v>
      </c>
      <c r="Q140" s="656">
        <f t="shared" si="35"/>
        <v>0</v>
      </c>
      <c r="R140" s="699"/>
      <c r="S140" s="662">
        <f t="shared" si="27"/>
        <v>-29815</v>
      </c>
      <c r="T140" s="662">
        <f t="shared" si="27"/>
        <v>-21684</v>
      </c>
      <c r="U140" s="662">
        <f t="shared" si="27"/>
        <v>-15721</v>
      </c>
      <c r="V140" s="662">
        <f t="shared" si="27"/>
        <v>-15721</v>
      </c>
      <c r="W140" s="702"/>
      <c r="X140" s="656">
        <f t="shared" si="28"/>
        <v>-23852</v>
      </c>
      <c r="Y140" s="656">
        <f t="shared" si="28"/>
        <v>-14094</v>
      </c>
      <c r="Z140" s="656">
        <f t="shared" si="28"/>
        <v>-7047</v>
      </c>
      <c r="AA140" s="656">
        <f t="shared" si="28"/>
        <v>0</v>
      </c>
      <c r="AB140" s="699"/>
      <c r="AC140" s="699"/>
      <c r="AD140" s="662">
        <f t="shared" si="29"/>
        <v>-34694</v>
      </c>
      <c r="AE140" s="662">
        <f t="shared" si="29"/>
        <v>-26020</v>
      </c>
      <c r="AF140" s="662">
        <f t="shared" si="29"/>
        <v>-19515</v>
      </c>
      <c r="AG140" s="662">
        <f t="shared" si="29"/>
        <v>-19515</v>
      </c>
      <c r="AH140" s="702"/>
      <c r="AI140" s="656">
        <f t="shared" si="30"/>
        <v>-30899</v>
      </c>
      <c r="AJ140" s="656">
        <f t="shared" si="30"/>
        <v>-11926</v>
      </c>
      <c r="AK140" s="656">
        <f t="shared" si="30"/>
        <v>-12468</v>
      </c>
      <c r="AL140" s="699"/>
      <c r="AM140" s="662">
        <f t="shared" si="31"/>
        <v>-23852</v>
      </c>
      <c r="AN140" s="662">
        <f t="shared" si="31"/>
        <v>-10300</v>
      </c>
      <c r="AO140" s="662">
        <f t="shared" si="31"/>
        <v>0</v>
      </c>
      <c r="AP140" s="702"/>
      <c r="AQ140" s="702"/>
      <c r="AR140" s="656">
        <f t="shared" si="32"/>
        <v>-27647</v>
      </c>
      <c r="AS140" s="656">
        <f t="shared" si="32"/>
        <v>-12468</v>
      </c>
      <c r="AT140" s="656">
        <f t="shared" si="32"/>
        <v>0</v>
      </c>
      <c r="AU140" s="710"/>
      <c r="AW140" s="627">
        <v>2322</v>
      </c>
      <c r="AX140" s="628" t="s">
        <v>447</v>
      </c>
      <c r="AY140" s="693" t="s">
        <v>152</v>
      </c>
      <c r="AZ140"/>
      <c r="BA140" s="196"/>
      <c r="BC140"/>
    </row>
    <row r="141" spans="1:55">
      <c r="A141" s="648" t="s">
        <v>2056</v>
      </c>
      <c r="B141" s="76">
        <v>13</v>
      </c>
      <c r="C141" s="656">
        <f t="shared" si="22"/>
        <v>-38489</v>
      </c>
      <c r="D141" s="657">
        <f t="shared" si="23"/>
        <v>-25478</v>
      </c>
      <c r="E141" s="657">
        <f t="shared" si="24"/>
        <v>-18973</v>
      </c>
      <c r="F141" s="658">
        <f t="shared" si="33"/>
        <v>0</v>
      </c>
      <c r="G141" s="699"/>
      <c r="H141" s="662">
        <f t="shared" si="25"/>
        <v>-14636</v>
      </c>
      <c r="I141" s="662">
        <f t="shared" si="34"/>
        <v>-11926</v>
      </c>
      <c r="J141" s="662">
        <f t="shared" si="34"/>
        <v>-7047</v>
      </c>
      <c r="K141" s="662">
        <f t="shared" si="34"/>
        <v>0</v>
      </c>
      <c r="L141" s="702"/>
      <c r="M141" s="656">
        <f t="shared" si="35"/>
        <v>-15720</v>
      </c>
      <c r="N141" s="656">
        <f t="shared" si="35"/>
        <v>-15720</v>
      </c>
      <c r="O141" s="656">
        <f t="shared" si="35"/>
        <v>-10299</v>
      </c>
      <c r="P141" s="656">
        <f t="shared" si="35"/>
        <v>-6505</v>
      </c>
      <c r="Q141" s="656">
        <f t="shared" si="35"/>
        <v>0</v>
      </c>
      <c r="R141" s="699"/>
      <c r="S141" s="662">
        <f t="shared" si="27"/>
        <v>-22768</v>
      </c>
      <c r="T141" s="662">
        <f t="shared" si="27"/>
        <v>-15179</v>
      </c>
      <c r="U141" s="662">
        <f t="shared" si="27"/>
        <v>-8132</v>
      </c>
      <c r="V141" s="662">
        <f t="shared" si="27"/>
        <v>-8132</v>
      </c>
      <c r="W141" s="702"/>
      <c r="X141" s="656">
        <f t="shared" si="28"/>
        <v>-25478</v>
      </c>
      <c r="Y141" s="656">
        <f t="shared" si="28"/>
        <v>-8132</v>
      </c>
      <c r="Z141" s="656">
        <f t="shared" si="28"/>
        <v>0</v>
      </c>
      <c r="AA141" s="656">
        <f t="shared" si="28"/>
        <v>0</v>
      </c>
      <c r="AB141" s="699"/>
      <c r="AC141" s="699"/>
      <c r="AD141" s="662">
        <f t="shared" si="29"/>
        <v>-28730</v>
      </c>
      <c r="AE141" s="662">
        <f t="shared" si="29"/>
        <v>-17889</v>
      </c>
      <c r="AF141" s="662">
        <f t="shared" si="29"/>
        <v>-17889</v>
      </c>
      <c r="AG141" s="662">
        <f t="shared" si="29"/>
        <v>-17889</v>
      </c>
      <c r="AH141" s="702"/>
      <c r="AI141" s="656">
        <f t="shared" si="30"/>
        <v>-24394</v>
      </c>
      <c r="AJ141" s="656">
        <f t="shared" si="30"/>
        <v>-9215</v>
      </c>
      <c r="AK141" s="656">
        <f t="shared" si="30"/>
        <v>-2168</v>
      </c>
      <c r="AL141" s="699"/>
      <c r="AM141" s="662">
        <f t="shared" si="31"/>
        <v>-14636</v>
      </c>
      <c r="AN141" s="662">
        <f t="shared" si="31"/>
        <v>-7047</v>
      </c>
      <c r="AO141" s="662">
        <f t="shared" si="31"/>
        <v>0</v>
      </c>
      <c r="AP141" s="702"/>
      <c r="AQ141" s="702"/>
      <c r="AR141" s="656">
        <f t="shared" si="32"/>
        <v>-17347</v>
      </c>
      <c r="AS141" s="656">
        <f t="shared" si="32"/>
        <v>-8674</v>
      </c>
      <c r="AT141" s="656">
        <f t="shared" si="32"/>
        <v>0</v>
      </c>
      <c r="AU141" s="710"/>
      <c r="AW141" s="627">
        <v>2330</v>
      </c>
      <c r="AX141" s="628" t="s">
        <v>448</v>
      </c>
      <c r="AY141" s="693" t="s">
        <v>152</v>
      </c>
      <c r="AZ141"/>
      <c r="BA141" s="196"/>
      <c r="BC141"/>
    </row>
    <row r="142" spans="1:55">
      <c r="A142" s="403" t="s">
        <v>4948</v>
      </c>
      <c r="B142" s="299">
        <v>14</v>
      </c>
      <c r="C142" s="656">
        <f t="shared" si="22"/>
        <v>-28188</v>
      </c>
      <c r="D142" s="657">
        <f t="shared" si="23"/>
        <v>-16262</v>
      </c>
      <c r="E142" s="657">
        <f t="shared" si="24"/>
        <v>-15720</v>
      </c>
      <c r="F142" s="658">
        <f t="shared" si="33"/>
        <v>0</v>
      </c>
      <c r="G142" s="699"/>
      <c r="H142" s="662">
        <f t="shared" si="25"/>
        <v>-7047</v>
      </c>
      <c r="I142" s="662">
        <f t="shared" si="34"/>
        <v>-11383</v>
      </c>
      <c r="J142" s="662">
        <f t="shared" si="34"/>
        <v>-11383</v>
      </c>
      <c r="K142" s="662">
        <f t="shared" si="34"/>
        <v>0</v>
      </c>
      <c r="L142" s="702"/>
      <c r="M142" s="656">
        <f t="shared" si="35"/>
        <v>-8131</v>
      </c>
      <c r="N142" s="656">
        <f t="shared" si="35"/>
        <v>-8131</v>
      </c>
      <c r="O142" s="656">
        <f t="shared" si="35"/>
        <v>-8131</v>
      </c>
      <c r="P142" s="656">
        <f t="shared" si="35"/>
        <v>-5963</v>
      </c>
      <c r="Q142" s="656">
        <f t="shared" si="35"/>
        <v>0</v>
      </c>
      <c r="R142" s="699"/>
      <c r="S142" s="662">
        <f t="shared" si="27"/>
        <v>-35236</v>
      </c>
      <c r="T142" s="662">
        <f t="shared" si="27"/>
        <v>-24936</v>
      </c>
      <c r="U142" s="662">
        <f t="shared" si="27"/>
        <v>-15178</v>
      </c>
      <c r="V142" s="662">
        <f t="shared" si="27"/>
        <v>-15178</v>
      </c>
      <c r="W142" s="702"/>
      <c r="X142" s="656">
        <f t="shared" si="28"/>
        <v>-30357</v>
      </c>
      <c r="Y142" s="656">
        <f t="shared" si="28"/>
        <v>-15721</v>
      </c>
      <c r="Z142" s="656">
        <f t="shared" si="28"/>
        <v>0</v>
      </c>
      <c r="AA142" s="656">
        <f t="shared" si="28"/>
        <v>0</v>
      </c>
      <c r="AB142" s="699"/>
      <c r="AC142" s="699"/>
      <c r="AD142" s="662">
        <f t="shared" si="29"/>
        <v>-37404</v>
      </c>
      <c r="AE142" s="662">
        <f t="shared" si="29"/>
        <v>-28731</v>
      </c>
      <c r="AF142" s="662">
        <f t="shared" si="29"/>
        <v>-21683</v>
      </c>
      <c r="AG142" s="662">
        <f t="shared" si="29"/>
        <v>-21683</v>
      </c>
      <c r="AH142" s="702"/>
      <c r="AI142" s="656">
        <f t="shared" si="30"/>
        <v>-34694</v>
      </c>
      <c r="AJ142" s="656">
        <f t="shared" si="30"/>
        <v>-13010</v>
      </c>
      <c r="AK142" s="656">
        <f t="shared" si="30"/>
        <v>-2710</v>
      </c>
      <c r="AL142" s="699"/>
      <c r="AM142" s="662">
        <f t="shared" si="31"/>
        <v>-25478</v>
      </c>
      <c r="AN142" s="662">
        <f t="shared" si="31"/>
        <v>-10842</v>
      </c>
      <c r="AO142" s="662">
        <f t="shared" si="31"/>
        <v>0</v>
      </c>
      <c r="AP142" s="702"/>
      <c r="AQ142" s="702"/>
      <c r="AR142" s="656">
        <f t="shared" si="32"/>
        <v>-29815</v>
      </c>
      <c r="AS142" s="656">
        <f t="shared" si="32"/>
        <v>-12468</v>
      </c>
      <c r="AT142" s="656">
        <f t="shared" si="32"/>
        <v>0</v>
      </c>
      <c r="AU142" s="710"/>
      <c r="AW142" s="627">
        <v>2335</v>
      </c>
      <c r="AX142" s="628" t="s">
        <v>449</v>
      </c>
      <c r="AY142" s="693" t="s">
        <v>152</v>
      </c>
      <c r="AZ142"/>
      <c r="BA142" s="196"/>
      <c r="BC142"/>
    </row>
    <row r="143" spans="1:55">
      <c r="A143" s="228" t="s">
        <v>4949</v>
      </c>
      <c r="B143" s="76">
        <v>15</v>
      </c>
      <c r="C143" s="656">
        <f t="shared" si="22"/>
        <v>-46077</v>
      </c>
      <c r="D143" s="657">
        <f t="shared" si="23"/>
        <v>-32525</v>
      </c>
      <c r="E143" s="657">
        <f t="shared" si="24"/>
        <v>-27646</v>
      </c>
      <c r="F143" s="658">
        <f t="shared" si="33"/>
        <v>0</v>
      </c>
      <c r="G143" s="699"/>
      <c r="H143" s="662">
        <f t="shared" si="25"/>
        <v>-20058</v>
      </c>
      <c r="I143" s="662">
        <f t="shared" si="34"/>
        <v>-23852</v>
      </c>
      <c r="J143" s="662">
        <f t="shared" si="34"/>
        <v>-9216</v>
      </c>
      <c r="K143" s="662">
        <f t="shared" si="34"/>
        <v>0</v>
      </c>
      <c r="L143" s="702"/>
      <c r="M143" s="656">
        <f t="shared" si="35"/>
        <v>-4879</v>
      </c>
      <c r="N143" s="656">
        <f t="shared" si="35"/>
        <v>-4879</v>
      </c>
      <c r="O143" s="656">
        <f t="shared" si="35"/>
        <v>0</v>
      </c>
      <c r="P143" s="656">
        <f t="shared" si="35"/>
        <v>-4337</v>
      </c>
      <c r="Q143" s="656">
        <f t="shared" si="35"/>
        <v>-4337</v>
      </c>
      <c r="R143" s="699"/>
      <c r="S143" s="662">
        <f t="shared" si="27"/>
        <v>-22226</v>
      </c>
      <c r="T143" s="662">
        <f t="shared" si="27"/>
        <v>-8131</v>
      </c>
      <c r="U143" s="662">
        <f t="shared" si="27"/>
        <v>-12468</v>
      </c>
      <c r="V143" s="662">
        <f t="shared" si="27"/>
        <v>-12468</v>
      </c>
      <c r="W143" s="702"/>
      <c r="X143" s="656">
        <f t="shared" si="28"/>
        <v>-19515</v>
      </c>
      <c r="Y143" s="656">
        <f t="shared" si="28"/>
        <v>0</v>
      </c>
      <c r="Z143" s="656">
        <f t="shared" si="28"/>
        <v>-542</v>
      </c>
      <c r="AA143" s="656">
        <f t="shared" si="28"/>
        <v>-542</v>
      </c>
      <c r="AB143" s="699"/>
      <c r="AC143" s="699"/>
      <c r="AD143" s="662">
        <f t="shared" si="29"/>
        <v>-35236</v>
      </c>
      <c r="AE143" s="662">
        <f t="shared" si="29"/>
        <v>-17889</v>
      </c>
      <c r="AF143" s="662">
        <f t="shared" si="29"/>
        <v>-25478</v>
      </c>
      <c r="AG143" s="662">
        <f t="shared" si="29"/>
        <v>-25478</v>
      </c>
      <c r="AH143" s="702"/>
      <c r="AI143" s="656">
        <f t="shared" si="30"/>
        <v>-25478</v>
      </c>
      <c r="AJ143" s="656">
        <f t="shared" si="30"/>
        <v>-11384</v>
      </c>
      <c r="AK143" s="656">
        <f t="shared" si="30"/>
        <v>0</v>
      </c>
      <c r="AL143" s="699"/>
      <c r="AM143" s="662">
        <f t="shared" si="31"/>
        <v>-14095</v>
      </c>
      <c r="AN143" s="662">
        <f t="shared" si="31"/>
        <v>-14637</v>
      </c>
      <c r="AO143" s="662">
        <f t="shared" si="31"/>
        <v>-3795</v>
      </c>
      <c r="AP143" s="702"/>
      <c r="AQ143" s="702"/>
      <c r="AR143" s="656">
        <f t="shared" si="32"/>
        <v>-11926</v>
      </c>
      <c r="AS143" s="656">
        <f t="shared" si="32"/>
        <v>-12468</v>
      </c>
      <c r="AT143" s="656">
        <f t="shared" si="32"/>
        <v>0</v>
      </c>
      <c r="AU143" s="710"/>
      <c r="AW143" s="627">
        <v>2336</v>
      </c>
      <c r="AX143" s="628" t="s">
        <v>450</v>
      </c>
      <c r="AY143" s="693" t="s">
        <v>152</v>
      </c>
      <c r="AZ143"/>
      <c r="BA143" s="196"/>
      <c r="BC143"/>
    </row>
    <row r="144" spans="1:55">
      <c r="A144" s="649" t="s">
        <v>4950</v>
      </c>
      <c r="B144" s="299">
        <v>16</v>
      </c>
      <c r="C144" s="656">
        <f t="shared" si="22"/>
        <v>-30899</v>
      </c>
      <c r="D144" s="657">
        <f t="shared" si="23"/>
        <v>-17347</v>
      </c>
      <c r="E144" s="657">
        <f t="shared" si="24"/>
        <v>-16805</v>
      </c>
      <c r="F144" s="658">
        <f t="shared" si="33"/>
        <v>0</v>
      </c>
      <c r="G144" s="699"/>
      <c r="H144" s="662">
        <f t="shared" si="25"/>
        <v>-21684</v>
      </c>
      <c r="I144" s="662">
        <f t="shared" si="34"/>
        <v>-15721</v>
      </c>
      <c r="J144" s="662">
        <f t="shared" si="34"/>
        <v>-14637</v>
      </c>
      <c r="K144" s="662">
        <f t="shared" si="34"/>
        <v>0</v>
      </c>
      <c r="L144" s="702"/>
      <c r="M144" s="656">
        <f t="shared" si="35"/>
        <v>-26021</v>
      </c>
      <c r="N144" s="656">
        <f t="shared" si="35"/>
        <v>-26021</v>
      </c>
      <c r="O144" s="656">
        <f t="shared" si="35"/>
        <v>-33068</v>
      </c>
      <c r="P144" s="656">
        <f t="shared" si="35"/>
        <v>-18431</v>
      </c>
      <c r="Q144" s="656">
        <f t="shared" si="35"/>
        <v>0</v>
      </c>
      <c r="R144" s="699"/>
      <c r="S144" s="662">
        <f t="shared" si="27"/>
        <v>-30899</v>
      </c>
      <c r="T144" s="662">
        <f t="shared" si="27"/>
        <v>-15179</v>
      </c>
      <c r="U144" s="662">
        <f t="shared" si="27"/>
        <v>-13011</v>
      </c>
      <c r="V144" s="662">
        <f t="shared" si="27"/>
        <v>-13011</v>
      </c>
      <c r="W144" s="702"/>
      <c r="X144" s="656">
        <f t="shared" si="28"/>
        <v>-28189</v>
      </c>
      <c r="Y144" s="656">
        <f t="shared" si="28"/>
        <v>-18431</v>
      </c>
      <c r="Z144" s="656">
        <f t="shared" si="28"/>
        <v>0</v>
      </c>
      <c r="AA144" s="656">
        <f t="shared" si="28"/>
        <v>0</v>
      </c>
      <c r="AB144" s="699"/>
      <c r="AC144" s="699"/>
      <c r="AD144" s="662">
        <f t="shared" si="29"/>
        <v>-36320</v>
      </c>
      <c r="AE144" s="662">
        <f t="shared" si="29"/>
        <v>-27646</v>
      </c>
      <c r="AF144" s="662">
        <f t="shared" si="29"/>
        <v>-18973</v>
      </c>
      <c r="AG144" s="662">
        <f t="shared" si="29"/>
        <v>-18973</v>
      </c>
      <c r="AH144" s="702"/>
      <c r="AI144" s="656">
        <f t="shared" si="30"/>
        <v>-21683</v>
      </c>
      <c r="AJ144" s="656">
        <f t="shared" si="30"/>
        <v>-3795</v>
      </c>
      <c r="AK144" s="656">
        <f t="shared" si="30"/>
        <v>0</v>
      </c>
      <c r="AL144" s="699"/>
      <c r="AM144" s="662">
        <f t="shared" si="31"/>
        <v>-30357</v>
      </c>
      <c r="AN144" s="662">
        <f t="shared" si="31"/>
        <v>-15178</v>
      </c>
      <c r="AO144" s="662">
        <f t="shared" si="31"/>
        <v>-11926</v>
      </c>
      <c r="AP144" s="702"/>
      <c r="AQ144" s="702"/>
      <c r="AR144" s="656">
        <f t="shared" si="32"/>
        <v>-23852</v>
      </c>
      <c r="AS144" s="656">
        <f t="shared" si="32"/>
        <v>-4337</v>
      </c>
      <c r="AT144" s="656">
        <f t="shared" si="32"/>
        <v>0</v>
      </c>
      <c r="AU144" s="710"/>
      <c r="AW144" s="627">
        <v>2337</v>
      </c>
      <c r="AX144" s="628" t="s">
        <v>451</v>
      </c>
      <c r="AY144" s="693" t="s">
        <v>152</v>
      </c>
      <c r="AZ144"/>
      <c r="BA144" s="196"/>
      <c r="BC144"/>
    </row>
    <row r="145" spans="1:55">
      <c r="A145" s="648" t="s">
        <v>4951</v>
      </c>
      <c r="B145" s="76">
        <v>17</v>
      </c>
      <c r="C145" s="656">
        <f t="shared" si="22"/>
        <v>-48245</v>
      </c>
      <c r="D145" s="657">
        <f t="shared" si="23"/>
        <v>-30356</v>
      </c>
      <c r="E145" s="657">
        <f t="shared" si="24"/>
        <v>-30356</v>
      </c>
      <c r="F145" s="658">
        <f t="shared" si="33"/>
        <v>0</v>
      </c>
      <c r="G145" s="699"/>
      <c r="H145" s="662">
        <f t="shared" si="25"/>
        <v>-37404</v>
      </c>
      <c r="I145" s="662">
        <f t="shared" si="34"/>
        <v>-27646</v>
      </c>
      <c r="J145" s="662">
        <f t="shared" si="34"/>
        <v>-27646</v>
      </c>
      <c r="K145" s="662">
        <f t="shared" si="34"/>
        <v>0</v>
      </c>
      <c r="L145" s="702"/>
      <c r="M145" s="656">
        <f t="shared" si="35"/>
        <v>-32525</v>
      </c>
      <c r="N145" s="656">
        <f t="shared" si="35"/>
        <v>-32525</v>
      </c>
      <c r="O145" s="656">
        <f t="shared" si="35"/>
        <v>-32525</v>
      </c>
      <c r="P145" s="656">
        <f t="shared" si="35"/>
        <v>-2169</v>
      </c>
      <c r="Q145" s="656">
        <f t="shared" si="35"/>
        <v>0</v>
      </c>
      <c r="R145" s="699"/>
      <c r="S145" s="662">
        <f t="shared" si="27"/>
        <v>-23309</v>
      </c>
      <c r="T145" s="662">
        <f t="shared" si="27"/>
        <v>-10299</v>
      </c>
      <c r="U145" s="662">
        <f t="shared" si="27"/>
        <v>-8673</v>
      </c>
      <c r="V145" s="662">
        <f t="shared" si="27"/>
        <v>-8673</v>
      </c>
      <c r="W145" s="702"/>
      <c r="X145" s="656">
        <f t="shared" si="28"/>
        <v>-23309</v>
      </c>
      <c r="Y145" s="656">
        <f t="shared" si="28"/>
        <v>-1626</v>
      </c>
      <c r="Z145" s="656">
        <f t="shared" si="28"/>
        <v>0</v>
      </c>
      <c r="AA145" s="656">
        <f t="shared" si="28"/>
        <v>0</v>
      </c>
      <c r="AB145" s="699"/>
      <c r="AC145" s="699"/>
      <c r="AD145" s="662">
        <f t="shared" si="29"/>
        <v>-33068</v>
      </c>
      <c r="AE145" s="662">
        <f t="shared" si="29"/>
        <v>-13552</v>
      </c>
      <c r="AF145" s="662">
        <f t="shared" si="29"/>
        <v>-20057</v>
      </c>
      <c r="AG145" s="662">
        <f t="shared" si="29"/>
        <v>-20057</v>
      </c>
      <c r="AH145" s="702"/>
      <c r="AI145" s="656">
        <f t="shared" si="30"/>
        <v>-13552</v>
      </c>
      <c r="AJ145" s="656">
        <f t="shared" si="30"/>
        <v>-3795</v>
      </c>
      <c r="AK145" s="656">
        <f t="shared" si="30"/>
        <v>0</v>
      </c>
      <c r="AL145" s="699"/>
      <c r="AM145" s="662">
        <f t="shared" si="31"/>
        <v>-17347</v>
      </c>
      <c r="AN145" s="662">
        <f t="shared" si="31"/>
        <v>-15721</v>
      </c>
      <c r="AO145" s="662">
        <f t="shared" si="31"/>
        <v>-12468</v>
      </c>
      <c r="AP145" s="702"/>
      <c r="AQ145" s="702"/>
      <c r="AR145" s="656">
        <f t="shared" si="32"/>
        <v>-6505</v>
      </c>
      <c r="AS145" s="656">
        <f t="shared" si="32"/>
        <v>-4336</v>
      </c>
      <c r="AT145" s="656">
        <f t="shared" si="32"/>
        <v>0</v>
      </c>
      <c r="AU145" s="710"/>
      <c r="AW145" s="627">
        <v>2338</v>
      </c>
      <c r="AX145" s="628" t="s">
        <v>452</v>
      </c>
      <c r="AY145" s="693" t="s">
        <v>152</v>
      </c>
      <c r="AZ145"/>
      <c r="BA145" s="196"/>
      <c r="BC145"/>
    </row>
    <row r="146" spans="1:55">
      <c r="A146" s="403" t="s">
        <v>4952</v>
      </c>
      <c r="B146" s="299">
        <v>18</v>
      </c>
      <c r="C146" s="656">
        <f t="shared" si="22"/>
        <v>-29815</v>
      </c>
      <c r="D146" s="657">
        <f t="shared" si="23"/>
        <v>-22768</v>
      </c>
      <c r="E146" s="657">
        <f t="shared" si="24"/>
        <v>-12468</v>
      </c>
      <c r="F146" s="658">
        <f t="shared" si="33"/>
        <v>0</v>
      </c>
      <c r="G146" s="699"/>
      <c r="H146" s="662">
        <f t="shared" si="25"/>
        <v>-10300</v>
      </c>
      <c r="I146" s="662">
        <f t="shared" si="34"/>
        <v>-8673</v>
      </c>
      <c r="J146" s="662">
        <f t="shared" si="34"/>
        <v>-4337</v>
      </c>
      <c r="K146" s="662">
        <f t="shared" si="34"/>
        <v>0</v>
      </c>
      <c r="L146" s="702"/>
      <c r="M146" s="656">
        <f t="shared" si="35"/>
        <v>-15721</v>
      </c>
      <c r="N146" s="656">
        <f t="shared" si="35"/>
        <v>-15721</v>
      </c>
      <c r="O146" s="656">
        <f t="shared" si="35"/>
        <v>-10300</v>
      </c>
      <c r="P146" s="656">
        <f t="shared" si="35"/>
        <v>-10842</v>
      </c>
      <c r="Q146" s="656">
        <f t="shared" si="35"/>
        <v>0</v>
      </c>
      <c r="R146" s="699"/>
      <c r="S146" s="662">
        <f t="shared" si="27"/>
        <v>-24936</v>
      </c>
      <c r="T146" s="662">
        <f t="shared" si="27"/>
        <v>-13552</v>
      </c>
      <c r="U146" s="662">
        <f t="shared" si="27"/>
        <v>-14636</v>
      </c>
      <c r="V146" s="662">
        <f t="shared" si="27"/>
        <v>-14636</v>
      </c>
      <c r="W146" s="702"/>
      <c r="X146" s="656">
        <f t="shared" si="28"/>
        <v>-24936</v>
      </c>
      <c r="Y146" s="656">
        <f t="shared" si="28"/>
        <v>-13552</v>
      </c>
      <c r="Z146" s="656">
        <f t="shared" si="28"/>
        <v>0</v>
      </c>
      <c r="AA146" s="656">
        <f t="shared" si="28"/>
        <v>0</v>
      </c>
      <c r="AB146" s="699"/>
      <c r="AC146" s="699"/>
      <c r="AD146" s="662">
        <f t="shared" si="29"/>
        <v>-28189</v>
      </c>
      <c r="AE146" s="662">
        <f t="shared" si="29"/>
        <v>-22768</v>
      </c>
      <c r="AF146" s="662">
        <f t="shared" si="29"/>
        <v>-17347</v>
      </c>
      <c r="AG146" s="662">
        <f t="shared" si="29"/>
        <v>-17347</v>
      </c>
      <c r="AH146" s="702"/>
      <c r="AI146" s="656">
        <f t="shared" si="30"/>
        <v>-28189</v>
      </c>
      <c r="AJ146" s="656">
        <f t="shared" si="30"/>
        <v>-3795</v>
      </c>
      <c r="AK146" s="656">
        <f t="shared" si="30"/>
        <v>0</v>
      </c>
      <c r="AL146" s="699"/>
      <c r="AM146" s="662">
        <f t="shared" si="31"/>
        <v>-20058</v>
      </c>
      <c r="AN146" s="662">
        <f t="shared" si="31"/>
        <v>-7048</v>
      </c>
      <c r="AO146" s="662">
        <f t="shared" si="31"/>
        <v>-3795</v>
      </c>
      <c r="AP146" s="702"/>
      <c r="AQ146" s="702"/>
      <c r="AR146" s="656">
        <f t="shared" si="32"/>
        <v>-18973</v>
      </c>
      <c r="AS146" s="656">
        <f t="shared" si="32"/>
        <v>-3795</v>
      </c>
      <c r="AT146" s="656">
        <f t="shared" si="32"/>
        <v>0</v>
      </c>
      <c r="AU146" s="710"/>
      <c r="AW146" s="627">
        <v>2339</v>
      </c>
      <c r="AX146" s="628" t="s">
        <v>453</v>
      </c>
      <c r="AY146" s="693" t="s">
        <v>152</v>
      </c>
      <c r="AZ146"/>
      <c r="BA146" s="196"/>
      <c r="BC146"/>
    </row>
    <row r="147" spans="1:55">
      <c r="A147" s="651" t="s">
        <v>4648</v>
      </c>
      <c r="B147" s="76">
        <v>19</v>
      </c>
      <c r="C147" s="656">
        <f t="shared" si="22"/>
        <v>-35778</v>
      </c>
      <c r="D147" s="657">
        <f t="shared" si="23"/>
        <v>-27104</v>
      </c>
      <c r="E147" s="657">
        <f t="shared" si="24"/>
        <v>-26562</v>
      </c>
      <c r="F147" s="658">
        <f t="shared" si="33"/>
        <v>0</v>
      </c>
      <c r="G147" s="699"/>
      <c r="H147" s="662">
        <f t="shared" si="25"/>
        <v>-26562</v>
      </c>
      <c r="I147" s="662">
        <f t="shared" si="34"/>
        <v>-20057</v>
      </c>
      <c r="J147" s="662">
        <f t="shared" si="34"/>
        <v>-19515</v>
      </c>
      <c r="K147" s="662">
        <f t="shared" si="34"/>
        <v>0</v>
      </c>
      <c r="L147" s="702"/>
      <c r="M147" s="656">
        <f t="shared" si="35"/>
        <v>-22768</v>
      </c>
      <c r="N147" s="656">
        <f t="shared" si="35"/>
        <v>-22768</v>
      </c>
      <c r="O147" s="656">
        <f t="shared" si="35"/>
        <v>-22226</v>
      </c>
      <c r="P147" s="656">
        <f t="shared" si="35"/>
        <v>-13553</v>
      </c>
      <c r="Q147" s="656">
        <f t="shared" si="35"/>
        <v>0</v>
      </c>
      <c r="R147" s="699"/>
      <c r="S147" s="662">
        <f t="shared" si="27"/>
        <v>-35236</v>
      </c>
      <c r="T147" s="662">
        <f t="shared" si="27"/>
        <v>-31984</v>
      </c>
      <c r="U147" s="662">
        <f t="shared" si="27"/>
        <v>-18431</v>
      </c>
      <c r="V147" s="662">
        <f t="shared" si="27"/>
        <v>-18431</v>
      </c>
      <c r="W147" s="702"/>
      <c r="X147" s="656">
        <f t="shared" si="28"/>
        <v>-35236</v>
      </c>
      <c r="Y147" s="656">
        <f t="shared" si="28"/>
        <v>-16805</v>
      </c>
      <c r="Z147" s="656">
        <f t="shared" si="28"/>
        <v>0</v>
      </c>
      <c r="AA147" s="656">
        <f t="shared" si="28"/>
        <v>0</v>
      </c>
      <c r="AB147" s="699"/>
      <c r="AC147" s="699"/>
      <c r="AD147" s="662">
        <f t="shared" si="29"/>
        <v>-44993</v>
      </c>
      <c r="AE147" s="662">
        <f t="shared" si="29"/>
        <v>-28188</v>
      </c>
      <c r="AF147" s="662">
        <f t="shared" si="29"/>
        <v>-30899</v>
      </c>
      <c r="AG147" s="662">
        <f t="shared" si="29"/>
        <v>-30899</v>
      </c>
      <c r="AH147" s="702"/>
      <c r="AI147" s="656">
        <f t="shared" si="30"/>
        <v>-35778</v>
      </c>
      <c r="AJ147" s="656">
        <f t="shared" si="30"/>
        <v>-4879</v>
      </c>
      <c r="AK147" s="656">
        <f t="shared" si="30"/>
        <v>0</v>
      </c>
      <c r="AL147" s="699"/>
      <c r="AM147" s="662">
        <f t="shared" si="31"/>
        <v>-24936</v>
      </c>
      <c r="AN147" s="662">
        <f t="shared" si="31"/>
        <v>-9215</v>
      </c>
      <c r="AO147" s="662">
        <f t="shared" si="31"/>
        <v>-4879</v>
      </c>
      <c r="AP147" s="702"/>
      <c r="AQ147" s="702"/>
      <c r="AR147" s="656">
        <f t="shared" si="32"/>
        <v>-23852</v>
      </c>
      <c r="AS147" s="656">
        <f t="shared" si="32"/>
        <v>-5421</v>
      </c>
      <c r="AT147" s="656">
        <f t="shared" si="32"/>
        <v>0</v>
      </c>
      <c r="AU147" s="710"/>
      <c r="AW147" s="627">
        <v>2340</v>
      </c>
      <c r="AX147" s="628" t="s">
        <v>454</v>
      </c>
      <c r="AY147" s="693" t="s">
        <v>152</v>
      </c>
      <c r="AZ147"/>
      <c r="BA147" s="196"/>
      <c r="BC147"/>
    </row>
    <row r="148" spans="1:55">
      <c r="A148" s="649" t="s">
        <v>4953</v>
      </c>
      <c r="B148" s="299">
        <v>20</v>
      </c>
      <c r="C148" s="656">
        <f t="shared" si="22"/>
        <v>-29815</v>
      </c>
      <c r="D148" s="657">
        <f t="shared" si="23"/>
        <v>-16805</v>
      </c>
      <c r="E148" s="657">
        <f t="shared" si="24"/>
        <v>-14637</v>
      </c>
      <c r="F148" s="658">
        <f t="shared" si="33"/>
        <v>0</v>
      </c>
      <c r="G148" s="699"/>
      <c r="H148" s="662">
        <f t="shared" si="25"/>
        <v>-16805</v>
      </c>
      <c r="I148" s="662">
        <f t="shared" si="34"/>
        <v>-12468</v>
      </c>
      <c r="J148" s="662">
        <f t="shared" si="34"/>
        <v>-10842</v>
      </c>
      <c r="K148" s="662">
        <f t="shared" si="34"/>
        <v>0</v>
      </c>
      <c r="L148" s="702"/>
      <c r="M148" s="656">
        <f t="shared" si="35"/>
        <v>-2169</v>
      </c>
      <c r="N148" s="656">
        <f t="shared" si="35"/>
        <v>-2169</v>
      </c>
      <c r="O148" s="656">
        <f t="shared" si="35"/>
        <v>0</v>
      </c>
      <c r="P148" s="656">
        <f t="shared" si="35"/>
        <v>-3253</v>
      </c>
      <c r="Q148" s="656">
        <f t="shared" si="35"/>
        <v>-3795</v>
      </c>
      <c r="R148" s="699"/>
      <c r="S148" s="662">
        <f t="shared" si="27"/>
        <v>-23852</v>
      </c>
      <c r="T148" s="662">
        <f t="shared" si="27"/>
        <v>-11926</v>
      </c>
      <c r="U148" s="662">
        <f t="shared" si="27"/>
        <v>-5963</v>
      </c>
      <c r="V148" s="662">
        <f t="shared" si="27"/>
        <v>-5963</v>
      </c>
      <c r="W148" s="702"/>
      <c r="X148" s="656">
        <f t="shared" si="28"/>
        <v>-15721</v>
      </c>
      <c r="Y148" s="656">
        <f t="shared" si="28"/>
        <v>-11926</v>
      </c>
      <c r="Z148" s="656">
        <f t="shared" si="28"/>
        <v>0</v>
      </c>
      <c r="AA148" s="656">
        <f t="shared" si="28"/>
        <v>0</v>
      </c>
      <c r="AB148" s="699"/>
      <c r="AC148" s="699"/>
      <c r="AD148" s="662">
        <f t="shared" si="29"/>
        <v>-27646</v>
      </c>
      <c r="AE148" s="662">
        <f t="shared" si="29"/>
        <v>-19515</v>
      </c>
      <c r="AF148" s="662">
        <f t="shared" si="29"/>
        <v>-13552</v>
      </c>
      <c r="AG148" s="662">
        <f t="shared" si="29"/>
        <v>-13552</v>
      </c>
      <c r="AH148" s="702"/>
      <c r="AI148" s="656">
        <f t="shared" si="30"/>
        <v>-24394</v>
      </c>
      <c r="AJ148" s="656">
        <f t="shared" si="30"/>
        <v>-6505</v>
      </c>
      <c r="AK148" s="656">
        <f t="shared" si="30"/>
        <v>0</v>
      </c>
      <c r="AL148" s="699"/>
      <c r="AM148" s="662">
        <f t="shared" si="31"/>
        <v>-22226</v>
      </c>
      <c r="AN148" s="662">
        <f t="shared" si="31"/>
        <v>-10300</v>
      </c>
      <c r="AO148" s="662">
        <f t="shared" si="31"/>
        <v>-4879</v>
      </c>
      <c r="AP148" s="702"/>
      <c r="AQ148" s="702"/>
      <c r="AR148" s="656">
        <f t="shared" si="32"/>
        <v>-22225</v>
      </c>
      <c r="AS148" s="656">
        <f t="shared" si="32"/>
        <v>-7589</v>
      </c>
      <c r="AT148" s="656">
        <f t="shared" si="32"/>
        <v>0</v>
      </c>
      <c r="AU148" s="710"/>
      <c r="AW148" s="627">
        <v>2344</v>
      </c>
      <c r="AX148" s="628" t="s">
        <v>455</v>
      </c>
      <c r="AY148" s="693" t="s">
        <v>152</v>
      </c>
      <c r="AZ148"/>
      <c r="BA148" s="196"/>
      <c r="BC148"/>
    </row>
    <row r="149" spans="1:55">
      <c r="A149" s="648" t="s">
        <v>1036</v>
      </c>
      <c r="B149" s="76">
        <v>21</v>
      </c>
      <c r="C149" s="656">
        <f t="shared" si="22"/>
        <v>-27646</v>
      </c>
      <c r="D149" s="657">
        <f t="shared" si="23"/>
        <v>-15178</v>
      </c>
      <c r="E149" s="657">
        <f t="shared" si="24"/>
        <v>-13552</v>
      </c>
      <c r="F149" s="658">
        <f t="shared" si="33"/>
        <v>0</v>
      </c>
      <c r="G149" s="699"/>
      <c r="H149" s="662">
        <f t="shared" si="25"/>
        <v>-14095</v>
      </c>
      <c r="I149" s="662">
        <f t="shared" si="34"/>
        <v>-11384</v>
      </c>
      <c r="J149" s="662">
        <f t="shared" si="34"/>
        <v>-10300</v>
      </c>
      <c r="K149" s="662">
        <f t="shared" si="34"/>
        <v>0</v>
      </c>
      <c r="L149" s="702"/>
      <c r="M149" s="656">
        <f t="shared" ref="M149:Q158" si="36">M37-$R37</f>
        <v>-18973</v>
      </c>
      <c r="N149" s="656">
        <f t="shared" si="36"/>
        <v>-18973</v>
      </c>
      <c r="O149" s="656">
        <f t="shared" si="36"/>
        <v>-17889</v>
      </c>
      <c r="P149" s="656">
        <f t="shared" si="36"/>
        <v>-13010</v>
      </c>
      <c r="Q149" s="656">
        <f t="shared" si="36"/>
        <v>0</v>
      </c>
      <c r="R149" s="699"/>
      <c r="S149" s="662">
        <f t="shared" ref="S149:V165" si="37">S37-$AC37</f>
        <v>-27104</v>
      </c>
      <c r="T149" s="662">
        <f t="shared" si="37"/>
        <v>-14636</v>
      </c>
      <c r="U149" s="662">
        <f t="shared" si="37"/>
        <v>-14094</v>
      </c>
      <c r="V149" s="662">
        <f t="shared" si="37"/>
        <v>-14094</v>
      </c>
      <c r="W149" s="702"/>
      <c r="X149" s="656">
        <f t="shared" ref="X149:AA165" si="38">X37-$AC37</f>
        <v>-29815</v>
      </c>
      <c r="Y149" s="656">
        <f t="shared" si="38"/>
        <v>-17347</v>
      </c>
      <c r="Z149" s="656">
        <f t="shared" si="38"/>
        <v>0</v>
      </c>
      <c r="AA149" s="656">
        <f t="shared" si="38"/>
        <v>0</v>
      </c>
      <c r="AB149" s="699"/>
      <c r="AC149" s="699"/>
      <c r="AD149" s="662">
        <f t="shared" ref="AD149:AG165" si="39">AD37-$AQ37</f>
        <v>-41741</v>
      </c>
      <c r="AE149" s="662">
        <f t="shared" si="39"/>
        <v>-34694</v>
      </c>
      <c r="AF149" s="662">
        <f t="shared" si="39"/>
        <v>-28731</v>
      </c>
      <c r="AG149" s="662">
        <f t="shared" si="39"/>
        <v>-28731</v>
      </c>
      <c r="AH149" s="702"/>
      <c r="AI149" s="656">
        <f t="shared" ref="AI149:AK165" si="40">AI37-$AQ37</f>
        <v>-39572</v>
      </c>
      <c r="AJ149" s="656">
        <f t="shared" si="40"/>
        <v>-17347</v>
      </c>
      <c r="AK149" s="656">
        <f t="shared" si="40"/>
        <v>-2168</v>
      </c>
      <c r="AL149" s="699"/>
      <c r="AM149" s="662">
        <f t="shared" ref="AM149:AO165" si="41">AM37-$AQ37</f>
        <v>-31983</v>
      </c>
      <c r="AN149" s="662">
        <f t="shared" si="41"/>
        <v>-15178</v>
      </c>
      <c r="AO149" s="662">
        <f t="shared" si="41"/>
        <v>0</v>
      </c>
      <c r="AP149" s="702"/>
      <c r="AQ149" s="702"/>
      <c r="AR149" s="656">
        <f t="shared" ref="AR149:AT165" si="42">AR37-$AU37</f>
        <v>-37404</v>
      </c>
      <c r="AS149" s="656">
        <f t="shared" si="42"/>
        <v>-17889</v>
      </c>
      <c r="AT149" s="656">
        <f t="shared" si="42"/>
        <v>0</v>
      </c>
      <c r="AU149" s="710"/>
      <c r="AW149" s="627">
        <v>2345</v>
      </c>
      <c r="AX149" s="628" t="s">
        <v>456</v>
      </c>
      <c r="AY149" s="693" t="s">
        <v>152</v>
      </c>
      <c r="AZ149"/>
      <c r="BA149" s="196"/>
      <c r="BC149"/>
    </row>
    <row r="150" spans="1:55">
      <c r="A150" s="641" t="s">
        <v>55</v>
      </c>
      <c r="B150" s="299">
        <v>22</v>
      </c>
      <c r="C150" s="656">
        <f t="shared" si="22"/>
        <v>-36319</v>
      </c>
      <c r="D150" s="657">
        <f t="shared" si="23"/>
        <v>-23309</v>
      </c>
      <c r="E150" s="657">
        <f t="shared" si="24"/>
        <v>-23309</v>
      </c>
      <c r="F150" s="658">
        <f t="shared" si="33"/>
        <v>0</v>
      </c>
      <c r="G150" s="699"/>
      <c r="H150" s="662">
        <f t="shared" si="25"/>
        <v>-15178</v>
      </c>
      <c r="I150" s="662">
        <f t="shared" ref="I150:K165" si="43">I38-$L38</f>
        <v>-16804</v>
      </c>
      <c r="J150" s="662">
        <f t="shared" si="43"/>
        <v>-17346</v>
      </c>
      <c r="K150" s="662">
        <f t="shared" si="43"/>
        <v>0</v>
      </c>
      <c r="L150" s="702"/>
      <c r="M150" s="656">
        <f t="shared" si="36"/>
        <v>-7589</v>
      </c>
      <c r="N150" s="656">
        <f t="shared" si="36"/>
        <v>-7589</v>
      </c>
      <c r="O150" s="656">
        <f t="shared" si="36"/>
        <v>-9757</v>
      </c>
      <c r="P150" s="656">
        <f t="shared" si="36"/>
        <v>-5421</v>
      </c>
      <c r="Q150" s="656">
        <f t="shared" si="36"/>
        <v>0</v>
      </c>
      <c r="R150" s="699"/>
      <c r="S150" s="662">
        <f t="shared" si="37"/>
        <v>-32526</v>
      </c>
      <c r="T150" s="662">
        <f t="shared" si="37"/>
        <v>-10300</v>
      </c>
      <c r="U150" s="662">
        <f t="shared" si="37"/>
        <v>-20600</v>
      </c>
      <c r="V150" s="662">
        <f t="shared" si="37"/>
        <v>-20600</v>
      </c>
      <c r="W150" s="702"/>
      <c r="X150" s="656">
        <f t="shared" si="38"/>
        <v>-30899</v>
      </c>
      <c r="Y150" s="656">
        <f t="shared" si="38"/>
        <v>-13553</v>
      </c>
      <c r="Z150" s="656">
        <f t="shared" si="38"/>
        <v>0</v>
      </c>
      <c r="AA150" s="656">
        <f t="shared" si="38"/>
        <v>0</v>
      </c>
      <c r="AB150" s="699"/>
      <c r="AC150" s="699"/>
      <c r="AD150" s="662">
        <f t="shared" si="39"/>
        <v>-25478</v>
      </c>
      <c r="AE150" s="662">
        <f t="shared" si="39"/>
        <v>-10300</v>
      </c>
      <c r="AF150" s="662">
        <f t="shared" si="39"/>
        <v>-14094</v>
      </c>
      <c r="AG150" s="662">
        <f t="shared" si="39"/>
        <v>-14094</v>
      </c>
      <c r="AH150" s="702"/>
      <c r="AI150" s="656">
        <f t="shared" si="40"/>
        <v>-16263</v>
      </c>
      <c r="AJ150" s="656">
        <f t="shared" si="40"/>
        <v>-3252</v>
      </c>
      <c r="AK150" s="656">
        <f t="shared" si="40"/>
        <v>0</v>
      </c>
      <c r="AL150" s="699"/>
      <c r="AM150" s="662">
        <f t="shared" si="41"/>
        <v>-22226</v>
      </c>
      <c r="AN150" s="662">
        <f t="shared" si="41"/>
        <v>-7589</v>
      </c>
      <c r="AO150" s="662">
        <f t="shared" si="41"/>
        <v>-8131</v>
      </c>
      <c r="AP150" s="702"/>
      <c r="AQ150" s="702"/>
      <c r="AR150" s="656">
        <f t="shared" si="42"/>
        <v>-10842</v>
      </c>
      <c r="AS150" s="656">
        <f t="shared" si="42"/>
        <v>-3794</v>
      </c>
      <c r="AT150" s="656">
        <f t="shared" si="42"/>
        <v>0</v>
      </c>
      <c r="AU150" s="710"/>
      <c r="AW150" s="627">
        <v>2347</v>
      </c>
      <c r="AX150" s="628" t="s">
        <v>457</v>
      </c>
      <c r="AY150" s="693" t="s">
        <v>152</v>
      </c>
      <c r="AZ150"/>
      <c r="BA150" s="196"/>
      <c r="BC150"/>
    </row>
    <row r="151" spans="1:55">
      <c r="A151" s="228" t="s">
        <v>3687</v>
      </c>
      <c r="B151" s="76">
        <v>23</v>
      </c>
      <c r="C151" s="656">
        <f t="shared" si="22"/>
        <v>-36862</v>
      </c>
      <c r="D151" s="657">
        <f t="shared" si="23"/>
        <v>-21683</v>
      </c>
      <c r="E151" s="657">
        <f t="shared" si="24"/>
        <v>-21683</v>
      </c>
      <c r="F151" s="658">
        <f t="shared" si="33"/>
        <v>0</v>
      </c>
      <c r="G151" s="699"/>
      <c r="H151" s="662">
        <f t="shared" si="25"/>
        <v>-13010</v>
      </c>
      <c r="I151" s="662">
        <f t="shared" si="43"/>
        <v>-16263</v>
      </c>
      <c r="J151" s="662">
        <f t="shared" si="43"/>
        <v>-16263</v>
      </c>
      <c r="K151" s="662">
        <f t="shared" si="43"/>
        <v>0</v>
      </c>
      <c r="L151" s="702"/>
      <c r="M151" s="656">
        <f t="shared" si="36"/>
        <v>-10300</v>
      </c>
      <c r="N151" s="656">
        <f t="shared" si="36"/>
        <v>-10300</v>
      </c>
      <c r="O151" s="656">
        <f t="shared" si="36"/>
        <v>-10300</v>
      </c>
      <c r="P151" s="656">
        <f t="shared" si="36"/>
        <v>-4337</v>
      </c>
      <c r="Q151" s="656">
        <f t="shared" si="36"/>
        <v>0</v>
      </c>
      <c r="R151" s="699"/>
      <c r="S151" s="662">
        <f t="shared" si="37"/>
        <v>-62882</v>
      </c>
      <c r="T151" s="662">
        <f t="shared" si="37"/>
        <v>-44993</v>
      </c>
      <c r="U151" s="662">
        <f t="shared" si="37"/>
        <v>-29273</v>
      </c>
      <c r="V151" s="662">
        <f t="shared" si="37"/>
        <v>-29273</v>
      </c>
      <c r="W151" s="702"/>
      <c r="X151" s="656">
        <f t="shared" si="38"/>
        <v>-51498</v>
      </c>
      <c r="Y151" s="656">
        <f t="shared" si="38"/>
        <v>-37404</v>
      </c>
      <c r="Z151" s="656">
        <f t="shared" si="38"/>
        <v>0</v>
      </c>
      <c r="AA151" s="656">
        <f t="shared" si="38"/>
        <v>0</v>
      </c>
      <c r="AB151" s="699"/>
      <c r="AC151" s="699"/>
      <c r="AD151" s="662">
        <f t="shared" si="39"/>
        <v>-47161</v>
      </c>
      <c r="AE151" s="662">
        <f t="shared" si="39"/>
        <v>-34151</v>
      </c>
      <c r="AF151" s="662">
        <f t="shared" si="39"/>
        <v>-28188</v>
      </c>
      <c r="AG151" s="662">
        <f t="shared" si="39"/>
        <v>-28188</v>
      </c>
      <c r="AH151" s="702"/>
      <c r="AI151" s="656">
        <f t="shared" si="40"/>
        <v>-40656</v>
      </c>
      <c r="AJ151" s="656">
        <f t="shared" si="40"/>
        <v>-7589</v>
      </c>
      <c r="AK151" s="656">
        <f t="shared" si="40"/>
        <v>-3252</v>
      </c>
      <c r="AL151" s="699"/>
      <c r="AM151" s="662">
        <f t="shared" si="41"/>
        <v>-30356</v>
      </c>
      <c r="AN151" s="662">
        <f t="shared" si="41"/>
        <v>-4878</v>
      </c>
      <c r="AO151" s="662">
        <f t="shared" si="41"/>
        <v>0</v>
      </c>
      <c r="AP151" s="702"/>
      <c r="AQ151" s="702"/>
      <c r="AR151" s="656">
        <f t="shared" si="42"/>
        <v>-35778</v>
      </c>
      <c r="AS151" s="656">
        <f t="shared" si="42"/>
        <v>-5421</v>
      </c>
      <c r="AT151" s="656">
        <f t="shared" si="42"/>
        <v>0</v>
      </c>
      <c r="AU151" s="710"/>
      <c r="AW151" s="627">
        <v>2351</v>
      </c>
      <c r="AX151" s="628" t="s">
        <v>458</v>
      </c>
      <c r="AY151" s="693" t="s">
        <v>152</v>
      </c>
      <c r="AZ151"/>
      <c r="BA151" s="196"/>
      <c r="BC151"/>
    </row>
    <row r="152" spans="1:55">
      <c r="A152" s="650" t="s">
        <v>56</v>
      </c>
      <c r="B152" s="299">
        <v>24</v>
      </c>
      <c r="C152" s="656">
        <f t="shared" si="22"/>
        <v>-30899</v>
      </c>
      <c r="D152" s="657">
        <f t="shared" si="23"/>
        <v>-18973</v>
      </c>
      <c r="E152" s="657">
        <f t="shared" si="24"/>
        <v>-18973</v>
      </c>
      <c r="F152" s="658">
        <f t="shared" si="33"/>
        <v>0</v>
      </c>
      <c r="G152" s="699"/>
      <c r="H152" s="662">
        <f t="shared" si="25"/>
        <v>-28731</v>
      </c>
      <c r="I152" s="662">
        <f t="shared" si="43"/>
        <v>-18973</v>
      </c>
      <c r="J152" s="662">
        <f t="shared" si="43"/>
        <v>-18973</v>
      </c>
      <c r="K152" s="662">
        <f t="shared" si="43"/>
        <v>0</v>
      </c>
      <c r="L152" s="702"/>
      <c r="M152" s="656">
        <f t="shared" si="36"/>
        <v>-17347</v>
      </c>
      <c r="N152" s="656">
        <f t="shared" si="36"/>
        <v>-17347</v>
      </c>
      <c r="O152" s="656">
        <f t="shared" si="36"/>
        <v>-17347</v>
      </c>
      <c r="P152" s="656">
        <f t="shared" si="36"/>
        <v>-6505</v>
      </c>
      <c r="Q152" s="656">
        <f t="shared" si="36"/>
        <v>0</v>
      </c>
      <c r="R152" s="699"/>
      <c r="S152" s="662">
        <f t="shared" si="37"/>
        <v>-23852</v>
      </c>
      <c r="T152" s="662">
        <f t="shared" si="37"/>
        <v>-3795</v>
      </c>
      <c r="U152" s="662">
        <f t="shared" si="37"/>
        <v>-7047</v>
      </c>
      <c r="V152" s="662">
        <f t="shared" si="37"/>
        <v>-7047</v>
      </c>
      <c r="W152" s="702"/>
      <c r="X152" s="656">
        <f t="shared" si="38"/>
        <v>-26020</v>
      </c>
      <c r="Y152" s="656">
        <f t="shared" si="38"/>
        <v>-13010</v>
      </c>
      <c r="Z152" s="656">
        <f t="shared" si="38"/>
        <v>0</v>
      </c>
      <c r="AA152" s="656">
        <f t="shared" si="38"/>
        <v>0</v>
      </c>
      <c r="AB152" s="699"/>
      <c r="AC152" s="699"/>
      <c r="AD152" s="662">
        <f t="shared" si="39"/>
        <v>-27104</v>
      </c>
      <c r="AE152" s="662">
        <f t="shared" si="39"/>
        <v>-15178</v>
      </c>
      <c r="AF152" s="662">
        <f t="shared" si="39"/>
        <v>-9215</v>
      </c>
      <c r="AG152" s="662">
        <f t="shared" si="39"/>
        <v>-9215</v>
      </c>
      <c r="AH152" s="702"/>
      <c r="AI152" s="656">
        <f t="shared" si="40"/>
        <v>-14094</v>
      </c>
      <c r="AJ152" s="656">
        <f t="shared" si="40"/>
        <v>-8131</v>
      </c>
      <c r="AK152" s="656">
        <f t="shared" si="40"/>
        <v>-2168</v>
      </c>
      <c r="AL152" s="699"/>
      <c r="AM152" s="662">
        <f t="shared" si="41"/>
        <v>-12468</v>
      </c>
      <c r="AN152" s="662">
        <f t="shared" si="41"/>
        <v>-12468</v>
      </c>
      <c r="AO152" s="662">
        <f t="shared" si="41"/>
        <v>0</v>
      </c>
      <c r="AP152" s="702"/>
      <c r="AQ152" s="702"/>
      <c r="AR152" s="656">
        <f t="shared" si="42"/>
        <v>-14636</v>
      </c>
      <c r="AS152" s="656">
        <f t="shared" si="42"/>
        <v>-7047</v>
      </c>
      <c r="AT152" s="656">
        <f t="shared" si="42"/>
        <v>0</v>
      </c>
      <c r="AU152" s="710"/>
      <c r="AW152" s="627">
        <v>2360</v>
      </c>
      <c r="AX152" s="628" t="s">
        <v>271</v>
      </c>
      <c r="AY152" s="693" t="s">
        <v>152</v>
      </c>
      <c r="AZ152"/>
      <c r="BA152" s="196"/>
      <c r="BC152"/>
    </row>
    <row r="153" spans="1:55">
      <c r="A153" s="648" t="s">
        <v>2945</v>
      </c>
      <c r="B153" s="76">
        <v>25</v>
      </c>
      <c r="C153" s="656">
        <f t="shared" si="22"/>
        <v>-45536</v>
      </c>
      <c r="D153" s="657">
        <f t="shared" si="23"/>
        <v>-28731</v>
      </c>
      <c r="E153" s="657">
        <f t="shared" si="24"/>
        <v>-28731</v>
      </c>
      <c r="F153" s="658">
        <f t="shared" si="33"/>
        <v>0</v>
      </c>
      <c r="G153" s="699"/>
      <c r="H153" s="662">
        <f t="shared" si="25"/>
        <v>-46077</v>
      </c>
      <c r="I153" s="662">
        <f t="shared" si="43"/>
        <v>-37946</v>
      </c>
      <c r="J153" s="662">
        <f t="shared" si="43"/>
        <v>-29272</v>
      </c>
      <c r="K153" s="662">
        <f t="shared" si="43"/>
        <v>0</v>
      </c>
      <c r="L153" s="702"/>
      <c r="M153" s="656">
        <f t="shared" si="36"/>
        <v>-27646</v>
      </c>
      <c r="N153" s="656">
        <f t="shared" si="36"/>
        <v>-27646</v>
      </c>
      <c r="O153" s="656">
        <f t="shared" si="36"/>
        <v>-27646</v>
      </c>
      <c r="P153" s="656">
        <f t="shared" si="36"/>
        <v>-11384</v>
      </c>
      <c r="Q153" s="656">
        <f t="shared" si="36"/>
        <v>0</v>
      </c>
      <c r="R153" s="699"/>
      <c r="S153" s="662">
        <f t="shared" si="37"/>
        <v>-47704</v>
      </c>
      <c r="T153" s="662">
        <f t="shared" si="37"/>
        <v>-21684</v>
      </c>
      <c r="U153" s="662">
        <f t="shared" si="37"/>
        <v>-10842</v>
      </c>
      <c r="V153" s="662">
        <f t="shared" si="37"/>
        <v>-10842</v>
      </c>
      <c r="W153" s="702"/>
      <c r="X153" s="656">
        <f t="shared" si="38"/>
        <v>-40657</v>
      </c>
      <c r="Y153" s="656">
        <f t="shared" si="38"/>
        <v>-29815</v>
      </c>
      <c r="Z153" s="656">
        <f t="shared" si="38"/>
        <v>0</v>
      </c>
      <c r="AA153" s="656">
        <f t="shared" si="38"/>
        <v>0</v>
      </c>
      <c r="AB153" s="699"/>
      <c r="AC153" s="699"/>
      <c r="AD153" s="662">
        <f t="shared" si="39"/>
        <v>-36862</v>
      </c>
      <c r="AE153" s="662">
        <f t="shared" si="39"/>
        <v>-18973</v>
      </c>
      <c r="AF153" s="662">
        <f t="shared" si="39"/>
        <v>-9215</v>
      </c>
      <c r="AG153" s="662">
        <f t="shared" si="39"/>
        <v>-9215</v>
      </c>
      <c r="AH153" s="702"/>
      <c r="AI153" s="656">
        <f t="shared" si="40"/>
        <v>-17347</v>
      </c>
      <c r="AJ153" s="656">
        <f t="shared" si="40"/>
        <v>-7047</v>
      </c>
      <c r="AK153" s="656">
        <f t="shared" si="40"/>
        <v>-2710</v>
      </c>
      <c r="AL153" s="699"/>
      <c r="AM153" s="662">
        <f t="shared" si="41"/>
        <v>-15178</v>
      </c>
      <c r="AN153" s="662">
        <f t="shared" si="41"/>
        <v>-4337</v>
      </c>
      <c r="AO153" s="662">
        <f t="shared" si="41"/>
        <v>0</v>
      </c>
      <c r="AP153" s="702"/>
      <c r="AQ153" s="702"/>
      <c r="AR153" s="656">
        <f t="shared" si="42"/>
        <v>-17889</v>
      </c>
      <c r="AS153" s="656">
        <f t="shared" si="42"/>
        <v>-5421</v>
      </c>
      <c r="AT153" s="656">
        <f t="shared" si="42"/>
        <v>0</v>
      </c>
      <c r="AU153" s="710"/>
      <c r="AW153" s="627">
        <v>2363</v>
      </c>
      <c r="AX153" s="628" t="s">
        <v>460</v>
      </c>
      <c r="AY153" s="693" t="s">
        <v>152</v>
      </c>
      <c r="AZ153"/>
      <c r="BA153" s="196"/>
      <c r="BC153"/>
    </row>
    <row r="154" spans="1:55">
      <c r="A154" s="403" t="s">
        <v>57</v>
      </c>
      <c r="B154" s="299">
        <v>26</v>
      </c>
      <c r="C154" s="656">
        <f t="shared" si="22"/>
        <v>-31441</v>
      </c>
      <c r="D154" s="657">
        <f t="shared" si="23"/>
        <v>-17346</v>
      </c>
      <c r="E154" s="657">
        <f t="shared" si="24"/>
        <v>-16804</v>
      </c>
      <c r="F154" s="658">
        <f t="shared" si="33"/>
        <v>0</v>
      </c>
      <c r="G154" s="699"/>
      <c r="H154" s="662">
        <f t="shared" si="25"/>
        <v>-11926</v>
      </c>
      <c r="I154" s="662">
        <f t="shared" si="43"/>
        <v>-7589</v>
      </c>
      <c r="J154" s="662">
        <f t="shared" si="43"/>
        <v>-11384</v>
      </c>
      <c r="K154" s="662">
        <f t="shared" si="43"/>
        <v>0</v>
      </c>
      <c r="L154" s="702"/>
      <c r="M154" s="656">
        <f t="shared" si="36"/>
        <v>0</v>
      </c>
      <c r="N154" s="656">
        <f t="shared" si="36"/>
        <v>0</v>
      </c>
      <c r="O154" s="656">
        <f t="shared" si="36"/>
        <v>-15179</v>
      </c>
      <c r="P154" s="656">
        <f t="shared" si="36"/>
        <v>-10300</v>
      </c>
      <c r="Q154" s="656">
        <f t="shared" si="36"/>
        <v>-4337</v>
      </c>
      <c r="R154" s="699"/>
      <c r="S154" s="662">
        <f t="shared" si="37"/>
        <v>-22768</v>
      </c>
      <c r="T154" s="662">
        <f t="shared" si="37"/>
        <v>-14636</v>
      </c>
      <c r="U154" s="662">
        <f t="shared" si="37"/>
        <v>-11926</v>
      </c>
      <c r="V154" s="662">
        <f t="shared" si="37"/>
        <v>-11926</v>
      </c>
      <c r="W154" s="702"/>
      <c r="X154" s="656">
        <f t="shared" si="38"/>
        <v>-14636</v>
      </c>
      <c r="Y154" s="656">
        <f t="shared" si="38"/>
        <v>-3253</v>
      </c>
      <c r="Z154" s="656">
        <f t="shared" si="38"/>
        <v>0</v>
      </c>
      <c r="AA154" s="656">
        <f t="shared" si="38"/>
        <v>0</v>
      </c>
      <c r="AB154" s="699"/>
      <c r="AC154" s="699"/>
      <c r="AD154" s="662">
        <f t="shared" si="39"/>
        <v>-25478</v>
      </c>
      <c r="AE154" s="662">
        <f t="shared" si="39"/>
        <v>-15721</v>
      </c>
      <c r="AF154" s="662">
        <f t="shared" si="39"/>
        <v>-6505</v>
      </c>
      <c r="AG154" s="662">
        <f t="shared" si="39"/>
        <v>-6505</v>
      </c>
      <c r="AH154" s="702"/>
      <c r="AI154" s="656">
        <f t="shared" si="40"/>
        <v>-21141</v>
      </c>
      <c r="AJ154" s="656">
        <f t="shared" si="40"/>
        <v>-12468</v>
      </c>
      <c r="AK154" s="656">
        <f t="shared" si="40"/>
        <v>-9758</v>
      </c>
      <c r="AL154" s="699"/>
      <c r="AM154" s="662">
        <f t="shared" si="41"/>
        <v>-13010</v>
      </c>
      <c r="AN154" s="662">
        <f t="shared" si="41"/>
        <v>-3252</v>
      </c>
      <c r="AO154" s="662">
        <f t="shared" si="41"/>
        <v>0</v>
      </c>
      <c r="AP154" s="702"/>
      <c r="AQ154" s="702"/>
      <c r="AR154" s="656">
        <f t="shared" si="42"/>
        <v>-15179</v>
      </c>
      <c r="AS154" s="656">
        <f t="shared" si="42"/>
        <v>-3795</v>
      </c>
      <c r="AT154" s="656">
        <f t="shared" si="42"/>
        <v>0</v>
      </c>
      <c r="AU154" s="710"/>
      <c r="AW154" s="627">
        <v>2364</v>
      </c>
      <c r="AX154" s="628" t="s">
        <v>461</v>
      </c>
      <c r="AY154" s="693" t="s">
        <v>152</v>
      </c>
      <c r="AZ154"/>
      <c r="BA154" s="196"/>
      <c r="BC154"/>
    </row>
    <row r="155" spans="1:55">
      <c r="A155" s="228" t="s">
        <v>3346</v>
      </c>
      <c r="B155" s="76">
        <v>27</v>
      </c>
      <c r="C155" s="656">
        <f t="shared" si="22"/>
        <v>-39572</v>
      </c>
      <c r="D155" s="657">
        <f t="shared" si="23"/>
        <v>-26020</v>
      </c>
      <c r="E155" s="657">
        <f t="shared" si="24"/>
        <v>-26020</v>
      </c>
      <c r="F155" s="658">
        <f t="shared" si="33"/>
        <v>0</v>
      </c>
      <c r="G155" s="699"/>
      <c r="H155" s="662">
        <f t="shared" si="25"/>
        <v>-18431</v>
      </c>
      <c r="I155" s="662">
        <f t="shared" si="43"/>
        <v>-18973</v>
      </c>
      <c r="J155" s="662">
        <f t="shared" si="43"/>
        <v>-19515</v>
      </c>
      <c r="K155" s="662">
        <f t="shared" si="43"/>
        <v>0</v>
      </c>
      <c r="L155" s="702"/>
      <c r="M155" s="656">
        <f t="shared" si="36"/>
        <v>-10841</v>
      </c>
      <c r="N155" s="656">
        <f t="shared" si="36"/>
        <v>-10841</v>
      </c>
      <c r="O155" s="656">
        <f t="shared" si="36"/>
        <v>-11383</v>
      </c>
      <c r="P155" s="656">
        <f t="shared" si="36"/>
        <v>-3252</v>
      </c>
      <c r="Q155" s="656">
        <f t="shared" si="36"/>
        <v>0</v>
      </c>
      <c r="R155" s="699"/>
      <c r="S155" s="662">
        <f t="shared" si="37"/>
        <v>-32526</v>
      </c>
      <c r="T155" s="662">
        <f t="shared" si="37"/>
        <v>-17347</v>
      </c>
      <c r="U155" s="662">
        <f t="shared" si="37"/>
        <v>-19516</v>
      </c>
      <c r="V155" s="662">
        <f t="shared" si="37"/>
        <v>-19516</v>
      </c>
      <c r="W155" s="702"/>
      <c r="X155" s="656">
        <f t="shared" si="38"/>
        <v>-24394</v>
      </c>
      <c r="Y155" s="656">
        <f t="shared" si="38"/>
        <v>-11384</v>
      </c>
      <c r="Z155" s="656">
        <f t="shared" si="38"/>
        <v>0</v>
      </c>
      <c r="AA155" s="656">
        <f t="shared" si="38"/>
        <v>0</v>
      </c>
      <c r="AB155" s="699"/>
      <c r="AC155" s="699"/>
      <c r="AD155" s="662">
        <f t="shared" si="39"/>
        <v>-28731</v>
      </c>
      <c r="AE155" s="662">
        <f t="shared" si="39"/>
        <v>-11384</v>
      </c>
      <c r="AF155" s="662">
        <f t="shared" si="39"/>
        <v>-13011</v>
      </c>
      <c r="AG155" s="662">
        <f t="shared" si="39"/>
        <v>-13011</v>
      </c>
      <c r="AH155" s="702"/>
      <c r="AI155" s="656">
        <f t="shared" si="40"/>
        <v>-17347</v>
      </c>
      <c r="AJ155" s="656">
        <f t="shared" si="40"/>
        <v>0</v>
      </c>
      <c r="AK155" s="656">
        <f t="shared" si="40"/>
        <v>0</v>
      </c>
      <c r="AL155" s="699"/>
      <c r="AM155" s="662">
        <f t="shared" si="41"/>
        <v>-8132</v>
      </c>
      <c r="AN155" s="662">
        <f t="shared" si="41"/>
        <v>-3253</v>
      </c>
      <c r="AO155" s="662">
        <f t="shared" si="41"/>
        <v>-3253</v>
      </c>
      <c r="AP155" s="702"/>
      <c r="AQ155" s="702"/>
      <c r="AR155" s="656">
        <f t="shared" si="42"/>
        <v>-5963</v>
      </c>
      <c r="AS155" s="656">
        <f t="shared" si="42"/>
        <v>0</v>
      </c>
      <c r="AT155" s="656">
        <f t="shared" si="42"/>
        <v>0</v>
      </c>
      <c r="AU155" s="710"/>
      <c r="AW155" s="627">
        <v>2365</v>
      </c>
      <c r="AX155" s="628" t="s">
        <v>462</v>
      </c>
      <c r="AY155" s="693" t="s">
        <v>152</v>
      </c>
      <c r="AZ155"/>
      <c r="BA155" s="196"/>
      <c r="BC155"/>
    </row>
    <row r="156" spans="1:55">
      <c r="A156" s="649" t="s">
        <v>58</v>
      </c>
      <c r="B156" s="299">
        <v>28</v>
      </c>
      <c r="C156" s="656">
        <f t="shared" si="22"/>
        <v>-27647</v>
      </c>
      <c r="D156" s="657">
        <f t="shared" si="23"/>
        <v>-13552</v>
      </c>
      <c r="E156" s="657">
        <f t="shared" si="24"/>
        <v>-14094</v>
      </c>
      <c r="F156" s="658">
        <f t="shared" si="33"/>
        <v>0</v>
      </c>
      <c r="G156" s="699"/>
      <c r="H156" s="662">
        <f t="shared" si="25"/>
        <v>-5963</v>
      </c>
      <c r="I156" s="662">
        <f t="shared" si="43"/>
        <v>-9758</v>
      </c>
      <c r="J156" s="662">
        <f t="shared" si="43"/>
        <v>-10300</v>
      </c>
      <c r="K156" s="662">
        <f t="shared" si="43"/>
        <v>0</v>
      </c>
      <c r="L156" s="702"/>
      <c r="M156" s="656">
        <f t="shared" si="36"/>
        <v>-22226</v>
      </c>
      <c r="N156" s="656">
        <f t="shared" si="36"/>
        <v>-22226</v>
      </c>
      <c r="O156" s="656">
        <f t="shared" si="36"/>
        <v>-22768</v>
      </c>
      <c r="P156" s="656">
        <f t="shared" si="36"/>
        <v>-12468</v>
      </c>
      <c r="Q156" s="656">
        <f t="shared" si="36"/>
        <v>0</v>
      </c>
      <c r="R156" s="699"/>
      <c r="S156" s="662">
        <f t="shared" si="37"/>
        <v>-34152</v>
      </c>
      <c r="T156" s="662">
        <f t="shared" si="37"/>
        <v>-21142</v>
      </c>
      <c r="U156" s="662">
        <f t="shared" si="37"/>
        <v>-24394</v>
      </c>
      <c r="V156" s="662">
        <f t="shared" si="37"/>
        <v>-24394</v>
      </c>
      <c r="W156" s="702"/>
      <c r="X156" s="656">
        <f t="shared" si="38"/>
        <v>-31711</v>
      </c>
      <c r="Y156" s="656">
        <f t="shared" si="38"/>
        <v>-21142</v>
      </c>
      <c r="Z156" s="656">
        <f t="shared" si="38"/>
        <v>0</v>
      </c>
      <c r="AA156" s="656">
        <f t="shared" si="38"/>
        <v>0</v>
      </c>
      <c r="AB156" s="699"/>
      <c r="AC156" s="699"/>
      <c r="AD156" s="662">
        <f t="shared" si="39"/>
        <v>-28188</v>
      </c>
      <c r="AE156" s="662">
        <f t="shared" si="39"/>
        <v>-20599</v>
      </c>
      <c r="AF156" s="662">
        <f t="shared" si="39"/>
        <v>-18431</v>
      </c>
      <c r="AG156" s="662">
        <f t="shared" si="39"/>
        <v>-18431</v>
      </c>
      <c r="AH156" s="702"/>
      <c r="AI156" s="656">
        <f t="shared" si="40"/>
        <v>-27646</v>
      </c>
      <c r="AJ156" s="656">
        <f t="shared" si="40"/>
        <v>-3794</v>
      </c>
      <c r="AK156" s="656">
        <f t="shared" si="40"/>
        <v>0</v>
      </c>
      <c r="AL156" s="699"/>
      <c r="AM156" s="662">
        <f t="shared" si="41"/>
        <v>-18973</v>
      </c>
      <c r="AN156" s="662">
        <f t="shared" si="41"/>
        <v>-3794</v>
      </c>
      <c r="AO156" s="662">
        <f t="shared" si="41"/>
        <v>0</v>
      </c>
      <c r="AP156" s="702"/>
      <c r="AQ156" s="702"/>
      <c r="AR156" s="656">
        <f t="shared" si="42"/>
        <v>-21683</v>
      </c>
      <c r="AS156" s="656">
        <f t="shared" si="42"/>
        <v>-4336</v>
      </c>
      <c r="AT156" s="656">
        <f t="shared" si="42"/>
        <v>0</v>
      </c>
      <c r="AU156" s="710"/>
      <c r="AW156" s="627">
        <v>2366</v>
      </c>
      <c r="AX156" s="628" t="s">
        <v>463</v>
      </c>
      <c r="AY156" s="693" t="s">
        <v>152</v>
      </c>
      <c r="AZ156"/>
      <c r="BA156" s="196"/>
      <c r="BC156"/>
    </row>
    <row r="157" spans="1:55">
      <c r="A157" s="648" t="s">
        <v>3965</v>
      </c>
      <c r="B157" s="76">
        <v>29</v>
      </c>
      <c r="C157" s="656">
        <f t="shared" si="22"/>
        <v>-23852</v>
      </c>
      <c r="D157" s="657">
        <f t="shared" si="23"/>
        <v>-13010</v>
      </c>
      <c r="E157" s="657">
        <f t="shared" si="24"/>
        <v>-13552</v>
      </c>
      <c r="F157" s="658">
        <f t="shared" si="33"/>
        <v>0</v>
      </c>
      <c r="G157" s="699"/>
      <c r="H157" s="662">
        <f t="shared" si="25"/>
        <v>-21142</v>
      </c>
      <c r="I157" s="662">
        <f t="shared" si="43"/>
        <v>-22226</v>
      </c>
      <c r="J157" s="662">
        <f t="shared" si="43"/>
        <v>-22226</v>
      </c>
      <c r="K157" s="662">
        <f t="shared" si="43"/>
        <v>0</v>
      </c>
      <c r="L157" s="702"/>
      <c r="M157" s="656">
        <f t="shared" si="36"/>
        <v>-22226</v>
      </c>
      <c r="N157" s="656">
        <f t="shared" si="36"/>
        <v>-22226</v>
      </c>
      <c r="O157" s="656">
        <f t="shared" si="36"/>
        <v>-22226</v>
      </c>
      <c r="P157" s="656">
        <f t="shared" si="36"/>
        <v>-12468</v>
      </c>
      <c r="Q157" s="656">
        <f t="shared" si="36"/>
        <v>0</v>
      </c>
      <c r="R157" s="699"/>
      <c r="S157" s="662">
        <f t="shared" si="37"/>
        <v>-33610</v>
      </c>
      <c r="T157" s="662">
        <f t="shared" si="37"/>
        <v>-21142</v>
      </c>
      <c r="U157" s="662">
        <f t="shared" si="37"/>
        <v>-24394</v>
      </c>
      <c r="V157" s="662">
        <f t="shared" si="37"/>
        <v>-24394</v>
      </c>
      <c r="W157" s="702"/>
      <c r="X157" s="656">
        <f t="shared" si="38"/>
        <v>-30899</v>
      </c>
      <c r="Y157" s="656">
        <f t="shared" si="38"/>
        <v>-21142</v>
      </c>
      <c r="Z157" s="656">
        <f t="shared" si="38"/>
        <v>0</v>
      </c>
      <c r="AA157" s="656">
        <f t="shared" si="38"/>
        <v>0</v>
      </c>
      <c r="AB157" s="699"/>
      <c r="AC157" s="699"/>
      <c r="AD157" s="662">
        <f t="shared" si="39"/>
        <v>-27646</v>
      </c>
      <c r="AE157" s="662">
        <f t="shared" si="39"/>
        <v>-20599</v>
      </c>
      <c r="AF157" s="662">
        <f t="shared" si="39"/>
        <v>-18431</v>
      </c>
      <c r="AG157" s="662">
        <f t="shared" si="39"/>
        <v>-18431</v>
      </c>
      <c r="AH157" s="702"/>
      <c r="AI157" s="656">
        <f t="shared" si="40"/>
        <v>-27646</v>
      </c>
      <c r="AJ157" s="656">
        <f t="shared" si="40"/>
        <v>-3794</v>
      </c>
      <c r="AK157" s="656">
        <f t="shared" si="40"/>
        <v>0</v>
      </c>
      <c r="AL157" s="699"/>
      <c r="AM157" s="662">
        <f t="shared" si="41"/>
        <v>-18973</v>
      </c>
      <c r="AN157" s="662">
        <f t="shared" si="41"/>
        <v>-3794</v>
      </c>
      <c r="AO157" s="662">
        <f t="shared" si="41"/>
        <v>0</v>
      </c>
      <c r="AP157" s="702"/>
      <c r="AQ157" s="702"/>
      <c r="AR157" s="656">
        <f t="shared" si="42"/>
        <v>-21683</v>
      </c>
      <c r="AS157" s="656">
        <f t="shared" si="42"/>
        <v>-4336</v>
      </c>
      <c r="AT157" s="656">
        <f t="shared" si="42"/>
        <v>0</v>
      </c>
      <c r="AU157" s="710"/>
      <c r="AW157" s="627">
        <v>2367</v>
      </c>
      <c r="AX157" s="628" t="s">
        <v>464</v>
      </c>
      <c r="AY157" s="693" t="s">
        <v>152</v>
      </c>
      <c r="AZ157"/>
      <c r="BA157" s="196"/>
      <c r="BC157"/>
    </row>
    <row r="158" spans="1:55">
      <c r="A158" s="403" t="s">
        <v>59</v>
      </c>
      <c r="B158" s="299">
        <v>30</v>
      </c>
      <c r="C158" s="656">
        <f t="shared" si="22"/>
        <v>-33609</v>
      </c>
      <c r="D158" s="657">
        <f t="shared" si="23"/>
        <v>-23309</v>
      </c>
      <c r="E158" s="657">
        <f t="shared" si="24"/>
        <v>-23851</v>
      </c>
      <c r="F158" s="658">
        <f t="shared" si="33"/>
        <v>0</v>
      </c>
      <c r="G158" s="699"/>
      <c r="H158" s="662">
        <f t="shared" si="25"/>
        <v>-35236</v>
      </c>
      <c r="I158" s="662">
        <f t="shared" si="43"/>
        <v>-39572</v>
      </c>
      <c r="J158" s="662">
        <f t="shared" si="43"/>
        <v>-25478</v>
      </c>
      <c r="K158" s="662">
        <f t="shared" si="43"/>
        <v>0</v>
      </c>
      <c r="L158" s="702"/>
      <c r="M158" s="656">
        <f t="shared" si="36"/>
        <v>-16263</v>
      </c>
      <c r="N158" s="656">
        <f t="shared" si="36"/>
        <v>-11926</v>
      </c>
      <c r="O158" s="656">
        <f t="shared" si="36"/>
        <v>-5963</v>
      </c>
      <c r="P158" s="656">
        <f t="shared" si="36"/>
        <v>-3253</v>
      </c>
      <c r="Q158" s="656">
        <f t="shared" si="36"/>
        <v>0</v>
      </c>
      <c r="R158" s="699"/>
      <c r="S158" s="662">
        <f t="shared" si="37"/>
        <v>-48245</v>
      </c>
      <c r="T158" s="662">
        <f t="shared" si="37"/>
        <v>-34151</v>
      </c>
      <c r="U158" s="662">
        <f t="shared" si="37"/>
        <v>-25478</v>
      </c>
      <c r="V158" s="662">
        <f t="shared" si="37"/>
        <v>-25478</v>
      </c>
      <c r="W158" s="702"/>
      <c r="X158" s="656">
        <f t="shared" si="38"/>
        <v>-48245</v>
      </c>
      <c r="Y158" s="656">
        <f t="shared" si="38"/>
        <v>-27646</v>
      </c>
      <c r="Z158" s="656">
        <f t="shared" si="38"/>
        <v>0</v>
      </c>
      <c r="AA158" s="656">
        <f t="shared" si="38"/>
        <v>0</v>
      </c>
      <c r="AB158" s="699"/>
      <c r="AC158" s="699"/>
      <c r="AD158" s="662">
        <f t="shared" si="39"/>
        <v>-43367</v>
      </c>
      <c r="AE158" s="662">
        <f t="shared" si="39"/>
        <v>-26562</v>
      </c>
      <c r="AF158" s="662">
        <f t="shared" si="39"/>
        <v>-19515</v>
      </c>
      <c r="AG158" s="662">
        <f t="shared" si="39"/>
        <v>-19515</v>
      </c>
      <c r="AH158" s="702"/>
      <c r="AI158" s="656">
        <f t="shared" si="40"/>
        <v>-33610</v>
      </c>
      <c r="AJ158" s="656">
        <f t="shared" si="40"/>
        <v>-3795</v>
      </c>
      <c r="AK158" s="656">
        <f t="shared" si="40"/>
        <v>0</v>
      </c>
      <c r="AL158" s="699"/>
      <c r="AM158" s="662">
        <f t="shared" si="41"/>
        <v>-24394</v>
      </c>
      <c r="AN158" s="662">
        <f t="shared" si="41"/>
        <v>-3795</v>
      </c>
      <c r="AO158" s="662">
        <f t="shared" si="41"/>
        <v>0</v>
      </c>
      <c r="AP158" s="702"/>
      <c r="AQ158" s="702"/>
      <c r="AR158" s="656">
        <f t="shared" si="42"/>
        <v>-29273</v>
      </c>
      <c r="AS158" s="656">
        <f t="shared" si="42"/>
        <v>-4879</v>
      </c>
      <c r="AT158" s="656">
        <f t="shared" si="42"/>
        <v>0</v>
      </c>
      <c r="AU158" s="710"/>
      <c r="AW158" s="627">
        <v>2370</v>
      </c>
      <c r="AX158" s="628" t="s">
        <v>465</v>
      </c>
      <c r="AY158" s="693" t="s">
        <v>152</v>
      </c>
      <c r="AZ158"/>
      <c r="BA158" s="196"/>
      <c r="BC158"/>
    </row>
    <row r="159" spans="1:55">
      <c r="A159" s="652" t="s">
        <v>2589</v>
      </c>
      <c r="B159" s="76">
        <v>31</v>
      </c>
      <c r="C159" s="656">
        <f t="shared" si="22"/>
        <v>-36862</v>
      </c>
      <c r="D159" s="657">
        <f t="shared" si="23"/>
        <v>-18431</v>
      </c>
      <c r="E159" s="657">
        <f t="shared" si="24"/>
        <v>-17889</v>
      </c>
      <c r="F159" s="658">
        <f t="shared" si="33"/>
        <v>0</v>
      </c>
      <c r="G159" s="699"/>
      <c r="H159" s="662">
        <f t="shared" si="25"/>
        <v>-39031</v>
      </c>
      <c r="I159" s="662">
        <f t="shared" si="43"/>
        <v>-19515</v>
      </c>
      <c r="J159" s="662">
        <f t="shared" si="43"/>
        <v>-18973</v>
      </c>
      <c r="K159" s="662">
        <f t="shared" si="43"/>
        <v>0</v>
      </c>
      <c r="L159" s="702"/>
      <c r="M159" s="656">
        <f t="shared" ref="M159:Q165" si="44">M47-$R47</f>
        <v>-42282</v>
      </c>
      <c r="N159" s="656">
        <f t="shared" si="44"/>
        <v>-42282</v>
      </c>
      <c r="O159" s="656">
        <f t="shared" si="44"/>
        <v>-41740</v>
      </c>
      <c r="P159" s="656">
        <f t="shared" si="44"/>
        <v>-35235</v>
      </c>
      <c r="Q159" s="656">
        <f t="shared" si="44"/>
        <v>0</v>
      </c>
      <c r="R159" s="699"/>
      <c r="S159" s="662">
        <f t="shared" si="37"/>
        <v>-53124</v>
      </c>
      <c r="T159" s="662">
        <f t="shared" si="37"/>
        <v>-34151</v>
      </c>
      <c r="U159" s="662">
        <f t="shared" si="37"/>
        <v>-33067</v>
      </c>
      <c r="V159" s="662">
        <f t="shared" si="37"/>
        <v>-33067</v>
      </c>
      <c r="W159" s="702"/>
      <c r="X159" s="656">
        <f t="shared" si="38"/>
        <v>-56377</v>
      </c>
      <c r="Y159" s="656">
        <f t="shared" si="38"/>
        <v>-46619</v>
      </c>
      <c r="Z159" s="656">
        <f t="shared" si="38"/>
        <v>0</v>
      </c>
      <c r="AA159" s="656">
        <f t="shared" si="38"/>
        <v>0</v>
      </c>
      <c r="AB159" s="699"/>
      <c r="AC159" s="699"/>
      <c r="AD159" s="662">
        <f t="shared" si="39"/>
        <v>-55835</v>
      </c>
      <c r="AE159" s="662">
        <f t="shared" si="39"/>
        <v>-45535</v>
      </c>
      <c r="AF159" s="662">
        <f t="shared" si="39"/>
        <v>-30899</v>
      </c>
      <c r="AG159" s="662">
        <f t="shared" si="39"/>
        <v>-30899</v>
      </c>
      <c r="AH159" s="702"/>
      <c r="AI159" s="656">
        <f t="shared" si="40"/>
        <v>-43367</v>
      </c>
      <c r="AJ159" s="656">
        <f t="shared" si="40"/>
        <v>-10300</v>
      </c>
      <c r="AK159" s="656">
        <f t="shared" si="40"/>
        <v>0</v>
      </c>
      <c r="AL159" s="699"/>
      <c r="AM159" s="662">
        <f t="shared" si="41"/>
        <v>-43367</v>
      </c>
      <c r="AN159" s="662">
        <f t="shared" si="41"/>
        <v>-10300</v>
      </c>
      <c r="AO159" s="662">
        <f t="shared" si="41"/>
        <v>0</v>
      </c>
      <c r="AP159" s="702"/>
      <c r="AQ159" s="702"/>
      <c r="AR159" s="656">
        <f t="shared" si="42"/>
        <v>-50956</v>
      </c>
      <c r="AS159" s="656">
        <f t="shared" si="42"/>
        <v>-12468</v>
      </c>
      <c r="AT159" s="656">
        <f t="shared" si="42"/>
        <v>0</v>
      </c>
      <c r="AU159" s="710"/>
      <c r="AW159" s="627">
        <v>2371</v>
      </c>
      <c r="AX159" s="628" t="s">
        <v>465</v>
      </c>
      <c r="AY159" s="693" t="s">
        <v>152</v>
      </c>
      <c r="AZ159"/>
      <c r="BA159" s="196"/>
      <c r="BC159"/>
    </row>
    <row r="160" spans="1:55">
      <c r="A160" s="299" t="s">
        <v>60</v>
      </c>
      <c r="B160" s="299">
        <v>32</v>
      </c>
      <c r="C160" s="656">
        <f t="shared" si="22"/>
        <v>-32525</v>
      </c>
      <c r="D160" s="657">
        <f t="shared" si="23"/>
        <v>-22225</v>
      </c>
      <c r="E160" s="657">
        <f t="shared" si="24"/>
        <v>-22767</v>
      </c>
      <c r="F160" s="658">
        <f t="shared" si="33"/>
        <v>0</v>
      </c>
      <c r="G160" s="699"/>
      <c r="H160" s="662">
        <f t="shared" si="25"/>
        <v>-10300</v>
      </c>
      <c r="I160" s="662">
        <f t="shared" si="43"/>
        <v>0</v>
      </c>
      <c r="J160" s="662">
        <f t="shared" si="43"/>
        <v>-7047</v>
      </c>
      <c r="K160" s="662">
        <f t="shared" si="43"/>
        <v>-4337</v>
      </c>
      <c r="L160" s="702"/>
      <c r="M160" s="656">
        <f t="shared" si="44"/>
        <v>-21684</v>
      </c>
      <c r="N160" s="656">
        <f t="shared" si="44"/>
        <v>-21684</v>
      </c>
      <c r="O160" s="656">
        <f t="shared" si="44"/>
        <v>-22226</v>
      </c>
      <c r="P160" s="656">
        <f t="shared" si="44"/>
        <v>-8132</v>
      </c>
      <c r="Q160" s="656">
        <f t="shared" si="44"/>
        <v>0</v>
      </c>
      <c r="R160" s="699"/>
      <c r="S160" s="662">
        <f t="shared" si="37"/>
        <v>-33067</v>
      </c>
      <c r="T160" s="662">
        <f t="shared" si="37"/>
        <v>-8673</v>
      </c>
      <c r="U160" s="662">
        <f t="shared" si="37"/>
        <v>0</v>
      </c>
      <c r="V160" s="662">
        <f t="shared" si="37"/>
        <v>-11926</v>
      </c>
      <c r="W160" s="702"/>
      <c r="X160" s="656">
        <f t="shared" si="38"/>
        <v>-35235</v>
      </c>
      <c r="Y160" s="656">
        <f t="shared" si="38"/>
        <v>-18973</v>
      </c>
      <c r="Z160" s="656">
        <f t="shared" si="38"/>
        <v>-3794</v>
      </c>
      <c r="AA160" s="656">
        <f t="shared" si="38"/>
        <v>-3794</v>
      </c>
      <c r="AB160" s="699"/>
      <c r="AC160" s="699"/>
      <c r="AD160" s="662">
        <f t="shared" si="39"/>
        <v>-31983</v>
      </c>
      <c r="AE160" s="662">
        <f t="shared" si="39"/>
        <v>-15721</v>
      </c>
      <c r="AF160" s="662">
        <f t="shared" si="39"/>
        <v>-19515</v>
      </c>
      <c r="AG160" s="662">
        <f t="shared" si="39"/>
        <v>-19515</v>
      </c>
      <c r="AH160" s="702"/>
      <c r="AI160" s="656">
        <f t="shared" si="40"/>
        <v>-14094</v>
      </c>
      <c r="AJ160" s="656">
        <f t="shared" si="40"/>
        <v>-7047</v>
      </c>
      <c r="AK160" s="656">
        <f t="shared" si="40"/>
        <v>0</v>
      </c>
      <c r="AL160" s="699"/>
      <c r="AM160" s="662">
        <f t="shared" si="41"/>
        <v>-14094</v>
      </c>
      <c r="AN160" s="662">
        <f t="shared" si="41"/>
        <v>-7047</v>
      </c>
      <c r="AO160" s="662">
        <f t="shared" si="41"/>
        <v>0</v>
      </c>
      <c r="AP160" s="702"/>
      <c r="AQ160" s="702"/>
      <c r="AR160" s="656">
        <f t="shared" si="42"/>
        <v>-16805</v>
      </c>
      <c r="AS160" s="656">
        <f t="shared" si="42"/>
        <v>-8131</v>
      </c>
      <c r="AT160" s="656">
        <f t="shared" si="42"/>
        <v>0</v>
      </c>
      <c r="AU160" s="710"/>
      <c r="AW160" s="627">
        <v>2373</v>
      </c>
      <c r="AX160" s="628" t="s">
        <v>465</v>
      </c>
      <c r="AY160" s="693" t="s">
        <v>152</v>
      </c>
      <c r="AZ160"/>
      <c r="BA160" s="196"/>
      <c r="BC160"/>
    </row>
    <row r="161" spans="1:55">
      <c r="A161" s="621" t="s">
        <v>1468</v>
      </c>
      <c r="B161" s="76">
        <v>33</v>
      </c>
      <c r="C161" s="656">
        <f t="shared" si="22"/>
        <v>-23309</v>
      </c>
      <c r="D161" s="657">
        <f t="shared" si="23"/>
        <v>-13552</v>
      </c>
      <c r="E161" s="657">
        <f t="shared" si="24"/>
        <v>-13552</v>
      </c>
      <c r="F161" s="658">
        <f t="shared" si="33"/>
        <v>0</v>
      </c>
      <c r="G161" s="699"/>
      <c r="H161" s="662">
        <f t="shared" si="25"/>
        <v>-3252</v>
      </c>
      <c r="I161" s="662">
        <f t="shared" si="43"/>
        <v>-8673</v>
      </c>
      <c r="J161" s="662">
        <f t="shared" si="43"/>
        <v>-8673</v>
      </c>
      <c r="K161" s="662">
        <f t="shared" si="43"/>
        <v>0</v>
      </c>
      <c r="L161" s="702"/>
      <c r="M161" s="656">
        <f t="shared" si="44"/>
        <v>-3794</v>
      </c>
      <c r="N161" s="656">
        <f t="shared" si="44"/>
        <v>-3794</v>
      </c>
      <c r="O161" s="656">
        <f t="shared" si="44"/>
        <v>-3794</v>
      </c>
      <c r="P161" s="656">
        <f t="shared" si="44"/>
        <v>-4336</v>
      </c>
      <c r="Q161" s="656">
        <f t="shared" si="44"/>
        <v>0</v>
      </c>
      <c r="R161" s="699"/>
      <c r="S161" s="662">
        <f t="shared" si="37"/>
        <v>-36862</v>
      </c>
      <c r="T161" s="662">
        <f t="shared" si="37"/>
        <v>-32526</v>
      </c>
      <c r="U161" s="662">
        <f t="shared" si="37"/>
        <v>-27105</v>
      </c>
      <c r="V161" s="662">
        <f t="shared" si="37"/>
        <v>-27105</v>
      </c>
      <c r="W161" s="702"/>
      <c r="X161" s="656">
        <f t="shared" si="38"/>
        <v>-21684</v>
      </c>
      <c r="Y161" s="656">
        <f t="shared" si="38"/>
        <v>-14637</v>
      </c>
      <c r="Z161" s="656">
        <f t="shared" si="38"/>
        <v>0</v>
      </c>
      <c r="AA161" s="656">
        <f t="shared" si="38"/>
        <v>0</v>
      </c>
      <c r="AB161" s="699"/>
      <c r="AC161" s="699"/>
      <c r="AD161" s="662">
        <f t="shared" si="39"/>
        <v>-22768</v>
      </c>
      <c r="AE161" s="662">
        <f t="shared" si="39"/>
        <v>-15721</v>
      </c>
      <c r="AF161" s="662">
        <f t="shared" si="39"/>
        <v>-19515</v>
      </c>
      <c r="AG161" s="662">
        <f t="shared" si="39"/>
        <v>-19515</v>
      </c>
      <c r="AH161" s="702"/>
      <c r="AI161" s="656">
        <f t="shared" si="40"/>
        <v>-16805</v>
      </c>
      <c r="AJ161" s="656">
        <f t="shared" si="40"/>
        <v>-9758</v>
      </c>
      <c r="AK161" s="656">
        <f t="shared" si="40"/>
        <v>-3253</v>
      </c>
      <c r="AL161" s="699"/>
      <c r="AM161" s="662">
        <f t="shared" si="41"/>
        <v>-13552</v>
      </c>
      <c r="AN161" s="662">
        <f t="shared" si="41"/>
        <v>-6505</v>
      </c>
      <c r="AO161" s="662">
        <f t="shared" si="41"/>
        <v>0</v>
      </c>
      <c r="AP161" s="702"/>
      <c r="AQ161" s="702"/>
      <c r="AR161" s="656">
        <f t="shared" si="42"/>
        <v>-16263</v>
      </c>
      <c r="AS161" s="656">
        <f t="shared" si="42"/>
        <v>-8131</v>
      </c>
      <c r="AT161" s="656">
        <f t="shared" si="42"/>
        <v>0</v>
      </c>
      <c r="AU161" s="710"/>
      <c r="AW161" s="627">
        <v>2375</v>
      </c>
      <c r="AX161" s="628" t="s">
        <v>467</v>
      </c>
      <c r="AY161" s="693" t="s">
        <v>152</v>
      </c>
      <c r="AZ161"/>
      <c r="BA161" s="196"/>
      <c r="BC161"/>
    </row>
    <row r="162" spans="1:55">
      <c r="A162" s="76" t="s">
        <v>61</v>
      </c>
      <c r="B162" s="299">
        <v>34</v>
      </c>
      <c r="C162" s="656">
        <f t="shared" si="22"/>
        <v>-36862</v>
      </c>
      <c r="D162" s="657">
        <f t="shared" si="23"/>
        <v>-23852</v>
      </c>
      <c r="E162" s="657">
        <f t="shared" si="24"/>
        <v>-20057</v>
      </c>
      <c r="F162" s="658">
        <f t="shared" si="33"/>
        <v>0</v>
      </c>
      <c r="G162" s="699"/>
      <c r="H162" s="662">
        <f t="shared" si="25"/>
        <v>-35236</v>
      </c>
      <c r="I162" s="662">
        <f t="shared" si="43"/>
        <v>-23852</v>
      </c>
      <c r="J162" s="662">
        <f t="shared" si="43"/>
        <v>-20057</v>
      </c>
      <c r="K162" s="662">
        <f t="shared" si="43"/>
        <v>0</v>
      </c>
      <c r="L162" s="702"/>
      <c r="M162" s="656">
        <f t="shared" si="44"/>
        <v>-45536</v>
      </c>
      <c r="N162" s="656">
        <f t="shared" si="44"/>
        <v>-45536</v>
      </c>
      <c r="O162" s="656">
        <f t="shared" si="44"/>
        <v>-35778</v>
      </c>
      <c r="P162" s="656">
        <f t="shared" si="44"/>
        <v>-18431</v>
      </c>
      <c r="Q162" s="656">
        <f t="shared" si="44"/>
        <v>0</v>
      </c>
      <c r="R162" s="699"/>
      <c r="S162" s="662">
        <f t="shared" si="37"/>
        <v>-35778</v>
      </c>
      <c r="T162" s="662">
        <f t="shared" si="37"/>
        <v>-24936</v>
      </c>
      <c r="U162" s="662">
        <f t="shared" si="37"/>
        <v>-22768</v>
      </c>
      <c r="V162" s="662">
        <f t="shared" si="37"/>
        <v>-22768</v>
      </c>
      <c r="W162" s="702"/>
      <c r="X162" s="656">
        <f t="shared" si="38"/>
        <v>-38488</v>
      </c>
      <c r="Y162" s="656">
        <f t="shared" si="38"/>
        <v>-24394</v>
      </c>
      <c r="Z162" s="656">
        <f t="shared" si="38"/>
        <v>0</v>
      </c>
      <c r="AA162" s="656">
        <f t="shared" si="38"/>
        <v>0</v>
      </c>
      <c r="AB162" s="699"/>
      <c r="AC162" s="699"/>
      <c r="AD162" s="662">
        <f t="shared" si="39"/>
        <v>-37404</v>
      </c>
      <c r="AE162" s="662">
        <f t="shared" si="39"/>
        <v>-23852</v>
      </c>
      <c r="AF162" s="662">
        <f t="shared" si="39"/>
        <v>-20599</v>
      </c>
      <c r="AG162" s="662">
        <f t="shared" si="39"/>
        <v>-20599</v>
      </c>
      <c r="AH162" s="702"/>
      <c r="AI162" s="656">
        <f t="shared" si="40"/>
        <v>-24936</v>
      </c>
      <c r="AJ162" s="656">
        <f t="shared" si="40"/>
        <v>-10300</v>
      </c>
      <c r="AK162" s="656">
        <f t="shared" si="40"/>
        <v>-3795</v>
      </c>
      <c r="AL162" s="699"/>
      <c r="AM162" s="662">
        <f t="shared" si="41"/>
        <v>-22226</v>
      </c>
      <c r="AN162" s="662">
        <f t="shared" si="41"/>
        <v>-6505</v>
      </c>
      <c r="AO162" s="662">
        <f t="shared" si="41"/>
        <v>0</v>
      </c>
      <c r="AP162" s="702"/>
      <c r="AQ162" s="702"/>
      <c r="AR162" s="656">
        <f t="shared" si="42"/>
        <v>-25478</v>
      </c>
      <c r="AS162" s="656">
        <f t="shared" si="42"/>
        <v>-7589</v>
      </c>
      <c r="AT162" s="656">
        <f t="shared" si="42"/>
        <v>0</v>
      </c>
      <c r="AU162" s="710"/>
      <c r="AW162" s="627">
        <v>2376</v>
      </c>
      <c r="AX162" s="628" t="s">
        <v>468</v>
      </c>
      <c r="AY162" s="693" t="s">
        <v>152</v>
      </c>
      <c r="AZ162"/>
      <c r="BA162" s="196"/>
      <c r="BC162"/>
    </row>
    <row r="163" spans="1:55">
      <c r="A163" s="652" t="s">
        <v>4145</v>
      </c>
      <c r="B163" s="76">
        <v>35</v>
      </c>
      <c r="C163" s="656">
        <f t="shared" si="22"/>
        <v>-36862</v>
      </c>
      <c r="D163" s="657">
        <f t="shared" si="23"/>
        <v>-23852</v>
      </c>
      <c r="E163" s="657">
        <f t="shared" si="24"/>
        <v>-15179</v>
      </c>
      <c r="F163" s="658">
        <f t="shared" si="33"/>
        <v>0</v>
      </c>
      <c r="G163" s="699"/>
      <c r="H163" s="662">
        <f t="shared" si="25"/>
        <v>-38488</v>
      </c>
      <c r="I163" s="662">
        <f t="shared" si="43"/>
        <v>-24936</v>
      </c>
      <c r="J163" s="662">
        <f t="shared" si="43"/>
        <v>-15720</v>
      </c>
      <c r="K163" s="662">
        <f t="shared" si="43"/>
        <v>0</v>
      </c>
      <c r="L163" s="702"/>
      <c r="M163" s="656">
        <f t="shared" si="44"/>
        <v>-31984</v>
      </c>
      <c r="N163" s="656">
        <f t="shared" si="44"/>
        <v>-31984</v>
      </c>
      <c r="O163" s="656">
        <f t="shared" si="44"/>
        <v>-22768</v>
      </c>
      <c r="P163" s="656">
        <f t="shared" si="44"/>
        <v>-16805</v>
      </c>
      <c r="Q163" s="656">
        <f t="shared" si="44"/>
        <v>0</v>
      </c>
      <c r="R163" s="699"/>
      <c r="S163" s="662">
        <f t="shared" si="37"/>
        <v>-30357</v>
      </c>
      <c r="T163" s="662">
        <f t="shared" si="37"/>
        <v>-17889</v>
      </c>
      <c r="U163" s="662">
        <f t="shared" si="37"/>
        <v>-11926</v>
      </c>
      <c r="V163" s="662">
        <f t="shared" si="37"/>
        <v>-11926</v>
      </c>
      <c r="W163" s="702"/>
      <c r="X163" s="656">
        <f t="shared" si="38"/>
        <v>-33068</v>
      </c>
      <c r="Y163" s="656">
        <f t="shared" si="38"/>
        <v>-24394</v>
      </c>
      <c r="Z163" s="656">
        <f t="shared" si="38"/>
        <v>0</v>
      </c>
      <c r="AA163" s="656">
        <f t="shared" si="38"/>
        <v>0</v>
      </c>
      <c r="AB163" s="699"/>
      <c r="AC163" s="699"/>
      <c r="AD163" s="662">
        <f t="shared" si="39"/>
        <v>-33067</v>
      </c>
      <c r="AE163" s="662">
        <f t="shared" si="39"/>
        <v>-23852</v>
      </c>
      <c r="AF163" s="662">
        <f t="shared" si="39"/>
        <v>-20599</v>
      </c>
      <c r="AG163" s="662">
        <f t="shared" si="39"/>
        <v>-20599</v>
      </c>
      <c r="AH163" s="702"/>
      <c r="AI163" s="656">
        <f t="shared" si="40"/>
        <v>-22226</v>
      </c>
      <c r="AJ163" s="656">
        <f t="shared" si="40"/>
        <v>-6505</v>
      </c>
      <c r="AK163" s="656">
        <f t="shared" si="40"/>
        <v>0</v>
      </c>
      <c r="AL163" s="699"/>
      <c r="AM163" s="662">
        <f t="shared" si="41"/>
        <v>-22226</v>
      </c>
      <c r="AN163" s="662">
        <f t="shared" si="41"/>
        <v>-6505</v>
      </c>
      <c r="AO163" s="662">
        <f t="shared" si="41"/>
        <v>0</v>
      </c>
      <c r="AP163" s="702"/>
      <c r="AQ163" s="702"/>
      <c r="AR163" s="656">
        <f t="shared" si="42"/>
        <v>-25478</v>
      </c>
      <c r="AS163" s="656">
        <f t="shared" si="42"/>
        <v>-7589</v>
      </c>
      <c r="AT163" s="656">
        <f t="shared" si="42"/>
        <v>0</v>
      </c>
      <c r="AU163" s="710"/>
      <c r="AW163" s="627">
        <v>2377</v>
      </c>
      <c r="AX163" s="628" t="s">
        <v>469</v>
      </c>
      <c r="AY163" s="693" t="s">
        <v>152</v>
      </c>
      <c r="AZ163"/>
      <c r="BA163" s="196"/>
      <c r="BC163"/>
    </row>
    <row r="164" spans="1:55">
      <c r="A164" s="299" t="s">
        <v>62</v>
      </c>
      <c r="B164" s="299">
        <v>36</v>
      </c>
      <c r="C164" s="656">
        <f t="shared" si="22"/>
        <v>-38488</v>
      </c>
      <c r="D164" s="657">
        <f t="shared" si="23"/>
        <v>-27104</v>
      </c>
      <c r="E164" s="657">
        <f t="shared" si="24"/>
        <v>-27647</v>
      </c>
      <c r="F164" s="658">
        <f t="shared" si="33"/>
        <v>0</v>
      </c>
      <c r="G164" s="699"/>
      <c r="H164" s="662">
        <f t="shared" si="25"/>
        <v>-29273</v>
      </c>
      <c r="I164" s="662">
        <f t="shared" si="43"/>
        <v>-32525</v>
      </c>
      <c r="J164" s="662">
        <f t="shared" si="43"/>
        <v>-24936</v>
      </c>
      <c r="K164" s="662">
        <f t="shared" si="43"/>
        <v>0</v>
      </c>
      <c r="L164" s="702"/>
      <c r="M164" s="656">
        <f t="shared" si="44"/>
        <v>-15720</v>
      </c>
      <c r="N164" s="656">
        <f t="shared" si="44"/>
        <v>-15720</v>
      </c>
      <c r="O164" s="656">
        <f t="shared" si="44"/>
        <v>-16262</v>
      </c>
      <c r="P164" s="656">
        <f t="shared" si="44"/>
        <v>-10299</v>
      </c>
      <c r="Q164" s="656">
        <f t="shared" si="44"/>
        <v>0</v>
      </c>
      <c r="R164" s="699"/>
      <c r="S164" s="662">
        <f t="shared" si="37"/>
        <v>-43367</v>
      </c>
      <c r="T164" s="662">
        <f t="shared" si="37"/>
        <v>-27104</v>
      </c>
      <c r="U164" s="662">
        <f t="shared" si="37"/>
        <v>-22768</v>
      </c>
      <c r="V164" s="662">
        <f t="shared" si="37"/>
        <v>-22768</v>
      </c>
      <c r="W164" s="702"/>
      <c r="X164" s="656">
        <f t="shared" si="38"/>
        <v>-41199</v>
      </c>
      <c r="Y164" s="656">
        <f t="shared" si="38"/>
        <v>-27104</v>
      </c>
      <c r="Z164" s="656">
        <f t="shared" si="38"/>
        <v>0</v>
      </c>
      <c r="AA164" s="656">
        <f t="shared" si="38"/>
        <v>0</v>
      </c>
      <c r="AB164" s="699"/>
      <c r="AC164" s="699"/>
      <c r="AD164" s="662">
        <f t="shared" si="39"/>
        <v>-36862</v>
      </c>
      <c r="AE164" s="662">
        <f t="shared" si="39"/>
        <v>-17347</v>
      </c>
      <c r="AF164" s="662">
        <f t="shared" si="39"/>
        <v>-17889</v>
      </c>
      <c r="AG164" s="662">
        <f t="shared" si="39"/>
        <v>-17889</v>
      </c>
      <c r="AH164" s="702"/>
      <c r="AI164" s="656">
        <f t="shared" si="40"/>
        <v>-24394</v>
      </c>
      <c r="AJ164" s="656">
        <f t="shared" si="40"/>
        <v>-7047</v>
      </c>
      <c r="AK164" s="656">
        <f t="shared" si="40"/>
        <v>-3795</v>
      </c>
      <c r="AL164" s="699"/>
      <c r="AM164" s="662">
        <f t="shared" si="41"/>
        <v>-15721</v>
      </c>
      <c r="AN164" s="662">
        <f t="shared" si="41"/>
        <v>-3795</v>
      </c>
      <c r="AO164" s="662">
        <f t="shared" si="41"/>
        <v>0</v>
      </c>
      <c r="AP164" s="702"/>
      <c r="AQ164" s="702"/>
      <c r="AR164" s="656">
        <f t="shared" si="42"/>
        <v>-18889</v>
      </c>
      <c r="AS164" s="656">
        <f t="shared" si="42"/>
        <v>-5337</v>
      </c>
      <c r="AT164" s="656">
        <f t="shared" si="42"/>
        <v>0</v>
      </c>
      <c r="AU164" s="710"/>
      <c r="AW164" s="627">
        <v>2378</v>
      </c>
      <c r="AX164" s="628" t="s">
        <v>470</v>
      </c>
      <c r="AY164" s="693" t="s">
        <v>152</v>
      </c>
      <c r="AZ164"/>
      <c r="BA164" s="196"/>
      <c r="BC164"/>
    </row>
    <row r="165" spans="1:55">
      <c r="A165" s="621" t="s">
        <v>419</v>
      </c>
      <c r="B165" s="76">
        <v>37</v>
      </c>
      <c r="C165" s="656">
        <f t="shared" si="22"/>
        <v>-43909</v>
      </c>
      <c r="D165" s="657">
        <f t="shared" si="23"/>
        <v>-31441</v>
      </c>
      <c r="E165" s="657">
        <f t="shared" si="24"/>
        <v>-22768</v>
      </c>
      <c r="F165" s="658">
        <f t="shared" si="33"/>
        <v>0</v>
      </c>
      <c r="G165" s="699"/>
      <c r="H165" s="662">
        <f t="shared" si="25"/>
        <v>-34694</v>
      </c>
      <c r="I165" s="662">
        <f t="shared" si="43"/>
        <v>-28731</v>
      </c>
      <c r="J165" s="662">
        <f t="shared" si="43"/>
        <v>-20600</v>
      </c>
      <c r="K165" s="662">
        <f t="shared" si="43"/>
        <v>0</v>
      </c>
      <c r="L165" s="702"/>
      <c r="M165" s="656">
        <f t="shared" si="44"/>
        <v>-21683</v>
      </c>
      <c r="N165" s="656">
        <f t="shared" si="44"/>
        <v>-21683</v>
      </c>
      <c r="O165" s="656">
        <f t="shared" si="44"/>
        <v>-13552</v>
      </c>
      <c r="P165" s="656">
        <f t="shared" si="44"/>
        <v>-6505</v>
      </c>
      <c r="Q165" s="656">
        <f t="shared" si="44"/>
        <v>0</v>
      </c>
      <c r="R165" s="699"/>
      <c r="S165" s="662">
        <f t="shared" si="37"/>
        <v>-28189</v>
      </c>
      <c r="T165" s="662">
        <f t="shared" si="37"/>
        <v>-14637</v>
      </c>
      <c r="U165" s="662">
        <f t="shared" si="37"/>
        <v>-7047</v>
      </c>
      <c r="V165" s="662">
        <f t="shared" si="37"/>
        <v>-7047</v>
      </c>
      <c r="W165" s="702"/>
      <c r="X165" s="656">
        <f t="shared" si="38"/>
        <v>-22768</v>
      </c>
      <c r="Y165" s="656">
        <f t="shared" si="38"/>
        <v>-14637</v>
      </c>
      <c r="Z165" s="656">
        <f t="shared" si="38"/>
        <v>0</v>
      </c>
      <c r="AA165" s="656">
        <f t="shared" si="38"/>
        <v>0</v>
      </c>
      <c r="AB165" s="699"/>
      <c r="AC165" s="699"/>
      <c r="AD165" s="662">
        <f t="shared" si="39"/>
        <v>-28189</v>
      </c>
      <c r="AE165" s="662">
        <f t="shared" si="39"/>
        <v>-13010</v>
      </c>
      <c r="AF165" s="662">
        <f t="shared" si="39"/>
        <v>-17889</v>
      </c>
      <c r="AG165" s="662">
        <f t="shared" si="39"/>
        <v>-17889</v>
      </c>
      <c r="AH165" s="702"/>
      <c r="AI165" s="656">
        <f t="shared" si="40"/>
        <v>-14637</v>
      </c>
      <c r="AJ165" s="656">
        <f t="shared" si="40"/>
        <v>-3795</v>
      </c>
      <c r="AK165" s="656">
        <f t="shared" si="40"/>
        <v>0</v>
      </c>
      <c r="AL165" s="699"/>
      <c r="AM165" s="662">
        <f t="shared" si="41"/>
        <v>-11384</v>
      </c>
      <c r="AN165" s="662">
        <f t="shared" si="41"/>
        <v>-3795</v>
      </c>
      <c r="AO165" s="662">
        <f t="shared" si="41"/>
        <v>0</v>
      </c>
      <c r="AP165" s="702"/>
      <c r="AQ165" s="702"/>
      <c r="AR165" s="656">
        <f t="shared" si="42"/>
        <v>-13010</v>
      </c>
      <c r="AS165" s="656">
        <f t="shared" si="42"/>
        <v>-4337</v>
      </c>
      <c r="AT165" s="656">
        <f t="shared" si="42"/>
        <v>0</v>
      </c>
      <c r="AU165" s="710"/>
      <c r="AW165" s="627">
        <v>2381</v>
      </c>
      <c r="AX165" s="628" t="s">
        <v>471</v>
      </c>
      <c r="AY165" s="693" t="s">
        <v>152</v>
      </c>
      <c r="AZ165"/>
      <c r="BA165" s="196"/>
      <c r="BC165"/>
    </row>
    <row r="166" spans="1:55">
      <c r="A166" s="76" t="s">
        <v>63</v>
      </c>
      <c r="B166" s="299">
        <v>38</v>
      </c>
      <c r="C166" s="656">
        <f t="shared" si="22"/>
        <v>-19515</v>
      </c>
      <c r="D166" s="657">
        <f t="shared" si="23"/>
        <v>-18431</v>
      </c>
      <c r="E166" s="657">
        <f t="shared" si="24"/>
        <v>-18973</v>
      </c>
      <c r="F166" s="658">
        <f t="shared" si="33"/>
        <v>0</v>
      </c>
      <c r="G166" s="699"/>
      <c r="H166" s="662">
        <f t="shared" ref="H166:K167" si="45">H54-$L54</f>
        <v>-20600</v>
      </c>
      <c r="I166" s="662">
        <f t="shared" si="45"/>
        <v>-20058</v>
      </c>
      <c r="J166" s="662">
        <f t="shared" si="45"/>
        <v>-20058</v>
      </c>
      <c r="K166" s="662">
        <f t="shared" si="45"/>
        <v>0</v>
      </c>
      <c r="L166" s="702"/>
      <c r="M166" s="656">
        <f t="shared" ref="M166:Q167" si="46">M54-$R54</f>
        <v>-11384</v>
      </c>
      <c r="N166" s="656">
        <f t="shared" si="46"/>
        <v>-11384</v>
      </c>
      <c r="O166" s="656">
        <f t="shared" si="46"/>
        <v>-11384</v>
      </c>
      <c r="P166" s="656">
        <f t="shared" si="46"/>
        <v>0</v>
      </c>
      <c r="Q166" s="656">
        <f t="shared" si="46"/>
        <v>-7047</v>
      </c>
      <c r="R166" s="699"/>
      <c r="S166" s="662">
        <f t="shared" ref="S166:V167" si="47">S54-$AC54</f>
        <v>-22226</v>
      </c>
      <c r="T166" s="662">
        <f t="shared" si="47"/>
        <v>-5421</v>
      </c>
      <c r="U166" s="662">
        <f t="shared" si="47"/>
        <v>-7047</v>
      </c>
      <c r="V166" s="662">
        <f t="shared" si="47"/>
        <v>-7047</v>
      </c>
      <c r="W166" s="702"/>
      <c r="X166" s="656">
        <f t="shared" ref="X166:AA167" si="48">X54-$AC54</f>
        <v>-24394</v>
      </c>
      <c r="Y166" s="656">
        <f t="shared" si="48"/>
        <v>-10842</v>
      </c>
      <c r="Z166" s="656">
        <f t="shared" si="48"/>
        <v>0</v>
      </c>
      <c r="AA166" s="656">
        <f t="shared" si="48"/>
        <v>0</v>
      </c>
      <c r="AB166" s="699"/>
      <c r="AC166" s="699"/>
      <c r="AD166" s="662">
        <f t="shared" ref="AD166:AG167" si="49">AD54-$AQ54</f>
        <v>-24936</v>
      </c>
      <c r="AE166" s="662">
        <f t="shared" si="49"/>
        <v>-11926</v>
      </c>
      <c r="AF166" s="662">
        <f t="shared" si="49"/>
        <v>-16804</v>
      </c>
      <c r="AG166" s="662">
        <f t="shared" si="49"/>
        <v>-16804</v>
      </c>
      <c r="AH166" s="702"/>
      <c r="AI166" s="656">
        <f t="shared" ref="AI166:AK167" si="50">AI54-$AQ54</f>
        <v>-10299</v>
      </c>
      <c r="AJ166" s="656">
        <f t="shared" si="50"/>
        <v>-5963</v>
      </c>
      <c r="AK166" s="656">
        <f t="shared" si="50"/>
        <v>0</v>
      </c>
      <c r="AL166" s="699"/>
      <c r="AM166" s="662">
        <f t="shared" ref="AM166:AO167" si="51">AM54-$AQ54</f>
        <v>-10299</v>
      </c>
      <c r="AN166" s="662">
        <f t="shared" si="51"/>
        <v>-5963</v>
      </c>
      <c r="AO166" s="662">
        <f t="shared" si="51"/>
        <v>0</v>
      </c>
      <c r="AP166" s="702"/>
      <c r="AQ166" s="702"/>
      <c r="AR166" s="656">
        <f t="shared" ref="AR166:AT167" si="52">AR54-$AU54</f>
        <v>-11926</v>
      </c>
      <c r="AS166" s="656">
        <f t="shared" si="52"/>
        <v>-6505</v>
      </c>
      <c r="AT166" s="656">
        <f t="shared" si="52"/>
        <v>0</v>
      </c>
      <c r="AU166" s="710"/>
      <c r="AW166" s="627">
        <v>2400</v>
      </c>
      <c r="AX166" s="628" t="s">
        <v>472</v>
      </c>
      <c r="AY166" s="629" t="s">
        <v>472</v>
      </c>
      <c r="AZ166"/>
      <c r="BA166" s="196"/>
      <c r="BC166"/>
    </row>
    <row r="167" spans="1:55">
      <c r="A167" s="652" t="s">
        <v>64</v>
      </c>
      <c r="B167" s="76">
        <v>39</v>
      </c>
      <c r="C167" s="656">
        <f t="shared" si="22"/>
        <v>-25478</v>
      </c>
      <c r="D167" s="657">
        <f t="shared" si="23"/>
        <v>-20599</v>
      </c>
      <c r="E167" s="657">
        <f t="shared" si="24"/>
        <v>-20599</v>
      </c>
      <c r="F167" s="658">
        <f t="shared" si="33"/>
        <v>0</v>
      </c>
      <c r="G167" s="699"/>
      <c r="H167" s="662">
        <f t="shared" si="45"/>
        <v>-16805</v>
      </c>
      <c r="I167" s="662">
        <f t="shared" si="45"/>
        <v>-18431</v>
      </c>
      <c r="J167" s="662">
        <f t="shared" si="45"/>
        <v>-18431</v>
      </c>
      <c r="K167" s="662">
        <f t="shared" si="45"/>
        <v>0</v>
      </c>
      <c r="L167" s="702"/>
      <c r="M167" s="656">
        <f t="shared" si="46"/>
        <v>-24394</v>
      </c>
      <c r="N167" s="656">
        <f t="shared" si="46"/>
        <v>-24394</v>
      </c>
      <c r="O167" s="656">
        <f t="shared" si="46"/>
        <v>-24394</v>
      </c>
      <c r="P167" s="656">
        <f t="shared" si="46"/>
        <v>-5963</v>
      </c>
      <c r="Q167" s="656">
        <f t="shared" si="46"/>
        <v>0</v>
      </c>
      <c r="R167" s="699"/>
      <c r="S167" s="662">
        <f t="shared" si="47"/>
        <v>-24394</v>
      </c>
      <c r="T167" s="662">
        <f t="shared" si="47"/>
        <v>-2710</v>
      </c>
      <c r="U167" s="662">
        <f t="shared" si="47"/>
        <v>-6505</v>
      </c>
      <c r="V167" s="662">
        <f t="shared" si="47"/>
        <v>-6505</v>
      </c>
      <c r="W167" s="702"/>
      <c r="X167" s="656">
        <f t="shared" si="48"/>
        <v>-26562</v>
      </c>
      <c r="Y167" s="656">
        <f t="shared" si="48"/>
        <v>-12468</v>
      </c>
      <c r="Z167" s="656">
        <f t="shared" si="48"/>
        <v>0</v>
      </c>
      <c r="AA167" s="656">
        <f t="shared" si="48"/>
        <v>0</v>
      </c>
      <c r="AB167" s="699"/>
      <c r="AC167" s="699"/>
      <c r="AD167" s="662">
        <f t="shared" si="49"/>
        <v>-35236</v>
      </c>
      <c r="AE167" s="662">
        <f t="shared" si="49"/>
        <v>-21142</v>
      </c>
      <c r="AF167" s="662">
        <f t="shared" si="49"/>
        <v>-26021</v>
      </c>
      <c r="AG167" s="662">
        <f t="shared" si="49"/>
        <v>-26021</v>
      </c>
      <c r="AH167" s="702"/>
      <c r="AI167" s="656">
        <f t="shared" si="50"/>
        <v>-22226</v>
      </c>
      <c r="AJ167" s="656">
        <f t="shared" si="50"/>
        <v>-14095</v>
      </c>
      <c r="AK167" s="656">
        <f t="shared" si="50"/>
        <v>0</v>
      </c>
      <c r="AL167" s="699"/>
      <c r="AM167" s="662">
        <f t="shared" si="51"/>
        <v>-19516</v>
      </c>
      <c r="AN167" s="662">
        <f t="shared" si="51"/>
        <v>-14095</v>
      </c>
      <c r="AO167" s="662">
        <f t="shared" si="51"/>
        <v>0</v>
      </c>
      <c r="AP167" s="702"/>
      <c r="AQ167" s="702"/>
      <c r="AR167" s="656">
        <f t="shared" si="52"/>
        <v>-22768</v>
      </c>
      <c r="AS167" s="656">
        <f t="shared" si="52"/>
        <v>-16263</v>
      </c>
      <c r="AT167" s="656">
        <f t="shared" si="52"/>
        <v>0</v>
      </c>
      <c r="AU167" s="710"/>
      <c r="AW167" s="627">
        <v>2407</v>
      </c>
      <c r="AX167" s="628" t="s">
        <v>472</v>
      </c>
      <c r="AY167" s="629" t="s">
        <v>472</v>
      </c>
      <c r="AZ167"/>
      <c r="BA167" s="196"/>
      <c r="BC167"/>
    </row>
    <row r="168" spans="1:55">
      <c r="AY168" s="627">
        <v>2421</v>
      </c>
      <c r="AZ168" s="628" t="s">
        <v>474</v>
      </c>
      <c r="BA168" s="629" t="s">
        <v>402</v>
      </c>
    </row>
    <row r="169" spans="1:55">
      <c r="AY169" s="627">
        <v>2422</v>
      </c>
      <c r="AZ169" s="630" t="s">
        <v>475</v>
      </c>
      <c r="BA169" s="629" t="s">
        <v>402</v>
      </c>
    </row>
    <row r="170" spans="1:55">
      <c r="AY170" s="627">
        <v>2423</v>
      </c>
      <c r="AZ170" s="630" t="s">
        <v>276</v>
      </c>
      <c r="BA170" s="629" t="s">
        <v>402</v>
      </c>
    </row>
    <row r="171" spans="1:55">
      <c r="AY171" s="627">
        <v>2424</v>
      </c>
      <c r="AZ171" s="628" t="s">
        <v>477</v>
      </c>
      <c r="BA171" s="629" t="s">
        <v>402</v>
      </c>
    </row>
    <row r="172" spans="1:55">
      <c r="AY172" s="627">
        <v>2425</v>
      </c>
      <c r="AZ172" s="628" t="s">
        <v>478</v>
      </c>
      <c r="BA172" s="629" t="s">
        <v>402</v>
      </c>
    </row>
    <row r="173" spans="1:55">
      <c r="AY173" s="627">
        <v>2426</v>
      </c>
      <c r="AZ173" s="628" t="s">
        <v>3025</v>
      </c>
      <c r="BA173" s="629" t="s">
        <v>402</v>
      </c>
    </row>
    <row r="174" spans="1:55">
      <c r="AY174" s="627">
        <v>2427</v>
      </c>
      <c r="AZ174" s="628" t="s">
        <v>3025</v>
      </c>
      <c r="BA174" s="629" t="s">
        <v>402</v>
      </c>
    </row>
    <row r="175" spans="1:55">
      <c r="AY175" s="627">
        <v>2428</v>
      </c>
      <c r="AZ175" s="628" t="s">
        <v>3027</v>
      </c>
      <c r="BA175" s="629" t="s">
        <v>402</v>
      </c>
    </row>
    <row r="176" spans="1:55">
      <c r="AY176" s="627">
        <v>2431</v>
      </c>
      <c r="AZ176" s="628" t="s">
        <v>3028</v>
      </c>
      <c r="BA176" s="629" t="s">
        <v>402</v>
      </c>
    </row>
    <row r="177" spans="51:53">
      <c r="AY177" s="627">
        <v>2432</v>
      </c>
      <c r="AZ177" s="628" t="s">
        <v>3029</v>
      </c>
      <c r="BA177" s="629" t="s">
        <v>402</v>
      </c>
    </row>
    <row r="178" spans="51:53">
      <c r="AY178" s="627">
        <v>2433</v>
      </c>
      <c r="AZ178" s="628" t="s">
        <v>3030</v>
      </c>
      <c r="BA178" s="629" t="s">
        <v>402</v>
      </c>
    </row>
    <row r="179" spans="51:53">
      <c r="AY179" s="627">
        <v>2434</v>
      </c>
      <c r="AZ179" s="628" t="s">
        <v>3031</v>
      </c>
      <c r="BA179" s="629" t="s">
        <v>402</v>
      </c>
    </row>
    <row r="180" spans="51:53">
      <c r="AY180" s="627">
        <v>2435</v>
      </c>
      <c r="AZ180" s="628" t="s">
        <v>3032</v>
      </c>
      <c r="BA180" s="629" t="s">
        <v>402</v>
      </c>
    </row>
    <row r="181" spans="51:53">
      <c r="AY181" s="627">
        <v>2440</v>
      </c>
      <c r="AZ181" s="628" t="s">
        <v>3033</v>
      </c>
      <c r="BA181" s="693" t="s">
        <v>152</v>
      </c>
    </row>
    <row r="182" spans="51:53">
      <c r="AY182" s="627">
        <v>2451</v>
      </c>
      <c r="AZ182" s="628" t="s">
        <v>3035</v>
      </c>
      <c r="BA182" s="629" t="s">
        <v>402</v>
      </c>
    </row>
    <row r="183" spans="51:53">
      <c r="AY183" s="627">
        <v>2453</v>
      </c>
      <c r="AZ183" s="628" t="s">
        <v>3035</v>
      </c>
      <c r="BA183" s="629" t="s">
        <v>402</v>
      </c>
    </row>
    <row r="184" spans="51:53">
      <c r="AY184" s="627">
        <v>2454</v>
      </c>
      <c r="AZ184" s="628" t="s">
        <v>3036</v>
      </c>
      <c r="BA184" s="629" t="s">
        <v>402</v>
      </c>
    </row>
    <row r="185" spans="51:53">
      <c r="AY185" s="627">
        <v>2455</v>
      </c>
      <c r="AZ185" s="628" t="s">
        <v>281</v>
      </c>
      <c r="BA185" s="629" t="s">
        <v>402</v>
      </c>
    </row>
    <row r="186" spans="51:53">
      <c r="AY186" s="627">
        <v>2456</v>
      </c>
      <c r="AZ186" s="628" t="s">
        <v>3037</v>
      </c>
      <c r="BA186" s="629" t="s">
        <v>402</v>
      </c>
    </row>
    <row r="187" spans="51:53">
      <c r="AY187" s="627">
        <v>2457</v>
      </c>
      <c r="AZ187" s="628" t="s">
        <v>3038</v>
      </c>
      <c r="BA187" s="629" t="s">
        <v>402</v>
      </c>
    </row>
    <row r="188" spans="51:53">
      <c r="AY188" s="627">
        <v>2458</v>
      </c>
      <c r="AZ188" s="628" t="s">
        <v>3039</v>
      </c>
      <c r="BA188" s="629" t="s">
        <v>402</v>
      </c>
    </row>
    <row r="189" spans="51:53">
      <c r="AY189" s="627">
        <v>2459</v>
      </c>
      <c r="AZ189" s="628" t="s">
        <v>3040</v>
      </c>
      <c r="BA189" s="629" t="s">
        <v>402</v>
      </c>
    </row>
    <row r="190" spans="51:53">
      <c r="AY190" s="627">
        <v>2461</v>
      </c>
      <c r="AZ190" s="628" t="s">
        <v>3041</v>
      </c>
      <c r="BA190" s="693" t="s">
        <v>152</v>
      </c>
    </row>
    <row r="191" spans="51:53">
      <c r="AY191" s="627">
        <v>2462</v>
      </c>
      <c r="AZ191" s="628" t="s">
        <v>3042</v>
      </c>
      <c r="BA191" s="629" t="s">
        <v>402</v>
      </c>
    </row>
    <row r="192" spans="51:53">
      <c r="AY192" s="627">
        <v>2463</v>
      </c>
      <c r="AZ192" s="628" t="s">
        <v>3043</v>
      </c>
      <c r="BA192" s="629" t="s">
        <v>402</v>
      </c>
    </row>
    <row r="193" spans="51:53">
      <c r="AY193" s="627">
        <v>2464</v>
      </c>
      <c r="AZ193" s="628" t="s">
        <v>3044</v>
      </c>
      <c r="BA193" s="629" t="s">
        <v>402</v>
      </c>
    </row>
    <row r="194" spans="51:53">
      <c r="AY194" s="627">
        <v>2465</v>
      </c>
      <c r="AZ194" s="628" t="s">
        <v>3045</v>
      </c>
      <c r="BA194" s="629" t="s">
        <v>402</v>
      </c>
    </row>
    <row r="195" spans="51:53">
      <c r="AY195" s="627">
        <v>2471</v>
      </c>
      <c r="AZ195" s="628" t="s">
        <v>3046</v>
      </c>
      <c r="BA195" s="629" t="s">
        <v>402</v>
      </c>
    </row>
    <row r="196" spans="51:53">
      <c r="AY196" s="627">
        <v>2472</v>
      </c>
      <c r="AZ196" s="628" t="s">
        <v>3047</v>
      </c>
      <c r="BA196" s="629" t="s">
        <v>402</v>
      </c>
    </row>
    <row r="197" spans="51:53">
      <c r="AY197" s="627">
        <v>2473</v>
      </c>
      <c r="AZ197" s="628" t="s">
        <v>1578</v>
      </c>
      <c r="BA197" s="629" t="s">
        <v>402</v>
      </c>
    </row>
    <row r="198" spans="51:53">
      <c r="AY198" s="627">
        <v>2475</v>
      </c>
      <c r="AZ198" s="628" t="s">
        <v>1579</v>
      </c>
      <c r="BA198" s="629" t="s">
        <v>402</v>
      </c>
    </row>
    <row r="199" spans="51:53">
      <c r="AY199" s="627">
        <v>2476</v>
      </c>
      <c r="AZ199" s="628" t="s">
        <v>1580</v>
      </c>
      <c r="BA199" s="629" t="s">
        <v>402</v>
      </c>
    </row>
    <row r="200" spans="51:53">
      <c r="AY200" s="627">
        <v>2477</v>
      </c>
      <c r="AZ200" s="628" t="s">
        <v>1581</v>
      </c>
      <c r="BA200" s="629" t="s">
        <v>402</v>
      </c>
    </row>
    <row r="201" spans="51:53">
      <c r="AY201" s="627">
        <v>2481</v>
      </c>
      <c r="AZ201" s="628" t="s">
        <v>1582</v>
      </c>
      <c r="BA201" s="629" t="s">
        <v>402</v>
      </c>
    </row>
    <row r="202" spans="51:53">
      <c r="AY202" s="627">
        <v>2483</v>
      </c>
      <c r="AZ202" s="628" t="s">
        <v>1585</v>
      </c>
      <c r="BA202" s="629" t="s">
        <v>402</v>
      </c>
    </row>
    <row r="203" spans="51:53">
      <c r="AY203" s="627">
        <v>2484</v>
      </c>
      <c r="AZ203" s="628" t="s">
        <v>1585</v>
      </c>
      <c r="BA203" s="629" t="s">
        <v>402</v>
      </c>
    </row>
    <row r="204" spans="51:53">
      <c r="AY204" s="627">
        <v>2485</v>
      </c>
      <c r="AZ204" s="628" t="s">
        <v>1585</v>
      </c>
      <c r="BA204" s="629" t="s">
        <v>402</v>
      </c>
    </row>
    <row r="205" spans="51:53">
      <c r="AY205" s="627">
        <v>2490</v>
      </c>
      <c r="AZ205" s="628" t="s">
        <v>1587</v>
      </c>
      <c r="BA205" s="629" t="s">
        <v>402</v>
      </c>
    </row>
    <row r="206" spans="51:53">
      <c r="AY206" s="627">
        <v>2500</v>
      </c>
      <c r="AZ206" s="628" t="s">
        <v>1589</v>
      </c>
      <c r="BA206" s="629" t="s">
        <v>420</v>
      </c>
    </row>
    <row r="207" spans="51:53">
      <c r="AY207" s="61">
        <v>2508</v>
      </c>
      <c r="AZ207" s="638" t="s">
        <v>1589</v>
      </c>
      <c r="BA207" s="629" t="s">
        <v>420</v>
      </c>
    </row>
    <row r="208" spans="51:53">
      <c r="AY208" s="627">
        <v>2509</v>
      </c>
      <c r="AZ208" s="628" t="s">
        <v>1589</v>
      </c>
      <c r="BA208" s="629" t="s">
        <v>420</v>
      </c>
    </row>
    <row r="209" spans="51:53">
      <c r="AY209" s="627">
        <v>2510</v>
      </c>
      <c r="AZ209" s="628" t="s">
        <v>1590</v>
      </c>
      <c r="BA209" s="629" t="s">
        <v>420</v>
      </c>
    </row>
    <row r="210" spans="51:53">
      <c r="AY210" s="627">
        <v>2517</v>
      </c>
      <c r="AZ210" s="630" t="s">
        <v>1591</v>
      </c>
      <c r="BA210" s="629" t="s">
        <v>420</v>
      </c>
    </row>
    <row r="211" spans="51:53">
      <c r="AY211" s="627">
        <v>2518</v>
      </c>
      <c r="AZ211" s="628" t="s">
        <v>2285</v>
      </c>
      <c r="BA211" s="629" t="s">
        <v>420</v>
      </c>
    </row>
    <row r="212" spans="51:53">
      <c r="AY212" s="627">
        <v>2519</v>
      </c>
      <c r="AZ212" s="628" t="s">
        <v>2286</v>
      </c>
      <c r="BA212" s="629" t="s">
        <v>420</v>
      </c>
    </row>
    <row r="213" spans="51:53">
      <c r="AY213" s="627">
        <v>2521</v>
      </c>
      <c r="AZ213" s="628" t="s">
        <v>2287</v>
      </c>
      <c r="BA213" s="629" t="s">
        <v>420</v>
      </c>
    </row>
    <row r="214" spans="51:53">
      <c r="AY214" s="627">
        <v>2522</v>
      </c>
      <c r="AZ214" s="628" t="s">
        <v>2288</v>
      </c>
      <c r="BA214" s="629" t="s">
        <v>420</v>
      </c>
    </row>
    <row r="215" spans="51:53">
      <c r="AY215" s="627">
        <v>2523</v>
      </c>
      <c r="AZ215" s="628" t="s">
        <v>4072</v>
      </c>
      <c r="BA215" s="629" t="s">
        <v>420</v>
      </c>
    </row>
    <row r="216" spans="51:53">
      <c r="AY216" s="627">
        <v>2524</v>
      </c>
      <c r="AZ216" s="628" t="s">
        <v>2290</v>
      </c>
      <c r="BA216" s="629" t="s">
        <v>420</v>
      </c>
    </row>
    <row r="217" spans="51:53">
      <c r="AY217" s="627">
        <v>2525</v>
      </c>
      <c r="AZ217" s="628" t="s">
        <v>2291</v>
      </c>
      <c r="BA217" s="629" t="s">
        <v>420</v>
      </c>
    </row>
    <row r="218" spans="51:53">
      <c r="AY218" s="627">
        <v>2526</v>
      </c>
      <c r="AZ218" s="628" t="s">
        <v>2292</v>
      </c>
      <c r="BA218" s="629" t="s">
        <v>420</v>
      </c>
    </row>
    <row r="219" spans="51:53">
      <c r="AY219" s="627">
        <v>2527</v>
      </c>
      <c r="AZ219" s="628" t="s">
        <v>2293</v>
      </c>
      <c r="BA219" s="629" t="s">
        <v>420</v>
      </c>
    </row>
    <row r="220" spans="51:53">
      <c r="AY220" s="627">
        <v>2528</v>
      </c>
      <c r="AZ220" s="628" t="s">
        <v>2294</v>
      </c>
      <c r="BA220" s="629" t="s">
        <v>420</v>
      </c>
    </row>
    <row r="221" spans="51:53">
      <c r="AY221" s="627">
        <v>2529</v>
      </c>
      <c r="AZ221" s="628" t="s">
        <v>2295</v>
      </c>
      <c r="BA221" s="629" t="s">
        <v>420</v>
      </c>
    </row>
    <row r="222" spans="51:53">
      <c r="AY222" s="627">
        <v>2531</v>
      </c>
      <c r="AZ222" s="628" t="s">
        <v>3181</v>
      </c>
      <c r="BA222" s="629" t="s">
        <v>420</v>
      </c>
    </row>
    <row r="223" spans="51:53">
      <c r="AY223" s="627">
        <v>2532</v>
      </c>
      <c r="AZ223" s="628" t="s">
        <v>2297</v>
      </c>
      <c r="BA223" s="629" t="s">
        <v>420</v>
      </c>
    </row>
    <row r="224" spans="51:53">
      <c r="AY224" s="627">
        <v>2533</v>
      </c>
      <c r="AZ224" s="628" t="s">
        <v>2298</v>
      </c>
      <c r="BA224" s="629" t="s">
        <v>420</v>
      </c>
    </row>
    <row r="225" spans="51:53">
      <c r="AY225" s="627">
        <v>2534</v>
      </c>
      <c r="AZ225" s="628" t="s">
        <v>2299</v>
      </c>
      <c r="BA225" s="629" t="s">
        <v>420</v>
      </c>
    </row>
    <row r="226" spans="51:53">
      <c r="AY226" s="627">
        <v>2535</v>
      </c>
      <c r="AZ226" s="628" t="s">
        <v>2300</v>
      </c>
      <c r="BA226" s="629" t="s">
        <v>420</v>
      </c>
    </row>
    <row r="227" spans="51:53">
      <c r="AY227" s="627">
        <v>2536</v>
      </c>
      <c r="AZ227" s="628" t="s">
        <v>2301</v>
      </c>
      <c r="BA227" s="629" t="s">
        <v>420</v>
      </c>
    </row>
    <row r="228" spans="51:53">
      <c r="AY228" s="627">
        <v>2537</v>
      </c>
      <c r="AZ228" s="628" t="s">
        <v>2301</v>
      </c>
      <c r="BA228" s="629" t="s">
        <v>420</v>
      </c>
    </row>
    <row r="229" spans="51:53">
      <c r="AY229" s="627">
        <v>2541</v>
      </c>
      <c r="AZ229" s="628" t="s">
        <v>2303</v>
      </c>
      <c r="BA229" s="629" t="s">
        <v>420</v>
      </c>
    </row>
    <row r="230" spans="51:53">
      <c r="AY230" s="627">
        <v>2543</v>
      </c>
      <c r="AZ230" s="628" t="s">
        <v>2304</v>
      </c>
      <c r="BA230" s="629" t="s">
        <v>420</v>
      </c>
    </row>
    <row r="231" spans="51:53">
      <c r="AY231" s="627">
        <v>2544</v>
      </c>
      <c r="AZ231" s="628" t="s">
        <v>2305</v>
      </c>
      <c r="BA231" s="629" t="s">
        <v>420</v>
      </c>
    </row>
    <row r="232" spans="51:53">
      <c r="AY232" s="627">
        <v>2545</v>
      </c>
      <c r="AZ232" s="628" t="s">
        <v>2306</v>
      </c>
      <c r="BA232" s="629" t="s">
        <v>420</v>
      </c>
    </row>
    <row r="233" spans="51:53">
      <c r="AY233" s="627">
        <v>2600</v>
      </c>
      <c r="AZ233" s="628" t="s">
        <v>2307</v>
      </c>
      <c r="BA233" s="693" t="s">
        <v>152</v>
      </c>
    </row>
    <row r="234" spans="51:53">
      <c r="AY234" s="627">
        <v>2610</v>
      </c>
      <c r="AZ234" s="628" t="s">
        <v>2308</v>
      </c>
      <c r="BA234" s="629" t="s">
        <v>2808</v>
      </c>
    </row>
    <row r="235" spans="51:53">
      <c r="AY235" s="627">
        <v>2610</v>
      </c>
      <c r="AZ235" s="628" t="s">
        <v>35</v>
      </c>
      <c r="BA235" s="629" t="s">
        <v>2808</v>
      </c>
    </row>
    <row r="236" spans="51:53">
      <c r="AY236" s="627">
        <v>2611</v>
      </c>
      <c r="AZ236" s="628" t="s">
        <v>2309</v>
      </c>
      <c r="BA236" s="629" t="s">
        <v>2808</v>
      </c>
    </row>
    <row r="237" spans="51:53">
      <c r="AY237" s="627">
        <v>2612</v>
      </c>
      <c r="AZ237" s="628" t="s">
        <v>2310</v>
      </c>
      <c r="BA237" s="693" t="s">
        <v>152</v>
      </c>
    </row>
    <row r="238" spans="51:53">
      <c r="AY238" s="627">
        <v>2613</v>
      </c>
      <c r="AZ238" s="628" t="s">
        <v>2311</v>
      </c>
      <c r="BA238" s="693" t="s">
        <v>152</v>
      </c>
    </row>
    <row r="239" spans="51:53">
      <c r="AY239" s="627">
        <v>2614</v>
      </c>
      <c r="AZ239" s="628" t="s">
        <v>2312</v>
      </c>
      <c r="BA239" s="693" t="s">
        <v>152</v>
      </c>
    </row>
    <row r="240" spans="51:53">
      <c r="AY240" s="627">
        <v>2615</v>
      </c>
      <c r="AZ240" s="628" t="s">
        <v>2313</v>
      </c>
      <c r="BA240" s="693" t="s">
        <v>152</v>
      </c>
    </row>
    <row r="241" spans="51:53">
      <c r="AY241" s="627">
        <v>2616</v>
      </c>
      <c r="AZ241" s="628" t="s">
        <v>36</v>
      </c>
      <c r="BA241" s="629" t="s">
        <v>2808</v>
      </c>
    </row>
    <row r="242" spans="51:53">
      <c r="AY242" s="627">
        <v>2617</v>
      </c>
      <c r="AZ242" s="628" t="s">
        <v>2315</v>
      </c>
      <c r="BA242" s="629" t="s">
        <v>2808</v>
      </c>
    </row>
    <row r="243" spans="51:53">
      <c r="AY243" s="627">
        <v>2618</v>
      </c>
      <c r="AZ243" s="628" t="s">
        <v>2316</v>
      </c>
      <c r="BA243" s="629" t="s">
        <v>2808</v>
      </c>
    </row>
    <row r="244" spans="51:53">
      <c r="AY244" s="627">
        <v>2619</v>
      </c>
      <c r="AZ244" s="628" t="s">
        <v>2317</v>
      </c>
      <c r="BA244" s="629" t="s">
        <v>2808</v>
      </c>
    </row>
    <row r="245" spans="51:53">
      <c r="AY245" s="627">
        <v>2621</v>
      </c>
      <c r="AZ245" s="628" t="s">
        <v>37</v>
      </c>
      <c r="BA245" s="693" t="s">
        <v>152</v>
      </c>
    </row>
    <row r="246" spans="51:53">
      <c r="AY246" s="627">
        <v>2623</v>
      </c>
      <c r="AZ246" s="628" t="s">
        <v>2319</v>
      </c>
      <c r="BA246" s="693" t="s">
        <v>152</v>
      </c>
    </row>
    <row r="247" spans="51:53">
      <c r="AY247" s="627">
        <v>2624</v>
      </c>
      <c r="AZ247" s="628" t="s">
        <v>2320</v>
      </c>
      <c r="BA247" s="693" t="s">
        <v>152</v>
      </c>
    </row>
    <row r="248" spans="51:53">
      <c r="AY248" s="627">
        <v>2625</v>
      </c>
      <c r="AZ248" s="628" t="s">
        <v>2321</v>
      </c>
      <c r="BA248" s="693" t="s">
        <v>152</v>
      </c>
    </row>
    <row r="249" spans="51:53">
      <c r="AY249" s="627">
        <v>2626</v>
      </c>
      <c r="AZ249" s="628" t="s">
        <v>2322</v>
      </c>
      <c r="BA249" s="693" t="s">
        <v>152</v>
      </c>
    </row>
    <row r="250" spans="51:53">
      <c r="AY250" s="627">
        <v>2627</v>
      </c>
      <c r="AZ250" s="628" t="s">
        <v>2323</v>
      </c>
      <c r="BA250" s="693" t="s">
        <v>152</v>
      </c>
    </row>
    <row r="251" spans="51:53">
      <c r="AY251" s="627">
        <v>2628</v>
      </c>
      <c r="AZ251" s="628" t="s">
        <v>2324</v>
      </c>
      <c r="BA251" s="693" t="s">
        <v>152</v>
      </c>
    </row>
    <row r="252" spans="51:53">
      <c r="AY252" s="627">
        <v>2629</v>
      </c>
      <c r="AZ252" s="628" t="s">
        <v>2325</v>
      </c>
      <c r="BA252" s="693" t="s">
        <v>152</v>
      </c>
    </row>
    <row r="253" spans="51:53">
      <c r="AY253" s="627">
        <v>2631</v>
      </c>
      <c r="AZ253" s="628" t="s">
        <v>2326</v>
      </c>
      <c r="BA253" s="693" t="s">
        <v>152</v>
      </c>
    </row>
    <row r="254" spans="51:53">
      <c r="AY254" s="627">
        <v>2632</v>
      </c>
      <c r="AZ254" s="628" t="s">
        <v>2327</v>
      </c>
      <c r="BA254" s="693" t="s">
        <v>152</v>
      </c>
    </row>
    <row r="255" spans="51:53">
      <c r="AY255" s="627">
        <v>2633</v>
      </c>
      <c r="AZ255" s="628" t="s">
        <v>2328</v>
      </c>
      <c r="BA255" s="693" t="s">
        <v>152</v>
      </c>
    </row>
    <row r="256" spans="51:53">
      <c r="AY256" s="627">
        <v>2634</v>
      </c>
      <c r="AZ256" s="628" t="s">
        <v>2329</v>
      </c>
      <c r="BA256" s="693" t="s">
        <v>152</v>
      </c>
    </row>
    <row r="257" spans="51:53">
      <c r="AY257" s="627">
        <v>2635</v>
      </c>
      <c r="AZ257" s="628" t="s">
        <v>2331</v>
      </c>
      <c r="BA257" s="693" t="s">
        <v>152</v>
      </c>
    </row>
    <row r="258" spans="51:53">
      <c r="AY258" s="627">
        <v>2635</v>
      </c>
      <c r="AZ258" s="628" t="s">
        <v>38</v>
      </c>
      <c r="BA258" s="693" t="s">
        <v>152</v>
      </c>
    </row>
    <row r="259" spans="51:53">
      <c r="AY259" s="627">
        <v>2637</v>
      </c>
      <c r="AZ259" s="628" t="s">
        <v>2332</v>
      </c>
      <c r="BA259" s="693" t="s">
        <v>152</v>
      </c>
    </row>
    <row r="260" spans="51:53">
      <c r="AY260" s="627">
        <v>2638</v>
      </c>
      <c r="AZ260" s="628" t="s">
        <v>2333</v>
      </c>
      <c r="BA260" s="693" t="s">
        <v>152</v>
      </c>
    </row>
    <row r="261" spans="51:53">
      <c r="AY261" s="627">
        <v>2639</v>
      </c>
      <c r="AZ261" s="628" t="s">
        <v>2334</v>
      </c>
      <c r="BA261" s="693" t="s">
        <v>152</v>
      </c>
    </row>
    <row r="262" spans="51:53">
      <c r="AY262" s="627">
        <v>2640</v>
      </c>
      <c r="AZ262" s="628" t="s">
        <v>2335</v>
      </c>
      <c r="BA262" s="629" t="s">
        <v>2808</v>
      </c>
    </row>
    <row r="263" spans="51:53">
      <c r="AY263" s="627">
        <v>2641</v>
      </c>
      <c r="AZ263" s="628" t="s">
        <v>2336</v>
      </c>
      <c r="BA263" s="629" t="s">
        <v>2808</v>
      </c>
    </row>
    <row r="264" spans="51:53">
      <c r="AY264" s="627">
        <v>2642</v>
      </c>
      <c r="AZ264" s="628" t="s">
        <v>2808</v>
      </c>
      <c r="BA264" s="629" t="s">
        <v>2808</v>
      </c>
    </row>
    <row r="265" spans="51:53">
      <c r="AY265" s="627">
        <v>2643</v>
      </c>
      <c r="AZ265" s="628" t="s">
        <v>2337</v>
      </c>
      <c r="BA265" s="629" t="s">
        <v>2808</v>
      </c>
    </row>
    <row r="266" spans="51:53">
      <c r="AY266" s="627">
        <v>2644</v>
      </c>
      <c r="AZ266" s="628" t="s">
        <v>2338</v>
      </c>
      <c r="BA266" s="629" t="s">
        <v>2808</v>
      </c>
    </row>
    <row r="267" spans="51:53">
      <c r="AY267" s="627">
        <v>2645</v>
      </c>
      <c r="AZ267" s="628" t="s">
        <v>2339</v>
      </c>
      <c r="BA267" s="629" t="s">
        <v>2808</v>
      </c>
    </row>
    <row r="268" spans="51:53">
      <c r="AY268" s="627">
        <v>2646</v>
      </c>
      <c r="AZ268" s="628" t="s">
        <v>2340</v>
      </c>
      <c r="BA268" s="629" t="s">
        <v>2808</v>
      </c>
    </row>
    <row r="269" spans="51:53">
      <c r="AY269" s="627">
        <v>2647</v>
      </c>
      <c r="AZ269" s="628" t="s">
        <v>2341</v>
      </c>
      <c r="BA269" s="629" t="s">
        <v>2808</v>
      </c>
    </row>
    <row r="270" spans="51:53">
      <c r="AY270" s="627">
        <v>2648</v>
      </c>
      <c r="AZ270" s="628" t="s">
        <v>2342</v>
      </c>
      <c r="BA270" s="629" t="s">
        <v>2808</v>
      </c>
    </row>
    <row r="271" spans="51:53">
      <c r="AY271" s="627">
        <v>2649</v>
      </c>
      <c r="AZ271" s="628" t="s">
        <v>2343</v>
      </c>
      <c r="BA271" s="629" t="s">
        <v>2808</v>
      </c>
    </row>
    <row r="272" spans="51:53">
      <c r="AY272" s="627">
        <v>2651</v>
      </c>
      <c r="AZ272" s="628" t="s">
        <v>2344</v>
      </c>
      <c r="BA272" s="629" t="s">
        <v>2808</v>
      </c>
    </row>
    <row r="273" spans="51:53">
      <c r="AY273" s="627">
        <v>2652</v>
      </c>
      <c r="AZ273" s="628" t="s">
        <v>2345</v>
      </c>
      <c r="BA273" s="629" t="s">
        <v>2808</v>
      </c>
    </row>
    <row r="274" spans="51:53">
      <c r="AY274" s="627">
        <v>2653</v>
      </c>
      <c r="AZ274" s="628" t="s">
        <v>2346</v>
      </c>
      <c r="BA274" s="629" t="s">
        <v>2808</v>
      </c>
    </row>
    <row r="275" spans="51:53">
      <c r="AY275" s="627">
        <v>2654</v>
      </c>
      <c r="AZ275" s="628" t="s">
        <v>2347</v>
      </c>
      <c r="BA275" s="629" t="s">
        <v>2808</v>
      </c>
    </row>
    <row r="276" spans="51:53">
      <c r="AY276" s="627">
        <v>2655</v>
      </c>
      <c r="AZ276" s="628" t="s">
        <v>39</v>
      </c>
      <c r="BA276" s="629" t="s">
        <v>2808</v>
      </c>
    </row>
    <row r="277" spans="51:53">
      <c r="AY277" s="627">
        <v>2655</v>
      </c>
      <c r="AZ277" s="628" t="s">
        <v>40</v>
      </c>
      <c r="BA277" s="629" t="s">
        <v>2808</v>
      </c>
    </row>
    <row r="278" spans="51:53">
      <c r="AY278" s="627">
        <v>2655</v>
      </c>
      <c r="AZ278" s="628" t="s">
        <v>41</v>
      </c>
      <c r="BA278" s="629" t="s">
        <v>2808</v>
      </c>
    </row>
    <row r="279" spans="51:53">
      <c r="AY279" s="627">
        <v>2656</v>
      </c>
      <c r="AZ279" s="628" t="s">
        <v>2349</v>
      </c>
      <c r="BA279" s="629" t="s">
        <v>2808</v>
      </c>
    </row>
    <row r="280" spans="51:53">
      <c r="AY280" s="627">
        <v>2657</v>
      </c>
      <c r="AZ280" s="628" t="s">
        <v>2350</v>
      </c>
      <c r="BA280" s="629" t="s">
        <v>2808</v>
      </c>
    </row>
    <row r="281" spans="51:53">
      <c r="AY281" s="627">
        <v>2658</v>
      </c>
      <c r="AZ281" s="628" t="s">
        <v>42</v>
      </c>
      <c r="BA281" s="629" t="s">
        <v>2808</v>
      </c>
    </row>
    <row r="282" spans="51:53">
      <c r="AY282" s="627">
        <v>2658</v>
      </c>
      <c r="AZ282" s="628" t="s">
        <v>43</v>
      </c>
      <c r="BA282" s="629" t="s">
        <v>2808</v>
      </c>
    </row>
    <row r="283" spans="51:53">
      <c r="AY283" s="627">
        <v>2659</v>
      </c>
      <c r="AZ283" s="628" t="s">
        <v>2352</v>
      </c>
      <c r="BA283" s="629" t="s">
        <v>2808</v>
      </c>
    </row>
    <row r="284" spans="51:53">
      <c r="AY284" s="627">
        <v>2660</v>
      </c>
      <c r="AZ284" s="628" t="s">
        <v>44</v>
      </c>
      <c r="BA284" s="629" t="s">
        <v>2808</v>
      </c>
    </row>
    <row r="285" spans="51:53">
      <c r="AY285" s="627">
        <v>2660</v>
      </c>
      <c r="AZ285" s="628" t="s">
        <v>45</v>
      </c>
      <c r="BA285" s="629" t="s">
        <v>2808</v>
      </c>
    </row>
    <row r="286" spans="51:53">
      <c r="AY286" s="627">
        <v>2668</v>
      </c>
      <c r="AZ286" s="628" t="s">
        <v>2354</v>
      </c>
      <c r="BA286" s="629" t="s">
        <v>2808</v>
      </c>
    </row>
    <row r="287" spans="51:53">
      <c r="AY287" s="627">
        <v>2669</v>
      </c>
      <c r="AZ287" s="628" t="s">
        <v>2355</v>
      </c>
      <c r="BA287" s="629" t="s">
        <v>2808</v>
      </c>
    </row>
    <row r="288" spans="51:53">
      <c r="AY288" s="627">
        <v>2671</v>
      </c>
      <c r="AZ288" s="628" t="s">
        <v>2356</v>
      </c>
      <c r="BA288" s="629" t="s">
        <v>2808</v>
      </c>
    </row>
    <row r="289" spans="51:53">
      <c r="AY289" s="627">
        <v>2672</v>
      </c>
      <c r="AZ289" s="628" t="s">
        <v>2357</v>
      </c>
      <c r="BA289" s="629" t="s">
        <v>2808</v>
      </c>
    </row>
    <row r="290" spans="51:53">
      <c r="AY290" s="627">
        <v>2673</v>
      </c>
      <c r="AZ290" s="628" t="s">
        <v>46</v>
      </c>
      <c r="BA290" s="629" t="s">
        <v>2808</v>
      </c>
    </row>
    <row r="291" spans="51:53">
      <c r="AY291" s="627">
        <v>2675</v>
      </c>
      <c r="AZ291" s="628" t="s">
        <v>47</v>
      </c>
      <c r="BA291" s="629" t="s">
        <v>2808</v>
      </c>
    </row>
    <row r="292" spans="51:53">
      <c r="AY292" s="627">
        <v>2675</v>
      </c>
      <c r="AZ292" s="628" t="s">
        <v>48</v>
      </c>
      <c r="BA292" s="629" t="s">
        <v>2808</v>
      </c>
    </row>
    <row r="293" spans="51:53">
      <c r="AY293" s="627">
        <v>2676</v>
      </c>
      <c r="AZ293" s="628" t="s">
        <v>2360</v>
      </c>
      <c r="BA293" s="629" t="s">
        <v>2808</v>
      </c>
    </row>
    <row r="294" spans="51:53">
      <c r="AY294" s="627">
        <v>2677</v>
      </c>
      <c r="AZ294" s="628" t="s">
        <v>2361</v>
      </c>
      <c r="BA294" s="629" t="s">
        <v>2808</v>
      </c>
    </row>
    <row r="295" spans="51:53">
      <c r="AY295" s="627">
        <v>2678</v>
      </c>
      <c r="AZ295" s="628" t="s">
        <v>2362</v>
      </c>
      <c r="BA295" s="629" t="s">
        <v>2808</v>
      </c>
    </row>
    <row r="296" spans="51:53">
      <c r="AY296" s="627">
        <v>2681</v>
      </c>
      <c r="AZ296" s="628" t="s">
        <v>2363</v>
      </c>
      <c r="BA296" s="693" t="s">
        <v>152</v>
      </c>
    </row>
    <row r="297" spans="51:53">
      <c r="AY297" s="627">
        <v>2682</v>
      </c>
      <c r="AZ297" s="628" t="s">
        <v>2364</v>
      </c>
      <c r="BA297" s="693" t="s">
        <v>152</v>
      </c>
    </row>
    <row r="298" spans="51:53">
      <c r="AY298" s="627">
        <v>2683</v>
      </c>
      <c r="AZ298" s="628" t="s">
        <v>2365</v>
      </c>
      <c r="BA298" s="693" t="s">
        <v>152</v>
      </c>
    </row>
    <row r="299" spans="51:53">
      <c r="AY299" s="627">
        <v>2685</v>
      </c>
      <c r="AZ299" s="628" t="s">
        <v>2366</v>
      </c>
      <c r="BA299" s="629" t="s">
        <v>2808</v>
      </c>
    </row>
    <row r="300" spans="51:53">
      <c r="AY300" s="627">
        <v>2686</v>
      </c>
      <c r="AZ300" s="628" t="s">
        <v>2367</v>
      </c>
      <c r="BA300" s="629" t="s">
        <v>2808</v>
      </c>
    </row>
    <row r="301" spans="51:53">
      <c r="AY301" s="627">
        <v>2687</v>
      </c>
      <c r="AZ301" s="628" t="s">
        <v>2368</v>
      </c>
      <c r="BA301" s="629" t="s">
        <v>2808</v>
      </c>
    </row>
    <row r="302" spans="51:53">
      <c r="AY302" s="627">
        <v>2688</v>
      </c>
      <c r="AZ302" s="628" t="s">
        <v>2369</v>
      </c>
      <c r="BA302" s="629" t="s">
        <v>2808</v>
      </c>
    </row>
    <row r="303" spans="51:53">
      <c r="AY303" s="627">
        <v>2691</v>
      </c>
      <c r="AZ303" s="628" t="s">
        <v>2370</v>
      </c>
      <c r="BA303" s="629" t="s">
        <v>2808</v>
      </c>
    </row>
    <row r="304" spans="51:53">
      <c r="AY304" s="627">
        <v>2692</v>
      </c>
      <c r="AZ304" s="628" t="s">
        <v>2371</v>
      </c>
      <c r="BA304" s="629" t="s">
        <v>2808</v>
      </c>
    </row>
    <row r="305" spans="51:53">
      <c r="AY305" s="627">
        <v>2693</v>
      </c>
      <c r="AZ305" s="628" t="s">
        <v>2372</v>
      </c>
      <c r="BA305" s="629" t="s">
        <v>2808</v>
      </c>
    </row>
    <row r="306" spans="51:53">
      <c r="AY306" s="627">
        <v>2694</v>
      </c>
      <c r="AZ306" s="628" t="s">
        <v>49</v>
      </c>
      <c r="BA306" s="629" t="s">
        <v>2808</v>
      </c>
    </row>
    <row r="307" spans="51:53">
      <c r="AY307" s="627">
        <v>2694</v>
      </c>
      <c r="AZ307" s="628" t="s">
        <v>50</v>
      </c>
      <c r="BA307" s="629" t="s">
        <v>2808</v>
      </c>
    </row>
    <row r="308" spans="51:53">
      <c r="AY308" s="627">
        <v>2694</v>
      </c>
      <c r="AZ308" s="628" t="s">
        <v>51</v>
      </c>
      <c r="BA308" s="629" t="s">
        <v>2808</v>
      </c>
    </row>
    <row r="309" spans="51:53">
      <c r="AY309" s="627">
        <v>2696</v>
      </c>
      <c r="AZ309" s="628" t="s">
        <v>2917</v>
      </c>
      <c r="BA309" s="629" t="s">
        <v>2808</v>
      </c>
    </row>
    <row r="310" spans="51:53">
      <c r="AY310" s="627">
        <v>2697</v>
      </c>
      <c r="AZ310" s="628" t="s">
        <v>52</v>
      </c>
      <c r="BA310" s="629" t="s">
        <v>2808</v>
      </c>
    </row>
    <row r="311" spans="51:53">
      <c r="AY311" s="627">
        <v>2698</v>
      </c>
      <c r="AZ311" s="628" t="s">
        <v>2919</v>
      </c>
      <c r="BA311" s="629" t="s">
        <v>2808</v>
      </c>
    </row>
    <row r="312" spans="51:53">
      <c r="AY312" s="627">
        <v>2699</v>
      </c>
      <c r="AZ312" s="628" t="s">
        <v>2920</v>
      </c>
      <c r="BA312" s="629" t="s">
        <v>2808</v>
      </c>
    </row>
    <row r="313" spans="51:53">
      <c r="AY313" s="627">
        <v>2700</v>
      </c>
      <c r="AZ313" s="628" t="s">
        <v>2921</v>
      </c>
      <c r="BA313" s="693" t="s">
        <v>153</v>
      </c>
    </row>
    <row r="314" spans="51:53">
      <c r="AY314" s="627">
        <v>2711</v>
      </c>
      <c r="AZ314" s="628" t="s">
        <v>2922</v>
      </c>
      <c r="BA314" s="693" t="s">
        <v>153</v>
      </c>
    </row>
    <row r="315" spans="51:53">
      <c r="AY315" s="627">
        <v>2712</v>
      </c>
      <c r="AZ315" s="628" t="s">
        <v>2923</v>
      </c>
      <c r="BA315" s="693" t="s">
        <v>153</v>
      </c>
    </row>
    <row r="316" spans="51:53">
      <c r="AY316" s="627">
        <v>2713</v>
      </c>
      <c r="AZ316" s="630" t="s">
        <v>2924</v>
      </c>
      <c r="BA316" s="693" t="s">
        <v>153</v>
      </c>
    </row>
    <row r="317" spans="51:53">
      <c r="AY317" s="627">
        <v>2721</v>
      </c>
      <c r="AZ317" s="630" t="s">
        <v>2925</v>
      </c>
      <c r="BA317" s="693" t="s">
        <v>153</v>
      </c>
    </row>
    <row r="318" spans="51:53">
      <c r="AY318" s="627">
        <v>2723</v>
      </c>
      <c r="AZ318" s="630" t="s">
        <v>2926</v>
      </c>
      <c r="BA318" s="693" t="s">
        <v>153</v>
      </c>
    </row>
    <row r="319" spans="51:53">
      <c r="AY319" s="627">
        <v>2724</v>
      </c>
      <c r="AZ319" s="630" t="s">
        <v>2927</v>
      </c>
      <c r="BA319" s="693" t="s">
        <v>153</v>
      </c>
    </row>
    <row r="320" spans="51:53">
      <c r="AY320" s="627">
        <v>2730</v>
      </c>
      <c r="AZ320" s="630" t="s">
        <v>2928</v>
      </c>
      <c r="BA320" s="693" t="s">
        <v>153</v>
      </c>
    </row>
    <row r="321" spans="51:53">
      <c r="AY321" s="627">
        <v>2735</v>
      </c>
      <c r="AZ321" s="630" t="s">
        <v>2929</v>
      </c>
      <c r="BA321" s="693" t="s">
        <v>153</v>
      </c>
    </row>
    <row r="322" spans="51:53">
      <c r="AY322" s="627">
        <v>2736</v>
      </c>
      <c r="AZ322" s="630" t="s">
        <v>2930</v>
      </c>
      <c r="BA322" s="693" t="s">
        <v>153</v>
      </c>
    </row>
    <row r="323" spans="51:53">
      <c r="AY323" s="627">
        <v>2737</v>
      </c>
      <c r="AZ323" s="630" t="s">
        <v>2931</v>
      </c>
      <c r="BA323" s="693" t="s">
        <v>153</v>
      </c>
    </row>
    <row r="324" spans="51:53">
      <c r="AY324" s="627">
        <v>2738</v>
      </c>
      <c r="AZ324" s="630" t="s">
        <v>2921</v>
      </c>
      <c r="BA324" s="693" t="s">
        <v>153</v>
      </c>
    </row>
    <row r="325" spans="51:53">
      <c r="AY325" s="627">
        <v>2740</v>
      </c>
      <c r="AZ325" s="630" t="s">
        <v>2932</v>
      </c>
      <c r="BA325" s="693" t="s">
        <v>153</v>
      </c>
    </row>
    <row r="326" spans="51:53">
      <c r="AY326" s="627">
        <v>2745</v>
      </c>
      <c r="AZ326" s="630" t="s">
        <v>54</v>
      </c>
      <c r="BA326" s="693" t="s">
        <v>153</v>
      </c>
    </row>
    <row r="327" spans="51:53">
      <c r="AY327" s="627">
        <v>2746</v>
      </c>
      <c r="AZ327" s="630" t="s">
        <v>2934</v>
      </c>
      <c r="BA327" s="693" t="s">
        <v>153</v>
      </c>
    </row>
    <row r="328" spans="51:53">
      <c r="AY328" s="627">
        <v>2747</v>
      </c>
      <c r="AZ328" s="630" t="s">
        <v>2935</v>
      </c>
      <c r="BA328" s="693" t="s">
        <v>153</v>
      </c>
    </row>
    <row r="329" spans="51:53">
      <c r="AY329" s="627">
        <v>2750</v>
      </c>
      <c r="AZ329" s="630" t="s">
        <v>2936</v>
      </c>
      <c r="BA329" s="693" t="s">
        <v>153</v>
      </c>
    </row>
    <row r="330" spans="51:53">
      <c r="AY330" s="627">
        <v>2755</v>
      </c>
      <c r="AZ330" s="630" t="s">
        <v>2937</v>
      </c>
      <c r="BA330" s="693" t="s">
        <v>153</v>
      </c>
    </row>
    <row r="331" spans="51:53">
      <c r="AY331" s="627">
        <v>2760</v>
      </c>
      <c r="AZ331" s="630" t="s">
        <v>2938</v>
      </c>
      <c r="BA331" s="693" t="s">
        <v>153</v>
      </c>
    </row>
    <row r="332" spans="51:53">
      <c r="AY332" s="627">
        <v>2764</v>
      </c>
      <c r="AZ332" s="630" t="s">
        <v>2939</v>
      </c>
      <c r="BA332" s="693" t="s">
        <v>153</v>
      </c>
    </row>
    <row r="333" spans="51:53">
      <c r="AY333" s="627">
        <v>2765</v>
      </c>
      <c r="AZ333" s="630" t="s">
        <v>2940</v>
      </c>
      <c r="BA333" s="693" t="s">
        <v>153</v>
      </c>
    </row>
    <row r="334" spans="51:53">
      <c r="AY334" s="627">
        <v>2766</v>
      </c>
      <c r="AZ334" s="630" t="s">
        <v>2941</v>
      </c>
      <c r="BA334" s="693" t="s">
        <v>153</v>
      </c>
    </row>
    <row r="335" spans="51:53">
      <c r="AY335" s="627">
        <v>2767</v>
      </c>
      <c r="AZ335" s="630" t="s">
        <v>2942</v>
      </c>
      <c r="BA335" s="693" t="s">
        <v>153</v>
      </c>
    </row>
    <row r="336" spans="51:53">
      <c r="AY336" s="627">
        <v>2768</v>
      </c>
      <c r="AZ336" s="630" t="s">
        <v>2943</v>
      </c>
      <c r="BA336" s="693" t="s">
        <v>153</v>
      </c>
    </row>
    <row r="337" spans="51:53">
      <c r="AY337" s="627">
        <v>2769</v>
      </c>
      <c r="AZ337" s="630" t="s">
        <v>2944</v>
      </c>
      <c r="BA337" s="77" t="s">
        <v>153</v>
      </c>
    </row>
    <row r="338" spans="51:53">
      <c r="AY338" s="627">
        <v>2800</v>
      </c>
      <c r="AZ338" s="630" t="s">
        <v>2945</v>
      </c>
      <c r="BA338" s="629" t="s">
        <v>2945</v>
      </c>
    </row>
    <row r="339" spans="51:53">
      <c r="AY339" s="627">
        <v>2821</v>
      </c>
      <c r="AZ339" s="630" t="s">
        <v>2946</v>
      </c>
      <c r="BA339" s="629" t="s">
        <v>420</v>
      </c>
    </row>
    <row r="340" spans="51:53">
      <c r="AY340" s="627">
        <v>2822</v>
      </c>
      <c r="AZ340" s="630" t="s">
        <v>2947</v>
      </c>
      <c r="BA340" s="629" t="s">
        <v>420</v>
      </c>
    </row>
    <row r="341" spans="51:53">
      <c r="AY341" s="627">
        <v>2823</v>
      </c>
      <c r="AZ341" s="630" t="s">
        <v>2948</v>
      </c>
      <c r="BA341" s="630" t="s">
        <v>420</v>
      </c>
    </row>
    <row r="342" spans="51:53">
      <c r="AY342" s="627">
        <v>2824</v>
      </c>
      <c r="AZ342" s="628" t="s">
        <v>2949</v>
      </c>
      <c r="BA342" s="629" t="s">
        <v>420</v>
      </c>
    </row>
    <row r="343" spans="51:53">
      <c r="AY343" s="627">
        <v>2831</v>
      </c>
      <c r="AZ343" s="628" t="s">
        <v>2950</v>
      </c>
      <c r="BA343" s="629" t="s">
        <v>420</v>
      </c>
    </row>
    <row r="344" spans="51:53">
      <c r="AY344" s="627">
        <v>2832</v>
      </c>
      <c r="AZ344" s="628" t="s">
        <v>2951</v>
      </c>
      <c r="BA344" s="629" t="s">
        <v>420</v>
      </c>
    </row>
    <row r="345" spans="51:53">
      <c r="AY345" s="627">
        <v>2833</v>
      </c>
      <c r="AZ345" s="628" t="s">
        <v>2952</v>
      </c>
      <c r="BA345" s="629" t="s">
        <v>420</v>
      </c>
    </row>
    <row r="346" spans="51:53">
      <c r="AY346" s="627">
        <v>2834</v>
      </c>
      <c r="AZ346" s="628" t="s">
        <v>305</v>
      </c>
      <c r="BA346" s="629" t="s">
        <v>420</v>
      </c>
    </row>
    <row r="347" spans="51:53">
      <c r="AY347" s="627">
        <v>2835</v>
      </c>
      <c r="AZ347" s="630" t="s">
        <v>2979</v>
      </c>
      <c r="BA347" s="630" t="s">
        <v>420</v>
      </c>
    </row>
    <row r="348" spans="51:53">
      <c r="AY348" s="627">
        <v>2836</v>
      </c>
      <c r="AZ348" s="630" t="s">
        <v>2955</v>
      </c>
      <c r="BA348" s="630" t="s">
        <v>420</v>
      </c>
    </row>
    <row r="349" spans="51:53">
      <c r="AY349" s="627">
        <v>2837</v>
      </c>
      <c r="AZ349" s="628" t="s">
        <v>2956</v>
      </c>
      <c r="BA349" s="629" t="s">
        <v>420</v>
      </c>
    </row>
    <row r="350" spans="51:53">
      <c r="AY350" s="627">
        <v>2840</v>
      </c>
      <c r="AZ350" s="628" t="s">
        <v>2957</v>
      </c>
      <c r="BA350" s="629" t="s">
        <v>420</v>
      </c>
    </row>
    <row r="351" spans="51:53">
      <c r="AY351" s="627">
        <v>2851</v>
      </c>
      <c r="AZ351" s="628" t="s">
        <v>2958</v>
      </c>
      <c r="BA351" s="629" t="s">
        <v>420</v>
      </c>
    </row>
    <row r="352" spans="51:53">
      <c r="AY352" s="627">
        <v>2852</v>
      </c>
      <c r="AZ352" s="628" t="s">
        <v>2959</v>
      </c>
      <c r="BA352" s="629" t="s">
        <v>420</v>
      </c>
    </row>
    <row r="353" spans="51:53">
      <c r="AY353" s="627">
        <v>2853</v>
      </c>
      <c r="AZ353" s="628" t="s">
        <v>2960</v>
      </c>
      <c r="BA353" s="629" t="s">
        <v>420</v>
      </c>
    </row>
    <row r="354" spans="51:53">
      <c r="AY354" s="627">
        <v>2854</v>
      </c>
      <c r="AZ354" s="628" t="s">
        <v>2961</v>
      </c>
      <c r="BA354" s="629" t="s">
        <v>420</v>
      </c>
    </row>
    <row r="355" spans="51:53">
      <c r="AY355" s="627">
        <v>2855</v>
      </c>
      <c r="AZ355" s="628" t="s">
        <v>2962</v>
      </c>
      <c r="BA355" s="629" t="s">
        <v>420</v>
      </c>
    </row>
    <row r="356" spans="51:53">
      <c r="AY356" s="627">
        <v>2856</v>
      </c>
      <c r="AZ356" s="628" t="s">
        <v>307</v>
      </c>
      <c r="BA356" s="629" t="s">
        <v>420</v>
      </c>
    </row>
    <row r="357" spans="51:53">
      <c r="AY357" s="627">
        <v>2858</v>
      </c>
      <c r="AZ357" s="628" t="s">
        <v>2964</v>
      </c>
      <c r="BA357" s="629" t="s">
        <v>420</v>
      </c>
    </row>
    <row r="358" spans="51:53">
      <c r="AY358" s="627">
        <v>2859</v>
      </c>
      <c r="AZ358" s="628" t="s">
        <v>2965</v>
      </c>
      <c r="BA358" s="629" t="s">
        <v>420</v>
      </c>
    </row>
    <row r="359" spans="51:53">
      <c r="AY359" s="627">
        <v>2861</v>
      </c>
      <c r="AZ359" s="628" t="s">
        <v>2966</v>
      </c>
      <c r="BA359" s="629" t="s">
        <v>420</v>
      </c>
    </row>
    <row r="360" spans="51:53">
      <c r="AY360" s="627">
        <v>2862</v>
      </c>
      <c r="AZ360" s="628" t="s">
        <v>2967</v>
      </c>
      <c r="BA360" s="629" t="s">
        <v>420</v>
      </c>
    </row>
    <row r="361" spans="51:53">
      <c r="AY361" s="627">
        <v>2870</v>
      </c>
      <c r="AZ361" s="628" t="s">
        <v>2968</v>
      </c>
      <c r="BA361" s="629" t="s">
        <v>420</v>
      </c>
    </row>
    <row r="362" spans="51:53">
      <c r="AY362" s="627">
        <v>2879</v>
      </c>
      <c r="AZ362" s="628" t="s">
        <v>2968</v>
      </c>
      <c r="BA362" s="629" t="s">
        <v>420</v>
      </c>
    </row>
    <row r="363" spans="51:53">
      <c r="AY363" s="627">
        <v>2881</v>
      </c>
      <c r="AZ363" s="628" t="s">
        <v>2970</v>
      </c>
      <c r="BA363" s="629" t="s">
        <v>420</v>
      </c>
    </row>
    <row r="364" spans="51:53">
      <c r="AY364" s="627">
        <v>2882</v>
      </c>
      <c r="AZ364" s="628" t="s">
        <v>2165</v>
      </c>
      <c r="BA364" s="629" t="s">
        <v>423</v>
      </c>
    </row>
    <row r="365" spans="51:53">
      <c r="AY365" s="627">
        <v>2883</v>
      </c>
      <c r="AZ365" s="628" t="s">
        <v>2972</v>
      </c>
      <c r="BA365" s="629" t="s">
        <v>420</v>
      </c>
    </row>
    <row r="366" spans="51:53">
      <c r="AY366" s="627">
        <v>2884</v>
      </c>
      <c r="AZ366" s="630" t="s">
        <v>2973</v>
      </c>
      <c r="BA366" s="630" t="s">
        <v>420</v>
      </c>
    </row>
    <row r="367" spans="51:53">
      <c r="AY367" s="627">
        <v>2885</v>
      </c>
      <c r="AZ367" s="628" t="s">
        <v>2974</v>
      </c>
      <c r="BA367" s="629" t="s">
        <v>420</v>
      </c>
    </row>
    <row r="368" spans="51:53">
      <c r="AY368" s="627">
        <v>2886</v>
      </c>
      <c r="AZ368" s="628" t="s">
        <v>2975</v>
      </c>
      <c r="BA368" s="629" t="s">
        <v>420</v>
      </c>
    </row>
    <row r="369" spans="51:53">
      <c r="AY369" s="627">
        <v>2887</v>
      </c>
      <c r="AZ369" s="630" t="s">
        <v>2976</v>
      </c>
      <c r="BA369" s="630" t="s">
        <v>420</v>
      </c>
    </row>
    <row r="370" spans="51:53">
      <c r="AY370" s="627">
        <v>2888</v>
      </c>
      <c r="AZ370" s="628" t="s">
        <v>2977</v>
      </c>
      <c r="BA370" s="629" t="s">
        <v>420</v>
      </c>
    </row>
    <row r="371" spans="51:53">
      <c r="AY371" s="627">
        <v>2889</v>
      </c>
      <c r="AZ371" s="628" t="s">
        <v>2978</v>
      </c>
      <c r="BA371" s="629" t="s">
        <v>420</v>
      </c>
    </row>
    <row r="372" spans="51:53">
      <c r="AY372" s="627">
        <v>2890</v>
      </c>
      <c r="AZ372" s="628" t="s">
        <v>2979</v>
      </c>
      <c r="BA372" s="629" t="s">
        <v>420</v>
      </c>
    </row>
    <row r="373" spans="51:53">
      <c r="AY373" s="627">
        <v>2896</v>
      </c>
      <c r="AZ373" s="630" t="s">
        <v>2980</v>
      </c>
      <c r="BA373" s="630" t="s">
        <v>420</v>
      </c>
    </row>
    <row r="374" spans="51:53">
      <c r="AY374" s="627">
        <v>2897</v>
      </c>
      <c r="AZ374" s="628" t="s">
        <v>2981</v>
      </c>
      <c r="BA374" s="629" t="s">
        <v>420</v>
      </c>
    </row>
    <row r="375" spans="51:53">
      <c r="AY375" s="627">
        <v>2898</v>
      </c>
      <c r="AZ375" s="630" t="s">
        <v>2982</v>
      </c>
      <c r="BA375" s="630" t="s">
        <v>420</v>
      </c>
    </row>
    <row r="376" spans="51:53">
      <c r="AY376" s="627">
        <v>2899</v>
      </c>
      <c r="AZ376" s="628" t="s">
        <v>2983</v>
      </c>
      <c r="BA376" s="629" t="s">
        <v>420</v>
      </c>
    </row>
    <row r="377" spans="51:53">
      <c r="AY377" s="627">
        <v>2900</v>
      </c>
      <c r="AZ377" s="628" t="s">
        <v>2984</v>
      </c>
      <c r="BA377" s="629" t="s">
        <v>420</v>
      </c>
    </row>
    <row r="378" spans="51:53">
      <c r="AY378" s="627">
        <v>2903</v>
      </c>
      <c r="AZ378" s="628" t="s">
        <v>2984</v>
      </c>
      <c r="BA378" s="629" t="s">
        <v>420</v>
      </c>
    </row>
    <row r="379" spans="51:53">
      <c r="AY379" s="627">
        <v>2911</v>
      </c>
      <c r="AZ379" s="628" t="s">
        <v>2986</v>
      </c>
      <c r="BA379" s="629" t="s">
        <v>420</v>
      </c>
    </row>
    <row r="380" spans="51:53">
      <c r="AY380" s="627">
        <v>2921</v>
      </c>
      <c r="AZ380" s="628" t="s">
        <v>2984</v>
      </c>
      <c r="BA380" s="629" t="s">
        <v>420</v>
      </c>
    </row>
    <row r="381" spans="51:53">
      <c r="AY381" s="627">
        <v>2931</v>
      </c>
      <c r="AZ381" s="628" t="s">
        <v>3182</v>
      </c>
      <c r="BA381" s="629" t="s">
        <v>420</v>
      </c>
    </row>
    <row r="382" spans="51:53">
      <c r="AY382" s="627">
        <v>2941</v>
      </c>
      <c r="AZ382" s="628" t="s">
        <v>2989</v>
      </c>
      <c r="BA382" s="629" t="s">
        <v>420</v>
      </c>
    </row>
    <row r="383" spans="51:53">
      <c r="AY383" s="627">
        <v>2942</v>
      </c>
      <c r="AZ383" s="628" t="s">
        <v>2990</v>
      </c>
      <c r="BA383" s="629" t="s">
        <v>420</v>
      </c>
    </row>
    <row r="384" spans="51:53">
      <c r="AY384" s="627">
        <v>2943</v>
      </c>
      <c r="AZ384" s="628" t="s">
        <v>2991</v>
      </c>
      <c r="BA384" s="629" t="s">
        <v>420</v>
      </c>
    </row>
    <row r="385" spans="51:53">
      <c r="AY385" s="627">
        <v>2944</v>
      </c>
      <c r="AZ385" s="630" t="s">
        <v>2992</v>
      </c>
      <c r="BA385" s="630" t="s">
        <v>420</v>
      </c>
    </row>
    <row r="386" spans="51:53">
      <c r="AY386" s="627">
        <v>2945</v>
      </c>
      <c r="AZ386" s="630" t="s">
        <v>2993</v>
      </c>
      <c r="BA386" s="630" t="s">
        <v>420</v>
      </c>
    </row>
    <row r="387" spans="51:53">
      <c r="AY387" s="627">
        <v>2946</v>
      </c>
      <c r="AZ387" s="628" t="s">
        <v>2994</v>
      </c>
      <c r="BA387" s="629" t="s">
        <v>420</v>
      </c>
    </row>
    <row r="388" spans="51:53">
      <c r="AY388" s="627">
        <v>2947</v>
      </c>
      <c r="AZ388" s="630" t="s">
        <v>2995</v>
      </c>
      <c r="BA388" s="630" t="s">
        <v>420</v>
      </c>
    </row>
    <row r="389" spans="51:53">
      <c r="AY389" s="627">
        <v>2948</v>
      </c>
      <c r="AZ389" s="628" t="s">
        <v>2996</v>
      </c>
      <c r="BA389" s="629" t="s">
        <v>420</v>
      </c>
    </row>
    <row r="390" spans="51:53">
      <c r="AY390" s="627">
        <v>2949</v>
      </c>
      <c r="AZ390" s="630" t="s">
        <v>2997</v>
      </c>
      <c r="BA390" s="630" t="s">
        <v>420</v>
      </c>
    </row>
    <row r="391" spans="51:53">
      <c r="AY391" s="627">
        <v>3000</v>
      </c>
      <c r="AZ391" s="628" t="s">
        <v>312</v>
      </c>
      <c r="BA391" s="629" t="s">
        <v>410</v>
      </c>
    </row>
    <row r="392" spans="51:53">
      <c r="AY392" s="61">
        <v>3009</v>
      </c>
      <c r="AZ392" s="638" t="s">
        <v>2999</v>
      </c>
      <c r="BA392" s="629" t="s">
        <v>410</v>
      </c>
    </row>
    <row r="393" spans="51:53">
      <c r="AY393" s="627">
        <v>3011</v>
      </c>
      <c r="AZ393" s="628" t="s">
        <v>3000</v>
      </c>
      <c r="BA393" s="629" t="s">
        <v>410</v>
      </c>
    </row>
    <row r="394" spans="51:53">
      <c r="AY394" s="627">
        <v>3012</v>
      </c>
      <c r="AZ394" s="628" t="s">
        <v>3001</v>
      </c>
      <c r="BA394" s="629" t="s">
        <v>410</v>
      </c>
    </row>
    <row r="395" spans="51:53">
      <c r="AY395" s="627">
        <v>3013</v>
      </c>
      <c r="AZ395" s="630" t="s">
        <v>3002</v>
      </c>
      <c r="BA395" s="629" t="s">
        <v>410</v>
      </c>
    </row>
    <row r="396" spans="51:53">
      <c r="AY396" s="627">
        <v>3014</v>
      </c>
      <c r="AZ396" s="628" t="s">
        <v>1702</v>
      </c>
      <c r="BA396" s="629" t="s">
        <v>410</v>
      </c>
    </row>
    <row r="397" spans="51:53">
      <c r="AY397" s="627">
        <v>3015</v>
      </c>
      <c r="AZ397" s="628" t="s">
        <v>1703</v>
      </c>
      <c r="BA397" s="629" t="s">
        <v>410</v>
      </c>
    </row>
    <row r="398" spans="51:53">
      <c r="AY398" s="627">
        <v>3016</v>
      </c>
      <c r="AZ398" s="628" t="s">
        <v>1704</v>
      </c>
      <c r="BA398" s="629" t="s">
        <v>410</v>
      </c>
    </row>
    <row r="399" spans="51:53">
      <c r="AY399" s="627">
        <v>3021</v>
      </c>
      <c r="AZ399" s="628" t="s">
        <v>1705</v>
      </c>
      <c r="BA399" s="629" t="s">
        <v>410</v>
      </c>
    </row>
    <row r="400" spans="51:53">
      <c r="AY400" s="627">
        <v>3022</v>
      </c>
      <c r="AZ400" s="628" t="s">
        <v>1705</v>
      </c>
      <c r="BA400" s="629" t="s">
        <v>410</v>
      </c>
    </row>
    <row r="401" spans="51:53">
      <c r="AY401" s="627">
        <v>3023</v>
      </c>
      <c r="AZ401" s="628" t="s">
        <v>1706</v>
      </c>
      <c r="BA401" s="629" t="s">
        <v>410</v>
      </c>
    </row>
    <row r="402" spans="51:53">
      <c r="AY402" s="627">
        <v>3024</v>
      </c>
      <c r="AZ402" s="628" t="s">
        <v>1705</v>
      </c>
      <c r="BA402" s="629" t="s">
        <v>410</v>
      </c>
    </row>
    <row r="403" spans="51:53">
      <c r="AY403" s="627">
        <v>3031</v>
      </c>
      <c r="AZ403" s="628" t="s">
        <v>971</v>
      </c>
      <c r="BA403" s="629" t="s">
        <v>410</v>
      </c>
    </row>
    <row r="404" spans="51:53">
      <c r="AY404" s="627">
        <v>3032</v>
      </c>
      <c r="AZ404" s="628" t="s">
        <v>972</v>
      </c>
      <c r="BA404" s="629" t="s">
        <v>410</v>
      </c>
    </row>
    <row r="405" spans="51:53">
      <c r="AY405" s="627">
        <v>3033</v>
      </c>
      <c r="AZ405" s="628" t="s">
        <v>973</v>
      </c>
      <c r="BA405" s="629" t="s">
        <v>410</v>
      </c>
    </row>
    <row r="406" spans="51:53">
      <c r="AY406" s="627">
        <v>3034</v>
      </c>
      <c r="AZ406" s="628" t="s">
        <v>316</v>
      </c>
      <c r="BA406" s="629" t="s">
        <v>410</v>
      </c>
    </row>
    <row r="407" spans="51:53">
      <c r="AY407" s="627">
        <v>3035</v>
      </c>
      <c r="AZ407" s="628" t="s">
        <v>975</v>
      </c>
      <c r="BA407" s="629" t="s">
        <v>410</v>
      </c>
    </row>
    <row r="408" spans="51:53">
      <c r="AY408" s="627">
        <v>3036</v>
      </c>
      <c r="AZ408" s="628" t="s">
        <v>976</v>
      </c>
      <c r="BA408" s="629" t="s">
        <v>410</v>
      </c>
    </row>
    <row r="409" spans="51:53">
      <c r="AY409" s="627">
        <v>3041</v>
      </c>
      <c r="AZ409" s="628" t="s">
        <v>977</v>
      </c>
      <c r="BA409" s="629" t="s">
        <v>2808</v>
      </c>
    </row>
    <row r="410" spans="51:53">
      <c r="AY410" s="627">
        <v>3042</v>
      </c>
      <c r="AZ410" s="628" t="s">
        <v>978</v>
      </c>
      <c r="BA410" s="629" t="s">
        <v>2808</v>
      </c>
    </row>
    <row r="411" spans="51:53">
      <c r="AY411" s="627">
        <v>3043</v>
      </c>
      <c r="AZ411" s="628" t="s">
        <v>979</v>
      </c>
      <c r="BA411" s="629" t="s">
        <v>2808</v>
      </c>
    </row>
    <row r="412" spans="51:53">
      <c r="AY412" s="627">
        <v>3044</v>
      </c>
      <c r="AZ412" s="628" t="s">
        <v>980</v>
      </c>
      <c r="BA412" s="629" t="s">
        <v>2808</v>
      </c>
    </row>
    <row r="413" spans="51:53">
      <c r="AY413" s="627">
        <v>3045</v>
      </c>
      <c r="AZ413" s="628" t="s">
        <v>981</v>
      </c>
      <c r="BA413" s="629" t="s">
        <v>2808</v>
      </c>
    </row>
    <row r="414" spans="51:53">
      <c r="AY414" s="627">
        <v>3046</v>
      </c>
      <c r="AZ414" s="628" t="s">
        <v>982</v>
      </c>
      <c r="BA414" s="629" t="s">
        <v>2808</v>
      </c>
    </row>
    <row r="415" spans="51:53">
      <c r="AY415" s="627">
        <v>3047</v>
      </c>
      <c r="AZ415" s="630" t="s">
        <v>983</v>
      </c>
      <c r="BA415" s="630" t="s">
        <v>2808</v>
      </c>
    </row>
    <row r="416" spans="51:53">
      <c r="AY416" s="627">
        <v>3051</v>
      </c>
      <c r="AZ416" s="628" t="s">
        <v>985</v>
      </c>
      <c r="BA416" s="629" t="s">
        <v>2808</v>
      </c>
    </row>
    <row r="417" spans="51:53">
      <c r="AY417" s="627">
        <v>3052</v>
      </c>
      <c r="AZ417" s="628" t="s">
        <v>986</v>
      </c>
      <c r="BA417" s="629" t="s">
        <v>2808</v>
      </c>
    </row>
    <row r="418" spans="51:53">
      <c r="AY418" s="627">
        <v>3053</v>
      </c>
      <c r="AZ418" s="628" t="s">
        <v>317</v>
      </c>
      <c r="BA418" s="629" t="s">
        <v>2808</v>
      </c>
    </row>
    <row r="419" spans="51:53">
      <c r="AY419" s="627">
        <v>3053</v>
      </c>
      <c r="AZ419" s="628" t="s">
        <v>318</v>
      </c>
      <c r="BA419" s="629" t="s">
        <v>2808</v>
      </c>
    </row>
    <row r="420" spans="51:53">
      <c r="AY420" s="627">
        <v>3060</v>
      </c>
      <c r="AZ420" s="628" t="s">
        <v>988</v>
      </c>
      <c r="BA420" s="629" t="s">
        <v>2808</v>
      </c>
    </row>
    <row r="421" spans="51:53">
      <c r="AY421" s="627">
        <v>3063</v>
      </c>
      <c r="AZ421" s="628" t="s">
        <v>989</v>
      </c>
      <c r="BA421" s="629" t="s">
        <v>2808</v>
      </c>
    </row>
    <row r="422" spans="51:53">
      <c r="AY422" s="627">
        <v>3064</v>
      </c>
      <c r="AZ422" s="628" t="s">
        <v>990</v>
      </c>
      <c r="BA422" s="629" t="s">
        <v>2808</v>
      </c>
    </row>
    <row r="423" spans="51:53">
      <c r="AY423" s="627">
        <v>3065</v>
      </c>
      <c r="AZ423" s="628" t="s">
        <v>988</v>
      </c>
      <c r="BA423" s="629" t="s">
        <v>2808</v>
      </c>
    </row>
    <row r="424" spans="51:53">
      <c r="AY424" s="627">
        <v>3066</v>
      </c>
      <c r="AZ424" s="628" t="s">
        <v>320</v>
      </c>
      <c r="BA424" s="629" t="s">
        <v>2808</v>
      </c>
    </row>
    <row r="425" spans="51:53">
      <c r="AY425" s="627">
        <v>3066</v>
      </c>
      <c r="AZ425" s="628" t="s">
        <v>321</v>
      </c>
      <c r="BA425" s="629" t="s">
        <v>2808</v>
      </c>
    </row>
    <row r="426" spans="51:53">
      <c r="AY426" s="627">
        <v>3066</v>
      </c>
      <c r="AZ426" s="628" t="s">
        <v>322</v>
      </c>
      <c r="BA426" s="629" t="s">
        <v>2808</v>
      </c>
    </row>
    <row r="427" spans="51:53">
      <c r="AY427" s="627">
        <v>3067</v>
      </c>
      <c r="AZ427" s="628" t="s">
        <v>323</v>
      </c>
      <c r="BA427" s="629" t="s">
        <v>2808</v>
      </c>
    </row>
    <row r="428" spans="51:53">
      <c r="AY428" s="627">
        <v>3067</v>
      </c>
      <c r="AZ428" s="628" t="s">
        <v>324</v>
      </c>
      <c r="BA428" s="629" t="s">
        <v>2808</v>
      </c>
    </row>
    <row r="429" spans="51:53">
      <c r="AY429" s="627">
        <v>3068</v>
      </c>
      <c r="AZ429" s="628" t="s">
        <v>3337</v>
      </c>
      <c r="BA429" s="629" t="s">
        <v>2808</v>
      </c>
    </row>
    <row r="430" spans="51:53">
      <c r="AY430" s="627">
        <v>3069</v>
      </c>
      <c r="AZ430" s="628" t="s">
        <v>3338</v>
      </c>
      <c r="BA430" s="629" t="s">
        <v>2808</v>
      </c>
    </row>
    <row r="431" spans="51:53">
      <c r="AY431" s="627">
        <v>3070</v>
      </c>
      <c r="AZ431" s="628" t="s">
        <v>3340</v>
      </c>
      <c r="BA431" s="629" t="s">
        <v>2808</v>
      </c>
    </row>
    <row r="432" spans="51:53">
      <c r="AY432" s="627">
        <v>3073</v>
      </c>
      <c r="AZ432" s="628" t="s">
        <v>3341</v>
      </c>
      <c r="BA432" s="629" t="s">
        <v>2808</v>
      </c>
    </row>
    <row r="433" spans="51:53">
      <c r="AY433" s="627">
        <v>3074</v>
      </c>
      <c r="AZ433" s="628" t="s">
        <v>3342</v>
      </c>
      <c r="BA433" s="629" t="s">
        <v>2808</v>
      </c>
    </row>
    <row r="434" spans="51:53">
      <c r="AY434" s="627">
        <v>3075</v>
      </c>
      <c r="AZ434" s="628" t="s">
        <v>325</v>
      </c>
      <c r="BA434" s="629" t="s">
        <v>2808</v>
      </c>
    </row>
    <row r="435" spans="51:53">
      <c r="AY435" s="692">
        <v>3075</v>
      </c>
      <c r="AZ435" s="628" t="s">
        <v>326</v>
      </c>
      <c r="BA435" s="629" t="s">
        <v>2808</v>
      </c>
    </row>
    <row r="436" spans="51:53">
      <c r="AY436" s="627">
        <v>3075</v>
      </c>
      <c r="AZ436" s="628" t="s">
        <v>532</v>
      </c>
      <c r="BA436" s="629" t="s">
        <v>2808</v>
      </c>
    </row>
    <row r="437" spans="51:53">
      <c r="AY437" s="627">
        <v>3077</v>
      </c>
      <c r="AZ437" s="628" t="s">
        <v>3344</v>
      </c>
      <c r="BA437" s="629" t="s">
        <v>2808</v>
      </c>
    </row>
    <row r="438" spans="51:53">
      <c r="AY438" s="627">
        <v>3078</v>
      </c>
      <c r="AZ438" s="628" t="s">
        <v>3340</v>
      </c>
      <c r="BA438" s="629" t="s">
        <v>2808</v>
      </c>
    </row>
    <row r="439" spans="51:53">
      <c r="AY439" s="627">
        <v>3082</v>
      </c>
      <c r="AZ439" s="628" t="s">
        <v>988</v>
      </c>
      <c r="BA439" s="629" t="s">
        <v>2808</v>
      </c>
    </row>
    <row r="440" spans="51:53">
      <c r="AY440" s="627">
        <v>3100</v>
      </c>
      <c r="AZ440" s="628" t="s">
        <v>3346</v>
      </c>
      <c r="BA440" s="629" t="s">
        <v>3346</v>
      </c>
    </row>
    <row r="441" spans="51:53">
      <c r="AY441" s="627">
        <v>3102</v>
      </c>
      <c r="AZ441" s="628" t="s">
        <v>3346</v>
      </c>
      <c r="BA441" s="629" t="s">
        <v>3346</v>
      </c>
    </row>
    <row r="442" spans="51:53">
      <c r="AY442" s="627">
        <v>3104</v>
      </c>
      <c r="AZ442" s="628" t="s">
        <v>3346</v>
      </c>
      <c r="BA442" s="629" t="s">
        <v>3346</v>
      </c>
    </row>
    <row r="443" spans="51:53">
      <c r="AY443" s="627">
        <v>3109</v>
      </c>
      <c r="AZ443" s="628" t="s">
        <v>3346</v>
      </c>
      <c r="BA443" s="629" t="s">
        <v>3346</v>
      </c>
    </row>
    <row r="444" spans="51:53">
      <c r="AY444" s="627">
        <v>3121</v>
      </c>
      <c r="AZ444" s="628" t="s">
        <v>3349</v>
      </c>
      <c r="BA444" s="629" t="s">
        <v>2808</v>
      </c>
    </row>
    <row r="445" spans="51:53">
      <c r="AY445" s="627">
        <v>3121</v>
      </c>
      <c r="AZ445" s="630" t="s">
        <v>3346</v>
      </c>
      <c r="BA445" s="629" t="s">
        <v>3346</v>
      </c>
    </row>
    <row r="446" spans="51:53">
      <c r="AY446" s="627">
        <v>3123</v>
      </c>
      <c r="AZ446" s="630" t="s">
        <v>3386</v>
      </c>
      <c r="BA446" s="629" t="s">
        <v>421</v>
      </c>
    </row>
    <row r="447" spans="51:53">
      <c r="AY447" s="627">
        <v>3124</v>
      </c>
      <c r="AZ447" s="630" t="s">
        <v>3351</v>
      </c>
      <c r="BA447" s="629" t="s">
        <v>2808</v>
      </c>
    </row>
    <row r="448" spans="51:53">
      <c r="AY448" s="627">
        <v>3125</v>
      </c>
      <c r="AZ448" s="630" t="s">
        <v>3352</v>
      </c>
      <c r="BA448" s="629" t="s">
        <v>2808</v>
      </c>
    </row>
    <row r="449" spans="51:53">
      <c r="AY449" s="627">
        <v>3126</v>
      </c>
      <c r="AZ449" s="630" t="s">
        <v>3353</v>
      </c>
      <c r="BA449" s="629" t="s">
        <v>2808</v>
      </c>
    </row>
    <row r="450" spans="51:53">
      <c r="AY450" s="627">
        <v>3127</v>
      </c>
      <c r="AZ450" s="628" t="s">
        <v>3354</v>
      </c>
      <c r="BA450" s="629" t="s">
        <v>2808</v>
      </c>
    </row>
    <row r="451" spans="51:53">
      <c r="AY451" s="627">
        <v>3128</v>
      </c>
      <c r="AZ451" s="628" t="s">
        <v>3294</v>
      </c>
      <c r="BA451" s="629" t="s">
        <v>2808</v>
      </c>
    </row>
    <row r="452" spans="51:53">
      <c r="AY452" s="627">
        <v>3129</v>
      </c>
      <c r="AZ452" s="628" t="s">
        <v>537</v>
      </c>
      <c r="BA452" s="629" t="s">
        <v>2808</v>
      </c>
    </row>
    <row r="453" spans="51:53">
      <c r="AY453" s="627">
        <v>3129</v>
      </c>
      <c r="AZ453" s="628" t="s">
        <v>2460</v>
      </c>
      <c r="BA453" s="629" t="s">
        <v>2808</v>
      </c>
    </row>
    <row r="454" spans="51:53">
      <c r="AY454" s="627">
        <v>3131</v>
      </c>
      <c r="AZ454" s="628" t="s">
        <v>3296</v>
      </c>
      <c r="BA454" s="629" t="s">
        <v>2808</v>
      </c>
    </row>
    <row r="455" spans="51:53">
      <c r="AY455" s="627">
        <v>3132</v>
      </c>
      <c r="AZ455" s="628" t="s">
        <v>3297</v>
      </c>
      <c r="BA455" s="629" t="s">
        <v>2808</v>
      </c>
    </row>
    <row r="456" spans="51:53">
      <c r="AY456" s="627">
        <v>3133</v>
      </c>
      <c r="AZ456" s="628" t="s">
        <v>3298</v>
      </c>
      <c r="BA456" s="629" t="s">
        <v>2808</v>
      </c>
    </row>
    <row r="457" spans="51:53">
      <c r="AY457" s="627">
        <v>3134</v>
      </c>
      <c r="AZ457" s="628" t="s">
        <v>3299</v>
      </c>
      <c r="BA457" s="629" t="s">
        <v>2808</v>
      </c>
    </row>
    <row r="458" spans="51:53">
      <c r="AY458" s="627">
        <v>3135</v>
      </c>
      <c r="AZ458" s="630" t="s">
        <v>3300</v>
      </c>
      <c r="BA458" s="630" t="s">
        <v>2808</v>
      </c>
    </row>
    <row r="459" spans="51:53">
      <c r="AY459" s="627">
        <v>3136</v>
      </c>
      <c r="AZ459" s="628" t="s">
        <v>3301</v>
      </c>
      <c r="BA459" s="629" t="s">
        <v>2808</v>
      </c>
    </row>
    <row r="460" spans="51:53">
      <c r="AY460" s="627">
        <v>3137</v>
      </c>
      <c r="AZ460" s="628" t="s">
        <v>3302</v>
      </c>
      <c r="BA460" s="629" t="s">
        <v>2808</v>
      </c>
    </row>
    <row r="461" spans="51:53">
      <c r="AY461" s="627">
        <v>3138</v>
      </c>
      <c r="AZ461" s="628" t="s">
        <v>3303</v>
      </c>
      <c r="BA461" s="629" t="s">
        <v>2808</v>
      </c>
    </row>
    <row r="462" spans="51:53">
      <c r="AY462" s="627">
        <v>3141</v>
      </c>
      <c r="AZ462" s="628" t="s">
        <v>3346</v>
      </c>
      <c r="BA462" s="629" t="s">
        <v>3346</v>
      </c>
    </row>
    <row r="463" spans="51:53">
      <c r="AY463" s="627">
        <v>3142</v>
      </c>
      <c r="AZ463" s="628" t="s">
        <v>3305</v>
      </c>
      <c r="BA463" s="629" t="s">
        <v>2808</v>
      </c>
    </row>
    <row r="464" spans="51:53">
      <c r="AY464" s="627">
        <v>3143</v>
      </c>
      <c r="AZ464" s="628" t="s">
        <v>3306</v>
      </c>
      <c r="BA464" s="629" t="s">
        <v>2808</v>
      </c>
    </row>
    <row r="465" spans="51:53">
      <c r="AY465" s="627">
        <v>3144</v>
      </c>
      <c r="AZ465" s="628" t="s">
        <v>3306</v>
      </c>
      <c r="BA465" s="629" t="s">
        <v>2808</v>
      </c>
    </row>
    <row r="466" spans="51:53">
      <c r="AY466" s="627">
        <v>3145</v>
      </c>
      <c r="AZ466" s="628" t="s">
        <v>3309</v>
      </c>
      <c r="BA466" s="629" t="s">
        <v>2808</v>
      </c>
    </row>
    <row r="467" spans="51:53">
      <c r="AY467" s="627">
        <v>3146</v>
      </c>
      <c r="AZ467" s="630" t="s">
        <v>3309</v>
      </c>
      <c r="BA467" s="629" t="s">
        <v>2808</v>
      </c>
    </row>
    <row r="468" spans="51:53">
      <c r="AY468" s="627">
        <v>3147</v>
      </c>
      <c r="AZ468" s="628" t="s">
        <v>3354</v>
      </c>
      <c r="BA468" s="629" t="s">
        <v>2808</v>
      </c>
    </row>
    <row r="469" spans="51:53">
      <c r="AY469" s="627">
        <v>3151</v>
      </c>
      <c r="AZ469" s="628" t="s">
        <v>2466</v>
      </c>
      <c r="BA469" s="629" t="s">
        <v>2808</v>
      </c>
    </row>
    <row r="470" spans="51:53">
      <c r="AY470" s="627">
        <v>3152</v>
      </c>
      <c r="AZ470" s="628" t="s">
        <v>3357</v>
      </c>
      <c r="BA470" s="629" t="s">
        <v>2808</v>
      </c>
    </row>
    <row r="471" spans="51:53">
      <c r="AY471" s="627">
        <v>3153</v>
      </c>
      <c r="AZ471" s="628" t="s">
        <v>3358</v>
      </c>
      <c r="BA471" s="629" t="s">
        <v>2808</v>
      </c>
    </row>
    <row r="472" spans="51:53">
      <c r="AY472" s="627">
        <v>3154</v>
      </c>
      <c r="AZ472" s="628" t="s">
        <v>3359</v>
      </c>
      <c r="BA472" s="629" t="s">
        <v>2808</v>
      </c>
    </row>
    <row r="473" spans="51:53">
      <c r="AY473" s="627">
        <v>3155</v>
      </c>
      <c r="AZ473" s="628" t="s">
        <v>3360</v>
      </c>
      <c r="BA473" s="629" t="s">
        <v>2808</v>
      </c>
    </row>
    <row r="474" spans="51:53">
      <c r="AY474" s="627">
        <v>3161</v>
      </c>
      <c r="AZ474" s="628" t="s">
        <v>3361</v>
      </c>
      <c r="BA474" s="629" t="s">
        <v>2808</v>
      </c>
    </row>
    <row r="475" spans="51:53">
      <c r="AY475" s="627">
        <v>3162</v>
      </c>
      <c r="AZ475" s="628" t="s">
        <v>3362</v>
      </c>
      <c r="BA475" s="629" t="s">
        <v>2808</v>
      </c>
    </row>
    <row r="476" spans="51:53">
      <c r="AY476" s="627">
        <v>3163</v>
      </c>
      <c r="AZ476" s="628" t="s">
        <v>612</v>
      </c>
      <c r="BA476" s="629" t="s">
        <v>2808</v>
      </c>
    </row>
    <row r="477" spans="51:53">
      <c r="AY477" s="627">
        <v>3163</v>
      </c>
      <c r="AZ477" s="628" t="s">
        <v>613</v>
      </c>
      <c r="BA477" s="629" t="s">
        <v>2808</v>
      </c>
    </row>
    <row r="478" spans="51:53">
      <c r="AY478" s="627">
        <v>3165</v>
      </c>
      <c r="AZ478" s="628" t="s">
        <v>3364</v>
      </c>
      <c r="BA478" s="629" t="s">
        <v>2808</v>
      </c>
    </row>
    <row r="479" spans="51:53">
      <c r="AY479" s="627">
        <v>3170</v>
      </c>
      <c r="AZ479" s="628" t="s">
        <v>3365</v>
      </c>
      <c r="BA479" s="629" t="s">
        <v>2808</v>
      </c>
    </row>
    <row r="480" spans="51:53">
      <c r="AY480" s="627">
        <v>3175</v>
      </c>
      <c r="AZ480" s="628" t="s">
        <v>3366</v>
      </c>
      <c r="BA480" s="629" t="s">
        <v>2808</v>
      </c>
    </row>
    <row r="481" spans="51:53">
      <c r="AY481" s="627">
        <v>3176</v>
      </c>
      <c r="AZ481" s="628" t="s">
        <v>3367</v>
      </c>
      <c r="BA481" s="629" t="s">
        <v>2808</v>
      </c>
    </row>
    <row r="482" spans="51:53">
      <c r="AY482" s="627">
        <v>3177</v>
      </c>
      <c r="AZ482" s="628" t="s">
        <v>3368</v>
      </c>
      <c r="BA482" s="629" t="s">
        <v>2808</v>
      </c>
    </row>
    <row r="483" spans="51:53">
      <c r="AY483" s="627">
        <v>3178</v>
      </c>
      <c r="AZ483" s="628" t="s">
        <v>3369</v>
      </c>
      <c r="BA483" s="629" t="s">
        <v>2808</v>
      </c>
    </row>
    <row r="484" spans="51:53">
      <c r="AY484" s="627">
        <v>3179</v>
      </c>
      <c r="AZ484" s="628" t="s">
        <v>3370</v>
      </c>
      <c r="BA484" s="629" t="s">
        <v>2808</v>
      </c>
    </row>
    <row r="485" spans="51:53">
      <c r="AY485" s="627">
        <v>3181</v>
      </c>
      <c r="AZ485" s="628" t="s">
        <v>3371</v>
      </c>
      <c r="BA485" s="629" t="s">
        <v>2808</v>
      </c>
    </row>
    <row r="486" spans="51:53">
      <c r="AY486" s="627">
        <v>3182</v>
      </c>
      <c r="AZ486" s="628" t="s">
        <v>3372</v>
      </c>
      <c r="BA486" s="629" t="s">
        <v>2808</v>
      </c>
    </row>
    <row r="487" spans="51:53">
      <c r="AY487" s="627">
        <v>3183</v>
      </c>
      <c r="AZ487" s="628" t="s">
        <v>3373</v>
      </c>
      <c r="BA487" s="629" t="s">
        <v>2808</v>
      </c>
    </row>
    <row r="488" spans="51:53">
      <c r="AY488" s="627">
        <v>3184</v>
      </c>
      <c r="AZ488" s="628" t="s">
        <v>3374</v>
      </c>
      <c r="BA488" s="629" t="s">
        <v>2808</v>
      </c>
    </row>
    <row r="489" spans="51:53">
      <c r="AY489" s="627">
        <v>3185</v>
      </c>
      <c r="AZ489" s="628" t="s">
        <v>3529</v>
      </c>
      <c r="BA489" s="629" t="s">
        <v>2808</v>
      </c>
    </row>
    <row r="490" spans="51:53">
      <c r="AY490" s="627">
        <v>3186</v>
      </c>
      <c r="AZ490" s="628" t="s">
        <v>3530</v>
      </c>
      <c r="BA490" s="629" t="s">
        <v>2808</v>
      </c>
    </row>
    <row r="491" spans="51:53">
      <c r="AY491" s="627">
        <v>3187</v>
      </c>
      <c r="AZ491" s="628" t="s">
        <v>3531</v>
      </c>
      <c r="BA491" s="629" t="s">
        <v>2808</v>
      </c>
    </row>
    <row r="492" spans="51:53">
      <c r="AY492" s="627">
        <v>3188</v>
      </c>
      <c r="AZ492" s="628" t="s">
        <v>3532</v>
      </c>
      <c r="BA492" s="629" t="s">
        <v>2808</v>
      </c>
    </row>
    <row r="493" spans="51:53">
      <c r="AY493" s="627">
        <v>3200</v>
      </c>
      <c r="AZ493" s="628" t="s">
        <v>3533</v>
      </c>
      <c r="BA493" s="629" t="s">
        <v>410</v>
      </c>
    </row>
    <row r="494" spans="51:53">
      <c r="AY494" s="627">
        <v>3211</v>
      </c>
      <c r="AZ494" s="628" t="s">
        <v>3534</v>
      </c>
      <c r="BA494" s="629" t="s">
        <v>410</v>
      </c>
    </row>
    <row r="495" spans="51:53">
      <c r="AY495" s="627">
        <v>3212</v>
      </c>
      <c r="AZ495" s="628" t="s">
        <v>3535</v>
      </c>
      <c r="BA495" s="629" t="s">
        <v>410</v>
      </c>
    </row>
    <row r="496" spans="51:53">
      <c r="AY496" s="627">
        <v>3213</v>
      </c>
      <c r="AZ496" s="628" t="s">
        <v>3536</v>
      </c>
      <c r="BA496" s="629" t="s">
        <v>410</v>
      </c>
    </row>
    <row r="497" spans="51:53">
      <c r="AY497" s="627">
        <v>3214</v>
      </c>
      <c r="AZ497" s="628" t="s">
        <v>3537</v>
      </c>
      <c r="BA497" s="629" t="s">
        <v>410</v>
      </c>
    </row>
    <row r="498" spans="51:53">
      <c r="AY498" s="627">
        <v>3221</v>
      </c>
      <c r="AZ498" s="628" t="s">
        <v>3533</v>
      </c>
      <c r="BA498" s="629" t="s">
        <v>410</v>
      </c>
    </row>
    <row r="499" spans="51:53">
      <c r="AY499" s="627">
        <v>3231</v>
      </c>
      <c r="AZ499" s="628" t="s">
        <v>615</v>
      </c>
      <c r="BA499" s="629" t="s">
        <v>410</v>
      </c>
    </row>
    <row r="500" spans="51:53">
      <c r="AY500" s="627">
        <v>3232</v>
      </c>
      <c r="AZ500" s="628" t="s">
        <v>3533</v>
      </c>
      <c r="BA500" s="629" t="s">
        <v>410</v>
      </c>
    </row>
    <row r="501" spans="51:53">
      <c r="AY501" s="627">
        <v>3233</v>
      </c>
      <c r="AZ501" s="628" t="s">
        <v>3533</v>
      </c>
      <c r="BA501" s="629" t="s">
        <v>410</v>
      </c>
    </row>
    <row r="502" spans="51:53">
      <c r="AY502" s="627">
        <v>3234</v>
      </c>
      <c r="AZ502" s="628" t="s">
        <v>619</v>
      </c>
      <c r="BA502" s="629" t="s">
        <v>410</v>
      </c>
    </row>
    <row r="503" spans="51:53">
      <c r="AY503" s="627">
        <v>3235</v>
      </c>
      <c r="AZ503" s="628" t="s">
        <v>619</v>
      </c>
      <c r="BA503" s="629" t="s">
        <v>410</v>
      </c>
    </row>
    <row r="504" spans="51:53">
      <c r="AY504" s="627">
        <v>3240</v>
      </c>
      <c r="AZ504" s="628" t="s">
        <v>1000</v>
      </c>
      <c r="BA504" s="629" t="s">
        <v>410</v>
      </c>
    </row>
    <row r="505" spans="51:53">
      <c r="AY505" s="627">
        <v>3242</v>
      </c>
      <c r="AZ505" s="628" t="s">
        <v>1001</v>
      </c>
      <c r="BA505" s="629" t="s">
        <v>410</v>
      </c>
    </row>
    <row r="506" spans="51:53">
      <c r="AY506" s="627">
        <v>3243</v>
      </c>
      <c r="AZ506" s="628" t="s">
        <v>1002</v>
      </c>
      <c r="BA506" s="629" t="s">
        <v>410</v>
      </c>
    </row>
    <row r="507" spans="51:53">
      <c r="AY507" s="627">
        <v>3244</v>
      </c>
      <c r="AZ507" s="628" t="s">
        <v>1000</v>
      </c>
      <c r="BA507" s="629" t="s">
        <v>410</v>
      </c>
    </row>
    <row r="508" spans="51:53">
      <c r="AY508" s="627">
        <v>3245</v>
      </c>
      <c r="AZ508" s="628" t="s">
        <v>1004</v>
      </c>
      <c r="BA508" s="629" t="s">
        <v>410</v>
      </c>
    </row>
    <row r="509" spans="51:53">
      <c r="AY509" s="627">
        <v>3246</v>
      </c>
      <c r="AZ509" s="628" t="s">
        <v>1005</v>
      </c>
      <c r="BA509" s="629" t="s">
        <v>410</v>
      </c>
    </row>
    <row r="510" spans="51:53">
      <c r="AY510" s="627">
        <v>3247</v>
      </c>
      <c r="AZ510" s="628" t="s">
        <v>1006</v>
      </c>
      <c r="BA510" s="629" t="s">
        <v>410</v>
      </c>
    </row>
    <row r="511" spans="51:53">
      <c r="AY511" s="627">
        <v>3248</v>
      </c>
      <c r="AZ511" s="628" t="s">
        <v>1007</v>
      </c>
      <c r="BA511" s="629" t="s">
        <v>410</v>
      </c>
    </row>
    <row r="512" spans="51:53">
      <c r="AY512" s="627">
        <v>3250</v>
      </c>
      <c r="AZ512" s="628" t="s">
        <v>1008</v>
      </c>
      <c r="BA512" s="629" t="s">
        <v>410</v>
      </c>
    </row>
    <row r="513" spans="51:53">
      <c r="AY513" s="627">
        <v>3252</v>
      </c>
      <c r="AZ513" s="628" t="s">
        <v>1009</v>
      </c>
      <c r="BA513" s="629" t="s">
        <v>410</v>
      </c>
    </row>
    <row r="514" spans="51:53">
      <c r="AY514" s="627">
        <v>3253</v>
      </c>
      <c r="AZ514" s="628" t="s">
        <v>1010</v>
      </c>
      <c r="BA514" s="629" t="s">
        <v>410</v>
      </c>
    </row>
    <row r="515" spans="51:53">
      <c r="AY515" s="627">
        <v>3254</v>
      </c>
      <c r="AZ515" s="628" t="s">
        <v>1011</v>
      </c>
      <c r="BA515" s="629" t="s">
        <v>410</v>
      </c>
    </row>
    <row r="516" spans="51:53">
      <c r="AY516" s="627">
        <v>3255</v>
      </c>
      <c r="AZ516" s="628" t="s">
        <v>1012</v>
      </c>
      <c r="BA516" s="629" t="s">
        <v>410</v>
      </c>
    </row>
    <row r="517" spans="51:53">
      <c r="AY517" s="627">
        <v>3256</v>
      </c>
      <c r="AZ517" s="628" t="s">
        <v>1013</v>
      </c>
      <c r="BA517" s="629" t="s">
        <v>410</v>
      </c>
    </row>
    <row r="518" spans="51:53">
      <c r="AY518" s="627">
        <v>3257</v>
      </c>
      <c r="AZ518" s="628" t="s">
        <v>1014</v>
      </c>
      <c r="BA518" s="629" t="s">
        <v>410</v>
      </c>
    </row>
    <row r="519" spans="51:53">
      <c r="AY519" s="627">
        <v>3258</v>
      </c>
      <c r="AZ519" s="628" t="s">
        <v>1015</v>
      </c>
      <c r="BA519" s="629" t="s">
        <v>410</v>
      </c>
    </row>
    <row r="520" spans="51:53">
      <c r="AY520" s="692">
        <v>3259</v>
      </c>
      <c r="AZ520" s="628" t="s">
        <v>1016</v>
      </c>
      <c r="BA520" s="629" t="s">
        <v>410</v>
      </c>
    </row>
    <row r="521" spans="51:53">
      <c r="AY521" s="627">
        <v>3261</v>
      </c>
      <c r="AZ521" s="628" t="s">
        <v>1017</v>
      </c>
      <c r="BA521" s="629" t="s">
        <v>410</v>
      </c>
    </row>
    <row r="522" spans="51:53">
      <c r="AY522" s="627">
        <v>3261</v>
      </c>
      <c r="AZ522" s="628" t="s">
        <v>621</v>
      </c>
      <c r="BA522" s="629" t="s">
        <v>410</v>
      </c>
    </row>
    <row r="523" spans="51:53">
      <c r="AY523" s="627">
        <v>3262</v>
      </c>
      <c r="AZ523" s="628" t="s">
        <v>1018</v>
      </c>
      <c r="BA523" s="629" t="s">
        <v>410</v>
      </c>
    </row>
    <row r="524" spans="51:53">
      <c r="AY524" s="627">
        <v>3263</v>
      </c>
      <c r="AZ524" s="628" t="s">
        <v>1019</v>
      </c>
      <c r="BA524" s="629" t="s">
        <v>410</v>
      </c>
    </row>
    <row r="525" spans="51:53">
      <c r="AY525" s="627">
        <v>3264</v>
      </c>
      <c r="AZ525" s="628" t="s">
        <v>1020</v>
      </c>
      <c r="BA525" s="629" t="s">
        <v>410</v>
      </c>
    </row>
    <row r="526" spans="51:53">
      <c r="AY526" s="627">
        <v>3265</v>
      </c>
      <c r="AZ526" s="628" t="s">
        <v>1021</v>
      </c>
      <c r="BA526" s="629" t="s">
        <v>410</v>
      </c>
    </row>
    <row r="527" spans="51:53">
      <c r="AY527" s="627">
        <v>3271</v>
      </c>
      <c r="AZ527" s="628" t="s">
        <v>1022</v>
      </c>
      <c r="BA527" s="629" t="s">
        <v>410</v>
      </c>
    </row>
    <row r="528" spans="51:53">
      <c r="AY528" s="627">
        <v>3272</v>
      </c>
      <c r="AZ528" s="628" t="s">
        <v>1022</v>
      </c>
      <c r="BA528" s="629" t="s">
        <v>410</v>
      </c>
    </row>
    <row r="529" spans="51:53">
      <c r="AY529" s="627">
        <v>3273</v>
      </c>
      <c r="AZ529" s="628" t="s">
        <v>1023</v>
      </c>
      <c r="BA529" s="629" t="s">
        <v>410</v>
      </c>
    </row>
    <row r="530" spans="51:53">
      <c r="AY530" s="627">
        <v>3274</v>
      </c>
      <c r="AZ530" s="628" t="s">
        <v>1024</v>
      </c>
      <c r="BA530" s="629" t="s">
        <v>410</v>
      </c>
    </row>
    <row r="531" spans="51:53">
      <c r="AY531" s="627">
        <v>3275</v>
      </c>
      <c r="AZ531" s="628" t="s">
        <v>1025</v>
      </c>
      <c r="BA531" s="629" t="s">
        <v>410</v>
      </c>
    </row>
    <row r="532" spans="51:53">
      <c r="AY532" s="627">
        <v>3281</v>
      </c>
      <c r="AZ532" s="628" t="s">
        <v>1026</v>
      </c>
      <c r="BA532" s="629" t="s">
        <v>410</v>
      </c>
    </row>
    <row r="533" spans="51:53">
      <c r="AY533" s="627">
        <v>3282</v>
      </c>
      <c r="AZ533" s="628" t="s">
        <v>1027</v>
      </c>
      <c r="BA533" s="629" t="s">
        <v>410</v>
      </c>
    </row>
    <row r="534" spans="51:53">
      <c r="AY534" s="627">
        <v>3283</v>
      </c>
      <c r="AZ534" s="628" t="s">
        <v>1028</v>
      </c>
      <c r="BA534" s="629" t="s">
        <v>410</v>
      </c>
    </row>
    <row r="535" spans="51:53">
      <c r="AY535" s="627">
        <v>3284</v>
      </c>
      <c r="AZ535" s="628" t="s">
        <v>1029</v>
      </c>
      <c r="BA535" s="629" t="s">
        <v>410</v>
      </c>
    </row>
    <row r="536" spans="51:53">
      <c r="AY536" s="627">
        <v>3291</v>
      </c>
      <c r="AZ536" s="628" t="s">
        <v>1030</v>
      </c>
      <c r="BA536" s="629" t="s">
        <v>410</v>
      </c>
    </row>
    <row r="537" spans="51:53">
      <c r="AY537" s="627">
        <v>3292</v>
      </c>
      <c r="AZ537" s="628" t="s">
        <v>1031</v>
      </c>
      <c r="BA537" s="629" t="s">
        <v>410</v>
      </c>
    </row>
    <row r="538" spans="51:53">
      <c r="AY538" s="627">
        <v>3293</v>
      </c>
      <c r="AZ538" s="628" t="s">
        <v>1032</v>
      </c>
      <c r="BA538" s="629" t="s">
        <v>410</v>
      </c>
    </row>
    <row r="539" spans="51:53">
      <c r="AY539" s="627">
        <v>3294</v>
      </c>
      <c r="AZ539" s="628" t="s">
        <v>1033</v>
      </c>
      <c r="BA539" s="629" t="s">
        <v>410</v>
      </c>
    </row>
    <row r="540" spans="51:53">
      <c r="AY540" s="627">
        <v>3295</v>
      </c>
      <c r="AZ540" s="628" t="s">
        <v>1034</v>
      </c>
      <c r="BA540" s="629" t="s">
        <v>410</v>
      </c>
    </row>
    <row r="541" spans="51:53">
      <c r="AY541" s="627">
        <v>3296</v>
      </c>
      <c r="AZ541" s="628" t="s">
        <v>1035</v>
      </c>
      <c r="BA541" s="629" t="s">
        <v>410</v>
      </c>
    </row>
    <row r="542" spans="51:53">
      <c r="AY542" s="627">
        <v>3300</v>
      </c>
      <c r="AZ542" s="628" t="s">
        <v>1036</v>
      </c>
      <c r="BA542" s="629" t="s">
        <v>1036</v>
      </c>
    </row>
    <row r="543" spans="51:53">
      <c r="AY543" s="627">
        <v>3304</v>
      </c>
      <c r="AZ543" s="628" t="s">
        <v>1036</v>
      </c>
      <c r="BA543" s="629" t="s">
        <v>1036</v>
      </c>
    </row>
    <row r="544" spans="51:53">
      <c r="AY544" s="627">
        <v>3321</v>
      </c>
      <c r="AZ544" s="628" t="s">
        <v>1038</v>
      </c>
      <c r="BA544" s="629" t="s">
        <v>410</v>
      </c>
    </row>
    <row r="545" spans="51:53">
      <c r="AY545" s="627">
        <v>3322</v>
      </c>
      <c r="AZ545" s="628" t="s">
        <v>1039</v>
      </c>
      <c r="BA545" s="629" t="s">
        <v>410</v>
      </c>
    </row>
    <row r="546" spans="51:53">
      <c r="AY546" s="627">
        <v>3323</v>
      </c>
      <c r="AZ546" s="628" t="s">
        <v>625</v>
      </c>
      <c r="BA546" s="629" t="s">
        <v>410</v>
      </c>
    </row>
    <row r="547" spans="51:53">
      <c r="AY547" s="627">
        <v>3324</v>
      </c>
      <c r="AZ547" s="628" t="s">
        <v>1041</v>
      </c>
      <c r="BA547" s="629" t="s">
        <v>410</v>
      </c>
    </row>
    <row r="548" spans="51:53">
      <c r="AY548" s="627">
        <v>3325</v>
      </c>
      <c r="AZ548" s="628" t="s">
        <v>1042</v>
      </c>
      <c r="BA548" s="629" t="s">
        <v>410</v>
      </c>
    </row>
    <row r="549" spans="51:53">
      <c r="AY549" s="627">
        <v>3326</v>
      </c>
      <c r="AZ549" s="630" t="s">
        <v>1043</v>
      </c>
      <c r="BA549" s="629" t="s">
        <v>410</v>
      </c>
    </row>
    <row r="550" spans="51:53">
      <c r="AY550" s="627">
        <v>3327</v>
      </c>
      <c r="AZ550" s="630" t="s">
        <v>4558</v>
      </c>
      <c r="BA550" s="629" t="s">
        <v>412</v>
      </c>
    </row>
    <row r="551" spans="51:53">
      <c r="AY551" s="627">
        <v>3328</v>
      </c>
      <c r="AZ551" s="628" t="s">
        <v>968</v>
      </c>
      <c r="BA551" s="629" t="s">
        <v>412</v>
      </c>
    </row>
    <row r="552" spans="51:53">
      <c r="AY552" s="627">
        <v>3331</v>
      </c>
      <c r="AZ552" s="628" t="s">
        <v>1046</v>
      </c>
      <c r="BA552" s="629" t="s">
        <v>410</v>
      </c>
    </row>
    <row r="553" spans="51:53">
      <c r="AY553" s="627">
        <v>3332</v>
      </c>
      <c r="AZ553" s="630" t="s">
        <v>1047</v>
      </c>
      <c r="BA553" s="630" t="s">
        <v>410</v>
      </c>
    </row>
    <row r="554" spans="51:53">
      <c r="AY554" s="627">
        <v>3334</v>
      </c>
      <c r="AZ554" s="630" t="s">
        <v>1049</v>
      </c>
      <c r="BA554" s="630" t="s">
        <v>410</v>
      </c>
    </row>
    <row r="555" spans="51:53">
      <c r="AY555" s="627">
        <v>3334</v>
      </c>
      <c r="AZ555" s="628" t="s">
        <v>1048</v>
      </c>
      <c r="BA555" s="629" t="s">
        <v>410</v>
      </c>
    </row>
    <row r="556" spans="51:53">
      <c r="AY556" s="627">
        <v>3335</v>
      </c>
      <c r="AZ556" s="628" t="s">
        <v>1050</v>
      </c>
      <c r="BA556" s="629" t="s">
        <v>410</v>
      </c>
    </row>
    <row r="557" spans="51:53">
      <c r="AY557" s="627">
        <v>3336</v>
      </c>
      <c r="AZ557" s="628" t="s">
        <v>1051</v>
      </c>
      <c r="BA557" s="629" t="s">
        <v>410</v>
      </c>
    </row>
    <row r="558" spans="51:53">
      <c r="AY558" s="627">
        <v>3337</v>
      </c>
      <c r="AZ558" s="628" t="s">
        <v>1052</v>
      </c>
      <c r="BA558" s="629" t="s">
        <v>410</v>
      </c>
    </row>
    <row r="559" spans="51:53">
      <c r="AY559" s="627">
        <v>3341</v>
      </c>
      <c r="AZ559" s="628" t="s">
        <v>1054</v>
      </c>
      <c r="BA559" s="629" t="s">
        <v>410</v>
      </c>
    </row>
    <row r="560" spans="51:53">
      <c r="AY560" s="627">
        <v>3341</v>
      </c>
      <c r="AZ560" s="628" t="s">
        <v>1053</v>
      </c>
      <c r="BA560" s="629" t="s">
        <v>410</v>
      </c>
    </row>
    <row r="561" spans="51:53">
      <c r="AY561" s="627">
        <v>3343</v>
      </c>
      <c r="AZ561" s="628" t="s">
        <v>1055</v>
      </c>
      <c r="BA561" s="629" t="s">
        <v>410</v>
      </c>
    </row>
    <row r="562" spans="51:53">
      <c r="AY562" s="627">
        <v>3344</v>
      </c>
      <c r="AZ562" s="628" t="s">
        <v>1056</v>
      </c>
      <c r="BA562" s="629" t="s">
        <v>410</v>
      </c>
    </row>
    <row r="563" spans="51:53">
      <c r="AY563" s="627">
        <v>3345</v>
      </c>
      <c r="AZ563" s="628" t="s">
        <v>1057</v>
      </c>
      <c r="BA563" s="629" t="s">
        <v>410</v>
      </c>
    </row>
    <row r="564" spans="51:53">
      <c r="AY564" s="627">
        <v>3346</v>
      </c>
      <c r="AZ564" s="628" t="s">
        <v>626</v>
      </c>
      <c r="BA564" s="629" t="s">
        <v>410</v>
      </c>
    </row>
    <row r="565" spans="51:53">
      <c r="AY565" s="627">
        <v>3346</v>
      </c>
      <c r="AZ565" s="628" t="s">
        <v>627</v>
      </c>
      <c r="BA565" s="629" t="s">
        <v>410</v>
      </c>
    </row>
    <row r="566" spans="51:53">
      <c r="AY566" s="627">
        <v>3347</v>
      </c>
      <c r="AZ566" s="628" t="s">
        <v>1059</v>
      </c>
      <c r="BA566" s="629" t="s">
        <v>410</v>
      </c>
    </row>
    <row r="567" spans="51:53">
      <c r="AY567" s="627">
        <v>3348</v>
      </c>
      <c r="AZ567" s="628" t="s">
        <v>561</v>
      </c>
      <c r="BA567" s="629" t="s">
        <v>423</v>
      </c>
    </row>
    <row r="568" spans="51:53">
      <c r="AY568" s="627">
        <v>3349</v>
      </c>
      <c r="AZ568" s="628" t="s">
        <v>1061</v>
      </c>
      <c r="BA568" s="629" t="s">
        <v>410</v>
      </c>
    </row>
    <row r="569" spans="51:53">
      <c r="AY569" s="627">
        <v>3350</v>
      </c>
      <c r="AZ569" s="628" t="s">
        <v>1062</v>
      </c>
      <c r="BA569" s="629" t="s">
        <v>410</v>
      </c>
    </row>
    <row r="570" spans="51:53">
      <c r="AY570" s="627">
        <v>3351</v>
      </c>
      <c r="AZ570" s="628" t="s">
        <v>1063</v>
      </c>
      <c r="BA570" s="629" t="s">
        <v>410</v>
      </c>
    </row>
    <row r="571" spans="51:53">
      <c r="AY571" s="627">
        <v>3352</v>
      </c>
      <c r="AZ571" s="628" t="s">
        <v>1064</v>
      </c>
      <c r="BA571" s="629" t="s">
        <v>410</v>
      </c>
    </row>
    <row r="572" spans="51:53">
      <c r="AY572" s="627">
        <v>3353</v>
      </c>
      <c r="AZ572" s="628" t="s">
        <v>1065</v>
      </c>
      <c r="BA572" s="629" t="s">
        <v>410</v>
      </c>
    </row>
    <row r="573" spans="51:53">
      <c r="AY573" s="627">
        <v>3354</v>
      </c>
      <c r="AZ573" s="628" t="s">
        <v>874</v>
      </c>
      <c r="BA573" s="629" t="s">
        <v>410</v>
      </c>
    </row>
    <row r="574" spans="51:53">
      <c r="AY574" s="627">
        <v>3355</v>
      </c>
      <c r="AZ574" s="628" t="s">
        <v>875</v>
      </c>
      <c r="BA574" s="629" t="s">
        <v>410</v>
      </c>
    </row>
    <row r="575" spans="51:53">
      <c r="AY575" s="627">
        <v>3356</v>
      </c>
      <c r="AZ575" s="628" t="s">
        <v>876</v>
      </c>
      <c r="BA575" s="629" t="s">
        <v>410</v>
      </c>
    </row>
    <row r="576" spans="51:53">
      <c r="AY576" s="627">
        <v>3357</v>
      </c>
      <c r="AZ576" s="628" t="s">
        <v>877</v>
      </c>
      <c r="BA576" s="629" t="s">
        <v>410</v>
      </c>
    </row>
    <row r="577" spans="51:53">
      <c r="AY577" s="627">
        <v>3358</v>
      </c>
      <c r="AZ577" s="628" t="s">
        <v>878</v>
      </c>
      <c r="BA577" s="629" t="s">
        <v>410</v>
      </c>
    </row>
    <row r="578" spans="51:53">
      <c r="AY578" s="627">
        <v>3359</v>
      </c>
      <c r="AZ578" s="628" t="s">
        <v>879</v>
      </c>
      <c r="BA578" s="629" t="s">
        <v>410</v>
      </c>
    </row>
    <row r="579" spans="51:53">
      <c r="AY579" s="627">
        <v>3360</v>
      </c>
      <c r="AZ579" s="628" t="s">
        <v>410</v>
      </c>
      <c r="BA579" s="629" t="s">
        <v>410</v>
      </c>
    </row>
    <row r="580" spans="51:53">
      <c r="AY580" s="627">
        <v>3368</v>
      </c>
      <c r="AZ580" s="628" t="s">
        <v>880</v>
      </c>
      <c r="BA580" s="629" t="s">
        <v>410</v>
      </c>
    </row>
    <row r="581" spans="51:53">
      <c r="AY581" s="627">
        <v>3369</v>
      </c>
      <c r="AZ581" s="628" t="s">
        <v>881</v>
      </c>
      <c r="BA581" s="629" t="s">
        <v>410</v>
      </c>
    </row>
    <row r="582" spans="51:53">
      <c r="AY582" s="627">
        <v>3371</v>
      </c>
      <c r="AZ582" s="628" t="s">
        <v>882</v>
      </c>
      <c r="BA582" s="629" t="s">
        <v>410</v>
      </c>
    </row>
    <row r="583" spans="51:53">
      <c r="AY583" s="627">
        <v>3372</v>
      </c>
      <c r="AZ583" s="628" t="s">
        <v>883</v>
      </c>
      <c r="BA583" s="629" t="s">
        <v>410</v>
      </c>
    </row>
    <row r="584" spans="51:53">
      <c r="AY584" s="627">
        <v>3373</v>
      </c>
      <c r="AZ584" s="628" t="s">
        <v>884</v>
      </c>
      <c r="BA584" s="629" t="s">
        <v>410</v>
      </c>
    </row>
    <row r="585" spans="51:53">
      <c r="AY585" s="627">
        <v>3374</v>
      </c>
      <c r="AZ585" s="628" t="s">
        <v>885</v>
      </c>
      <c r="BA585" s="629" t="s">
        <v>410</v>
      </c>
    </row>
    <row r="586" spans="51:53">
      <c r="AY586" s="627">
        <v>3375</v>
      </c>
      <c r="AZ586" s="630" t="s">
        <v>886</v>
      </c>
      <c r="BA586" s="630" t="s">
        <v>410</v>
      </c>
    </row>
    <row r="587" spans="51:53">
      <c r="AY587" s="627">
        <v>3377</v>
      </c>
      <c r="AZ587" s="628" t="s">
        <v>887</v>
      </c>
      <c r="BA587" s="629" t="s">
        <v>410</v>
      </c>
    </row>
    <row r="588" spans="51:53">
      <c r="AY588" s="627">
        <v>3378</v>
      </c>
      <c r="AZ588" s="628" t="s">
        <v>888</v>
      </c>
      <c r="BA588" s="629" t="s">
        <v>410</v>
      </c>
    </row>
    <row r="589" spans="51:53">
      <c r="AY589" s="627">
        <v>3379</v>
      </c>
      <c r="AZ589" s="628" t="s">
        <v>889</v>
      </c>
      <c r="BA589" s="629" t="s">
        <v>410</v>
      </c>
    </row>
    <row r="590" spans="51:53">
      <c r="AY590" s="627">
        <v>3381</v>
      </c>
      <c r="AZ590" s="628" t="s">
        <v>890</v>
      </c>
      <c r="BA590" s="629" t="s">
        <v>410</v>
      </c>
    </row>
    <row r="591" spans="51:53">
      <c r="AY591" s="627">
        <v>3382</v>
      </c>
      <c r="AZ591" s="628" t="s">
        <v>891</v>
      </c>
      <c r="BA591" s="629" t="s">
        <v>410</v>
      </c>
    </row>
    <row r="592" spans="51:53">
      <c r="AY592" s="627">
        <v>3383</v>
      </c>
      <c r="AZ592" s="628" t="s">
        <v>892</v>
      </c>
      <c r="BA592" s="629" t="s">
        <v>410</v>
      </c>
    </row>
    <row r="593" spans="51:53">
      <c r="AY593" s="627">
        <v>3384</v>
      </c>
      <c r="AZ593" s="638" t="s">
        <v>893</v>
      </c>
      <c r="BA593" s="629" t="s">
        <v>410</v>
      </c>
    </row>
    <row r="594" spans="51:53">
      <c r="AY594" s="627">
        <v>3385</v>
      </c>
      <c r="AZ594" s="628" t="s">
        <v>894</v>
      </c>
      <c r="BA594" s="629" t="s">
        <v>410</v>
      </c>
    </row>
    <row r="595" spans="51:53">
      <c r="AY595" s="627">
        <v>3386</v>
      </c>
      <c r="AZ595" s="628" t="s">
        <v>895</v>
      </c>
      <c r="BA595" s="629" t="s">
        <v>410</v>
      </c>
    </row>
    <row r="596" spans="51:53">
      <c r="AY596" s="627">
        <v>3387</v>
      </c>
      <c r="AZ596" s="628" t="s">
        <v>896</v>
      </c>
      <c r="BA596" s="629" t="s">
        <v>410</v>
      </c>
    </row>
    <row r="597" spans="51:53">
      <c r="AY597" s="627">
        <v>3388</v>
      </c>
      <c r="AZ597" s="628" t="s">
        <v>897</v>
      </c>
      <c r="BA597" s="629" t="s">
        <v>410</v>
      </c>
    </row>
    <row r="598" spans="51:53">
      <c r="AY598" s="627">
        <v>3390</v>
      </c>
      <c r="AZ598" s="628" t="s">
        <v>898</v>
      </c>
      <c r="BA598" s="629" t="s">
        <v>410</v>
      </c>
    </row>
    <row r="599" spans="51:53">
      <c r="AY599" s="627">
        <v>3394</v>
      </c>
      <c r="AZ599" s="628" t="s">
        <v>899</v>
      </c>
      <c r="BA599" s="629" t="s">
        <v>410</v>
      </c>
    </row>
    <row r="600" spans="51:53">
      <c r="AY600" s="627">
        <v>3395</v>
      </c>
      <c r="AZ600" s="630" t="s">
        <v>900</v>
      </c>
      <c r="BA600" s="629" t="s">
        <v>410</v>
      </c>
    </row>
    <row r="601" spans="51:53">
      <c r="AY601" s="627">
        <v>3396</v>
      </c>
      <c r="AZ601" s="628" t="s">
        <v>901</v>
      </c>
      <c r="BA601" s="629" t="s">
        <v>410</v>
      </c>
    </row>
    <row r="602" spans="51:53">
      <c r="AY602" s="627">
        <v>3397</v>
      </c>
      <c r="AZ602" s="628" t="s">
        <v>902</v>
      </c>
      <c r="BA602" s="629" t="s">
        <v>410</v>
      </c>
    </row>
    <row r="603" spans="51:53">
      <c r="AY603" s="627">
        <v>3398</v>
      </c>
      <c r="AZ603" s="628" t="s">
        <v>903</v>
      </c>
      <c r="BA603" s="629" t="s">
        <v>410</v>
      </c>
    </row>
    <row r="604" spans="51:53">
      <c r="AY604" s="627">
        <v>3399</v>
      </c>
      <c r="AZ604" s="628" t="s">
        <v>904</v>
      </c>
      <c r="BA604" s="629" t="s">
        <v>410</v>
      </c>
    </row>
    <row r="605" spans="51:53">
      <c r="AY605" s="627">
        <v>3400</v>
      </c>
      <c r="AZ605" s="628" t="s">
        <v>905</v>
      </c>
      <c r="BA605" s="629" t="s">
        <v>412</v>
      </c>
    </row>
    <row r="606" spans="51:53">
      <c r="AY606" s="627">
        <v>3411</v>
      </c>
      <c r="AZ606" s="628" t="s">
        <v>906</v>
      </c>
      <c r="BA606" s="629" t="s">
        <v>412</v>
      </c>
    </row>
    <row r="607" spans="51:53">
      <c r="AY607" s="627">
        <v>3412</v>
      </c>
      <c r="AZ607" s="628" t="s">
        <v>907</v>
      </c>
      <c r="BA607" s="629" t="s">
        <v>412</v>
      </c>
    </row>
    <row r="608" spans="51:53">
      <c r="AY608" s="627">
        <v>3413</v>
      </c>
      <c r="AZ608" s="628" t="s">
        <v>908</v>
      </c>
      <c r="BA608" s="629" t="s">
        <v>412</v>
      </c>
    </row>
    <row r="609" spans="51:53">
      <c r="AY609" s="627">
        <v>3414</v>
      </c>
      <c r="AZ609" s="628" t="s">
        <v>637</v>
      </c>
      <c r="BA609" s="629" t="s">
        <v>412</v>
      </c>
    </row>
    <row r="610" spans="51:53">
      <c r="AY610" s="627">
        <v>3416</v>
      </c>
      <c r="AZ610" s="628" t="s">
        <v>638</v>
      </c>
      <c r="BA610" s="629" t="s">
        <v>412</v>
      </c>
    </row>
    <row r="611" spans="51:53">
      <c r="AY611" s="627">
        <v>3417</v>
      </c>
      <c r="AZ611" s="628" t="s">
        <v>639</v>
      </c>
      <c r="BA611" s="629" t="s">
        <v>412</v>
      </c>
    </row>
    <row r="612" spans="51:53">
      <c r="AY612" s="627">
        <v>3418</v>
      </c>
      <c r="AZ612" s="628" t="s">
        <v>640</v>
      </c>
      <c r="BA612" s="629" t="s">
        <v>412</v>
      </c>
    </row>
    <row r="613" spans="51:53">
      <c r="AY613" s="627">
        <v>3421</v>
      </c>
      <c r="AZ613" s="628" t="s">
        <v>641</v>
      </c>
      <c r="BA613" s="629" t="s">
        <v>412</v>
      </c>
    </row>
    <row r="614" spans="51:53">
      <c r="AY614" s="627">
        <v>3422</v>
      </c>
      <c r="AZ614" s="628" t="s">
        <v>642</v>
      </c>
      <c r="BA614" s="629" t="s">
        <v>412</v>
      </c>
    </row>
    <row r="615" spans="51:53">
      <c r="AY615" s="627">
        <v>3423</v>
      </c>
      <c r="AZ615" s="628" t="s">
        <v>3205</v>
      </c>
      <c r="BA615" s="629" t="s">
        <v>412</v>
      </c>
    </row>
    <row r="616" spans="51:53">
      <c r="AY616" s="627">
        <v>3424</v>
      </c>
      <c r="AZ616" s="628" t="s">
        <v>3206</v>
      </c>
      <c r="BA616" s="629" t="s">
        <v>412</v>
      </c>
    </row>
    <row r="617" spans="51:53">
      <c r="AY617" s="627">
        <v>3425</v>
      </c>
      <c r="AZ617" s="628" t="s">
        <v>3207</v>
      </c>
      <c r="BA617" s="629" t="s">
        <v>412</v>
      </c>
    </row>
    <row r="618" spans="51:53">
      <c r="AY618" s="627">
        <v>3426</v>
      </c>
      <c r="AZ618" s="628" t="s">
        <v>3208</v>
      </c>
      <c r="BA618" s="629" t="s">
        <v>412</v>
      </c>
    </row>
    <row r="619" spans="51:53">
      <c r="AY619" s="627">
        <v>3431</v>
      </c>
      <c r="AZ619" s="628" t="s">
        <v>3209</v>
      </c>
      <c r="BA619" s="629" t="s">
        <v>412</v>
      </c>
    </row>
    <row r="620" spans="51:53">
      <c r="AY620" s="627">
        <v>3432</v>
      </c>
      <c r="AZ620" s="628" t="s">
        <v>3210</v>
      </c>
      <c r="BA620" s="629" t="s">
        <v>412</v>
      </c>
    </row>
    <row r="621" spans="51:53">
      <c r="AY621" s="627">
        <v>3433</v>
      </c>
      <c r="AZ621" s="628" t="s">
        <v>3211</v>
      </c>
      <c r="BA621" s="629" t="s">
        <v>412</v>
      </c>
    </row>
    <row r="622" spans="51:53">
      <c r="AY622" s="627">
        <v>3434</v>
      </c>
      <c r="AZ622" s="628" t="s">
        <v>3212</v>
      </c>
      <c r="BA622" s="629" t="s">
        <v>412</v>
      </c>
    </row>
    <row r="623" spans="51:53">
      <c r="AY623" s="627">
        <v>3441</v>
      </c>
      <c r="AZ623" s="628" t="s">
        <v>3183</v>
      </c>
      <c r="BA623" s="629" t="s">
        <v>412</v>
      </c>
    </row>
    <row r="624" spans="51:53">
      <c r="AY624" s="627">
        <v>3442</v>
      </c>
      <c r="AZ624" s="628" t="s">
        <v>3214</v>
      </c>
      <c r="BA624" s="629" t="s">
        <v>412</v>
      </c>
    </row>
    <row r="625" spans="51:53">
      <c r="AY625" s="627">
        <v>3443</v>
      </c>
      <c r="AZ625" s="628" t="s">
        <v>3215</v>
      </c>
      <c r="BA625" s="629" t="s">
        <v>412</v>
      </c>
    </row>
    <row r="626" spans="51:53">
      <c r="AY626" s="627">
        <v>3444</v>
      </c>
      <c r="AZ626" s="628" t="s">
        <v>3216</v>
      </c>
      <c r="BA626" s="629" t="s">
        <v>412</v>
      </c>
    </row>
    <row r="627" spans="51:53">
      <c r="AY627" s="627">
        <v>3450</v>
      </c>
      <c r="AZ627" s="628" t="s">
        <v>3217</v>
      </c>
      <c r="BA627" s="629" t="s">
        <v>412</v>
      </c>
    </row>
    <row r="628" spans="51:53">
      <c r="AY628" s="627">
        <v>3458</v>
      </c>
      <c r="AZ628" s="628" t="s">
        <v>3769</v>
      </c>
      <c r="BA628" s="629" t="s">
        <v>412</v>
      </c>
    </row>
    <row r="629" spans="51:53">
      <c r="AY629" s="627">
        <v>3459</v>
      </c>
      <c r="AZ629" s="628" t="s">
        <v>3770</v>
      </c>
      <c r="BA629" s="629" t="s">
        <v>412</v>
      </c>
    </row>
    <row r="630" spans="51:53">
      <c r="AY630" s="627">
        <v>3461</v>
      </c>
      <c r="AZ630" s="628" t="s">
        <v>3771</v>
      </c>
      <c r="BA630" s="629" t="s">
        <v>412</v>
      </c>
    </row>
    <row r="631" spans="51:53">
      <c r="AY631" s="627">
        <v>3462</v>
      </c>
      <c r="AZ631" s="628" t="s">
        <v>3772</v>
      </c>
      <c r="BA631" s="629" t="s">
        <v>412</v>
      </c>
    </row>
    <row r="632" spans="51:53">
      <c r="AY632" s="627">
        <v>3463</v>
      </c>
      <c r="AZ632" s="628" t="s">
        <v>3773</v>
      </c>
      <c r="BA632" s="629" t="s">
        <v>412</v>
      </c>
    </row>
    <row r="633" spans="51:53">
      <c r="AY633" s="627">
        <v>3464</v>
      </c>
      <c r="AZ633" s="628" t="s">
        <v>3774</v>
      </c>
      <c r="BA633" s="629" t="s">
        <v>412</v>
      </c>
    </row>
    <row r="634" spans="51:53">
      <c r="AY634" s="627">
        <v>3465</v>
      </c>
      <c r="AZ634" s="628" t="s">
        <v>3775</v>
      </c>
      <c r="BA634" s="629" t="s">
        <v>412</v>
      </c>
    </row>
    <row r="635" spans="51:53">
      <c r="AY635" s="627">
        <v>3466</v>
      </c>
      <c r="AZ635" s="628" t="s">
        <v>3776</v>
      </c>
      <c r="BA635" s="629" t="s">
        <v>412</v>
      </c>
    </row>
    <row r="636" spans="51:53">
      <c r="AY636" s="627">
        <v>3467</v>
      </c>
      <c r="AZ636" s="628" t="s">
        <v>3777</v>
      </c>
      <c r="BA636" s="629" t="s">
        <v>412</v>
      </c>
    </row>
    <row r="637" spans="51:53">
      <c r="AY637" s="627">
        <v>3500</v>
      </c>
      <c r="AZ637" s="628" t="s">
        <v>3778</v>
      </c>
      <c r="BA637" s="629" t="s">
        <v>3778</v>
      </c>
    </row>
    <row r="638" spans="51:53">
      <c r="AY638" s="627">
        <v>3501</v>
      </c>
      <c r="AZ638" s="628" t="s">
        <v>3778</v>
      </c>
      <c r="BA638" s="629" t="s">
        <v>3778</v>
      </c>
    </row>
    <row r="639" spans="51:53">
      <c r="AY639" s="627">
        <v>3508</v>
      </c>
      <c r="AZ639" s="628" t="s">
        <v>3778</v>
      </c>
      <c r="BA639" s="629" t="s">
        <v>3778</v>
      </c>
    </row>
    <row r="640" spans="51:53">
      <c r="AY640" s="627">
        <v>3510</v>
      </c>
      <c r="AZ640" s="628" t="s">
        <v>3778</v>
      </c>
      <c r="BA640" s="629" t="s">
        <v>3778</v>
      </c>
    </row>
    <row r="641" spans="51:53">
      <c r="AY641" s="627">
        <v>3515</v>
      </c>
      <c r="AZ641" s="628" t="s">
        <v>3778</v>
      </c>
      <c r="BA641" s="629" t="s">
        <v>3778</v>
      </c>
    </row>
    <row r="642" spans="51:53">
      <c r="AY642" s="627">
        <v>3516</v>
      </c>
      <c r="AZ642" s="628" t="s">
        <v>3778</v>
      </c>
      <c r="BA642" s="629" t="s">
        <v>3778</v>
      </c>
    </row>
    <row r="643" spans="51:53">
      <c r="AY643" s="627">
        <v>3517</v>
      </c>
      <c r="AZ643" s="628" t="s">
        <v>3778</v>
      </c>
      <c r="BA643" s="629" t="s">
        <v>3778</v>
      </c>
    </row>
    <row r="644" spans="51:53">
      <c r="AY644" s="627">
        <v>3518</v>
      </c>
      <c r="AZ644" s="630" t="s">
        <v>3778</v>
      </c>
      <c r="BA644" s="629" t="s">
        <v>3778</v>
      </c>
    </row>
    <row r="645" spans="51:53">
      <c r="AY645" s="627">
        <v>3519</v>
      </c>
      <c r="AZ645" s="630" t="s">
        <v>3778</v>
      </c>
      <c r="BA645" s="629" t="s">
        <v>3778</v>
      </c>
    </row>
    <row r="646" spans="51:53">
      <c r="AY646" s="627">
        <v>3521</v>
      </c>
      <c r="AZ646" s="630" t="s">
        <v>3778</v>
      </c>
      <c r="BA646" s="629" t="s">
        <v>3778</v>
      </c>
    </row>
    <row r="647" spans="51:53">
      <c r="AY647" s="627">
        <v>3524</v>
      </c>
      <c r="AZ647" s="630" t="s">
        <v>3778</v>
      </c>
      <c r="BA647" s="629" t="s">
        <v>3778</v>
      </c>
    </row>
    <row r="648" spans="51:53">
      <c r="AY648" s="627">
        <v>3525</v>
      </c>
      <c r="AZ648" s="630" t="s">
        <v>3778</v>
      </c>
      <c r="BA648" s="629" t="s">
        <v>3778</v>
      </c>
    </row>
    <row r="649" spans="51:53">
      <c r="AY649" s="627">
        <v>3526</v>
      </c>
      <c r="AZ649" s="630" t="s">
        <v>3778</v>
      </c>
      <c r="BA649" s="629" t="s">
        <v>3778</v>
      </c>
    </row>
    <row r="650" spans="51:53">
      <c r="AY650" s="627">
        <v>3527</v>
      </c>
      <c r="AZ650" s="630" t="s">
        <v>3778</v>
      </c>
      <c r="BA650" s="629" t="s">
        <v>3778</v>
      </c>
    </row>
    <row r="651" spans="51:53">
      <c r="AY651" s="627">
        <v>3528</v>
      </c>
      <c r="AZ651" s="630" t="s">
        <v>3778</v>
      </c>
      <c r="BA651" s="629" t="s">
        <v>3778</v>
      </c>
    </row>
    <row r="652" spans="51:53">
      <c r="AY652" s="627">
        <v>3529</v>
      </c>
      <c r="AZ652" s="630" t="s">
        <v>3778</v>
      </c>
      <c r="BA652" s="629" t="s">
        <v>3778</v>
      </c>
    </row>
    <row r="653" spans="51:53">
      <c r="AY653" s="627">
        <v>3530</v>
      </c>
      <c r="AZ653" s="630" t="s">
        <v>3778</v>
      </c>
      <c r="BA653" s="629" t="s">
        <v>3778</v>
      </c>
    </row>
    <row r="654" spans="51:53">
      <c r="AY654" s="627">
        <v>3531</v>
      </c>
      <c r="AZ654" s="630" t="s">
        <v>3778</v>
      </c>
      <c r="BA654" s="629" t="s">
        <v>3778</v>
      </c>
    </row>
    <row r="655" spans="51:53">
      <c r="AY655" s="627">
        <v>3532</v>
      </c>
      <c r="AZ655" s="630" t="s">
        <v>3778</v>
      </c>
      <c r="BA655" s="629" t="s">
        <v>3778</v>
      </c>
    </row>
    <row r="656" spans="51:53">
      <c r="AY656" s="627">
        <v>3533</v>
      </c>
      <c r="AZ656" s="630" t="s">
        <v>3778</v>
      </c>
      <c r="BA656" s="629" t="s">
        <v>3778</v>
      </c>
    </row>
    <row r="657" spans="51:53">
      <c r="AY657" s="627">
        <v>3534</v>
      </c>
      <c r="AZ657" s="630" t="s">
        <v>3778</v>
      </c>
      <c r="BA657" s="629" t="s">
        <v>3778</v>
      </c>
    </row>
    <row r="658" spans="51:53">
      <c r="AY658" s="627">
        <v>3535</v>
      </c>
      <c r="AZ658" s="630" t="s">
        <v>3778</v>
      </c>
      <c r="BA658" s="629" t="s">
        <v>3778</v>
      </c>
    </row>
    <row r="659" spans="51:53">
      <c r="AY659" s="627">
        <v>3551</v>
      </c>
      <c r="AZ659" s="630" t="s">
        <v>3786</v>
      </c>
      <c r="BA659" s="629" t="s">
        <v>412</v>
      </c>
    </row>
    <row r="660" spans="51:53">
      <c r="AY660" s="627">
        <v>3552</v>
      </c>
      <c r="AZ660" s="630" t="s">
        <v>3787</v>
      </c>
      <c r="BA660" s="629" t="s">
        <v>412</v>
      </c>
    </row>
    <row r="661" spans="51:53">
      <c r="AY661" s="627">
        <v>3553</v>
      </c>
      <c r="AZ661" s="630" t="s">
        <v>3788</v>
      </c>
      <c r="BA661" s="629" t="s">
        <v>412</v>
      </c>
    </row>
    <row r="662" spans="51:53">
      <c r="AY662" s="627">
        <v>3554</v>
      </c>
      <c r="AZ662" s="630" t="s">
        <v>3789</v>
      </c>
      <c r="BA662" s="629" t="s">
        <v>412</v>
      </c>
    </row>
    <row r="663" spans="51:53">
      <c r="AY663" s="627">
        <v>3555</v>
      </c>
      <c r="AZ663" s="630" t="s">
        <v>3790</v>
      </c>
      <c r="BA663" s="629" t="s">
        <v>412</v>
      </c>
    </row>
    <row r="664" spans="51:53">
      <c r="AY664" s="627">
        <v>3556</v>
      </c>
      <c r="AZ664" s="630" t="s">
        <v>3791</v>
      </c>
      <c r="BA664" s="629" t="s">
        <v>412</v>
      </c>
    </row>
    <row r="665" spans="51:53">
      <c r="AY665" s="627">
        <v>3557</v>
      </c>
      <c r="AZ665" s="630" t="s">
        <v>3792</v>
      </c>
      <c r="BA665" s="629" t="s">
        <v>412</v>
      </c>
    </row>
    <row r="666" spans="51:53">
      <c r="AY666" s="61">
        <v>3558</v>
      </c>
      <c r="AZ666" s="628" t="s">
        <v>3778</v>
      </c>
      <c r="BA666" s="629" t="s">
        <v>3778</v>
      </c>
    </row>
    <row r="667" spans="51:53">
      <c r="AY667" s="627">
        <v>3559</v>
      </c>
      <c r="AZ667" s="628" t="s">
        <v>3793</v>
      </c>
      <c r="BA667" s="629" t="s">
        <v>412</v>
      </c>
    </row>
    <row r="668" spans="51:53">
      <c r="AY668" s="627">
        <v>3561</v>
      </c>
      <c r="AZ668" s="628" t="s">
        <v>3794</v>
      </c>
      <c r="BA668" s="629" t="s">
        <v>412</v>
      </c>
    </row>
    <row r="669" spans="51:53">
      <c r="AY669" s="627">
        <v>3562</v>
      </c>
      <c r="AZ669" s="628" t="s">
        <v>3795</v>
      </c>
      <c r="BA669" s="629" t="s">
        <v>412</v>
      </c>
    </row>
    <row r="670" spans="51:53">
      <c r="AY670" s="627">
        <v>3563</v>
      </c>
      <c r="AZ670" s="628" t="s">
        <v>3796</v>
      </c>
      <c r="BA670" s="629" t="s">
        <v>412</v>
      </c>
    </row>
    <row r="671" spans="51:53">
      <c r="AY671" s="627">
        <v>3564</v>
      </c>
      <c r="AZ671" s="628" t="s">
        <v>3797</v>
      </c>
      <c r="BA671" s="629" t="s">
        <v>412</v>
      </c>
    </row>
    <row r="672" spans="51:53">
      <c r="AY672" s="627">
        <v>3565</v>
      </c>
      <c r="AZ672" s="628" t="s">
        <v>3798</v>
      </c>
      <c r="BA672" s="629" t="s">
        <v>412</v>
      </c>
    </row>
    <row r="673" spans="51:53">
      <c r="AY673" s="627">
        <v>3571</v>
      </c>
      <c r="AZ673" s="630" t="s">
        <v>3799</v>
      </c>
      <c r="BA673" s="630" t="s">
        <v>412</v>
      </c>
    </row>
    <row r="674" spans="51:53">
      <c r="AY674" s="627">
        <v>3572</v>
      </c>
      <c r="AZ674" s="628" t="s">
        <v>3800</v>
      </c>
      <c r="BA674" s="629" t="s">
        <v>412</v>
      </c>
    </row>
    <row r="675" spans="51:53">
      <c r="AY675" s="627">
        <v>3573</v>
      </c>
      <c r="AZ675" s="628" t="s">
        <v>3801</v>
      </c>
      <c r="BA675" s="629" t="s">
        <v>412</v>
      </c>
    </row>
    <row r="676" spans="51:53">
      <c r="AY676" s="627">
        <v>3574</v>
      </c>
      <c r="AZ676" s="628" t="s">
        <v>3802</v>
      </c>
      <c r="BA676" s="629" t="s">
        <v>412</v>
      </c>
    </row>
    <row r="677" spans="51:53">
      <c r="AY677" s="627">
        <v>3574</v>
      </c>
      <c r="AZ677" s="631" t="s">
        <v>3802</v>
      </c>
      <c r="BA677" s="632" t="s">
        <v>432</v>
      </c>
    </row>
    <row r="678" spans="51:53">
      <c r="AY678" s="627">
        <v>3575</v>
      </c>
      <c r="AZ678" s="628" t="s">
        <v>3803</v>
      </c>
      <c r="BA678" s="629" t="s">
        <v>412</v>
      </c>
    </row>
    <row r="679" spans="51:53">
      <c r="AY679" s="627">
        <v>3576</v>
      </c>
      <c r="AZ679" s="628" t="s">
        <v>243</v>
      </c>
      <c r="BA679" s="629" t="s">
        <v>412</v>
      </c>
    </row>
    <row r="680" spans="51:53">
      <c r="AY680" s="627">
        <v>3577</v>
      </c>
      <c r="AZ680" s="628" t="s">
        <v>3805</v>
      </c>
      <c r="BA680" s="629" t="s">
        <v>412</v>
      </c>
    </row>
    <row r="681" spans="51:53">
      <c r="AY681" s="627">
        <v>3578</v>
      </c>
      <c r="AZ681" s="628" t="s">
        <v>244</v>
      </c>
      <c r="BA681" s="629" t="s">
        <v>412</v>
      </c>
    </row>
    <row r="682" spans="51:53">
      <c r="AY682" s="627">
        <v>3578</v>
      </c>
      <c r="AZ682" s="628" t="s">
        <v>245</v>
      </c>
      <c r="BA682" s="629" t="s">
        <v>412</v>
      </c>
    </row>
    <row r="683" spans="51:53">
      <c r="AY683" s="627">
        <v>3579</v>
      </c>
      <c r="AZ683" s="628" t="s">
        <v>2416</v>
      </c>
      <c r="BA683" s="629" t="s">
        <v>412</v>
      </c>
    </row>
    <row r="684" spans="51:53">
      <c r="AY684" s="627">
        <v>3580</v>
      </c>
      <c r="AZ684" s="628" t="s">
        <v>2418</v>
      </c>
      <c r="BA684" s="629" t="s">
        <v>412</v>
      </c>
    </row>
    <row r="685" spans="51:53">
      <c r="AY685" s="627">
        <v>3586</v>
      </c>
      <c r="AZ685" s="628" t="s">
        <v>2419</v>
      </c>
      <c r="BA685" s="629" t="s">
        <v>412</v>
      </c>
    </row>
    <row r="686" spans="51:53">
      <c r="AY686" s="627">
        <v>3587</v>
      </c>
      <c r="AZ686" s="628" t="s">
        <v>2420</v>
      </c>
      <c r="BA686" s="629" t="s">
        <v>412</v>
      </c>
    </row>
    <row r="687" spans="51:53">
      <c r="AY687" s="627">
        <v>3588</v>
      </c>
      <c r="AZ687" s="628" t="s">
        <v>2421</v>
      </c>
      <c r="BA687" s="629" t="s">
        <v>412</v>
      </c>
    </row>
    <row r="688" spans="51:53">
      <c r="AY688" s="627">
        <v>3589</v>
      </c>
      <c r="AZ688" s="628" t="s">
        <v>2422</v>
      </c>
      <c r="BA688" s="629" t="s">
        <v>412</v>
      </c>
    </row>
    <row r="689" spans="51:53">
      <c r="AY689" s="627">
        <v>3591</v>
      </c>
      <c r="AZ689" s="628" t="s">
        <v>2423</v>
      </c>
      <c r="BA689" s="629" t="s">
        <v>412</v>
      </c>
    </row>
    <row r="690" spans="51:53">
      <c r="AY690" s="627">
        <v>3592</v>
      </c>
      <c r="AZ690" s="628" t="s">
        <v>2424</v>
      </c>
      <c r="BA690" s="629" t="s">
        <v>412</v>
      </c>
    </row>
    <row r="691" spans="51:53">
      <c r="AY691" s="627">
        <v>3593</v>
      </c>
      <c r="AZ691" s="628" t="s">
        <v>2425</v>
      </c>
      <c r="BA691" s="629" t="s">
        <v>412</v>
      </c>
    </row>
    <row r="692" spans="51:53">
      <c r="AY692" s="627">
        <v>3594</v>
      </c>
      <c r="AZ692" s="628" t="s">
        <v>2426</v>
      </c>
      <c r="BA692" s="629" t="s">
        <v>412</v>
      </c>
    </row>
    <row r="693" spans="51:53">
      <c r="AY693" s="627">
        <v>3595</v>
      </c>
      <c r="AZ693" s="628" t="s">
        <v>2427</v>
      </c>
      <c r="BA693" s="629" t="s">
        <v>412</v>
      </c>
    </row>
    <row r="694" spans="51:53">
      <c r="AY694" s="627">
        <v>3596</v>
      </c>
      <c r="AZ694" s="628" t="s">
        <v>2428</v>
      </c>
      <c r="BA694" s="629" t="s">
        <v>412</v>
      </c>
    </row>
    <row r="695" spans="51:53">
      <c r="AY695" s="627">
        <v>3597</v>
      </c>
      <c r="AZ695" s="628" t="s">
        <v>2429</v>
      </c>
      <c r="BA695" s="629" t="s">
        <v>412</v>
      </c>
    </row>
    <row r="696" spans="51:53">
      <c r="AY696" s="627">
        <v>3598</v>
      </c>
      <c r="AZ696" s="628" t="s">
        <v>2430</v>
      </c>
      <c r="BA696" s="629" t="s">
        <v>412</v>
      </c>
    </row>
    <row r="697" spans="51:53">
      <c r="AY697" s="627">
        <v>3599</v>
      </c>
      <c r="AZ697" s="628" t="s">
        <v>2431</v>
      </c>
      <c r="BA697" s="629" t="s">
        <v>412</v>
      </c>
    </row>
    <row r="698" spans="51:53">
      <c r="AY698" s="627">
        <v>3600</v>
      </c>
      <c r="AZ698" s="628" t="s">
        <v>2432</v>
      </c>
      <c r="BA698" s="629" t="s">
        <v>412</v>
      </c>
    </row>
    <row r="699" spans="51:53">
      <c r="AY699" s="627">
        <v>3603</v>
      </c>
      <c r="AZ699" s="628" t="s">
        <v>2432</v>
      </c>
      <c r="BA699" s="629" t="s">
        <v>412</v>
      </c>
    </row>
    <row r="700" spans="51:53">
      <c r="AY700" s="627">
        <v>3604</v>
      </c>
      <c r="AZ700" s="628" t="s">
        <v>2432</v>
      </c>
      <c r="BA700" s="629" t="s">
        <v>412</v>
      </c>
    </row>
    <row r="701" spans="51:53">
      <c r="AY701" s="627">
        <v>3608</v>
      </c>
      <c r="AZ701" s="628" t="s">
        <v>2435</v>
      </c>
      <c r="BA701" s="629" t="s">
        <v>412</v>
      </c>
    </row>
    <row r="702" spans="51:53">
      <c r="AY702" s="627">
        <v>3621</v>
      </c>
      <c r="AZ702" s="628" t="s">
        <v>2432</v>
      </c>
      <c r="BA702" s="629" t="s">
        <v>412</v>
      </c>
    </row>
    <row r="703" spans="51:53">
      <c r="AY703" s="627">
        <v>3622</v>
      </c>
      <c r="AZ703" s="628" t="s">
        <v>2437</v>
      </c>
      <c r="BA703" s="629" t="s">
        <v>412</v>
      </c>
    </row>
    <row r="704" spans="51:53">
      <c r="AY704" s="627">
        <v>3623</v>
      </c>
      <c r="AZ704" s="628" t="s">
        <v>3280</v>
      </c>
      <c r="BA704" s="629" t="s">
        <v>412</v>
      </c>
    </row>
    <row r="705" spans="51:53">
      <c r="AY705" s="627">
        <v>3625</v>
      </c>
      <c r="AZ705" s="628" t="s">
        <v>2432</v>
      </c>
      <c r="BA705" s="629" t="s">
        <v>412</v>
      </c>
    </row>
    <row r="706" spans="51:53">
      <c r="AY706" s="627">
        <v>3626</v>
      </c>
      <c r="AZ706" s="628" t="s">
        <v>3282</v>
      </c>
      <c r="BA706" s="629" t="s">
        <v>412</v>
      </c>
    </row>
    <row r="707" spans="51:53">
      <c r="AY707" s="627">
        <v>3627</v>
      </c>
      <c r="AZ707" s="628" t="s">
        <v>927</v>
      </c>
      <c r="BA707" s="629" t="s">
        <v>412</v>
      </c>
    </row>
    <row r="708" spans="51:53">
      <c r="AY708" s="627">
        <v>3627</v>
      </c>
      <c r="AZ708" s="628" t="s">
        <v>928</v>
      </c>
      <c r="BA708" s="629" t="s">
        <v>412</v>
      </c>
    </row>
    <row r="709" spans="51:53">
      <c r="AY709" s="627">
        <v>3630</v>
      </c>
      <c r="AZ709" s="628" t="s">
        <v>3284</v>
      </c>
      <c r="BA709" s="629" t="s">
        <v>412</v>
      </c>
    </row>
    <row r="710" spans="51:53">
      <c r="AY710" s="627">
        <v>3635</v>
      </c>
      <c r="AZ710" s="628" t="s">
        <v>3285</v>
      </c>
      <c r="BA710" s="629" t="s">
        <v>412</v>
      </c>
    </row>
    <row r="711" spans="51:53">
      <c r="AY711" s="627">
        <v>3636</v>
      </c>
      <c r="AZ711" s="628" t="s">
        <v>929</v>
      </c>
      <c r="BA711" s="629" t="s">
        <v>412</v>
      </c>
    </row>
    <row r="712" spans="51:53">
      <c r="AY712" s="627">
        <v>3636</v>
      </c>
      <c r="AZ712" s="628" t="s">
        <v>930</v>
      </c>
      <c r="BA712" s="629" t="s">
        <v>412</v>
      </c>
    </row>
    <row r="713" spans="51:53">
      <c r="AY713" s="627">
        <v>3641</v>
      </c>
      <c r="AZ713" s="628" t="s">
        <v>3287</v>
      </c>
      <c r="BA713" s="629" t="s">
        <v>412</v>
      </c>
    </row>
    <row r="714" spans="51:53">
      <c r="AY714" s="627">
        <v>3642</v>
      </c>
      <c r="AZ714" s="628" t="s">
        <v>3288</v>
      </c>
      <c r="BA714" s="629" t="s">
        <v>412</v>
      </c>
    </row>
    <row r="715" spans="51:53">
      <c r="AY715" s="627">
        <v>3643</v>
      </c>
      <c r="AZ715" s="628" t="s">
        <v>3289</v>
      </c>
      <c r="BA715" s="629" t="s">
        <v>412</v>
      </c>
    </row>
    <row r="716" spans="51:53">
      <c r="AY716" s="627">
        <v>3644</v>
      </c>
      <c r="AZ716" s="628" t="s">
        <v>3290</v>
      </c>
      <c r="BA716" s="629" t="s">
        <v>412</v>
      </c>
    </row>
    <row r="717" spans="51:53">
      <c r="AY717" s="627">
        <v>3645</v>
      </c>
      <c r="AZ717" s="628" t="s">
        <v>3375</v>
      </c>
      <c r="BA717" s="629" t="s">
        <v>412</v>
      </c>
    </row>
    <row r="718" spans="51:53">
      <c r="AY718" s="627">
        <v>3646</v>
      </c>
      <c r="AZ718" s="628" t="s">
        <v>3376</v>
      </c>
      <c r="BA718" s="629" t="s">
        <v>412</v>
      </c>
    </row>
    <row r="719" spans="51:53">
      <c r="AY719" s="627">
        <v>3647</v>
      </c>
      <c r="AZ719" s="628" t="s">
        <v>3377</v>
      </c>
      <c r="BA719" s="629" t="s">
        <v>412</v>
      </c>
    </row>
    <row r="720" spans="51:53">
      <c r="AY720" s="627">
        <v>3648</v>
      </c>
      <c r="AZ720" s="628" t="s">
        <v>931</v>
      </c>
      <c r="BA720" s="629" t="s">
        <v>412</v>
      </c>
    </row>
    <row r="721" spans="51:53">
      <c r="AY721" s="627">
        <v>3648</v>
      </c>
      <c r="AZ721" s="628" t="s">
        <v>932</v>
      </c>
      <c r="BA721" s="629" t="s">
        <v>412</v>
      </c>
    </row>
    <row r="722" spans="51:53">
      <c r="AY722" s="627">
        <v>3648</v>
      </c>
      <c r="AZ722" s="628" t="s">
        <v>933</v>
      </c>
      <c r="BA722" s="629" t="s">
        <v>412</v>
      </c>
    </row>
    <row r="723" spans="51:53">
      <c r="AY723" s="627">
        <v>3651</v>
      </c>
      <c r="AZ723" s="628" t="s">
        <v>2432</v>
      </c>
      <c r="BA723" s="629" t="s">
        <v>412</v>
      </c>
    </row>
    <row r="724" spans="51:53">
      <c r="AY724" s="627">
        <v>3652</v>
      </c>
      <c r="AZ724" s="628" t="s">
        <v>1408</v>
      </c>
      <c r="BA724" s="629" t="s">
        <v>412</v>
      </c>
    </row>
    <row r="725" spans="51:53">
      <c r="AY725" s="627">
        <v>3653</v>
      </c>
      <c r="AZ725" s="628" t="s">
        <v>1409</v>
      </c>
      <c r="BA725" s="629" t="s">
        <v>412</v>
      </c>
    </row>
    <row r="726" spans="51:53">
      <c r="AY726" s="627">
        <v>3654</v>
      </c>
      <c r="AZ726" s="628" t="s">
        <v>1410</v>
      </c>
      <c r="BA726" s="629" t="s">
        <v>412</v>
      </c>
    </row>
    <row r="727" spans="51:53">
      <c r="AY727" s="627">
        <v>3655</v>
      </c>
      <c r="AZ727" s="628" t="s">
        <v>1411</v>
      </c>
      <c r="BA727" s="629" t="s">
        <v>412</v>
      </c>
    </row>
    <row r="728" spans="51:53">
      <c r="AY728" s="627">
        <v>3656</v>
      </c>
      <c r="AZ728" s="628" t="s">
        <v>934</v>
      </c>
      <c r="BA728" s="629" t="s">
        <v>412</v>
      </c>
    </row>
    <row r="729" spans="51:53">
      <c r="AY729" s="627">
        <v>3656</v>
      </c>
      <c r="AZ729" s="628" t="s">
        <v>935</v>
      </c>
      <c r="BA729" s="629" t="s">
        <v>412</v>
      </c>
    </row>
    <row r="730" spans="51:53">
      <c r="AY730" s="627">
        <v>3657</v>
      </c>
      <c r="AZ730" s="628" t="s">
        <v>1413</v>
      </c>
      <c r="BA730" s="629" t="s">
        <v>412</v>
      </c>
    </row>
    <row r="731" spans="51:53">
      <c r="AY731" s="627">
        <v>3658</v>
      </c>
      <c r="AZ731" s="628" t="s">
        <v>1414</v>
      </c>
      <c r="BA731" s="629" t="s">
        <v>412</v>
      </c>
    </row>
    <row r="732" spans="51:53">
      <c r="AY732" s="627">
        <v>3659</v>
      </c>
      <c r="AZ732" s="628" t="s">
        <v>1415</v>
      </c>
      <c r="BA732" s="629" t="s">
        <v>412</v>
      </c>
    </row>
    <row r="733" spans="51:53">
      <c r="AY733" s="627">
        <v>3661</v>
      </c>
      <c r="AZ733" s="628" t="s">
        <v>2432</v>
      </c>
      <c r="BA733" s="629" t="s">
        <v>412</v>
      </c>
    </row>
    <row r="734" spans="51:53">
      <c r="AY734" s="627">
        <v>3662</v>
      </c>
      <c r="AZ734" s="628" t="s">
        <v>2432</v>
      </c>
      <c r="BA734" s="629" t="s">
        <v>412</v>
      </c>
    </row>
    <row r="735" spans="51:53">
      <c r="AY735" s="627">
        <v>3663</v>
      </c>
      <c r="AZ735" s="628" t="s">
        <v>1418</v>
      </c>
      <c r="BA735" s="629" t="s">
        <v>412</v>
      </c>
    </row>
    <row r="736" spans="51:53">
      <c r="AY736" s="627">
        <v>3664</v>
      </c>
      <c r="AZ736" s="628" t="s">
        <v>1419</v>
      </c>
      <c r="BA736" s="629" t="s">
        <v>412</v>
      </c>
    </row>
    <row r="737" spans="51:53">
      <c r="AY737" s="627">
        <v>3671</v>
      </c>
      <c r="AZ737" s="628" t="s">
        <v>1420</v>
      </c>
      <c r="BA737" s="629" t="s">
        <v>412</v>
      </c>
    </row>
    <row r="738" spans="51:53">
      <c r="AY738" s="627">
        <v>3672</v>
      </c>
      <c r="AZ738" s="628" t="s">
        <v>1420</v>
      </c>
      <c r="BA738" s="629" t="s">
        <v>412</v>
      </c>
    </row>
    <row r="739" spans="51:53">
      <c r="AY739" s="627">
        <v>3700</v>
      </c>
      <c r="AZ739" s="628" t="s">
        <v>1421</v>
      </c>
      <c r="BA739" s="629" t="s">
        <v>412</v>
      </c>
    </row>
    <row r="740" spans="51:53">
      <c r="AY740" s="627">
        <v>3704</v>
      </c>
      <c r="AZ740" s="628" t="s">
        <v>939</v>
      </c>
      <c r="BA740" s="629" t="s">
        <v>412</v>
      </c>
    </row>
    <row r="741" spans="51:53">
      <c r="AY741" s="627">
        <v>3711</v>
      </c>
      <c r="AZ741" s="628" t="s">
        <v>909</v>
      </c>
      <c r="BA741" s="629" t="s">
        <v>412</v>
      </c>
    </row>
    <row r="742" spans="51:53">
      <c r="AY742" s="627">
        <v>3712</v>
      </c>
      <c r="AZ742" s="628" t="s">
        <v>940</v>
      </c>
      <c r="BA742" s="629" t="s">
        <v>412</v>
      </c>
    </row>
    <row r="743" spans="51:53">
      <c r="AY743" s="627">
        <v>3712</v>
      </c>
      <c r="AZ743" s="628" t="s">
        <v>941</v>
      </c>
      <c r="BA743" s="629" t="s">
        <v>412</v>
      </c>
    </row>
    <row r="744" spans="51:53">
      <c r="AY744" s="627">
        <v>3713</v>
      </c>
      <c r="AZ744" s="628" t="s">
        <v>911</v>
      </c>
      <c r="BA744" s="629" t="s">
        <v>412</v>
      </c>
    </row>
    <row r="745" spans="51:53">
      <c r="AY745" s="627">
        <v>3714</v>
      </c>
      <c r="AZ745" s="628" t="s">
        <v>942</v>
      </c>
      <c r="BA745" s="629" t="s">
        <v>412</v>
      </c>
    </row>
    <row r="746" spans="51:53">
      <c r="AY746" s="627">
        <v>3715</v>
      </c>
      <c r="AZ746" s="628" t="s">
        <v>913</v>
      </c>
      <c r="BA746" s="629" t="s">
        <v>412</v>
      </c>
    </row>
    <row r="747" spans="51:53">
      <c r="AY747" s="627">
        <v>3716</v>
      </c>
      <c r="AZ747" s="628" t="s">
        <v>943</v>
      </c>
      <c r="BA747" s="629" t="s">
        <v>412</v>
      </c>
    </row>
    <row r="748" spans="51:53">
      <c r="AY748" s="627">
        <v>3716</v>
      </c>
      <c r="AZ748" s="628" t="s">
        <v>944</v>
      </c>
      <c r="BA748" s="629" t="s">
        <v>412</v>
      </c>
    </row>
    <row r="749" spans="51:53">
      <c r="AY749" s="627">
        <v>3717</v>
      </c>
      <c r="AZ749" s="628" t="s">
        <v>915</v>
      </c>
      <c r="BA749" s="629" t="s">
        <v>412</v>
      </c>
    </row>
    <row r="750" spans="51:53">
      <c r="AY750" s="627">
        <v>3718</v>
      </c>
      <c r="AZ750" s="628" t="s">
        <v>916</v>
      </c>
      <c r="BA750" s="629" t="s">
        <v>412</v>
      </c>
    </row>
    <row r="751" spans="51:53">
      <c r="AY751" s="627">
        <v>3720</v>
      </c>
      <c r="AZ751" s="628" t="s">
        <v>945</v>
      </c>
      <c r="BA751" s="629" t="s">
        <v>412</v>
      </c>
    </row>
    <row r="752" spans="51:53">
      <c r="AY752" s="627">
        <v>3720</v>
      </c>
      <c r="AZ752" s="628" t="s">
        <v>946</v>
      </c>
      <c r="BA752" s="629" t="s">
        <v>412</v>
      </c>
    </row>
    <row r="753" spans="51:53">
      <c r="AY753" s="627">
        <v>3721</v>
      </c>
      <c r="AZ753" s="628" t="s">
        <v>947</v>
      </c>
      <c r="BA753" s="629" t="s">
        <v>412</v>
      </c>
    </row>
    <row r="754" spans="51:53">
      <c r="AY754" s="627">
        <v>3721</v>
      </c>
      <c r="AZ754" s="628" t="s">
        <v>948</v>
      </c>
      <c r="BA754" s="629" t="s">
        <v>412</v>
      </c>
    </row>
    <row r="755" spans="51:53">
      <c r="AY755" s="627">
        <v>3721</v>
      </c>
      <c r="AZ755" s="628" t="s">
        <v>949</v>
      </c>
      <c r="BA755" s="629" t="s">
        <v>412</v>
      </c>
    </row>
    <row r="756" spans="51:53">
      <c r="AY756" s="627">
        <v>3722</v>
      </c>
      <c r="AZ756" s="628" t="s">
        <v>1101</v>
      </c>
      <c r="BA756" s="629" t="s">
        <v>412</v>
      </c>
    </row>
    <row r="757" spans="51:53">
      <c r="AY757" s="627">
        <v>3723</v>
      </c>
      <c r="AZ757" s="628" t="s">
        <v>1102</v>
      </c>
      <c r="BA757" s="629" t="s">
        <v>412</v>
      </c>
    </row>
    <row r="758" spans="51:53">
      <c r="AY758" s="627">
        <v>3724</v>
      </c>
      <c r="AZ758" s="628" t="s">
        <v>950</v>
      </c>
      <c r="BA758" s="629" t="s">
        <v>412</v>
      </c>
    </row>
    <row r="759" spans="51:53">
      <c r="AY759" s="627">
        <v>3724</v>
      </c>
      <c r="AZ759" s="628" t="s">
        <v>951</v>
      </c>
      <c r="BA759" s="629" t="s">
        <v>412</v>
      </c>
    </row>
    <row r="760" spans="51:53">
      <c r="AY760" s="627">
        <v>3724</v>
      </c>
      <c r="AZ760" s="628" t="s">
        <v>952</v>
      </c>
      <c r="BA760" s="629" t="s">
        <v>412</v>
      </c>
    </row>
    <row r="761" spans="51:53">
      <c r="AY761" s="627">
        <v>3726</v>
      </c>
      <c r="AZ761" s="628" t="s">
        <v>1106</v>
      </c>
      <c r="BA761" s="629" t="s">
        <v>412</v>
      </c>
    </row>
    <row r="762" spans="51:53">
      <c r="AY762" s="627">
        <v>3726</v>
      </c>
      <c r="AZ762" s="628" t="s">
        <v>953</v>
      </c>
      <c r="BA762" s="629" t="s">
        <v>412</v>
      </c>
    </row>
    <row r="763" spans="51:53">
      <c r="AY763" s="627">
        <v>3726</v>
      </c>
      <c r="AZ763" s="628" t="s">
        <v>954</v>
      </c>
      <c r="BA763" s="629" t="s">
        <v>412</v>
      </c>
    </row>
    <row r="764" spans="51:53">
      <c r="AY764" s="627">
        <v>3728</v>
      </c>
      <c r="AZ764" s="628" t="s">
        <v>955</v>
      </c>
      <c r="BA764" s="629" t="s">
        <v>412</v>
      </c>
    </row>
    <row r="765" spans="51:53">
      <c r="AY765" s="627">
        <v>3728</v>
      </c>
      <c r="AZ765" s="628" t="s">
        <v>956</v>
      </c>
      <c r="BA765" s="629" t="s">
        <v>412</v>
      </c>
    </row>
    <row r="766" spans="51:53">
      <c r="AY766" s="627">
        <v>3729</v>
      </c>
      <c r="AZ766" s="628" t="s">
        <v>1108</v>
      </c>
      <c r="BA766" s="629" t="s">
        <v>412</v>
      </c>
    </row>
    <row r="767" spans="51:53">
      <c r="AY767" s="627">
        <v>3731</v>
      </c>
      <c r="AZ767" s="628" t="s">
        <v>957</v>
      </c>
      <c r="BA767" s="629" t="s">
        <v>412</v>
      </c>
    </row>
    <row r="768" spans="51:53">
      <c r="AY768" s="627">
        <v>3732</v>
      </c>
      <c r="AZ768" s="628" t="s">
        <v>1110</v>
      </c>
      <c r="BA768" s="629" t="s">
        <v>412</v>
      </c>
    </row>
    <row r="769" spans="51:53">
      <c r="AY769" s="627">
        <v>3733</v>
      </c>
      <c r="AZ769" s="628" t="s">
        <v>1111</v>
      </c>
      <c r="BA769" s="629" t="s">
        <v>412</v>
      </c>
    </row>
    <row r="770" spans="51:53">
      <c r="AY770" s="627">
        <v>3734</v>
      </c>
      <c r="AZ770" s="628" t="s">
        <v>1112</v>
      </c>
      <c r="BA770" s="629" t="s">
        <v>412</v>
      </c>
    </row>
    <row r="771" spans="51:53">
      <c r="AY771" s="627">
        <v>3735</v>
      </c>
      <c r="AZ771" s="628" t="s">
        <v>958</v>
      </c>
      <c r="BA771" s="629" t="s">
        <v>412</v>
      </c>
    </row>
    <row r="772" spans="51:53">
      <c r="AY772" s="627">
        <v>3735</v>
      </c>
      <c r="AZ772" s="628" t="s">
        <v>959</v>
      </c>
      <c r="BA772" s="629" t="s">
        <v>412</v>
      </c>
    </row>
    <row r="773" spans="51:53">
      <c r="AY773" s="627">
        <v>3735</v>
      </c>
      <c r="AZ773" s="628" t="s">
        <v>960</v>
      </c>
      <c r="BA773" s="629" t="s">
        <v>412</v>
      </c>
    </row>
    <row r="774" spans="51:53">
      <c r="AY774" s="627">
        <v>3741</v>
      </c>
      <c r="AZ774" s="628" t="s">
        <v>1114</v>
      </c>
      <c r="BA774" s="629" t="s">
        <v>412</v>
      </c>
    </row>
    <row r="775" spans="51:53">
      <c r="AY775" s="627">
        <v>3742</v>
      </c>
      <c r="AZ775" s="628" t="s">
        <v>1115</v>
      </c>
      <c r="BA775" s="629" t="s">
        <v>412</v>
      </c>
    </row>
    <row r="776" spans="51:53">
      <c r="AY776" s="627">
        <v>3743</v>
      </c>
      <c r="AZ776" s="628" t="s">
        <v>1116</v>
      </c>
      <c r="BA776" s="629" t="s">
        <v>412</v>
      </c>
    </row>
    <row r="777" spans="51:53">
      <c r="AY777" s="627">
        <v>3744</v>
      </c>
      <c r="AZ777" s="628" t="s">
        <v>1117</v>
      </c>
      <c r="BA777" s="629" t="s">
        <v>412</v>
      </c>
    </row>
    <row r="778" spans="51:53">
      <c r="AY778" s="627">
        <v>3751</v>
      </c>
      <c r="AZ778" s="628" t="s">
        <v>1118</v>
      </c>
      <c r="BA778" s="629" t="s">
        <v>412</v>
      </c>
    </row>
    <row r="779" spans="51:53">
      <c r="AY779" s="627">
        <v>3752</v>
      </c>
      <c r="AZ779" s="628" t="s">
        <v>961</v>
      </c>
      <c r="BA779" s="629" t="s">
        <v>412</v>
      </c>
    </row>
    <row r="780" spans="51:53">
      <c r="AY780" s="627">
        <v>3752</v>
      </c>
      <c r="AZ780" s="628" t="s">
        <v>962</v>
      </c>
      <c r="BA780" s="629" t="s">
        <v>412</v>
      </c>
    </row>
    <row r="781" spans="51:53">
      <c r="AY781" s="627">
        <v>3753</v>
      </c>
      <c r="AZ781" s="628" t="s">
        <v>963</v>
      </c>
      <c r="BA781" s="629" t="s">
        <v>412</v>
      </c>
    </row>
    <row r="782" spans="51:53">
      <c r="AY782" s="627">
        <v>3754</v>
      </c>
      <c r="AZ782" s="628" t="s">
        <v>964</v>
      </c>
      <c r="BA782" s="629" t="s">
        <v>412</v>
      </c>
    </row>
    <row r="783" spans="51:53">
      <c r="AY783" s="627">
        <v>3754</v>
      </c>
      <c r="AZ783" s="628" t="s">
        <v>965</v>
      </c>
      <c r="BA783" s="629" t="s">
        <v>412</v>
      </c>
    </row>
    <row r="784" spans="51:53">
      <c r="AY784" s="627">
        <v>3755</v>
      </c>
      <c r="AZ784" s="628" t="s">
        <v>1122</v>
      </c>
      <c r="BA784" s="629" t="s">
        <v>412</v>
      </c>
    </row>
    <row r="785" spans="51:53">
      <c r="AY785" s="627">
        <v>3756</v>
      </c>
      <c r="AZ785" s="628" t="s">
        <v>966</v>
      </c>
      <c r="BA785" s="629" t="s">
        <v>412</v>
      </c>
    </row>
    <row r="786" spans="51:53">
      <c r="AY786" s="627">
        <v>3756</v>
      </c>
      <c r="AZ786" s="628" t="s">
        <v>967</v>
      </c>
      <c r="BA786" s="629" t="s">
        <v>412</v>
      </c>
    </row>
    <row r="787" spans="51:53">
      <c r="AY787" s="627">
        <v>3757</v>
      </c>
      <c r="AZ787" s="628" t="s">
        <v>969</v>
      </c>
      <c r="BA787" s="629" t="s">
        <v>412</v>
      </c>
    </row>
    <row r="788" spans="51:53">
      <c r="AY788" s="627">
        <v>3757</v>
      </c>
      <c r="AZ788" s="628" t="s">
        <v>175</v>
      </c>
      <c r="BA788" s="629" t="s">
        <v>412</v>
      </c>
    </row>
    <row r="789" spans="51:53">
      <c r="AY789" s="627">
        <v>3757</v>
      </c>
      <c r="AZ789" s="628" t="s">
        <v>1045</v>
      </c>
      <c r="BA789" s="629" t="s">
        <v>410</v>
      </c>
    </row>
    <row r="790" spans="51:53">
      <c r="AY790" s="627">
        <v>3758</v>
      </c>
      <c r="AZ790" s="628" t="s">
        <v>1125</v>
      </c>
      <c r="BA790" s="629" t="s">
        <v>412</v>
      </c>
    </row>
    <row r="791" spans="51:53">
      <c r="AY791" s="627">
        <v>3759</v>
      </c>
      <c r="AZ791" s="628" t="s">
        <v>1126</v>
      </c>
      <c r="BA791" s="629" t="s">
        <v>412</v>
      </c>
    </row>
    <row r="792" spans="51:53">
      <c r="AY792" s="627">
        <v>3761</v>
      </c>
      <c r="AZ792" s="628" t="s">
        <v>176</v>
      </c>
      <c r="BA792" s="629" t="s">
        <v>412</v>
      </c>
    </row>
    <row r="793" spans="51:53">
      <c r="AY793" s="627">
        <v>3761</v>
      </c>
      <c r="AZ793" s="628" t="s">
        <v>177</v>
      </c>
      <c r="BA793" s="629" t="s">
        <v>412</v>
      </c>
    </row>
    <row r="794" spans="51:53">
      <c r="AY794" s="627">
        <v>3761</v>
      </c>
      <c r="AZ794" s="628" t="s">
        <v>178</v>
      </c>
      <c r="BA794" s="629" t="s">
        <v>412</v>
      </c>
    </row>
    <row r="795" spans="51:53">
      <c r="AY795" s="627">
        <v>3762</v>
      </c>
      <c r="AZ795" s="628" t="s">
        <v>1128</v>
      </c>
      <c r="BA795" s="629" t="s">
        <v>412</v>
      </c>
    </row>
    <row r="796" spans="51:53">
      <c r="AY796" s="627">
        <v>3763</v>
      </c>
      <c r="AZ796" s="628" t="s">
        <v>1129</v>
      </c>
      <c r="BA796" s="629" t="s">
        <v>412</v>
      </c>
    </row>
    <row r="797" spans="51:53">
      <c r="AY797" s="627">
        <v>3764</v>
      </c>
      <c r="AZ797" s="628" t="s">
        <v>1130</v>
      </c>
      <c r="BA797" s="629" t="s">
        <v>412</v>
      </c>
    </row>
    <row r="798" spans="51:53">
      <c r="AY798" s="627">
        <v>3765</v>
      </c>
      <c r="AZ798" s="628" t="s">
        <v>179</v>
      </c>
      <c r="BA798" s="629" t="s">
        <v>412</v>
      </c>
    </row>
    <row r="799" spans="51:53">
      <c r="AY799" s="627">
        <v>3765</v>
      </c>
      <c r="AZ799" s="628" t="s">
        <v>180</v>
      </c>
      <c r="BA799" s="629" t="s">
        <v>412</v>
      </c>
    </row>
    <row r="800" spans="51:53">
      <c r="AY800" s="627">
        <v>3765</v>
      </c>
      <c r="AZ800" s="628" t="s">
        <v>181</v>
      </c>
      <c r="BA800" s="629" t="s">
        <v>412</v>
      </c>
    </row>
    <row r="801" spans="51:53">
      <c r="AY801" s="627">
        <v>3767</v>
      </c>
      <c r="AZ801" s="628" t="s">
        <v>1516</v>
      </c>
      <c r="BA801" s="629" t="s">
        <v>412</v>
      </c>
    </row>
    <row r="802" spans="51:53">
      <c r="AY802" s="627">
        <v>3768</v>
      </c>
      <c r="AZ802" s="628" t="s">
        <v>182</v>
      </c>
      <c r="BA802" s="629" t="s">
        <v>412</v>
      </c>
    </row>
    <row r="803" spans="51:53">
      <c r="AY803" s="627">
        <v>3768</v>
      </c>
      <c r="AZ803" s="628" t="s">
        <v>183</v>
      </c>
      <c r="BA803" s="629" t="s">
        <v>412</v>
      </c>
    </row>
    <row r="804" spans="51:53">
      <c r="AY804" s="627">
        <v>3768</v>
      </c>
      <c r="AZ804" s="628" t="s">
        <v>184</v>
      </c>
      <c r="BA804" s="629" t="s">
        <v>412</v>
      </c>
    </row>
    <row r="805" spans="51:53">
      <c r="AY805" s="627">
        <v>3769</v>
      </c>
      <c r="AZ805" s="628" t="s">
        <v>1518</v>
      </c>
      <c r="BA805" s="629" t="s">
        <v>412</v>
      </c>
    </row>
    <row r="806" spans="51:53">
      <c r="AY806" s="627">
        <v>3770</v>
      </c>
      <c r="AZ806" s="628" t="s">
        <v>1519</v>
      </c>
      <c r="BA806" s="629" t="s">
        <v>412</v>
      </c>
    </row>
    <row r="807" spans="51:53">
      <c r="AY807" s="627">
        <v>3773</v>
      </c>
      <c r="AZ807" s="628" t="s">
        <v>185</v>
      </c>
      <c r="BA807" s="629" t="s">
        <v>412</v>
      </c>
    </row>
    <row r="808" spans="51:53">
      <c r="AY808" s="627">
        <v>3773</v>
      </c>
      <c r="AZ808" s="628" t="s">
        <v>186</v>
      </c>
      <c r="BA808" s="629" t="s">
        <v>412</v>
      </c>
    </row>
    <row r="809" spans="51:53">
      <c r="AY809" s="627">
        <v>3775</v>
      </c>
      <c r="AZ809" s="628" t="s">
        <v>1521</v>
      </c>
      <c r="BA809" s="629" t="s">
        <v>412</v>
      </c>
    </row>
    <row r="810" spans="51:53">
      <c r="AY810" s="627">
        <v>3776</v>
      </c>
      <c r="AZ810" s="628" t="s">
        <v>1522</v>
      </c>
      <c r="BA810" s="629" t="s">
        <v>412</v>
      </c>
    </row>
    <row r="811" spans="51:53">
      <c r="AY811" s="627">
        <v>3777</v>
      </c>
      <c r="AZ811" s="628" t="s">
        <v>479</v>
      </c>
      <c r="BA811" s="629" t="s">
        <v>412</v>
      </c>
    </row>
    <row r="812" spans="51:53">
      <c r="AY812" s="627">
        <v>3778</v>
      </c>
      <c r="AZ812" s="628" t="s">
        <v>480</v>
      </c>
      <c r="BA812" s="629" t="s">
        <v>412</v>
      </c>
    </row>
    <row r="813" spans="51:53">
      <c r="AY813" s="627">
        <v>3779</v>
      </c>
      <c r="AZ813" s="628" t="s">
        <v>481</v>
      </c>
      <c r="BA813" s="629" t="s">
        <v>412</v>
      </c>
    </row>
    <row r="814" spans="51:53">
      <c r="AY814" s="627">
        <v>3780</v>
      </c>
      <c r="AZ814" s="628" t="s">
        <v>187</v>
      </c>
      <c r="BA814" s="629" t="s">
        <v>412</v>
      </c>
    </row>
    <row r="815" spans="51:53">
      <c r="AY815" s="627">
        <v>3780</v>
      </c>
      <c r="AZ815" s="628" t="s">
        <v>188</v>
      </c>
      <c r="BA815" s="629" t="s">
        <v>412</v>
      </c>
    </row>
    <row r="816" spans="51:53">
      <c r="AY816" s="627">
        <v>3780</v>
      </c>
      <c r="AZ816" s="628" t="s">
        <v>1120</v>
      </c>
      <c r="BA816" s="629" t="s">
        <v>412</v>
      </c>
    </row>
    <row r="817" spans="51:53">
      <c r="AY817" s="627">
        <v>3780</v>
      </c>
      <c r="AZ817" s="628" t="s">
        <v>190</v>
      </c>
      <c r="BA817" s="629" t="s">
        <v>412</v>
      </c>
    </row>
    <row r="818" spans="51:53">
      <c r="AY818" s="627">
        <v>3783</v>
      </c>
      <c r="AZ818" s="628" t="s">
        <v>1120</v>
      </c>
      <c r="BA818" s="629" t="s">
        <v>412</v>
      </c>
    </row>
    <row r="819" spans="51:53">
      <c r="AY819" s="627">
        <v>3786</v>
      </c>
      <c r="AZ819" s="628" t="s">
        <v>192</v>
      </c>
      <c r="BA819" s="629" t="s">
        <v>412</v>
      </c>
    </row>
    <row r="820" spans="51:53">
      <c r="AY820" s="627">
        <v>3786</v>
      </c>
      <c r="AZ820" s="628" t="s">
        <v>193</v>
      </c>
      <c r="BA820" s="629" t="s">
        <v>412</v>
      </c>
    </row>
    <row r="821" spans="51:53">
      <c r="AY821" s="627">
        <v>3786</v>
      </c>
      <c r="AZ821" s="628" t="s">
        <v>194</v>
      </c>
      <c r="BA821" s="629" t="s">
        <v>412</v>
      </c>
    </row>
    <row r="822" spans="51:53">
      <c r="AY822" s="627">
        <v>3786</v>
      </c>
      <c r="AZ822" s="628" t="s">
        <v>195</v>
      </c>
      <c r="BA822" s="629" t="s">
        <v>412</v>
      </c>
    </row>
    <row r="823" spans="51:53">
      <c r="AY823" s="627">
        <v>3787</v>
      </c>
      <c r="AZ823" s="628" t="s">
        <v>485</v>
      </c>
      <c r="BA823" s="629" t="s">
        <v>412</v>
      </c>
    </row>
    <row r="824" spans="51:53">
      <c r="AY824" s="627">
        <v>3791</v>
      </c>
      <c r="AZ824" s="628" t="s">
        <v>486</v>
      </c>
      <c r="BA824" s="629" t="s">
        <v>412</v>
      </c>
    </row>
    <row r="825" spans="51:53">
      <c r="AY825" s="627">
        <v>3792</v>
      </c>
      <c r="AZ825" s="628" t="s">
        <v>487</v>
      </c>
      <c r="BA825" s="629" t="s">
        <v>412</v>
      </c>
    </row>
    <row r="826" spans="51:53">
      <c r="AY826" s="627">
        <v>3793</v>
      </c>
      <c r="AZ826" s="628" t="s">
        <v>488</v>
      </c>
      <c r="BA826" s="629" t="s">
        <v>412</v>
      </c>
    </row>
    <row r="827" spans="51:53">
      <c r="AY827" s="627">
        <v>3794</v>
      </c>
      <c r="AZ827" s="628" t="s">
        <v>196</v>
      </c>
      <c r="BA827" s="629" t="s">
        <v>412</v>
      </c>
    </row>
    <row r="828" spans="51:53">
      <c r="AY828" s="627">
        <v>3794</v>
      </c>
      <c r="AZ828" s="628" t="s">
        <v>197</v>
      </c>
      <c r="BA828" s="629" t="s">
        <v>412</v>
      </c>
    </row>
    <row r="829" spans="51:53">
      <c r="AY829" s="627">
        <v>3795</v>
      </c>
      <c r="AZ829" s="628" t="s">
        <v>198</v>
      </c>
      <c r="BA829" s="629" t="s">
        <v>412</v>
      </c>
    </row>
    <row r="830" spans="51:53">
      <c r="AY830" s="627">
        <v>3795</v>
      </c>
      <c r="AZ830" s="628" t="s">
        <v>4141</v>
      </c>
      <c r="BA830" s="629" t="s">
        <v>421</v>
      </c>
    </row>
    <row r="831" spans="51:53">
      <c r="AY831" s="627">
        <v>3796</v>
      </c>
      <c r="AZ831" s="628" t="s">
        <v>2721</v>
      </c>
      <c r="BA831" s="629" t="s">
        <v>412</v>
      </c>
    </row>
    <row r="832" spans="51:53">
      <c r="AY832" s="627">
        <v>3800</v>
      </c>
      <c r="AZ832" s="628" t="s">
        <v>2722</v>
      </c>
      <c r="BA832" s="629" t="s">
        <v>412</v>
      </c>
    </row>
    <row r="833" spans="51:53">
      <c r="AY833" s="627">
        <v>3809</v>
      </c>
      <c r="AZ833" s="628" t="s">
        <v>200</v>
      </c>
      <c r="BA833" s="629" t="s">
        <v>412</v>
      </c>
    </row>
    <row r="834" spans="51:53">
      <c r="AY834" s="627">
        <v>3809</v>
      </c>
      <c r="AZ834" s="628" t="s">
        <v>3157</v>
      </c>
      <c r="BA834" s="629" t="s">
        <v>412</v>
      </c>
    </row>
    <row r="835" spans="51:53">
      <c r="AY835" s="627">
        <v>3809</v>
      </c>
      <c r="AZ835" s="628" t="s">
        <v>3158</v>
      </c>
      <c r="BA835" s="629" t="s">
        <v>412</v>
      </c>
    </row>
    <row r="836" spans="51:53">
      <c r="AY836" s="627">
        <v>3811</v>
      </c>
      <c r="AZ836" s="628" t="s">
        <v>2724</v>
      </c>
      <c r="BA836" s="629" t="s">
        <v>412</v>
      </c>
    </row>
    <row r="837" spans="51:53">
      <c r="AY837" s="627">
        <v>3812</v>
      </c>
      <c r="AZ837" s="628" t="s">
        <v>3159</v>
      </c>
      <c r="BA837" s="629" t="s">
        <v>412</v>
      </c>
    </row>
    <row r="838" spans="51:53">
      <c r="AY838" s="627">
        <v>3812</v>
      </c>
      <c r="AZ838" s="628" t="s">
        <v>3160</v>
      </c>
      <c r="BA838" s="629" t="s">
        <v>412</v>
      </c>
    </row>
    <row r="839" spans="51:53">
      <c r="AY839" s="627">
        <v>3813</v>
      </c>
      <c r="AZ839" s="628" t="s">
        <v>2726</v>
      </c>
      <c r="BA839" s="629" t="s">
        <v>412</v>
      </c>
    </row>
    <row r="840" spans="51:53">
      <c r="AY840" s="627">
        <v>3814</v>
      </c>
      <c r="AZ840" s="628" t="s">
        <v>2727</v>
      </c>
      <c r="BA840" s="629" t="s">
        <v>412</v>
      </c>
    </row>
    <row r="841" spans="51:53">
      <c r="AY841" s="627">
        <v>3815</v>
      </c>
      <c r="AZ841" s="628" t="s">
        <v>3161</v>
      </c>
      <c r="BA841" s="629" t="s">
        <v>412</v>
      </c>
    </row>
    <row r="842" spans="51:53">
      <c r="AY842" s="627">
        <v>3815</v>
      </c>
      <c r="AZ842" s="628" t="s">
        <v>3162</v>
      </c>
      <c r="BA842" s="629" t="s">
        <v>412</v>
      </c>
    </row>
    <row r="843" spans="51:53">
      <c r="AY843" s="627">
        <v>3816</v>
      </c>
      <c r="AZ843" s="628" t="s">
        <v>2729</v>
      </c>
      <c r="BA843" s="629" t="s">
        <v>412</v>
      </c>
    </row>
    <row r="844" spans="51:53">
      <c r="AY844" s="627">
        <v>3817</v>
      </c>
      <c r="AZ844" s="628" t="s">
        <v>2730</v>
      </c>
      <c r="BA844" s="629" t="s">
        <v>412</v>
      </c>
    </row>
    <row r="845" spans="51:53">
      <c r="AY845" s="627">
        <v>3821</v>
      </c>
      <c r="AZ845" s="628" t="s">
        <v>3163</v>
      </c>
      <c r="BA845" s="629" t="s">
        <v>412</v>
      </c>
    </row>
    <row r="846" spans="51:53">
      <c r="AY846" s="627">
        <v>3821</v>
      </c>
      <c r="AZ846" s="628" t="s">
        <v>3164</v>
      </c>
      <c r="BA846" s="629" t="s">
        <v>412</v>
      </c>
    </row>
    <row r="847" spans="51:53">
      <c r="AY847" s="627">
        <v>3821</v>
      </c>
      <c r="AZ847" s="628" t="s">
        <v>3165</v>
      </c>
      <c r="BA847" s="629" t="s">
        <v>412</v>
      </c>
    </row>
    <row r="848" spans="51:53">
      <c r="AY848" s="627">
        <v>3821</v>
      </c>
      <c r="AZ848" s="628" t="s">
        <v>3166</v>
      </c>
      <c r="BA848" s="629" t="s">
        <v>412</v>
      </c>
    </row>
    <row r="849" spans="51:53">
      <c r="AY849" s="627">
        <v>3821</v>
      </c>
      <c r="AZ849" s="628" t="s">
        <v>3167</v>
      </c>
      <c r="BA849" s="629" t="s">
        <v>412</v>
      </c>
    </row>
    <row r="850" spans="51:53">
      <c r="AY850" s="627">
        <v>3821</v>
      </c>
      <c r="AZ850" s="628" t="s">
        <v>3168</v>
      </c>
      <c r="BA850" s="629" t="s">
        <v>412</v>
      </c>
    </row>
    <row r="851" spans="51:53">
      <c r="AY851" s="627">
        <v>3821</v>
      </c>
      <c r="AZ851" s="628" t="s">
        <v>3169</v>
      </c>
      <c r="BA851" s="629" t="s">
        <v>412</v>
      </c>
    </row>
    <row r="852" spans="51:53">
      <c r="AY852" s="627">
        <v>3825</v>
      </c>
      <c r="AZ852" s="628" t="s">
        <v>3170</v>
      </c>
      <c r="BA852" s="629" t="s">
        <v>412</v>
      </c>
    </row>
    <row r="853" spans="51:53">
      <c r="AY853" s="627">
        <v>3825</v>
      </c>
      <c r="AZ853" s="628" t="s">
        <v>3171</v>
      </c>
      <c r="BA853" s="629" t="s">
        <v>412</v>
      </c>
    </row>
    <row r="854" spans="51:53">
      <c r="AY854" s="627">
        <v>3825</v>
      </c>
      <c r="AZ854" s="628" t="s">
        <v>3172</v>
      </c>
      <c r="BA854" s="629" t="s">
        <v>412</v>
      </c>
    </row>
    <row r="855" spans="51:53">
      <c r="AY855" s="627">
        <v>3826</v>
      </c>
      <c r="AZ855" s="628" t="s">
        <v>2733</v>
      </c>
      <c r="BA855" s="629" t="s">
        <v>412</v>
      </c>
    </row>
    <row r="856" spans="51:53">
      <c r="AY856" s="627">
        <v>3831</v>
      </c>
      <c r="AZ856" s="628" t="s">
        <v>2734</v>
      </c>
      <c r="BA856" s="629" t="s">
        <v>412</v>
      </c>
    </row>
    <row r="857" spans="51:53">
      <c r="AY857" s="627">
        <v>3832</v>
      </c>
      <c r="AZ857" s="628" t="s">
        <v>2735</v>
      </c>
      <c r="BA857" s="629" t="s">
        <v>412</v>
      </c>
    </row>
    <row r="858" spans="51:53">
      <c r="AY858" s="627">
        <v>3833</v>
      </c>
      <c r="AZ858" s="628" t="s">
        <v>2736</v>
      </c>
      <c r="BA858" s="629" t="s">
        <v>412</v>
      </c>
    </row>
    <row r="859" spans="51:53">
      <c r="AY859" s="627">
        <v>3834</v>
      </c>
      <c r="AZ859" s="628" t="s">
        <v>3173</v>
      </c>
      <c r="BA859" s="629" t="s">
        <v>412</v>
      </c>
    </row>
    <row r="860" spans="51:53">
      <c r="AY860" s="627">
        <v>3834</v>
      </c>
      <c r="AZ860" s="628" t="s">
        <v>3174</v>
      </c>
      <c r="BA860" s="629" t="s">
        <v>412</v>
      </c>
    </row>
    <row r="861" spans="51:53">
      <c r="AY861" s="627">
        <v>3836</v>
      </c>
      <c r="AZ861" s="628" t="s">
        <v>2738</v>
      </c>
      <c r="BA861" s="629" t="s">
        <v>412</v>
      </c>
    </row>
    <row r="862" spans="51:53">
      <c r="AY862" s="627">
        <v>3837</v>
      </c>
      <c r="AZ862" s="628" t="s">
        <v>3175</v>
      </c>
      <c r="BA862" s="629" t="s">
        <v>412</v>
      </c>
    </row>
    <row r="863" spans="51:53">
      <c r="AY863" s="627">
        <v>3837</v>
      </c>
      <c r="AZ863" s="628" t="s">
        <v>3176</v>
      </c>
      <c r="BA863" s="629" t="s">
        <v>412</v>
      </c>
    </row>
    <row r="864" spans="51:53">
      <c r="AY864" s="627">
        <v>3837</v>
      </c>
      <c r="AZ864" s="628" t="s">
        <v>3177</v>
      </c>
      <c r="BA864" s="629" t="s">
        <v>412</v>
      </c>
    </row>
    <row r="865" spans="51:53">
      <c r="AY865" s="627">
        <v>3837</v>
      </c>
      <c r="AZ865" s="628" t="s">
        <v>3178</v>
      </c>
      <c r="BA865" s="629" t="s">
        <v>412</v>
      </c>
    </row>
    <row r="866" spans="51:53">
      <c r="AY866" s="627">
        <v>3841</v>
      </c>
      <c r="AZ866" s="628" t="s">
        <v>2740</v>
      </c>
      <c r="BA866" s="629" t="s">
        <v>412</v>
      </c>
    </row>
    <row r="867" spans="51:53">
      <c r="AY867" s="627">
        <v>3842</v>
      </c>
      <c r="AZ867" s="628" t="s">
        <v>2741</v>
      </c>
      <c r="BA867" s="629" t="s">
        <v>412</v>
      </c>
    </row>
    <row r="868" spans="51:53">
      <c r="AY868" s="627">
        <v>3843</v>
      </c>
      <c r="AZ868" s="628" t="s">
        <v>2742</v>
      </c>
      <c r="BA868" s="629" t="s">
        <v>412</v>
      </c>
    </row>
    <row r="869" spans="51:53">
      <c r="AY869" s="627">
        <v>3844</v>
      </c>
      <c r="AZ869" s="628" t="s">
        <v>4079</v>
      </c>
      <c r="BA869" s="629" t="s">
        <v>412</v>
      </c>
    </row>
    <row r="870" spans="51:53">
      <c r="AY870" s="627">
        <v>3844</v>
      </c>
      <c r="AZ870" s="628" t="s">
        <v>4080</v>
      </c>
      <c r="BA870" s="629" t="s">
        <v>412</v>
      </c>
    </row>
    <row r="871" spans="51:53">
      <c r="AY871" s="627">
        <v>3846</v>
      </c>
      <c r="AZ871" s="628" t="s">
        <v>4541</v>
      </c>
      <c r="BA871" s="629" t="s">
        <v>412</v>
      </c>
    </row>
    <row r="872" spans="51:53">
      <c r="AY872" s="627">
        <v>3847</v>
      </c>
      <c r="AZ872" s="628" t="s">
        <v>4542</v>
      </c>
      <c r="BA872" s="629" t="s">
        <v>412</v>
      </c>
    </row>
    <row r="873" spans="51:53">
      <c r="AY873" s="627">
        <v>3848</v>
      </c>
      <c r="AZ873" s="628" t="s">
        <v>4543</v>
      </c>
      <c r="BA873" s="629" t="s">
        <v>412</v>
      </c>
    </row>
    <row r="874" spans="51:53">
      <c r="AY874" s="627">
        <v>3849</v>
      </c>
      <c r="AZ874" s="628" t="s">
        <v>4544</v>
      </c>
      <c r="BA874" s="629" t="s">
        <v>412</v>
      </c>
    </row>
    <row r="875" spans="51:53">
      <c r="AY875" s="627">
        <v>3851</v>
      </c>
      <c r="AZ875" s="628" t="s">
        <v>4545</v>
      </c>
      <c r="BA875" s="629" t="s">
        <v>412</v>
      </c>
    </row>
    <row r="876" spans="51:53">
      <c r="AY876" s="627">
        <v>3852</v>
      </c>
      <c r="AZ876" s="628" t="s">
        <v>4546</v>
      </c>
      <c r="BA876" s="629" t="s">
        <v>412</v>
      </c>
    </row>
    <row r="877" spans="51:53">
      <c r="AY877" s="627">
        <v>3853</v>
      </c>
      <c r="AZ877" s="628" t="s">
        <v>4081</v>
      </c>
      <c r="BA877" s="629" t="s">
        <v>412</v>
      </c>
    </row>
    <row r="878" spans="51:53">
      <c r="AY878" s="627">
        <v>3853</v>
      </c>
      <c r="AZ878" s="628" t="s">
        <v>4082</v>
      </c>
      <c r="BA878" s="629" t="s">
        <v>412</v>
      </c>
    </row>
    <row r="879" spans="51:53">
      <c r="AY879" s="627">
        <v>3854</v>
      </c>
      <c r="AZ879" s="628" t="s">
        <v>4083</v>
      </c>
      <c r="BA879" s="629" t="s">
        <v>412</v>
      </c>
    </row>
    <row r="880" spans="51:53">
      <c r="AY880" s="627">
        <v>3855</v>
      </c>
      <c r="AZ880" s="628" t="s">
        <v>4549</v>
      </c>
      <c r="BA880" s="629" t="s">
        <v>412</v>
      </c>
    </row>
    <row r="881" spans="51:53">
      <c r="AY881" s="627">
        <v>3860</v>
      </c>
      <c r="AZ881" s="628" t="s">
        <v>4084</v>
      </c>
      <c r="BA881" s="629" t="s">
        <v>412</v>
      </c>
    </row>
    <row r="882" spans="51:53">
      <c r="AY882" s="627">
        <v>3863</v>
      </c>
      <c r="AZ882" s="628" t="s">
        <v>4551</v>
      </c>
      <c r="BA882" s="629" t="s">
        <v>412</v>
      </c>
    </row>
    <row r="883" spans="51:53">
      <c r="AY883" s="627">
        <v>3864</v>
      </c>
      <c r="AZ883" s="628" t="s">
        <v>4552</v>
      </c>
      <c r="BA883" s="629" t="s">
        <v>412</v>
      </c>
    </row>
    <row r="884" spans="51:53">
      <c r="AY884" s="627">
        <v>3865</v>
      </c>
      <c r="AZ884" s="628" t="s">
        <v>4553</v>
      </c>
      <c r="BA884" s="629" t="s">
        <v>412</v>
      </c>
    </row>
    <row r="885" spans="51:53">
      <c r="AY885" s="627">
        <v>3866</v>
      </c>
      <c r="AZ885" s="628" t="s">
        <v>4085</v>
      </c>
      <c r="BA885" s="629" t="s">
        <v>412</v>
      </c>
    </row>
    <row r="886" spans="51:53">
      <c r="AY886" s="627">
        <v>3866</v>
      </c>
      <c r="AZ886" s="628" t="s">
        <v>4086</v>
      </c>
      <c r="BA886" s="629" t="s">
        <v>412</v>
      </c>
    </row>
    <row r="887" spans="51:53">
      <c r="AY887" s="627">
        <v>3871</v>
      </c>
      <c r="AZ887" s="628" t="s">
        <v>4557</v>
      </c>
      <c r="BA887" s="629" t="s">
        <v>412</v>
      </c>
    </row>
    <row r="888" spans="51:53">
      <c r="AY888" s="627">
        <v>3872</v>
      </c>
      <c r="AZ888" s="628" t="s">
        <v>2308</v>
      </c>
      <c r="BA888" s="629" t="s">
        <v>2808</v>
      </c>
    </row>
    <row r="889" spans="51:53">
      <c r="AY889" s="627">
        <v>3873</v>
      </c>
      <c r="AZ889" s="628" t="s">
        <v>4559</v>
      </c>
      <c r="BA889" s="629" t="s">
        <v>412</v>
      </c>
    </row>
    <row r="890" spans="51:53">
      <c r="AY890" s="627">
        <v>3874</v>
      </c>
      <c r="AZ890" s="628" t="s">
        <v>4087</v>
      </c>
      <c r="BA890" s="629" t="s">
        <v>412</v>
      </c>
    </row>
    <row r="891" spans="51:53">
      <c r="AY891" s="627">
        <v>3874</v>
      </c>
      <c r="AZ891" s="628" t="s">
        <v>4088</v>
      </c>
      <c r="BA891" s="629" t="s">
        <v>412</v>
      </c>
    </row>
    <row r="892" spans="51:53">
      <c r="AY892" s="627">
        <v>3874</v>
      </c>
      <c r="AZ892" s="628" t="s">
        <v>4089</v>
      </c>
      <c r="BA892" s="629" t="s">
        <v>412</v>
      </c>
    </row>
    <row r="893" spans="51:53">
      <c r="AY893" s="627">
        <v>3875</v>
      </c>
      <c r="AZ893" s="628" t="s">
        <v>4561</v>
      </c>
      <c r="BA893" s="629" t="s">
        <v>412</v>
      </c>
    </row>
    <row r="894" spans="51:53">
      <c r="AY894" s="692">
        <v>3876</v>
      </c>
      <c r="AZ894" s="628" t="s">
        <v>4562</v>
      </c>
      <c r="BA894" s="629" t="s">
        <v>412</v>
      </c>
    </row>
    <row r="895" spans="51:53">
      <c r="AY895" s="627">
        <v>3877</v>
      </c>
      <c r="AZ895" s="628" t="s">
        <v>4563</v>
      </c>
      <c r="BA895" s="629" t="s">
        <v>412</v>
      </c>
    </row>
    <row r="896" spans="51:53">
      <c r="AY896" s="627">
        <v>3881</v>
      </c>
      <c r="AZ896" s="628" t="s">
        <v>4090</v>
      </c>
      <c r="BA896" s="629" t="s">
        <v>412</v>
      </c>
    </row>
    <row r="897" spans="51:53">
      <c r="AY897" s="627">
        <v>3881</v>
      </c>
      <c r="AZ897" s="628" t="s">
        <v>4091</v>
      </c>
      <c r="BA897" s="629" t="s">
        <v>412</v>
      </c>
    </row>
    <row r="898" spans="51:53">
      <c r="AY898" s="627">
        <v>3881</v>
      </c>
      <c r="AZ898" s="628" t="s">
        <v>4092</v>
      </c>
      <c r="BA898" s="629" t="s">
        <v>412</v>
      </c>
    </row>
    <row r="899" spans="51:53">
      <c r="AY899" s="627">
        <v>3882</v>
      </c>
      <c r="AZ899" s="628" t="s">
        <v>4093</v>
      </c>
      <c r="BA899" s="629" t="s">
        <v>412</v>
      </c>
    </row>
    <row r="900" spans="51:53">
      <c r="AY900" s="627">
        <v>3882</v>
      </c>
      <c r="AZ900" s="628" t="s">
        <v>4094</v>
      </c>
      <c r="BA900" s="629" t="s">
        <v>412</v>
      </c>
    </row>
    <row r="901" spans="51:53">
      <c r="AY901" s="627">
        <v>3884</v>
      </c>
      <c r="AZ901" s="628" t="s">
        <v>4566</v>
      </c>
      <c r="BA901" s="629" t="s">
        <v>412</v>
      </c>
    </row>
    <row r="902" spans="51:53">
      <c r="AY902" s="627">
        <v>3885</v>
      </c>
      <c r="AZ902" s="628" t="s">
        <v>4095</v>
      </c>
      <c r="BA902" s="629" t="s">
        <v>412</v>
      </c>
    </row>
    <row r="903" spans="51:53">
      <c r="AY903" s="627">
        <v>3885</v>
      </c>
      <c r="AZ903" s="628" t="s">
        <v>4096</v>
      </c>
      <c r="BA903" s="629" t="s">
        <v>412</v>
      </c>
    </row>
    <row r="904" spans="51:53">
      <c r="AY904" s="627">
        <v>3886</v>
      </c>
      <c r="AZ904" s="628" t="s">
        <v>4568</v>
      </c>
      <c r="BA904" s="629" t="s">
        <v>412</v>
      </c>
    </row>
    <row r="905" spans="51:53">
      <c r="AY905" s="627">
        <v>3887</v>
      </c>
      <c r="AZ905" s="628" t="s">
        <v>4569</v>
      </c>
      <c r="BA905" s="629" t="s">
        <v>412</v>
      </c>
    </row>
    <row r="906" spans="51:53">
      <c r="AY906" s="627">
        <v>3888</v>
      </c>
      <c r="AZ906" s="628" t="s">
        <v>4570</v>
      </c>
      <c r="BA906" s="629" t="s">
        <v>412</v>
      </c>
    </row>
    <row r="907" spans="51:53">
      <c r="AY907" s="627">
        <v>3891</v>
      </c>
      <c r="AZ907" s="628" t="s">
        <v>4571</v>
      </c>
      <c r="BA907" s="629" t="s">
        <v>412</v>
      </c>
    </row>
    <row r="908" spans="51:53">
      <c r="AY908" s="627">
        <v>3892</v>
      </c>
      <c r="AZ908" s="628" t="s">
        <v>4572</v>
      </c>
      <c r="BA908" s="629" t="s">
        <v>412</v>
      </c>
    </row>
    <row r="909" spans="51:53">
      <c r="AY909" s="627">
        <v>3893</v>
      </c>
      <c r="AZ909" s="628" t="s">
        <v>4097</v>
      </c>
      <c r="BA909" s="629" t="s">
        <v>412</v>
      </c>
    </row>
    <row r="910" spans="51:53">
      <c r="AY910" s="627">
        <v>3893</v>
      </c>
      <c r="AZ910" s="628" t="s">
        <v>4098</v>
      </c>
      <c r="BA910" s="629" t="s">
        <v>412</v>
      </c>
    </row>
    <row r="911" spans="51:53">
      <c r="AY911" s="627">
        <v>3893</v>
      </c>
      <c r="AZ911" s="628" t="s">
        <v>4099</v>
      </c>
      <c r="BA911" s="629" t="s">
        <v>412</v>
      </c>
    </row>
    <row r="912" spans="51:53">
      <c r="AY912" s="627">
        <v>3894</v>
      </c>
      <c r="AZ912" s="628" t="s">
        <v>4574</v>
      </c>
      <c r="BA912" s="629" t="s">
        <v>412</v>
      </c>
    </row>
    <row r="913" spans="51:53">
      <c r="AY913" s="627">
        <v>3895</v>
      </c>
      <c r="AZ913" s="628" t="s">
        <v>4575</v>
      </c>
      <c r="BA913" s="629" t="s">
        <v>412</v>
      </c>
    </row>
    <row r="914" spans="51:53">
      <c r="AY914" s="627">
        <v>3896</v>
      </c>
      <c r="AZ914" s="628" t="s">
        <v>4576</v>
      </c>
      <c r="BA914" s="629" t="s">
        <v>412</v>
      </c>
    </row>
    <row r="915" spans="51:53">
      <c r="AY915" s="627">
        <v>3897</v>
      </c>
      <c r="AZ915" s="628" t="s">
        <v>4577</v>
      </c>
      <c r="BA915" s="629" t="s">
        <v>412</v>
      </c>
    </row>
    <row r="916" spans="51:53">
      <c r="AY916" s="627">
        <v>3898</v>
      </c>
      <c r="AZ916" s="628" t="s">
        <v>4100</v>
      </c>
      <c r="BA916" s="629" t="s">
        <v>412</v>
      </c>
    </row>
    <row r="917" spans="51:53">
      <c r="AY917" s="627">
        <v>3898</v>
      </c>
      <c r="AZ917" s="628" t="s">
        <v>4101</v>
      </c>
      <c r="BA917" s="629" t="s">
        <v>412</v>
      </c>
    </row>
    <row r="918" spans="51:53">
      <c r="AY918" s="627">
        <v>3899</v>
      </c>
      <c r="AZ918" s="628" t="s">
        <v>4579</v>
      </c>
      <c r="BA918" s="629" t="s">
        <v>412</v>
      </c>
    </row>
    <row r="919" spans="51:53">
      <c r="AY919" s="627">
        <v>3900</v>
      </c>
      <c r="AZ919" s="628" t="s">
        <v>4102</v>
      </c>
      <c r="BA919" s="629" t="s">
        <v>412</v>
      </c>
    </row>
    <row r="920" spans="51:53">
      <c r="AY920" s="627">
        <v>3903</v>
      </c>
      <c r="AZ920" s="628" t="s">
        <v>4581</v>
      </c>
      <c r="BA920" s="629" t="s">
        <v>412</v>
      </c>
    </row>
    <row r="921" spans="51:53">
      <c r="AY921" s="627">
        <v>3904</v>
      </c>
      <c r="AZ921" s="628" t="s">
        <v>4582</v>
      </c>
      <c r="BA921" s="629" t="s">
        <v>412</v>
      </c>
    </row>
    <row r="922" spans="51:53">
      <c r="AY922" s="627">
        <v>3905</v>
      </c>
      <c r="AZ922" s="628" t="s">
        <v>4583</v>
      </c>
      <c r="BA922" s="629" t="s">
        <v>412</v>
      </c>
    </row>
    <row r="923" spans="51:53">
      <c r="AY923" s="627">
        <v>3906</v>
      </c>
      <c r="AZ923" s="628" t="s">
        <v>4584</v>
      </c>
      <c r="BA923" s="629" t="s">
        <v>412</v>
      </c>
    </row>
    <row r="924" spans="51:53">
      <c r="AY924" s="627">
        <v>3907</v>
      </c>
      <c r="AZ924" s="628" t="s">
        <v>4585</v>
      </c>
      <c r="BA924" s="629" t="s">
        <v>412</v>
      </c>
    </row>
    <row r="925" spans="51:53">
      <c r="AY925" s="627">
        <v>3908</v>
      </c>
      <c r="AZ925" s="628" t="s">
        <v>4586</v>
      </c>
      <c r="BA925" s="629" t="s">
        <v>412</v>
      </c>
    </row>
    <row r="926" spans="51:53">
      <c r="AY926" s="627">
        <v>3909</v>
      </c>
      <c r="AZ926" s="628" t="s">
        <v>4587</v>
      </c>
      <c r="BA926" s="629" t="s">
        <v>412</v>
      </c>
    </row>
    <row r="927" spans="51:53">
      <c r="AY927" s="627">
        <v>3910</v>
      </c>
      <c r="AZ927" s="628" t="s">
        <v>4588</v>
      </c>
      <c r="BA927" s="629" t="s">
        <v>412</v>
      </c>
    </row>
    <row r="928" spans="51:53">
      <c r="AY928" s="627">
        <v>3915</v>
      </c>
      <c r="AZ928" s="628" t="s">
        <v>4589</v>
      </c>
      <c r="BA928" s="629" t="s">
        <v>412</v>
      </c>
    </row>
    <row r="929" spans="51:53">
      <c r="AY929" s="627">
        <v>3916</v>
      </c>
      <c r="AZ929" s="628" t="s">
        <v>4590</v>
      </c>
      <c r="BA929" s="629" t="s">
        <v>412</v>
      </c>
    </row>
    <row r="930" spans="51:53">
      <c r="AY930" s="627">
        <v>3917</v>
      </c>
      <c r="AZ930" s="628" t="s">
        <v>4591</v>
      </c>
      <c r="BA930" s="629" t="s">
        <v>412</v>
      </c>
    </row>
    <row r="931" spans="51:53">
      <c r="AY931" s="627">
        <v>3918</v>
      </c>
      <c r="AZ931" s="628" t="s">
        <v>4103</v>
      </c>
      <c r="BA931" s="629" t="s">
        <v>412</v>
      </c>
    </row>
    <row r="932" spans="51:53">
      <c r="AY932" s="627">
        <v>3918</v>
      </c>
      <c r="AZ932" s="628" t="s">
        <v>4104</v>
      </c>
      <c r="BA932" s="629" t="s">
        <v>412</v>
      </c>
    </row>
    <row r="933" spans="51:53">
      <c r="AY933" s="627">
        <v>3921</v>
      </c>
      <c r="AZ933" s="628" t="s">
        <v>4593</v>
      </c>
      <c r="BA933" s="629" t="s">
        <v>412</v>
      </c>
    </row>
    <row r="934" spans="51:53">
      <c r="AY934" s="627">
        <v>3922</v>
      </c>
      <c r="AZ934" s="628" t="s">
        <v>4594</v>
      </c>
      <c r="BA934" s="629" t="s">
        <v>412</v>
      </c>
    </row>
    <row r="935" spans="51:53">
      <c r="AY935" s="627">
        <v>3923</v>
      </c>
      <c r="AZ935" s="628" t="s">
        <v>913</v>
      </c>
      <c r="BA935" s="629" t="s">
        <v>412</v>
      </c>
    </row>
    <row r="936" spans="51:53">
      <c r="AY936" s="627">
        <v>3924</v>
      </c>
      <c r="AZ936" s="628" t="s">
        <v>4596</v>
      </c>
      <c r="BA936" s="629" t="s">
        <v>412</v>
      </c>
    </row>
    <row r="937" spans="51:53">
      <c r="AY937" s="627">
        <v>3925</v>
      </c>
      <c r="AZ937" s="628" t="s">
        <v>4597</v>
      </c>
      <c r="BA937" s="629" t="s">
        <v>412</v>
      </c>
    </row>
    <row r="938" spans="51:53">
      <c r="AY938" s="627">
        <v>3926</v>
      </c>
      <c r="AZ938" s="628" t="s">
        <v>4598</v>
      </c>
      <c r="BA938" s="629" t="s">
        <v>412</v>
      </c>
    </row>
    <row r="939" spans="51:53">
      <c r="AY939" s="627">
        <v>3927</v>
      </c>
      <c r="AZ939" s="628" t="s">
        <v>4599</v>
      </c>
      <c r="BA939" s="629" t="s">
        <v>412</v>
      </c>
    </row>
    <row r="940" spans="51:53">
      <c r="AY940" s="627">
        <v>3928</v>
      </c>
      <c r="AZ940" s="628" t="s">
        <v>4600</v>
      </c>
      <c r="BA940" s="629" t="s">
        <v>412</v>
      </c>
    </row>
    <row r="941" spans="51:53">
      <c r="AY941" s="627">
        <v>3929</v>
      </c>
      <c r="AZ941" s="628" t="s">
        <v>4601</v>
      </c>
      <c r="BA941" s="629" t="s">
        <v>412</v>
      </c>
    </row>
    <row r="942" spans="51:53">
      <c r="AY942" s="627">
        <v>3931</v>
      </c>
      <c r="AZ942" s="628" t="s">
        <v>4602</v>
      </c>
      <c r="BA942" s="629" t="s">
        <v>412</v>
      </c>
    </row>
    <row r="943" spans="51:53">
      <c r="AY943" s="627">
        <v>3932</v>
      </c>
      <c r="AZ943" s="628" t="s">
        <v>4603</v>
      </c>
      <c r="BA943" s="629" t="s">
        <v>412</v>
      </c>
    </row>
    <row r="944" spans="51:53">
      <c r="AY944" s="627">
        <v>3933</v>
      </c>
      <c r="AZ944" s="628" t="s">
        <v>4604</v>
      </c>
      <c r="BA944" s="629" t="s">
        <v>412</v>
      </c>
    </row>
    <row r="945" spans="51:53">
      <c r="AY945" s="627">
        <v>3934</v>
      </c>
      <c r="AZ945" s="628" t="s">
        <v>4605</v>
      </c>
      <c r="BA945" s="629" t="s">
        <v>412</v>
      </c>
    </row>
    <row r="946" spans="51:53">
      <c r="AY946" s="627">
        <v>3935</v>
      </c>
      <c r="AZ946" s="628" t="s">
        <v>4606</v>
      </c>
      <c r="BA946" s="629" t="s">
        <v>412</v>
      </c>
    </row>
    <row r="947" spans="51:53">
      <c r="AY947" s="627">
        <v>3936</v>
      </c>
      <c r="AZ947" s="628" t="s">
        <v>4106</v>
      </c>
      <c r="BA947" s="629" t="s">
        <v>412</v>
      </c>
    </row>
    <row r="948" spans="51:53">
      <c r="AY948" s="627">
        <v>3937</v>
      </c>
      <c r="AZ948" s="628" t="s">
        <v>4608</v>
      </c>
      <c r="BA948" s="629" t="s">
        <v>412</v>
      </c>
    </row>
    <row r="949" spans="51:53">
      <c r="AY949" s="627">
        <v>3941</v>
      </c>
      <c r="AZ949" s="628" t="s">
        <v>4609</v>
      </c>
      <c r="BA949" s="629" t="s">
        <v>412</v>
      </c>
    </row>
    <row r="950" spans="51:53">
      <c r="AY950" s="627">
        <v>3942</v>
      </c>
      <c r="AZ950" s="628" t="s">
        <v>4610</v>
      </c>
      <c r="BA950" s="629" t="s">
        <v>412</v>
      </c>
    </row>
    <row r="951" spans="51:53">
      <c r="AY951" s="627">
        <v>3943</v>
      </c>
      <c r="AZ951" s="628" t="s">
        <v>4611</v>
      </c>
      <c r="BA951" s="629" t="s">
        <v>412</v>
      </c>
    </row>
    <row r="952" spans="51:53">
      <c r="AY952" s="627">
        <v>3944</v>
      </c>
      <c r="AZ952" s="628" t="s">
        <v>4634</v>
      </c>
      <c r="BA952" s="629" t="s">
        <v>412</v>
      </c>
    </row>
    <row r="953" spans="51:53">
      <c r="AY953" s="627">
        <v>3945</v>
      </c>
      <c r="AZ953" s="628" t="s">
        <v>4634</v>
      </c>
      <c r="BA953" s="629" t="s">
        <v>412</v>
      </c>
    </row>
    <row r="954" spans="51:53">
      <c r="AY954" s="627">
        <v>3950</v>
      </c>
      <c r="AZ954" s="628" t="s">
        <v>4614</v>
      </c>
      <c r="BA954" s="629" t="s">
        <v>412</v>
      </c>
    </row>
    <row r="955" spans="51:53">
      <c r="AY955" s="627">
        <v>3952</v>
      </c>
      <c r="AZ955" s="628" t="s">
        <v>4614</v>
      </c>
      <c r="BA955" s="629" t="s">
        <v>412</v>
      </c>
    </row>
    <row r="956" spans="51:53">
      <c r="AY956" s="627">
        <v>3954</v>
      </c>
      <c r="AZ956" s="628" t="s">
        <v>4615</v>
      </c>
      <c r="BA956" s="629" t="s">
        <v>412</v>
      </c>
    </row>
    <row r="957" spans="51:53">
      <c r="AY957" s="627">
        <v>3955</v>
      </c>
      <c r="AZ957" s="628" t="s">
        <v>4616</v>
      </c>
      <c r="BA957" s="629" t="s">
        <v>412</v>
      </c>
    </row>
    <row r="958" spans="51:53">
      <c r="AY958" s="692">
        <v>3956</v>
      </c>
      <c r="AZ958" s="628" t="s">
        <v>4617</v>
      </c>
      <c r="BA958" s="629" t="s">
        <v>412</v>
      </c>
    </row>
    <row r="959" spans="51:53">
      <c r="AY959" s="627">
        <v>3957</v>
      </c>
      <c r="AZ959" s="628" t="s">
        <v>4618</v>
      </c>
      <c r="BA959" s="629" t="s">
        <v>412</v>
      </c>
    </row>
    <row r="960" spans="51:53">
      <c r="AY960" s="627">
        <v>3958</v>
      </c>
      <c r="AZ960" s="628" t="s">
        <v>4619</v>
      </c>
      <c r="BA960" s="629" t="s">
        <v>412</v>
      </c>
    </row>
    <row r="961" spans="51:53">
      <c r="AY961" s="627">
        <v>3959</v>
      </c>
      <c r="AZ961" s="628" t="s">
        <v>4620</v>
      </c>
      <c r="BA961" s="629" t="s">
        <v>412</v>
      </c>
    </row>
    <row r="962" spans="51:53">
      <c r="AY962" s="627">
        <v>3961</v>
      </c>
      <c r="AZ962" s="628" t="s">
        <v>4621</v>
      </c>
      <c r="BA962" s="629" t="s">
        <v>412</v>
      </c>
    </row>
    <row r="963" spans="51:53">
      <c r="AY963" s="627">
        <v>3962</v>
      </c>
      <c r="AZ963" s="628" t="s">
        <v>4622</v>
      </c>
      <c r="BA963" s="629" t="s">
        <v>412</v>
      </c>
    </row>
    <row r="964" spans="51:53">
      <c r="AY964" s="627">
        <v>3963</v>
      </c>
      <c r="AZ964" s="628" t="s">
        <v>4623</v>
      </c>
      <c r="BA964" s="629" t="s">
        <v>412</v>
      </c>
    </row>
    <row r="965" spans="51:53">
      <c r="AY965" s="627">
        <v>3964</v>
      </c>
      <c r="AZ965" s="628" t="s">
        <v>4624</v>
      </c>
      <c r="BA965" s="629" t="s">
        <v>412</v>
      </c>
    </row>
    <row r="966" spans="51:53">
      <c r="AY966" s="627">
        <v>3965</v>
      </c>
      <c r="AZ966" s="628" t="s">
        <v>4109</v>
      </c>
      <c r="BA966" s="629" t="s">
        <v>412</v>
      </c>
    </row>
    <row r="967" spans="51:53">
      <c r="AY967" s="627">
        <v>3965</v>
      </c>
      <c r="AZ967" s="628" t="s">
        <v>4110</v>
      </c>
      <c r="BA967" s="629" t="s">
        <v>412</v>
      </c>
    </row>
    <row r="968" spans="51:53">
      <c r="AY968" s="627">
        <v>3967</v>
      </c>
      <c r="AZ968" s="628" t="s">
        <v>4626</v>
      </c>
      <c r="BA968" s="629" t="s">
        <v>412</v>
      </c>
    </row>
    <row r="969" spans="51:53">
      <c r="AY969" s="627">
        <v>3971</v>
      </c>
      <c r="AZ969" s="628" t="s">
        <v>4111</v>
      </c>
      <c r="BA969" s="629" t="s">
        <v>412</v>
      </c>
    </row>
    <row r="970" spans="51:53">
      <c r="AY970" s="627">
        <v>3972</v>
      </c>
      <c r="AZ970" s="628" t="s">
        <v>4628</v>
      </c>
      <c r="BA970" s="629" t="s">
        <v>412</v>
      </c>
    </row>
    <row r="971" spans="51:53">
      <c r="AY971" s="627">
        <v>3973</v>
      </c>
      <c r="AZ971" s="628" t="s">
        <v>1201</v>
      </c>
      <c r="BA971" s="629" t="s">
        <v>435</v>
      </c>
    </row>
    <row r="972" spans="51:53">
      <c r="AY972" s="627">
        <v>3974</v>
      </c>
      <c r="AZ972" s="628" t="s">
        <v>4112</v>
      </c>
      <c r="BA972" s="629" t="s">
        <v>412</v>
      </c>
    </row>
    <row r="973" spans="51:53">
      <c r="AY973" s="627">
        <v>3974</v>
      </c>
      <c r="AZ973" s="628" t="s">
        <v>4113</v>
      </c>
      <c r="BA973" s="629" t="s">
        <v>412</v>
      </c>
    </row>
    <row r="974" spans="51:53">
      <c r="AY974" s="627">
        <v>3976</v>
      </c>
      <c r="AZ974" s="628" t="s">
        <v>4631</v>
      </c>
      <c r="BA974" s="629" t="s">
        <v>412</v>
      </c>
    </row>
    <row r="975" spans="51:53">
      <c r="AY975" s="627">
        <v>3977</v>
      </c>
      <c r="AZ975" s="628" t="s">
        <v>4632</v>
      </c>
      <c r="BA975" s="629" t="s">
        <v>412</v>
      </c>
    </row>
    <row r="976" spans="51:53">
      <c r="AY976" s="627">
        <v>3978</v>
      </c>
      <c r="AZ976" s="628" t="s">
        <v>4114</v>
      </c>
      <c r="BA976" s="629" t="s">
        <v>412</v>
      </c>
    </row>
    <row r="977" spans="51:53">
      <c r="AY977" s="627">
        <v>3980</v>
      </c>
      <c r="AZ977" s="628" t="s">
        <v>4634</v>
      </c>
      <c r="BA977" s="629" t="s">
        <v>412</v>
      </c>
    </row>
    <row r="978" spans="51:53">
      <c r="AY978" s="627">
        <v>3985</v>
      </c>
      <c r="AZ978" s="628" t="s">
        <v>4115</v>
      </c>
      <c r="BA978" s="629" t="s">
        <v>412</v>
      </c>
    </row>
    <row r="979" spans="51:53">
      <c r="AY979" s="627">
        <v>3985</v>
      </c>
      <c r="AZ979" s="628" t="s">
        <v>4116</v>
      </c>
      <c r="BA979" s="629" t="s">
        <v>412</v>
      </c>
    </row>
    <row r="980" spans="51:53">
      <c r="AY980" s="627">
        <v>3987</v>
      </c>
      <c r="AZ980" s="628" t="s">
        <v>4636</v>
      </c>
      <c r="BA980" s="629" t="s">
        <v>412</v>
      </c>
    </row>
    <row r="981" spans="51:53">
      <c r="AY981" s="627">
        <v>3988</v>
      </c>
      <c r="AZ981" s="628" t="s">
        <v>4634</v>
      </c>
      <c r="BA981" s="629" t="s">
        <v>412</v>
      </c>
    </row>
    <row r="982" spans="51:53">
      <c r="AY982" s="627">
        <v>3989</v>
      </c>
      <c r="AZ982" s="628" t="s">
        <v>4118</v>
      </c>
      <c r="BA982" s="629" t="s">
        <v>412</v>
      </c>
    </row>
    <row r="983" spans="51:53">
      <c r="AY983" s="627">
        <v>3989</v>
      </c>
      <c r="AZ983" s="628" t="s">
        <v>4119</v>
      </c>
      <c r="BA983" s="629" t="s">
        <v>412</v>
      </c>
    </row>
    <row r="984" spans="51:53">
      <c r="AY984" s="627">
        <v>3989</v>
      </c>
      <c r="AZ984" s="628" t="s">
        <v>4120</v>
      </c>
      <c r="BA984" s="629" t="s">
        <v>412</v>
      </c>
    </row>
    <row r="985" spans="51:53">
      <c r="AY985" s="627">
        <v>3991</v>
      </c>
      <c r="AZ985" s="628" t="s">
        <v>4639</v>
      </c>
      <c r="BA985" s="629" t="s">
        <v>412</v>
      </c>
    </row>
    <row r="986" spans="51:53">
      <c r="AY986" s="627">
        <v>3992</v>
      </c>
      <c r="AZ986" s="628" t="s">
        <v>4121</v>
      </c>
      <c r="BA986" s="629" t="s">
        <v>412</v>
      </c>
    </row>
    <row r="987" spans="51:53">
      <c r="AY987" s="627">
        <v>3992</v>
      </c>
      <c r="AZ987" s="628" t="s">
        <v>4122</v>
      </c>
      <c r="BA987" s="629" t="s">
        <v>412</v>
      </c>
    </row>
    <row r="988" spans="51:53">
      <c r="AY988" s="627">
        <v>3993</v>
      </c>
      <c r="AZ988" s="628" t="s">
        <v>4641</v>
      </c>
      <c r="BA988" s="629" t="s">
        <v>412</v>
      </c>
    </row>
    <row r="989" spans="51:53">
      <c r="AY989" s="627">
        <v>3994</v>
      </c>
      <c r="AZ989" s="628" t="s">
        <v>4123</v>
      </c>
      <c r="BA989" s="629" t="s">
        <v>412</v>
      </c>
    </row>
    <row r="990" spans="51:53">
      <c r="AY990" s="627">
        <v>3994</v>
      </c>
      <c r="AZ990" s="628" t="s">
        <v>4124</v>
      </c>
      <c r="BA990" s="629" t="s">
        <v>412</v>
      </c>
    </row>
    <row r="991" spans="51:53">
      <c r="AY991" s="627">
        <v>3994</v>
      </c>
      <c r="AZ991" s="628" t="s">
        <v>4125</v>
      </c>
      <c r="BA991" s="629" t="s">
        <v>412</v>
      </c>
    </row>
    <row r="992" spans="51:53">
      <c r="AY992" s="627">
        <v>3994</v>
      </c>
      <c r="AZ992" s="628" t="s">
        <v>4126</v>
      </c>
      <c r="BA992" s="629" t="s">
        <v>412</v>
      </c>
    </row>
    <row r="993" spans="51:53">
      <c r="AY993" s="627">
        <v>3994</v>
      </c>
      <c r="AZ993" s="628" t="s">
        <v>4127</v>
      </c>
      <c r="BA993" s="629" t="s">
        <v>412</v>
      </c>
    </row>
    <row r="994" spans="51:53">
      <c r="AY994" s="627">
        <v>3994</v>
      </c>
      <c r="AZ994" s="628" t="s">
        <v>4128</v>
      </c>
      <c r="BA994" s="629" t="s">
        <v>412</v>
      </c>
    </row>
    <row r="995" spans="51:53">
      <c r="AY995" s="627">
        <v>3995</v>
      </c>
      <c r="AZ995" s="628" t="s">
        <v>4643</v>
      </c>
      <c r="BA995" s="629" t="s">
        <v>412</v>
      </c>
    </row>
    <row r="996" spans="51:53">
      <c r="AY996" s="627">
        <v>3996</v>
      </c>
      <c r="AZ996" s="628" t="s">
        <v>4644</v>
      </c>
      <c r="BA996" s="629" t="s">
        <v>412</v>
      </c>
    </row>
    <row r="997" spans="51:53">
      <c r="AY997" s="627">
        <v>3997</v>
      </c>
      <c r="AZ997" s="628" t="s">
        <v>4645</v>
      </c>
      <c r="BA997" s="629" t="s">
        <v>412</v>
      </c>
    </row>
    <row r="998" spans="51:53">
      <c r="AY998" s="627">
        <v>3997</v>
      </c>
      <c r="AZ998" s="628" t="s">
        <v>4646</v>
      </c>
      <c r="BA998" s="629" t="s">
        <v>412</v>
      </c>
    </row>
    <row r="999" spans="51:53">
      <c r="AY999" s="627">
        <v>3999</v>
      </c>
      <c r="AZ999" s="628" t="s">
        <v>4647</v>
      </c>
      <c r="BA999" s="629" t="s">
        <v>412</v>
      </c>
    </row>
    <row r="1000" spans="51:53">
      <c r="AY1000" s="627">
        <v>4000</v>
      </c>
      <c r="AZ1000" s="628" t="s">
        <v>4648</v>
      </c>
      <c r="BA1000" s="629" t="s">
        <v>4648</v>
      </c>
    </row>
    <row r="1001" spans="51:53">
      <c r="AY1001" s="627">
        <v>4002</v>
      </c>
      <c r="AZ1001" s="628" t="s">
        <v>4648</v>
      </c>
      <c r="BA1001" s="629" t="s">
        <v>4648</v>
      </c>
    </row>
    <row r="1002" spans="51:53">
      <c r="AY1002" s="627">
        <v>4024</v>
      </c>
      <c r="AZ1002" s="628" t="s">
        <v>4648</v>
      </c>
      <c r="BA1002" s="629" t="s">
        <v>4648</v>
      </c>
    </row>
    <row r="1003" spans="51:53">
      <c r="AY1003" s="627">
        <v>4025</v>
      </c>
      <c r="AZ1003" s="628" t="s">
        <v>4648</v>
      </c>
      <c r="BA1003" s="629" t="s">
        <v>4648</v>
      </c>
    </row>
    <row r="1004" spans="51:53">
      <c r="AY1004" s="627">
        <v>4026</v>
      </c>
      <c r="AZ1004" s="628" t="s">
        <v>4648</v>
      </c>
      <c r="BA1004" s="629" t="s">
        <v>4648</v>
      </c>
    </row>
    <row r="1005" spans="51:53">
      <c r="AY1005" s="627">
        <v>4027</v>
      </c>
      <c r="AZ1005" s="628" t="s">
        <v>4648</v>
      </c>
      <c r="BA1005" s="629" t="s">
        <v>4648</v>
      </c>
    </row>
    <row r="1006" spans="51:53">
      <c r="AY1006" s="627">
        <v>4028</v>
      </c>
      <c r="AZ1006" s="628" t="s">
        <v>4648</v>
      </c>
      <c r="BA1006" s="629" t="s">
        <v>4648</v>
      </c>
    </row>
    <row r="1007" spans="51:53">
      <c r="AY1007" s="627">
        <v>4029</v>
      </c>
      <c r="AZ1007" s="628" t="s">
        <v>4648</v>
      </c>
      <c r="BA1007" s="629" t="s">
        <v>4648</v>
      </c>
    </row>
    <row r="1008" spans="51:53">
      <c r="AY1008" s="627">
        <v>4030</v>
      </c>
      <c r="AZ1008" s="628" t="s">
        <v>4648</v>
      </c>
      <c r="BA1008" s="629" t="s">
        <v>4648</v>
      </c>
    </row>
    <row r="1009" spans="51:53">
      <c r="AY1009" s="627">
        <v>4031</v>
      </c>
      <c r="AZ1009" s="628" t="s">
        <v>4648</v>
      </c>
      <c r="BA1009" s="629" t="s">
        <v>4648</v>
      </c>
    </row>
    <row r="1010" spans="51:53">
      <c r="AY1010" s="627">
        <v>4032</v>
      </c>
      <c r="AZ1010" s="628" t="s">
        <v>4648</v>
      </c>
      <c r="BA1010" s="629" t="s">
        <v>4648</v>
      </c>
    </row>
    <row r="1011" spans="51:53">
      <c r="AY1011" s="627">
        <v>4033</v>
      </c>
      <c r="AZ1011" s="630" t="s">
        <v>4648</v>
      </c>
      <c r="BA1011" s="629" t="s">
        <v>4648</v>
      </c>
    </row>
    <row r="1012" spans="51:53">
      <c r="AY1012" s="627">
        <v>4034</v>
      </c>
      <c r="AZ1012" s="630" t="s">
        <v>4648</v>
      </c>
      <c r="BA1012" s="629" t="s">
        <v>4648</v>
      </c>
    </row>
    <row r="1013" spans="51:53">
      <c r="AY1013" s="627">
        <v>4060</v>
      </c>
      <c r="AZ1013" s="630" t="s">
        <v>4652</v>
      </c>
      <c r="BA1013" s="629" t="s">
        <v>434</v>
      </c>
    </row>
    <row r="1014" spans="51:53">
      <c r="AY1014" s="627">
        <v>4063</v>
      </c>
      <c r="AZ1014" s="630" t="s">
        <v>4648</v>
      </c>
      <c r="BA1014" s="629" t="s">
        <v>4648</v>
      </c>
    </row>
    <row r="1015" spans="51:53">
      <c r="AY1015" s="627">
        <v>4064</v>
      </c>
      <c r="AZ1015" s="630" t="s">
        <v>4654</v>
      </c>
      <c r="BA1015" s="629" t="s">
        <v>434</v>
      </c>
    </row>
    <row r="1016" spans="51:53">
      <c r="AY1016" s="627">
        <v>4065</v>
      </c>
      <c r="AZ1016" s="630" t="s">
        <v>4655</v>
      </c>
      <c r="BA1016" s="629" t="s">
        <v>434</v>
      </c>
    </row>
    <row r="1017" spans="51:53">
      <c r="AY1017" s="627">
        <v>4066</v>
      </c>
      <c r="AZ1017" s="630" t="s">
        <v>4656</v>
      </c>
      <c r="BA1017" s="629" t="s">
        <v>434</v>
      </c>
    </row>
    <row r="1018" spans="51:53">
      <c r="AY1018" s="627">
        <v>4067</v>
      </c>
      <c r="AZ1018" s="630" t="s">
        <v>4658</v>
      </c>
      <c r="BA1018" s="629" t="s">
        <v>434</v>
      </c>
    </row>
    <row r="1019" spans="51:53">
      <c r="AY1019" s="627">
        <v>4069</v>
      </c>
      <c r="AZ1019" s="630" t="s">
        <v>4658</v>
      </c>
      <c r="BA1019" s="629" t="s">
        <v>434</v>
      </c>
    </row>
    <row r="1020" spans="51:53">
      <c r="AY1020" s="627">
        <v>4071</v>
      </c>
      <c r="AZ1020" s="630" t="s">
        <v>4659</v>
      </c>
      <c r="BA1020" s="629" t="s">
        <v>434</v>
      </c>
    </row>
    <row r="1021" spans="51:53">
      <c r="AY1021" s="627">
        <v>4074</v>
      </c>
      <c r="AZ1021" s="630" t="s">
        <v>4673</v>
      </c>
      <c r="BA1021" s="629" t="s">
        <v>434</v>
      </c>
    </row>
    <row r="1022" spans="51:53">
      <c r="AY1022" s="627">
        <v>4075</v>
      </c>
      <c r="AZ1022" s="630" t="s">
        <v>4668</v>
      </c>
      <c r="BA1022" s="629" t="s">
        <v>434</v>
      </c>
    </row>
    <row r="1023" spans="51:53">
      <c r="AY1023" s="627">
        <v>4078</v>
      </c>
      <c r="AZ1023" s="630" t="s">
        <v>4648</v>
      </c>
      <c r="BA1023" s="629" t="s">
        <v>4648</v>
      </c>
    </row>
    <row r="1024" spans="51:53">
      <c r="AY1024" s="627">
        <v>4079</v>
      </c>
      <c r="AZ1024" s="628" t="s">
        <v>4648</v>
      </c>
      <c r="BA1024" s="629" t="s">
        <v>4648</v>
      </c>
    </row>
    <row r="1025" spans="51:53">
      <c r="AY1025" s="627">
        <v>4080</v>
      </c>
      <c r="AZ1025" s="630" t="s">
        <v>4671</v>
      </c>
      <c r="BA1025" s="629" t="s">
        <v>434</v>
      </c>
    </row>
    <row r="1026" spans="51:53">
      <c r="AY1026" s="627">
        <v>4085</v>
      </c>
      <c r="AZ1026" s="628" t="s">
        <v>4671</v>
      </c>
      <c r="BA1026" s="629" t="s">
        <v>434</v>
      </c>
    </row>
    <row r="1027" spans="51:53">
      <c r="AY1027" s="627">
        <v>4086</v>
      </c>
      <c r="AZ1027" s="628" t="s">
        <v>4673</v>
      </c>
      <c r="BA1027" s="629" t="s">
        <v>434</v>
      </c>
    </row>
    <row r="1028" spans="51:53">
      <c r="AY1028" s="627">
        <v>4087</v>
      </c>
      <c r="AZ1028" s="628" t="s">
        <v>4674</v>
      </c>
      <c r="BA1028" s="629" t="s">
        <v>434</v>
      </c>
    </row>
    <row r="1029" spans="51:53">
      <c r="AY1029" s="627">
        <v>4090</v>
      </c>
      <c r="AZ1029" s="628" t="s">
        <v>4675</v>
      </c>
      <c r="BA1029" s="629" t="s">
        <v>434</v>
      </c>
    </row>
    <row r="1030" spans="51:53">
      <c r="AY1030" s="627">
        <v>4090</v>
      </c>
      <c r="AZ1030" s="628" t="s">
        <v>3321</v>
      </c>
      <c r="BA1030" s="629" t="s">
        <v>434</v>
      </c>
    </row>
    <row r="1031" spans="51:53">
      <c r="AY1031" s="627">
        <v>4096</v>
      </c>
      <c r="AZ1031" s="628" t="s">
        <v>4676</v>
      </c>
      <c r="BA1031" s="629" t="s">
        <v>434</v>
      </c>
    </row>
    <row r="1032" spans="51:53">
      <c r="AY1032" s="627">
        <v>4097</v>
      </c>
      <c r="AZ1032" s="628" t="s">
        <v>4677</v>
      </c>
      <c r="BA1032" s="629" t="s">
        <v>434</v>
      </c>
    </row>
    <row r="1033" spans="51:53">
      <c r="AY1033" s="627">
        <v>4100</v>
      </c>
      <c r="AZ1033" s="628" t="s">
        <v>4678</v>
      </c>
      <c r="BA1033" s="629" t="s">
        <v>434</v>
      </c>
    </row>
    <row r="1034" spans="51:53">
      <c r="AY1034" s="627">
        <v>4103</v>
      </c>
      <c r="AZ1034" s="630" t="s">
        <v>4678</v>
      </c>
      <c r="BA1034" s="629" t="s">
        <v>434</v>
      </c>
    </row>
    <row r="1035" spans="51:53">
      <c r="AY1035" s="627">
        <v>4110</v>
      </c>
      <c r="AZ1035" s="630" t="s">
        <v>2663</v>
      </c>
      <c r="BA1035" s="629" t="s">
        <v>434</v>
      </c>
    </row>
    <row r="1036" spans="51:53">
      <c r="AY1036" s="627">
        <v>4114</v>
      </c>
      <c r="AZ1036" s="628" t="s">
        <v>2664</v>
      </c>
      <c r="BA1036" s="629" t="s">
        <v>434</v>
      </c>
    </row>
    <row r="1037" spans="51:53">
      <c r="AY1037" s="627">
        <v>4115</v>
      </c>
      <c r="AZ1037" s="630" t="s">
        <v>2665</v>
      </c>
      <c r="BA1037" s="630" t="s">
        <v>434</v>
      </c>
    </row>
    <row r="1038" spans="51:53">
      <c r="AY1038" s="627">
        <v>4116</v>
      </c>
      <c r="AZ1038" s="628" t="s">
        <v>2666</v>
      </c>
      <c r="BA1038" s="629" t="s">
        <v>434</v>
      </c>
    </row>
    <row r="1039" spans="51:53">
      <c r="AY1039" s="627">
        <v>4117</v>
      </c>
      <c r="AZ1039" s="628" t="s">
        <v>2667</v>
      </c>
      <c r="BA1039" s="629" t="s">
        <v>434</v>
      </c>
    </row>
    <row r="1040" spans="51:53">
      <c r="AY1040" s="627">
        <v>4118</v>
      </c>
      <c r="AZ1040" s="628" t="s">
        <v>2668</v>
      </c>
      <c r="BA1040" s="629" t="s">
        <v>434</v>
      </c>
    </row>
    <row r="1041" spans="51:53">
      <c r="AY1041" s="627">
        <v>4119</v>
      </c>
      <c r="AZ1041" s="628" t="s">
        <v>2669</v>
      </c>
      <c r="BA1041" s="629" t="s">
        <v>434</v>
      </c>
    </row>
    <row r="1042" spans="51:53">
      <c r="AY1042" s="627">
        <v>4121</v>
      </c>
      <c r="AZ1042" s="628" t="s">
        <v>2670</v>
      </c>
      <c r="BA1042" s="629" t="s">
        <v>434</v>
      </c>
    </row>
    <row r="1043" spans="51:53">
      <c r="AY1043" s="627">
        <v>4122</v>
      </c>
      <c r="AZ1043" s="628" t="s">
        <v>2671</v>
      </c>
      <c r="BA1043" s="629" t="s">
        <v>434</v>
      </c>
    </row>
    <row r="1044" spans="51:53">
      <c r="AY1044" s="627">
        <v>4123</v>
      </c>
      <c r="AZ1044" s="628" t="s">
        <v>2672</v>
      </c>
      <c r="BA1044" s="629" t="s">
        <v>434</v>
      </c>
    </row>
    <row r="1045" spans="51:53">
      <c r="AY1045" s="627">
        <v>4124</v>
      </c>
      <c r="AZ1045" s="628" t="s">
        <v>2673</v>
      </c>
      <c r="BA1045" s="629" t="s">
        <v>434</v>
      </c>
    </row>
    <row r="1046" spans="51:53">
      <c r="AY1046" s="627">
        <v>4125</v>
      </c>
      <c r="AZ1046" s="628" t="s">
        <v>2674</v>
      </c>
      <c r="BA1046" s="629" t="s">
        <v>434</v>
      </c>
    </row>
    <row r="1047" spans="51:53">
      <c r="AY1047" s="627">
        <v>4126</v>
      </c>
      <c r="AZ1047" s="628" t="s">
        <v>2675</v>
      </c>
      <c r="BA1047" s="629" t="s">
        <v>434</v>
      </c>
    </row>
    <row r="1048" spans="51:53">
      <c r="AY1048" s="627">
        <v>4127</v>
      </c>
      <c r="AZ1048" s="628" t="s">
        <v>2676</v>
      </c>
      <c r="BA1048" s="629" t="s">
        <v>434</v>
      </c>
    </row>
    <row r="1049" spans="51:53">
      <c r="AY1049" s="627">
        <v>4128</v>
      </c>
      <c r="AZ1049" s="628" t="s">
        <v>2677</v>
      </c>
      <c r="BA1049" s="629" t="s">
        <v>434</v>
      </c>
    </row>
    <row r="1050" spans="51:53">
      <c r="AY1050" s="627">
        <v>4130</v>
      </c>
      <c r="AZ1050" s="628" t="s">
        <v>2678</v>
      </c>
      <c r="BA1050" s="629" t="s">
        <v>434</v>
      </c>
    </row>
    <row r="1051" spans="51:53">
      <c r="AY1051" s="627">
        <v>4132</v>
      </c>
      <c r="AZ1051" s="628" t="s">
        <v>2679</v>
      </c>
      <c r="BA1051" s="629" t="s">
        <v>434</v>
      </c>
    </row>
    <row r="1052" spans="51:53">
      <c r="AY1052" s="627">
        <v>4133</v>
      </c>
      <c r="AZ1052" s="628" t="s">
        <v>2680</v>
      </c>
      <c r="BA1052" s="629" t="s">
        <v>434</v>
      </c>
    </row>
    <row r="1053" spans="51:53">
      <c r="AY1053" s="627">
        <v>4134</v>
      </c>
      <c r="AZ1053" s="628" t="s">
        <v>2681</v>
      </c>
      <c r="BA1053" s="629" t="s">
        <v>434</v>
      </c>
    </row>
    <row r="1054" spans="51:53">
      <c r="AY1054" s="627">
        <v>4135</v>
      </c>
      <c r="AZ1054" s="628" t="s">
        <v>3433</v>
      </c>
      <c r="BA1054" s="629" t="s">
        <v>434</v>
      </c>
    </row>
    <row r="1055" spans="51:53">
      <c r="AY1055" s="627">
        <v>4136</v>
      </c>
      <c r="AZ1055" s="628" t="s">
        <v>3434</v>
      </c>
      <c r="BA1055" s="629" t="s">
        <v>434</v>
      </c>
    </row>
    <row r="1056" spans="51:53">
      <c r="AY1056" s="627">
        <v>4137</v>
      </c>
      <c r="AZ1056" s="628" t="s">
        <v>3435</v>
      </c>
      <c r="BA1056" s="629" t="s">
        <v>434</v>
      </c>
    </row>
    <row r="1057" spans="51:53">
      <c r="AY1057" s="627">
        <v>4138</v>
      </c>
      <c r="AZ1057" s="628" t="s">
        <v>3436</v>
      </c>
      <c r="BA1057" s="629" t="s">
        <v>434</v>
      </c>
    </row>
    <row r="1058" spans="51:53">
      <c r="AY1058" s="627">
        <v>4141</v>
      </c>
      <c r="AZ1058" s="628" t="s">
        <v>3437</v>
      </c>
      <c r="BA1058" s="629" t="s">
        <v>434</v>
      </c>
    </row>
    <row r="1059" spans="51:53">
      <c r="AY1059" s="627">
        <v>4142</v>
      </c>
      <c r="AZ1059" s="628" t="s">
        <v>3438</v>
      </c>
      <c r="BA1059" s="629" t="s">
        <v>434</v>
      </c>
    </row>
    <row r="1060" spans="51:53">
      <c r="AY1060" s="627">
        <v>4143</v>
      </c>
      <c r="AZ1060" s="628" t="s">
        <v>3439</v>
      </c>
      <c r="BA1060" s="629" t="s">
        <v>434</v>
      </c>
    </row>
    <row r="1061" spans="51:53">
      <c r="AY1061" s="627">
        <v>4144</v>
      </c>
      <c r="AZ1061" s="628" t="s">
        <v>3440</v>
      </c>
      <c r="BA1061" s="629" t="s">
        <v>434</v>
      </c>
    </row>
    <row r="1062" spans="51:53">
      <c r="AY1062" s="627">
        <v>4145</v>
      </c>
      <c r="AZ1062" s="628" t="s">
        <v>3441</v>
      </c>
      <c r="BA1062" s="629" t="s">
        <v>434</v>
      </c>
    </row>
    <row r="1063" spans="51:53">
      <c r="AY1063" s="627">
        <v>4146</v>
      </c>
      <c r="AZ1063" s="628" t="s">
        <v>3442</v>
      </c>
      <c r="BA1063" s="629" t="s">
        <v>434</v>
      </c>
    </row>
    <row r="1064" spans="51:53">
      <c r="AY1064" s="627">
        <v>4150</v>
      </c>
      <c r="AZ1064" s="628" t="s">
        <v>3443</v>
      </c>
      <c r="BA1064" s="629" t="s">
        <v>434</v>
      </c>
    </row>
    <row r="1065" spans="51:53">
      <c r="AY1065" s="627">
        <v>4161</v>
      </c>
      <c r="AZ1065" s="628" t="s">
        <v>3444</v>
      </c>
      <c r="BA1065" s="629" t="s">
        <v>434</v>
      </c>
    </row>
    <row r="1066" spans="51:53">
      <c r="AY1066" s="627">
        <v>4162</v>
      </c>
      <c r="AZ1066" s="628" t="s">
        <v>3446</v>
      </c>
      <c r="BA1066" s="629" t="s">
        <v>434</v>
      </c>
    </row>
    <row r="1067" spans="51:53">
      <c r="AY1067" s="627">
        <v>4163</v>
      </c>
      <c r="AZ1067" s="628" t="s">
        <v>3446</v>
      </c>
      <c r="BA1067" s="629" t="s">
        <v>434</v>
      </c>
    </row>
    <row r="1068" spans="51:53">
      <c r="AY1068" s="627">
        <v>4164</v>
      </c>
      <c r="AZ1068" s="628" t="s">
        <v>3447</v>
      </c>
      <c r="BA1068" s="629" t="s">
        <v>434</v>
      </c>
    </row>
    <row r="1069" spans="51:53">
      <c r="AY1069" s="627">
        <v>4171</v>
      </c>
      <c r="AZ1069" s="628" t="s">
        <v>3448</v>
      </c>
      <c r="BA1069" s="629" t="s">
        <v>434</v>
      </c>
    </row>
    <row r="1070" spans="51:53">
      <c r="AY1070" s="627">
        <v>4172</v>
      </c>
      <c r="AZ1070" s="628" t="s">
        <v>1834</v>
      </c>
      <c r="BA1070" s="629" t="s">
        <v>434</v>
      </c>
    </row>
    <row r="1071" spans="51:53">
      <c r="AY1071" s="627">
        <v>4173</v>
      </c>
      <c r="AZ1071" s="628" t="s">
        <v>1835</v>
      </c>
      <c r="BA1071" s="629" t="s">
        <v>434</v>
      </c>
    </row>
    <row r="1072" spans="51:53">
      <c r="AY1072" s="627">
        <v>4174</v>
      </c>
      <c r="AZ1072" s="628" t="s">
        <v>1836</v>
      </c>
      <c r="BA1072" s="629" t="s">
        <v>434</v>
      </c>
    </row>
    <row r="1073" spans="51:53">
      <c r="AY1073" s="627">
        <v>4175</v>
      </c>
      <c r="AZ1073" s="628" t="s">
        <v>1837</v>
      </c>
      <c r="BA1073" s="629" t="s">
        <v>434</v>
      </c>
    </row>
    <row r="1074" spans="51:53">
      <c r="AY1074" s="627">
        <v>4176</v>
      </c>
      <c r="AZ1074" s="628" t="s">
        <v>1838</v>
      </c>
      <c r="BA1074" s="629" t="s">
        <v>434</v>
      </c>
    </row>
    <row r="1075" spans="51:53">
      <c r="AY1075" s="627">
        <v>4177</v>
      </c>
      <c r="AZ1075" s="628" t="s">
        <v>1839</v>
      </c>
      <c r="BA1075" s="629" t="s">
        <v>434</v>
      </c>
    </row>
    <row r="1076" spans="51:53">
      <c r="AY1076" s="627">
        <v>4181</v>
      </c>
      <c r="AZ1076" s="628" t="s">
        <v>1840</v>
      </c>
      <c r="BA1076" s="629" t="s">
        <v>434</v>
      </c>
    </row>
    <row r="1077" spans="51:53">
      <c r="AY1077" s="627">
        <v>4183</v>
      </c>
      <c r="AZ1077" s="628" t="s">
        <v>1841</v>
      </c>
      <c r="BA1077" s="629" t="s">
        <v>434</v>
      </c>
    </row>
    <row r="1078" spans="51:53">
      <c r="AY1078" s="627">
        <v>4184</v>
      </c>
      <c r="AZ1078" s="628" t="s">
        <v>1842</v>
      </c>
      <c r="BA1078" s="629" t="s">
        <v>434</v>
      </c>
    </row>
    <row r="1079" spans="51:53">
      <c r="AY1079" s="692">
        <v>4200</v>
      </c>
      <c r="AZ1079" s="628" t="s">
        <v>1843</v>
      </c>
      <c r="BA1079" s="629" t="s">
        <v>434</v>
      </c>
    </row>
    <row r="1080" spans="51:53">
      <c r="AY1080" s="627">
        <v>4211</v>
      </c>
      <c r="AZ1080" s="628" t="s">
        <v>1844</v>
      </c>
      <c r="BA1080" s="629" t="s">
        <v>434</v>
      </c>
    </row>
    <row r="1081" spans="51:53">
      <c r="AY1081" s="627">
        <v>4212</v>
      </c>
      <c r="AZ1081" s="628" t="s">
        <v>1845</v>
      </c>
      <c r="BA1081" s="629" t="s">
        <v>434</v>
      </c>
    </row>
    <row r="1082" spans="51:53">
      <c r="AY1082" s="627">
        <v>4220</v>
      </c>
      <c r="AZ1082" s="628" t="s">
        <v>4673</v>
      </c>
      <c r="BA1082" s="629" t="s">
        <v>434</v>
      </c>
    </row>
    <row r="1083" spans="51:53">
      <c r="AY1083" s="627">
        <v>4224</v>
      </c>
      <c r="AZ1083" s="628" t="s">
        <v>4673</v>
      </c>
      <c r="BA1083" s="629" t="s">
        <v>434</v>
      </c>
    </row>
    <row r="1084" spans="51:53">
      <c r="AY1084" s="627">
        <v>4225</v>
      </c>
      <c r="AZ1084" s="628" t="s">
        <v>4648</v>
      </c>
      <c r="BA1084" s="629" t="s">
        <v>4648</v>
      </c>
    </row>
    <row r="1085" spans="51:53">
      <c r="AY1085" s="627">
        <v>4231</v>
      </c>
      <c r="AZ1085" s="628" t="s">
        <v>1848</v>
      </c>
      <c r="BA1085" s="629" t="s">
        <v>428</v>
      </c>
    </row>
    <row r="1086" spans="51:53">
      <c r="AY1086" s="627">
        <v>4232</v>
      </c>
      <c r="AZ1086" s="628" t="s">
        <v>1849</v>
      </c>
      <c r="BA1086" s="629" t="s">
        <v>428</v>
      </c>
    </row>
    <row r="1087" spans="51:53">
      <c r="AY1087" s="627">
        <v>4233</v>
      </c>
      <c r="AZ1087" s="628" t="s">
        <v>1850</v>
      </c>
      <c r="BA1087" s="629" t="s">
        <v>428</v>
      </c>
    </row>
    <row r="1088" spans="51:53">
      <c r="AY1088" s="627">
        <v>4234</v>
      </c>
      <c r="AZ1088" s="628" t="s">
        <v>1851</v>
      </c>
      <c r="BA1088" s="629" t="s">
        <v>428</v>
      </c>
    </row>
    <row r="1089" spans="51:53">
      <c r="AY1089" s="627">
        <v>4235</v>
      </c>
      <c r="AZ1089" s="628" t="s">
        <v>1852</v>
      </c>
      <c r="BA1089" s="629" t="s">
        <v>428</v>
      </c>
    </row>
    <row r="1090" spans="51:53">
      <c r="AY1090" s="627">
        <v>4241</v>
      </c>
      <c r="AZ1090" s="628" t="s">
        <v>1853</v>
      </c>
      <c r="BA1090" s="629" t="s">
        <v>434</v>
      </c>
    </row>
    <row r="1091" spans="51:53">
      <c r="AY1091" s="627">
        <v>4242</v>
      </c>
      <c r="AZ1091" s="628" t="s">
        <v>1854</v>
      </c>
      <c r="BA1091" s="629" t="s">
        <v>434</v>
      </c>
    </row>
    <row r="1092" spans="51:53">
      <c r="AY1092" s="627">
        <v>4243</v>
      </c>
      <c r="AZ1092" s="628" t="s">
        <v>1855</v>
      </c>
      <c r="BA1092" s="629" t="s">
        <v>434</v>
      </c>
    </row>
    <row r="1093" spans="51:53">
      <c r="AY1093" s="627">
        <v>4244</v>
      </c>
      <c r="AZ1093" s="628" t="s">
        <v>1856</v>
      </c>
      <c r="BA1093" s="629" t="s">
        <v>428</v>
      </c>
    </row>
    <row r="1094" spans="51:53">
      <c r="AY1094" s="627">
        <v>4245</v>
      </c>
      <c r="AZ1094" s="628" t="s">
        <v>2533</v>
      </c>
      <c r="BA1094" s="629" t="s">
        <v>428</v>
      </c>
    </row>
    <row r="1095" spans="51:53">
      <c r="AY1095" s="627">
        <v>4246</v>
      </c>
      <c r="AZ1095" s="628" t="s">
        <v>2589</v>
      </c>
      <c r="BA1095" s="629" t="s">
        <v>2589</v>
      </c>
    </row>
    <row r="1096" spans="51:53">
      <c r="AY1096" s="627">
        <v>4251</v>
      </c>
      <c r="AZ1096" s="628" t="s">
        <v>2535</v>
      </c>
      <c r="BA1096" s="629" t="s">
        <v>434</v>
      </c>
    </row>
    <row r="1097" spans="51:53">
      <c r="AY1097" s="627">
        <v>4252</v>
      </c>
      <c r="AZ1097" s="630" t="s">
        <v>2538</v>
      </c>
      <c r="BA1097" s="629" t="s">
        <v>434</v>
      </c>
    </row>
    <row r="1098" spans="51:53">
      <c r="AY1098" s="627">
        <v>4253</v>
      </c>
      <c r="AZ1098" s="628" t="s">
        <v>2538</v>
      </c>
      <c r="BA1098" s="629" t="s">
        <v>434</v>
      </c>
    </row>
    <row r="1099" spans="51:53">
      <c r="AY1099" s="627">
        <v>4254</v>
      </c>
      <c r="AZ1099" s="628" t="s">
        <v>2538</v>
      </c>
      <c r="BA1099" s="629" t="s">
        <v>434</v>
      </c>
    </row>
    <row r="1100" spans="51:53">
      <c r="AY1100" s="627">
        <v>4262</v>
      </c>
      <c r="AZ1100" s="628" t="s">
        <v>2539</v>
      </c>
      <c r="BA1100" s="629" t="s">
        <v>434</v>
      </c>
    </row>
    <row r="1101" spans="51:53">
      <c r="AY1101" s="627">
        <v>4263</v>
      </c>
      <c r="AZ1101" s="628" t="s">
        <v>2540</v>
      </c>
      <c r="BA1101" s="629" t="s">
        <v>434</v>
      </c>
    </row>
    <row r="1102" spans="51:53">
      <c r="AY1102" s="627">
        <v>4264</v>
      </c>
      <c r="AZ1102" s="628" t="s">
        <v>2541</v>
      </c>
      <c r="BA1102" s="629" t="s">
        <v>434</v>
      </c>
    </row>
    <row r="1103" spans="51:53">
      <c r="AY1103" s="627">
        <v>4266</v>
      </c>
      <c r="AZ1103" s="628" t="s">
        <v>2542</v>
      </c>
      <c r="BA1103" s="629" t="s">
        <v>434</v>
      </c>
    </row>
    <row r="1104" spans="51:53">
      <c r="AY1104" s="627">
        <v>4267</v>
      </c>
      <c r="AZ1104" s="628" t="s">
        <v>2543</v>
      </c>
      <c r="BA1104" s="629" t="s">
        <v>428</v>
      </c>
    </row>
    <row r="1105" spans="51:53">
      <c r="AY1105" s="627">
        <v>4271</v>
      </c>
      <c r="AZ1105" s="628" t="s">
        <v>2544</v>
      </c>
      <c r="BA1105" s="629" t="s">
        <v>434</v>
      </c>
    </row>
    <row r="1106" spans="51:53">
      <c r="AY1106" s="627">
        <v>4272</v>
      </c>
      <c r="AZ1106" s="628" t="s">
        <v>2545</v>
      </c>
      <c r="BA1106" s="629" t="s">
        <v>434</v>
      </c>
    </row>
    <row r="1107" spans="51:53">
      <c r="AY1107" s="627">
        <v>4273</v>
      </c>
      <c r="AZ1107" s="628" t="s">
        <v>2546</v>
      </c>
      <c r="BA1107" s="629" t="s">
        <v>434</v>
      </c>
    </row>
    <row r="1108" spans="51:53">
      <c r="AY1108" s="627">
        <v>4274</v>
      </c>
      <c r="AZ1108" s="630" t="s">
        <v>2547</v>
      </c>
      <c r="BA1108" s="629" t="s">
        <v>434</v>
      </c>
    </row>
    <row r="1109" spans="51:53">
      <c r="AY1109" s="627">
        <v>4275</v>
      </c>
      <c r="AZ1109" s="628" t="s">
        <v>2548</v>
      </c>
      <c r="BA1109" s="629" t="s">
        <v>434</v>
      </c>
    </row>
    <row r="1110" spans="51:53">
      <c r="AY1110" s="627">
        <v>4281</v>
      </c>
      <c r="AZ1110" s="628" t="s">
        <v>2550</v>
      </c>
      <c r="BA1110" s="629" t="s">
        <v>434</v>
      </c>
    </row>
    <row r="1111" spans="51:53">
      <c r="AY1111" s="627">
        <v>4283</v>
      </c>
      <c r="AZ1111" s="628" t="s">
        <v>2550</v>
      </c>
      <c r="BA1111" s="629" t="s">
        <v>434</v>
      </c>
    </row>
    <row r="1112" spans="51:53">
      <c r="AY1112" s="627">
        <v>4284</v>
      </c>
      <c r="AZ1112" s="628" t="s">
        <v>2551</v>
      </c>
      <c r="BA1112" s="629" t="s">
        <v>434</v>
      </c>
    </row>
    <row r="1113" spans="51:53">
      <c r="AY1113" s="627">
        <v>4285</v>
      </c>
      <c r="AZ1113" s="628" t="s">
        <v>2552</v>
      </c>
      <c r="BA1113" s="629" t="s">
        <v>434</v>
      </c>
    </row>
    <row r="1114" spans="51:53">
      <c r="AY1114" s="627">
        <v>4286</v>
      </c>
      <c r="AZ1114" s="628" t="s">
        <v>2553</v>
      </c>
      <c r="BA1114" s="629" t="s">
        <v>434</v>
      </c>
    </row>
    <row r="1115" spans="51:53">
      <c r="AY1115" s="627">
        <v>4287</v>
      </c>
      <c r="AZ1115" s="628" t="s">
        <v>2554</v>
      </c>
      <c r="BA1115" s="629" t="s">
        <v>434</v>
      </c>
    </row>
    <row r="1116" spans="51:53">
      <c r="AY1116" s="627">
        <v>4288</v>
      </c>
      <c r="AZ1116" s="628" t="s">
        <v>2555</v>
      </c>
      <c r="BA1116" s="629" t="s">
        <v>434</v>
      </c>
    </row>
    <row r="1117" spans="51:53">
      <c r="AY1117" s="627">
        <v>4300</v>
      </c>
      <c r="AZ1117" s="628" t="s">
        <v>2556</v>
      </c>
      <c r="BA1117" s="629" t="s">
        <v>428</v>
      </c>
    </row>
    <row r="1118" spans="51:53">
      <c r="AY1118" s="627">
        <v>4311</v>
      </c>
      <c r="AZ1118" s="628" t="s">
        <v>2557</v>
      </c>
      <c r="BA1118" s="629" t="s">
        <v>428</v>
      </c>
    </row>
    <row r="1119" spans="51:53">
      <c r="AY1119" s="627">
        <v>4320</v>
      </c>
      <c r="AZ1119" s="628" t="s">
        <v>2558</v>
      </c>
      <c r="BA1119" s="629" t="s">
        <v>428</v>
      </c>
    </row>
    <row r="1120" spans="51:53">
      <c r="AY1120" s="627">
        <v>4324</v>
      </c>
      <c r="AZ1120" s="628" t="s">
        <v>2559</v>
      </c>
      <c r="BA1120" s="629" t="s">
        <v>428</v>
      </c>
    </row>
    <row r="1121" spans="51:53">
      <c r="AY1121" s="627">
        <v>4325</v>
      </c>
      <c r="AZ1121" s="628" t="s">
        <v>2560</v>
      </c>
      <c r="BA1121" s="629" t="s">
        <v>428</v>
      </c>
    </row>
    <row r="1122" spans="51:53">
      <c r="AY1122" s="627">
        <v>4326</v>
      </c>
      <c r="AZ1122" s="628" t="s">
        <v>2561</v>
      </c>
      <c r="BA1122" s="629" t="s">
        <v>428</v>
      </c>
    </row>
    <row r="1123" spans="51:53">
      <c r="AY1123" s="627">
        <v>4327</v>
      </c>
      <c r="AZ1123" s="628" t="s">
        <v>2562</v>
      </c>
      <c r="BA1123" s="629" t="s">
        <v>428</v>
      </c>
    </row>
    <row r="1124" spans="51:53">
      <c r="AY1124" s="627">
        <v>4331</v>
      </c>
      <c r="AZ1124" s="628" t="s">
        <v>2563</v>
      </c>
      <c r="BA1124" s="629" t="s">
        <v>428</v>
      </c>
    </row>
    <row r="1125" spans="51:53">
      <c r="AY1125" s="627">
        <v>4332</v>
      </c>
      <c r="AZ1125" s="628" t="s">
        <v>2564</v>
      </c>
      <c r="BA1125" s="629" t="s">
        <v>428</v>
      </c>
    </row>
    <row r="1126" spans="51:53">
      <c r="AY1126" s="627">
        <v>4333</v>
      </c>
      <c r="AZ1126" s="628" t="s">
        <v>2565</v>
      </c>
      <c r="BA1126" s="629" t="s">
        <v>428</v>
      </c>
    </row>
    <row r="1127" spans="51:53">
      <c r="AY1127" s="627">
        <v>4334</v>
      </c>
      <c r="AZ1127" s="628" t="s">
        <v>2566</v>
      </c>
      <c r="BA1127" s="629" t="s">
        <v>428</v>
      </c>
    </row>
    <row r="1128" spans="51:53">
      <c r="AY1128" s="627">
        <v>4335</v>
      </c>
      <c r="AZ1128" s="628" t="s">
        <v>2567</v>
      </c>
      <c r="BA1128" s="629" t="s">
        <v>428</v>
      </c>
    </row>
    <row r="1129" spans="51:53">
      <c r="AY1129" s="627">
        <v>4336</v>
      </c>
      <c r="AZ1129" s="628" t="s">
        <v>2568</v>
      </c>
      <c r="BA1129" s="629" t="s">
        <v>428</v>
      </c>
    </row>
    <row r="1130" spans="51:53">
      <c r="AY1130" s="627">
        <v>4337</v>
      </c>
      <c r="AZ1130" s="628" t="s">
        <v>2569</v>
      </c>
      <c r="BA1130" s="629" t="s">
        <v>428</v>
      </c>
    </row>
    <row r="1131" spans="51:53">
      <c r="AY1131" s="627">
        <v>4338</v>
      </c>
      <c r="AZ1131" s="628" t="s">
        <v>2570</v>
      </c>
      <c r="BA1131" s="629" t="s">
        <v>428</v>
      </c>
    </row>
    <row r="1132" spans="51:53">
      <c r="AY1132" s="627">
        <v>4341</v>
      </c>
      <c r="AZ1132" s="628" t="s">
        <v>2571</v>
      </c>
      <c r="BA1132" s="629" t="s">
        <v>428</v>
      </c>
    </row>
    <row r="1133" spans="51:53">
      <c r="AY1133" s="627">
        <v>4342</v>
      </c>
      <c r="AZ1133" s="628" t="s">
        <v>2572</v>
      </c>
      <c r="BA1133" s="629" t="s">
        <v>428</v>
      </c>
    </row>
    <row r="1134" spans="51:53">
      <c r="AY1134" s="627">
        <v>4343</v>
      </c>
      <c r="AZ1134" s="628" t="s">
        <v>2573</v>
      </c>
      <c r="BA1134" s="629" t="s">
        <v>428</v>
      </c>
    </row>
    <row r="1135" spans="51:53">
      <c r="AY1135" s="627">
        <v>4351</v>
      </c>
      <c r="AZ1135" s="628" t="s">
        <v>2574</v>
      </c>
      <c r="BA1135" s="629" t="s">
        <v>428</v>
      </c>
    </row>
    <row r="1136" spans="51:53">
      <c r="AY1136" s="627">
        <v>4352</v>
      </c>
      <c r="AZ1136" s="628" t="s">
        <v>2575</v>
      </c>
      <c r="BA1136" s="629" t="s">
        <v>428</v>
      </c>
    </row>
    <row r="1137" spans="51:53">
      <c r="AY1137" s="627">
        <v>4353</v>
      </c>
      <c r="AZ1137" s="628" t="s">
        <v>2576</v>
      </c>
      <c r="BA1137" s="629" t="s">
        <v>428</v>
      </c>
    </row>
    <row r="1138" spans="51:53">
      <c r="AY1138" s="627">
        <v>4354</v>
      </c>
      <c r="AZ1138" s="628" t="s">
        <v>2577</v>
      </c>
      <c r="BA1138" s="629" t="s">
        <v>428</v>
      </c>
    </row>
    <row r="1139" spans="51:53">
      <c r="AY1139" s="627">
        <v>4355</v>
      </c>
      <c r="AZ1139" s="628" t="s">
        <v>2578</v>
      </c>
      <c r="BA1139" s="629" t="s">
        <v>428</v>
      </c>
    </row>
    <row r="1140" spans="51:53">
      <c r="AY1140" s="627">
        <v>4356</v>
      </c>
      <c r="AZ1140" s="628" t="s">
        <v>2579</v>
      </c>
      <c r="BA1140" s="629" t="s">
        <v>428</v>
      </c>
    </row>
    <row r="1141" spans="51:53">
      <c r="AY1141" s="627">
        <v>4361</v>
      </c>
      <c r="AZ1141" s="628" t="s">
        <v>2580</v>
      </c>
      <c r="BA1141" s="629" t="s">
        <v>428</v>
      </c>
    </row>
    <row r="1142" spans="51:53">
      <c r="AY1142" s="627">
        <v>4362</v>
      </c>
      <c r="AZ1142" s="628" t="s">
        <v>2581</v>
      </c>
      <c r="BA1142" s="629" t="s">
        <v>428</v>
      </c>
    </row>
    <row r="1143" spans="51:53">
      <c r="AY1143" s="627">
        <v>4363</v>
      </c>
      <c r="AZ1143" s="628" t="s">
        <v>2582</v>
      </c>
      <c r="BA1143" s="629" t="s">
        <v>428</v>
      </c>
    </row>
    <row r="1144" spans="51:53">
      <c r="AY1144" s="627">
        <v>4371</v>
      </c>
      <c r="AZ1144" s="628" t="s">
        <v>2583</v>
      </c>
      <c r="BA1144" s="629" t="s">
        <v>428</v>
      </c>
    </row>
    <row r="1145" spans="51:53">
      <c r="AY1145" s="627">
        <v>4372</v>
      </c>
      <c r="AZ1145" s="628" t="s">
        <v>2584</v>
      </c>
      <c r="BA1145" s="629" t="s">
        <v>428</v>
      </c>
    </row>
    <row r="1146" spans="51:53">
      <c r="AY1146" s="627">
        <v>4373</v>
      </c>
      <c r="AZ1146" s="628" t="s">
        <v>2585</v>
      </c>
      <c r="BA1146" s="629" t="s">
        <v>428</v>
      </c>
    </row>
    <row r="1147" spans="51:53">
      <c r="AY1147" s="627">
        <v>4374</v>
      </c>
      <c r="AZ1147" s="628" t="s">
        <v>2586</v>
      </c>
      <c r="BA1147" s="629" t="s">
        <v>428</v>
      </c>
    </row>
    <row r="1148" spans="51:53">
      <c r="AY1148" s="627">
        <v>4375</v>
      </c>
      <c r="AZ1148" s="628" t="s">
        <v>2587</v>
      </c>
      <c r="BA1148" s="629" t="s">
        <v>428</v>
      </c>
    </row>
    <row r="1149" spans="51:53">
      <c r="AY1149" s="627">
        <v>4376</v>
      </c>
      <c r="AZ1149" s="628" t="s">
        <v>2588</v>
      </c>
      <c r="BA1149" s="629" t="s">
        <v>428</v>
      </c>
    </row>
    <row r="1150" spans="51:53">
      <c r="AY1150" s="627">
        <v>4400</v>
      </c>
      <c r="AZ1150" s="628" t="s">
        <v>2589</v>
      </c>
      <c r="BA1150" s="629" t="s">
        <v>2589</v>
      </c>
    </row>
    <row r="1151" spans="51:53">
      <c r="AY1151" s="627">
        <v>4405</v>
      </c>
      <c r="AZ1151" s="628" t="s">
        <v>2589</v>
      </c>
      <c r="BA1151" s="629" t="s">
        <v>2589</v>
      </c>
    </row>
    <row r="1152" spans="51:53">
      <c r="AY1152" s="627">
        <v>4412</v>
      </c>
      <c r="AZ1152" s="628" t="s">
        <v>2589</v>
      </c>
      <c r="BA1152" s="629" t="s">
        <v>2589</v>
      </c>
    </row>
    <row r="1153" spans="51:53">
      <c r="AY1153" s="61">
        <v>4413</v>
      </c>
      <c r="AZ1153" s="628" t="s">
        <v>2589</v>
      </c>
      <c r="BA1153" s="629" t="s">
        <v>2589</v>
      </c>
    </row>
    <row r="1154" spans="51:53">
      <c r="AY1154" s="627">
        <v>4431</v>
      </c>
      <c r="AZ1154" s="628" t="s">
        <v>2589</v>
      </c>
      <c r="BA1154" s="629" t="s">
        <v>2589</v>
      </c>
    </row>
    <row r="1155" spans="51:53">
      <c r="AY1155" s="627">
        <v>4432</v>
      </c>
      <c r="AZ1155" s="628" t="s">
        <v>2589</v>
      </c>
      <c r="BA1155" s="629" t="s">
        <v>2589</v>
      </c>
    </row>
    <row r="1156" spans="51:53">
      <c r="AY1156" s="627">
        <v>4433</v>
      </c>
      <c r="AZ1156" s="628" t="s">
        <v>2589</v>
      </c>
      <c r="BA1156" s="629" t="s">
        <v>2589</v>
      </c>
    </row>
    <row r="1157" spans="51:53">
      <c r="AY1157" s="627">
        <v>4434</v>
      </c>
      <c r="AZ1157" s="628" t="s">
        <v>2593</v>
      </c>
      <c r="BA1157" s="629" t="s">
        <v>428</v>
      </c>
    </row>
    <row r="1158" spans="51:53">
      <c r="AY1158" s="61">
        <v>4435</v>
      </c>
      <c r="AZ1158" s="628" t="s">
        <v>2589</v>
      </c>
      <c r="BA1158" s="629" t="s">
        <v>2589</v>
      </c>
    </row>
    <row r="1159" spans="51:53">
      <c r="AY1159" s="627">
        <v>4440</v>
      </c>
      <c r="AZ1159" s="628" t="s">
        <v>2594</v>
      </c>
      <c r="BA1159" s="629" t="s">
        <v>428</v>
      </c>
    </row>
    <row r="1160" spans="51:53">
      <c r="AY1160" s="627">
        <v>4441</v>
      </c>
      <c r="AZ1160" s="628" t="s">
        <v>2595</v>
      </c>
      <c r="BA1160" s="629" t="s">
        <v>428</v>
      </c>
    </row>
    <row r="1161" spans="51:53">
      <c r="AY1161" s="627">
        <v>4445</v>
      </c>
      <c r="AZ1161" s="628" t="s">
        <v>2596</v>
      </c>
      <c r="BA1161" s="629" t="s">
        <v>428</v>
      </c>
    </row>
    <row r="1162" spans="51:53">
      <c r="AY1162" s="627">
        <v>4446</v>
      </c>
      <c r="AZ1162" s="628" t="s">
        <v>4232</v>
      </c>
      <c r="BA1162" s="629" t="s">
        <v>428</v>
      </c>
    </row>
    <row r="1163" spans="51:53">
      <c r="AY1163" s="627">
        <v>4447</v>
      </c>
      <c r="AZ1163" s="630" t="s">
        <v>2599</v>
      </c>
      <c r="BA1163" s="629" t="s">
        <v>428</v>
      </c>
    </row>
    <row r="1164" spans="51:53">
      <c r="AY1164" s="627">
        <v>4450</v>
      </c>
      <c r="AZ1164" s="630" t="s">
        <v>2599</v>
      </c>
      <c r="BA1164" s="629" t="s">
        <v>428</v>
      </c>
    </row>
    <row r="1165" spans="51:53">
      <c r="AY1165" s="627">
        <v>4455</v>
      </c>
      <c r="AZ1165" s="630" t="s">
        <v>2600</v>
      </c>
      <c r="BA1165" s="629" t="s">
        <v>428</v>
      </c>
    </row>
    <row r="1166" spans="51:53">
      <c r="AY1166" s="627">
        <v>4456</v>
      </c>
      <c r="AZ1166" s="630" t="s">
        <v>2601</v>
      </c>
      <c r="BA1166" s="629" t="s">
        <v>428</v>
      </c>
    </row>
    <row r="1167" spans="51:53">
      <c r="AY1167" s="627">
        <v>4461</v>
      </c>
      <c r="AZ1167" s="630" t="s">
        <v>2602</v>
      </c>
      <c r="BA1167" s="629" t="s">
        <v>428</v>
      </c>
    </row>
    <row r="1168" spans="51:53">
      <c r="AY1168" s="627">
        <v>4463</v>
      </c>
      <c r="AZ1168" s="630" t="s">
        <v>2603</v>
      </c>
      <c r="BA1168" s="629" t="s">
        <v>428</v>
      </c>
    </row>
    <row r="1169" spans="51:53">
      <c r="AY1169" s="627">
        <v>4464</v>
      </c>
      <c r="AZ1169" s="630" t="s">
        <v>4232</v>
      </c>
      <c r="BA1169" s="629" t="s">
        <v>428</v>
      </c>
    </row>
    <row r="1170" spans="51:53">
      <c r="AY1170" s="627">
        <v>4465</v>
      </c>
      <c r="AZ1170" s="628" t="s">
        <v>4233</v>
      </c>
      <c r="BA1170" s="629" t="s">
        <v>428</v>
      </c>
    </row>
    <row r="1171" spans="51:53">
      <c r="AY1171" s="627">
        <v>4466</v>
      </c>
      <c r="AZ1171" s="630" t="s">
        <v>827</v>
      </c>
      <c r="BA1171" s="629" t="s">
        <v>428</v>
      </c>
    </row>
    <row r="1172" spans="51:53">
      <c r="AY1172" s="627">
        <v>4467</v>
      </c>
      <c r="AZ1172" s="628" t="s">
        <v>4235</v>
      </c>
      <c r="BA1172" s="629" t="s">
        <v>428</v>
      </c>
    </row>
    <row r="1173" spans="51:53">
      <c r="AY1173" s="627">
        <v>4468</v>
      </c>
      <c r="AZ1173" s="628" t="s">
        <v>4236</v>
      </c>
      <c r="BA1173" s="629" t="s">
        <v>428</v>
      </c>
    </row>
    <row r="1174" spans="51:53">
      <c r="AY1174" s="627">
        <v>4471</v>
      </c>
      <c r="AZ1174" s="628" t="s">
        <v>3184</v>
      </c>
      <c r="BA1174" s="629" t="s">
        <v>428</v>
      </c>
    </row>
    <row r="1175" spans="51:53">
      <c r="AY1175" s="627">
        <v>4472</v>
      </c>
      <c r="AZ1175" s="628" t="s">
        <v>3184</v>
      </c>
      <c r="BA1175" s="629" t="s">
        <v>428</v>
      </c>
    </row>
    <row r="1176" spans="51:53">
      <c r="AY1176" s="627">
        <v>4474</v>
      </c>
      <c r="AZ1176" s="628" t="s">
        <v>4239</v>
      </c>
      <c r="BA1176" s="629" t="s">
        <v>428</v>
      </c>
    </row>
    <row r="1177" spans="51:53">
      <c r="AY1177" s="627">
        <v>4475</v>
      </c>
      <c r="AZ1177" s="628" t="s">
        <v>4240</v>
      </c>
      <c r="BA1177" s="629" t="s">
        <v>428</v>
      </c>
    </row>
    <row r="1178" spans="51:53">
      <c r="AY1178" s="627">
        <v>4481</v>
      </c>
      <c r="AZ1178" s="628" t="s">
        <v>2589</v>
      </c>
      <c r="BA1178" s="629" t="s">
        <v>2589</v>
      </c>
    </row>
    <row r="1179" spans="51:53">
      <c r="AY1179" s="627">
        <v>4482</v>
      </c>
      <c r="AZ1179" s="628" t="s">
        <v>4242</v>
      </c>
      <c r="BA1179" s="629" t="s">
        <v>428</v>
      </c>
    </row>
    <row r="1180" spans="51:53">
      <c r="AY1180" s="627">
        <v>4483</v>
      </c>
      <c r="AZ1180" s="628" t="s">
        <v>831</v>
      </c>
      <c r="BA1180" s="629" t="s">
        <v>428</v>
      </c>
    </row>
    <row r="1181" spans="51:53">
      <c r="AY1181" s="627">
        <v>4484</v>
      </c>
      <c r="AZ1181" s="628" t="s">
        <v>4244</v>
      </c>
      <c r="BA1181" s="629" t="s">
        <v>428</v>
      </c>
    </row>
    <row r="1182" spans="51:53">
      <c r="AY1182" s="627">
        <v>4485</v>
      </c>
      <c r="AZ1182" s="628" t="s">
        <v>4245</v>
      </c>
      <c r="BA1182" s="629" t="s">
        <v>428</v>
      </c>
    </row>
    <row r="1183" spans="51:53">
      <c r="AY1183" s="627">
        <v>4486</v>
      </c>
      <c r="AZ1183" s="628" t="s">
        <v>4247</v>
      </c>
      <c r="BA1183" s="629" t="s">
        <v>428</v>
      </c>
    </row>
    <row r="1184" spans="51:53">
      <c r="AY1184" s="627">
        <v>4487</v>
      </c>
      <c r="AZ1184" s="628" t="s">
        <v>4247</v>
      </c>
      <c r="BA1184" s="629" t="s">
        <v>428</v>
      </c>
    </row>
    <row r="1185" spans="51:53">
      <c r="AY1185" s="627">
        <v>4488</v>
      </c>
      <c r="AZ1185" s="628" t="s">
        <v>4248</v>
      </c>
      <c r="BA1185" s="629" t="s">
        <v>428</v>
      </c>
    </row>
    <row r="1186" spans="51:53">
      <c r="AY1186" s="627">
        <v>4491</v>
      </c>
      <c r="AZ1186" s="628" t="s">
        <v>4249</v>
      </c>
      <c r="BA1186" s="629" t="s">
        <v>428</v>
      </c>
    </row>
    <row r="1187" spans="51:53">
      <c r="AY1187" s="627">
        <v>4492</v>
      </c>
      <c r="AZ1187" s="628" t="s">
        <v>4250</v>
      </c>
      <c r="BA1187" s="629" t="s">
        <v>428</v>
      </c>
    </row>
    <row r="1188" spans="51:53">
      <c r="AY1188" s="627">
        <v>4493</v>
      </c>
      <c r="AZ1188" s="628" t="s">
        <v>4251</v>
      </c>
      <c r="BA1188" s="629" t="s">
        <v>428</v>
      </c>
    </row>
    <row r="1189" spans="51:53">
      <c r="AY1189" s="627">
        <v>4494</v>
      </c>
      <c r="AZ1189" s="628" t="s">
        <v>4252</v>
      </c>
      <c r="BA1189" s="629" t="s">
        <v>428</v>
      </c>
    </row>
    <row r="1190" spans="51:53">
      <c r="AY1190" s="627">
        <v>4495</v>
      </c>
      <c r="AZ1190" s="628" t="s">
        <v>4253</v>
      </c>
      <c r="BA1190" s="629" t="s">
        <v>428</v>
      </c>
    </row>
    <row r="1191" spans="51:53">
      <c r="AY1191" s="627">
        <v>4496</v>
      </c>
      <c r="AZ1191" s="630" t="s">
        <v>4254</v>
      </c>
      <c r="BA1191" s="629" t="s">
        <v>428</v>
      </c>
    </row>
    <row r="1192" spans="51:53">
      <c r="AY1192" s="627">
        <v>4501</v>
      </c>
      <c r="AZ1192" s="628" t="s">
        <v>4255</v>
      </c>
      <c r="BA1192" s="629" t="s">
        <v>428</v>
      </c>
    </row>
    <row r="1193" spans="51:53">
      <c r="AY1193" s="627">
        <v>4502</v>
      </c>
      <c r="AZ1193" s="628" t="s">
        <v>4256</v>
      </c>
      <c r="BA1193" s="629" t="s">
        <v>428</v>
      </c>
    </row>
    <row r="1194" spans="51:53">
      <c r="AY1194" s="627">
        <v>4503</v>
      </c>
      <c r="AZ1194" s="628" t="s">
        <v>4257</v>
      </c>
      <c r="BA1194" s="629" t="s">
        <v>428</v>
      </c>
    </row>
    <row r="1195" spans="51:53">
      <c r="AY1195" s="627">
        <v>4511</v>
      </c>
      <c r="AZ1195" s="628" t="s">
        <v>4258</v>
      </c>
      <c r="BA1195" s="629" t="s">
        <v>428</v>
      </c>
    </row>
    <row r="1196" spans="51:53">
      <c r="AY1196" s="627">
        <v>4515</v>
      </c>
      <c r="AZ1196" s="628" t="s">
        <v>4259</v>
      </c>
      <c r="BA1196" s="629" t="s">
        <v>428</v>
      </c>
    </row>
    <row r="1197" spans="51:53">
      <c r="AY1197" s="627">
        <v>4516</v>
      </c>
      <c r="AZ1197" s="628" t="s">
        <v>4260</v>
      </c>
      <c r="BA1197" s="629" t="s">
        <v>428</v>
      </c>
    </row>
    <row r="1198" spans="51:53">
      <c r="AY1198" s="627">
        <v>4517</v>
      </c>
      <c r="AZ1198" s="628" t="s">
        <v>4261</v>
      </c>
      <c r="BA1198" s="629" t="s">
        <v>428</v>
      </c>
    </row>
    <row r="1199" spans="51:53">
      <c r="AY1199" s="627">
        <v>4521</v>
      </c>
      <c r="AZ1199" s="628" t="s">
        <v>4262</v>
      </c>
      <c r="BA1199" s="629" t="s">
        <v>428</v>
      </c>
    </row>
    <row r="1200" spans="51:53">
      <c r="AY1200" s="627">
        <v>4522</v>
      </c>
      <c r="AZ1200" s="628" t="s">
        <v>4263</v>
      </c>
      <c r="BA1200" s="629" t="s">
        <v>428</v>
      </c>
    </row>
    <row r="1201" spans="51:53">
      <c r="AY1201" s="627">
        <v>4523</v>
      </c>
      <c r="AZ1201" s="628" t="s">
        <v>4264</v>
      </c>
      <c r="BA1201" s="629" t="s">
        <v>428</v>
      </c>
    </row>
    <row r="1202" spans="51:53">
      <c r="AY1202" s="627">
        <v>4524</v>
      </c>
      <c r="AZ1202" s="628" t="s">
        <v>4265</v>
      </c>
      <c r="BA1202" s="629" t="s">
        <v>428</v>
      </c>
    </row>
    <row r="1203" spans="51:53">
      <c r="AY1203" s="627">
        <v>4525</v>
      </c>
      <c r="AZ1203" s="628" t="s">
        <v>4266</v>
      </c>
      <c r="BA1203" s="629" t="s">
        <v>428</v>
      </c>
    </row>
    <row r="1204" spans="51:53">
      <c r="AY1204" s="627">
        <v>4531</v>
      </c>
      <c r="AZ1204" s="628" t="s">
        <v>4267</v>
      </c>
      <c r="BA1204" s="629" t="s">
        <v>428</v>
      </c>
    </row>
    <row r="1205" spans="51:53">
      <c r="AY1205" s="627">
        <v>4532</v>
      </c>
      <c r="AZ1205" s="628" t="s">
        <v>4268</v>
      </c>
      <c r="BA1205" s="629" t="s">
        <v>428</v>
      </c>
    </row>
    <row r="1206" spans="51:53">
      <c r="AY1206" s="627">
        <v>4533</v>
      </c>
      <c r="AZ1206" s="628" t="s">
        <v>4269</v>
      </c>
      <c r="BA1206" s="629" t="s">
        <v>428</v>
      </c>
    </row>
    <row r="1207" spans="51:53">
      <c r="AY1207" s="627">
        <v>4534</v>
      </c>
      <c r="AZ1207" s="628" t="s">
        <v>4270</v>
      </c>
      <c r="BA1207" s="629" t="s">
        <v>428</v>
      </c>
    </row>
    <row r="1208" spans="51:53">
      <c r="AY1208" s="627">
        <v>4535</v>
      </c>
      <c r="AZ1208" s="628" t="s">
        <v>4271</v>
      </c>
      <c r="BA1208" s="629" t="s">
        <v>428</v>
      </c>
    </row>
    <row r="1209" spans="51:53">
      <c r="AY1209" s="627">
        <v>4536</v>
      </c>
      <c r="AZ1209" s="628" t="s">
        <v>4272</v>
      </c>
      <c r="BA1209" s="629" t="s">
        <v>428</v>
      </c>
    </row>
    <row r="1210" spans="51:53">
      <c r="AY1210" s="627">
        <v>4537</v>
      </c>
      <c r="AZ1210" s="628" t="s">
        <v>4273</v>
      </c>
      <c r="BA1210" s="629" t="s">
        <v>428</v>
      </c>
    </row>
    <row r="1211" spans="51:53">
      <c r="AY1211" s="627">
        <v>4541</v>
      </c>
      <c r="AZ1211" s="628" t="s">
        <v>4274</v>
      </c>
      <c r="BA1211" s="629" t="s">
        <v>428</v>
      </c>
    </row>
    <row r="1212" spans="51:53">
      <c r="AY1212" s="627">
        <v>4542</v>
      </c>
      <c r="AZ1212" s="628" t="s">
        <v>4275</v>
      </c>
      <c r="BA1212" s="629" t="s">
        <v>428</v>
      </c>
    </row>
    <row r="1213" spans="51:53">
      <c r="AY1213" s="627">
        <v>4543</v>
      </c>
      <c r="AZ1213" s="628" t="s">
        <v>4276</v>
      </c>
      <c r="BA1213" s="629" t="s">
        <v>428</v>
      </c>
    </row>
    <row r="1214" spans="51:53">
      <c r="AY1214" s="627">
        <v>4544</v>
      </c>
      <c r="AZ1214" s="628" t="s">
        <v>4277</v>
      </c>
      <c r="BA1214" s="629" t="s">
        <v>428</v>
      </c>
    </row>
    <row r="1215" spans="51:53">
      <c r="AY1215" s="627">
        <v>4545</v>
      </c>
      <c r="AZ1215" s="628" t="s">
        <v>4278</v>
      </c>
      <c r="BA1215" s="629" t="s">
        <v>428</v>
      </c>
    </row>
    <row r="1216" spans="51:53">
      <c r="AY1216" s="627">
        <v>4546</v>
      </c>
      <c r="AZ1216" s="628" t="s">
        <v>4279</v>
      </c>
      <c r="BA1216" s="629" t="s">
        <v>428</v>
      </c>
    </row>
    <row r="1217" spans="51:53">
      <c r="AY1217" s="627">
        <v>4547</v>
      </c>
      <c r="AZ1217" s="628" t="s">
        <v>4280</v>
      </c>
      <c r="BA1217" s="629" t="s">
        <v>428</v>
      </c>
    </row>
    <row r="1218" spans="51:53">
      <c r="AY1218" s="627">
        <v>4551</v>
      </c>
      <c r="AZ1218" s="628" t="s">
        <v>2589</v>
      </c>
      <c r="BA1218" s="629" t="s">
        <v>2589</v>
      </c>
    </row>
    <row r="1219" spans="51:53">
      <c r="AY1219" s="627">
        <v>4552</v>
      </c>
      <c r="AZ1219" s="628" t="s">
        <v>4282</v>
      </c>
      <c r="BA1219" s="629" t="s">
        <v>428</v>
      </c>
    </row>
    <row r="1220" spans="51:53">
      <c r="AY1220" s="627">
        <v>4553</v>
      </c>
      <c r="AZ1220" s="628" t="s">
        <v>4283</v>
      </c>
      <c r="BA1220" s="629" t="s">
        <v>428</v>
      </c>
    </row>
    <row r="1221" spans="51:53">
      <c r="AY1221" s="627">
        <v>4554</v>
      </c>
      <c r="AZ1221" s="628" t="s">
        <v>4284</v>
      </c>
      <c r="BA1221" s="629" t="s">
        <v>428</v>
      </c>
    </row>
    <row r="1222" spans="51:53">
      <c r="AY1222" s="627">
        <v>4555</v>
      </c>
      <c r="AZ1222" s="628" t="s">
        <v>4285</v>
      </c>
      <c r="BA1222" s="629" t="s">
        <v>428</v>
      </c>
    </row>
    <row r="1223" spans="51:53">
      <c r="AY1223" s="627">
        <v>4556</v>
      </c>
      <c r="AZ1223" s="628" t="s">
        <v>4286</v>
      </c>
      <c r="BA1223" s="629" t="s">
        <v>428</v>
      </c>
    </row>
    <row r="1224" spans="51:53">
      <c r="AY1224" s="627">
        <v>4557</v>
      </c>
      <c r="AZ1224" s="628" t="s">
        <v>4287</v>
      </c>
      <c r="BA1224" s="629" t="s">
        <v>428</v>
      </c>
    </row>
    <row r="1225" spans="51:53">
      <c r="AY1225" s="627">
        <v>4558</v>
      </c>
      <c r="AZ1225" s="628" t="s">
        <v>3560</v>
      </c>
      <c r="BA1225" s="629" t="s">
        <v>428</v>
      </c>
    </row>
    <row r="1226" spans="51:53">
      <c r="AY1226" s="627">
        <v>4561</v>
      </c>
      <c r="AZ1226" s="628" t="s">
        <v>3561</v>
      </c>
      <c r="BA1226" s="629" t="s">
        <v>428</v>
      </c>
    </row>
    <row r="1227" spans="51:53">
      <c r="AY1227" s="627">
        <v>4562</v>
      </c>
      <c r="AZ1227" s="628" t="s">
        <v>3562</v>
      </c>
      <c r="BA1227" s="629" t="s">
        <v>428</v>
      </c>
    </row>
    <row r="1228" spans="51:53">
      <c r="AY1228" s="627">
        <v>4563</v>
      </c>
      <c r="AZ1228" s="628" t="s">
        <v>3563</v>
      </c>
      <c r="BA1228" s="629" t="s">
        <v>428</v>
      </c>
    </row>
    <row r="1229" spans="51:53">
      <c r="AY1229" s="627">
        <v>4564</v>
      </c>
      <c r="AZ1229" s="628" t="s">
        <v>3564</v>
      </c>
      <c r="BA1229" s="629" t="s">
        <v>428</v>
      </c>
    </row>
    <row r="1230" spans="51:53">
      <c r="AY1230" s="627">
        <v>4565</v>
      </c>
      <c r="AZ1230" s="628" t="s">
        <v>3565</v>
      </c>
      <c r="BA1230" s="629" t="s">
        <v>428</v>
      </c>
    </row>
    <row r="1231" spans="51:53">
      <c r="AY1231" s="627">
        <v>4566</v>
      </c>
      <c r="AZ1231" s="630" t="s">
        <v>3566</v>
      </c>
      <c r="BA1231" s="629" t="s">
        <v>428</v>
      </c>
    </row>
    <row r="1232" spans="51:53">
      <c r="AY1232" s="627">
        <v>4567</v>
      </c>
      <c r="AZ1232" s="628" t="s">
        <v>3567</v>
      </c>
      <c r="BA1232" s="629" t="s">
        <v>428</v>
      </c>
    </row>
    <row r="1233" spans="51:53">
      <c r="AY1233" s="627">
        <v>4600</v>
      </c>
      <c r="AZ1233" s="628" t="s">
        <v>3568</v>
      </c>
      <c r="BA1233" s="629" t="s">
        <v>428</v>
      </c>
    </row>
    <row r="1234" spans="51:53">
      <c r="AY1234" s="627">
        <v>4611</v>
      </c>
      <c r="AZ1234" s="628" t="s">
        <v>3569</v>
      </c>
      <c r="BA1234" s="629" t="s">
        <v>428</v>
      </c>
    </row>
    <row r="1235" spans="51:53">
      <c r="AY1235" s="627">
        <v>4621</v>
      </c>
      <c r="AZ1235" s="628" t="s">
        <v>3570</v>
      </c>
      <c r="BA1235" s="629" t="s">
        <v>428</v>
      </c>
    </row>
    <row r="1236" spans="51:53">
      <c r="AY1236" s="627">
        <v>4622</v>
      </c>
      <c r="AZ1236" s="628" t="s">
        <v>3571</v>
      </c>
      <c r="BA1236" s="629" t="s">
        <v>428</v>
      </c>
    </row>
    <row r="1237" spans="51:53">
      <c r="AY1237" s="627">
        <v>4623</v>
      </c>
      <c r="AZ1237" s="628" t="s">
        <v>3572</v>
      </c>
      <c r="BA1237" s="629" t="s">
        <v>428</v>
      </c>
    </row>
    <row r="1238" spans="51:53">
      <c r="AY1238" s="627">
        <v>4624</v>
      </c>
      <c r="AZ1238" s="628" t="s">
        <v>3573</v>
      </c>
      <c r="BA1238" s="629" t="s">
        <v>428</v>
      </c>
    </row>
    <row r="1239" spans="51:53">
      <c r="AY1239" s="627">
        <v>4625</v>
      </c>
      <c r="AZ1239" s="628" t="s">
        <v>836</v>
      </c>
      <c r="BA1239" s="629" t="s">
        <v>428</v>
      </c>
    </row>
    <row r="1240" spans="51:53">
      <c r="AY1240" s="627">
        <v>4625</v>
      </c>
      <c r="AZ1240" s="628" t="s">
        <v>3574</v>
      </c>
      <c r="BA1240" s="629" t="s">
        <v>428</v>
      </c>
    </row>
    <row r="1241" spans="51:53">
      <c r="AY1241" s="627">
        <v>4627</v>
      </c>
      <c r="AZ1241" s="628" t="s">
        <v>3575</v>
      </c>
      <c r="BA1241" s="629" t="s">
        <v>428</v>
      </c>
    </row>
    <row r="1242" spans="51:53">
      <c r="AY1242" s="627">
        <v>4628</v>
      </c>
      <c r="AZ1242" s="628" t="s">
        <v>3576</v>
      </c>
      <c r="BA1242" s="629" t="s">
        <v>428</v>
      </c>
    </row>
    <row r="1243" spans="51:53">
      <c r="AY1243" s="627">
        <v>4631</v>
      </c>
      <c r="AZ1243" s="628" t="s">
        <v>3577</v>
      </c>
      <c r="BA1243" s="629" t="s">
        <v>428</v>
      </c>
    </row>
    <row r="1244" spans="51:53">
      <c r="AY1244" s="627">
        <v>4632</v>
      </c>
      <c r="AZ1244" s="628" t="s">
        <v>3578</v>
      </c>
      <c r="BA1244" s="629" t="s">
        <v>428</v>
      </c>
    </row>
    <row r="1245" spans="51:53">
      <c r="AY1245" s="627">
        <v>4633</v>
      </c>
      <c r="AZ1245" s="628" t="s">
        <v>3579</v>
      </c>
      <c r="BA1245" s="629" t="s">
        <v>428</v>
      </c>
    </row>
    <row r="1246" spans="51:53">
      <c r="AY1246" s="627">
        <v>4634</v>
      </c>
      <c r="AZ1246" s="628" t="s">
        <v>3580</v>
      </c>
      <c r="BA1246" s="629" t="s">
        <v>428</v>
      </c>
    </row>
    <row r="1247" spans="51:53">
      <c r="AY1247" s="627">
        <v>4635</v>
      </c>
      <c r="AZ1247" s="628" t="s">
        <v>3581</v>
      </c>
      <c r="BA1247" s="629" t="s">
        <v>428</v>
      </c>
    </row>
    <row r="1248" spans="51:53">
      <c r="AY1248" s="627">
        <v>4641</v>
      </c>
      <c r="AZ1248" s="628" t="s">
        <v>3582</v>
      </c>
      <c r="BA1248" s="629" t="s">
        <v>428</v>
      </c>
    </row>
    <row r="1249" spans="51:53">
      <c r="AY1249" s="627">
        <v>4642</v>
      </c>
      <c r="AZ1249" s="628" t="s">
        <v>3583</v>
      </c>
      <c r="BA1249" s="629" t="s">
        <v>428</v>
      </c>
    </row>
    <row r="1250" spans="51:53">
      <c r="AY1250" s="627">
        <v>4643</v>
      </c>
      <c r="AZ1250" s="628" t="s">
        <v>3584</v>
      </c>
      <c r="BA1250" s="629" t="s">
        <v>428</v>
      </c>
    </row>
    <row r="1251" spans="51:53">
      <c r="AY1251" s="627">
        <v>4644</v>
      </c>
      <c r="AZ1251" s="628" t="s">
        <v>3585</v>
      </c>
      <c r="BA1251" s="629" t="s">
        <v>428</v>
      </c>
    </row>
    <row r="1252" spans="51:53">
      <c r="AY1252" s="627">
        <v>4645</v>
      </c>
      <c r="AZ1252" s="628" t="s">
        <v>3586</v>
      </c>
      <c r="BA1252" s="629" t="s">
        <v>428</v>
      </c>
    </row>
    <row r="1253" spans="51:53">
      <c r="AY1253" s="627">
        <v>4646</v>
      </c>
      <c r="AZ1253" s="628" t="s">
        <v>3587</v>
      </c>
      <c r="BA1253" s="629" t="s">
        <v>428</v>
      </c>
    </row>
    <row r="1254" spans="51:53">
      <c r="AY1254" s="627">
        <v>4700</v>
      </c>
      <c r="AZ1254" s="628" t="s">
        <v>3588</v>
      </c>
      <c r="BA1254" s="629" t="s">
        <v>428</v>
      </c>
    </row>
    <row r="1255" spans="51:53">
      <c r="AY1255" s="627">
        <v>4721</v>
      </c>
      <c r="AZ1255" s="628" t="s">
        <v>3589</v>
      </c>
      <c r="BA1255" s="629" t="s">
        <v>428</v>
      </c>
    </row>
    <row r="1256" spans="51:53">
      <c r="AY1256" s="627">
        <v>4722</v>
      </c>
      <c r="AZ1256" s="628" t="s">
        <v>3590</v>
      </c>
      <c r="BA1256" s="629" t="s">
        <v>428</v>
      </c>
    </row>
    <row r="1257" spans="51:53">
      <c r="AY1257" s="627">
        <v>4731</v>
      </c>
      <c r="AZ1257" s="628" t="s">
        <v>3591</v>
      </c>
      <c r="BA1257" s="629" t="s">
        <v>428</v>
      </c>
    </row>
    <row r="1258" spans="51:53">
      <c r="AY1258" s="627">
        <v>4732</v>
      </c>
      <c r="AZ1258" s="628" t="s">
        <v>3592</v>
      </c>
      <c r="BA1258" s="629" t="s">
        <v>428</v>
      </c>
    </row>
    <row r="1259" spans="51:53">
      <c r="AY1259" s="627">
        <v>4733</v>
      </c>
      <c r="AZ1259" s="628" t="s">
        <v>3593</v>
      </c>
      <c r="BA1259" s="629" t="s">
        <v>428</v>
      </c>
    </row>
    <row r="1260" spans="51:53">
      <c r="AY1260" s="627">
        <v>4734</v>
      </c>
      <c r="AZ1260" s="628" t="s">
        <v>3594</v>
      </c>
      <c r="BA1260" s="629" t="s">
        <v>428</v>
      </c>
    </row>
    <row r="1261" spans="51:53">
      <c r="AY1261" s="627">
        <v>4735</v>
      </c>
      <c r="AZ1261" s="628" t="s">
        <v>837</v>
      </c>
      <c r="BA1261" s="629" t="s">
        <v>428</v>
      </c>
    </row>
    <row r="1262" spans="51:53">
      <c r="AY1262" s="627">
        <v>4735</v>
      </c>
      <c r="AZ1262" s="628" t="s">
        <v>3595</v>
      </c>
      <c r="BA1262" s="629" t="s">
        <v>428</v>
      </c>
    </row>
    <row r="1263" spans="51:53">
      <c r="AY1263" s="627">
        <v>4737</v>
      </c>
      <c r="AZ1263" s="628" t="s">
        <v>838</v>
      </c>
      <c r="BA1263" s="629" t="s">
        <v>428</v>
      </c>
    </row>
    <row r="1264" spans="51:53">
      <c r="AY1264" s="627">
        <v>4737</v>
      </c>
      <c r="AZ1264" s="628" t="s">
        <v>3596</v>
      </c>
      <c r="BA1264" s="629" t="s">
        <v>428</v>
      </c>
    </row>
    <row r="1265" spans="51:53">
      <c r="AY1265" s="627">
        <v>4741</v>
      </c>
      <c r="AZ1265" s="628" t="s">
        <v>3597</v>
      </c>
      <c r="BA1265" s="629" t="s">
        <v>428</v>
      </c>
    </row>
    <row r="1266" spans="51:53">
      <c r="AY1266" s="627">
        <v>4742</v>
      </c>
      <c r="AZ1266" s="628" t="s">
        <v>3598</v>
      </c>
      <c r="BA1266" s="629" t="s">
        <v>428</v>
      </c>
    </row>
    <row r="1267" spans="51:53">
      <c r="AY1267" s="627">
        <v>4743</v>
      </c>
      <c r="AZ1267" s="628" t="s">
        <v>3599</v>
      </c>
      <c r="BA1267" s="629" t="s">
        <v>428</v>
      </c>
    </row>
    <row r="1268" spans="51:53">
      <c r="AY1268" s="627">
        <v>4745</v>
      </c>
      <c r="AZ1268" s="628" t="s">
        <v>3600</v>
      </c>
      <c r="BA1268" s="629" t="s">
        <v>428</v>
      </c>
    </row>
    <row r="1269" spans="51:53">
      <c r="AY1269" s="692">
        <v>4746</v>
      </c>
      <c r="AZ1269" s="628" t="s">
        <v>3601</v>
      </c>
      <c r="BA1269" s="629" t="s">
        <v>428</v>
      </c>
    </row>
    <row r="1270" spans="51:53">
      <c r="AY1270" s="627">
        <v>4751</v>
      </c>
      <c r="AZ1270" s="628" t="s">
        <v>3602</v>
      </c>
      <c r="BA1270" s="629" t="s">
        <v>428</v>
      </c>
    </row>
    <row r="1271" spans="51:53">
      <c r="AY1271" s="627">
        <v>4752</v>
      </c>
      <c r="AZ1271" s="628" t="s">
        <v>3603</v>
      </c>
      <c r="BA1271" s="629" t="s">
        <v>428</v>
      </c>
    </row>
    <row r="1272" spans="51:53">
      <c r="AY1272" s="627">
        <v>4754</v>
      </c>
      <c r="AZ1272" s="628" t="s">
        <v>3604</v>
      </c>
      <c r="BA1272" s="629" t="s">
        <v>428</v>
      </c>
    </row>
    <row r="1273" spans="51:53">
      <c r="AY1273" s="627">
        <v>4754</v>
      </c>
      <c r="AZ1273" s="628" t="s">
        <v>3605</v>
      </c>
      <c r="BA1273" s="629" t="s">
        <v>428</v>
      </c>
    </row>
    <row r="1274" spans="51:53">
      <c r="AY1274" s="627">
        <v>4755</v>
      </c>
      <c r="AZ1274" s="628" t="s">
        <v>3606</v>
      </c>
      <c r="BA1274" s="629" t="s">
        <v>428</v>
      </c>
    </row>
    <row r="1275" spans="51:53">
      <c r="AY1275" s="627">
        <v>4756</v>
      </c>
      <c r="AZ1275" s="628" t="s">
        <v>3607</v>
      </c>
      <c r="BA1275" s="629" t="s">
        <v>428</v>
      </c>
    </row>
    <row r="1276" spans="51:53">
      <c r="AY1276" s="627">
        <v>4761</v>
      </c>
      <c r="AZ1276" s="628" t="s">
        <v>3608</v>
      </c>
      <c r="BA1276" s="629" t="s">
        <v>428</v>
      </c>
    </row>
    <row r="1277" spans="51:53">
      <c r="AY1277" s="627">
        <v>4762</v>
      </c>
      <c r="AZ1277" s="628" t="s">
        <v>3609</v>
      </c>
      <c r="BA1277" s="629" t="s">
        <v>428</v>
      </c>
    </row>
    <row r="1278" spans="51:53">
      <c r="AY1278" s="627">
        <v>4763</v>
      </c>
      <c r="AZ1278" s="628" t="s">
        <v>3610</v>
      </c>
      <c r="BA1278" s="629" t="s">
        <v>428</v>
      </c>
    </row>
    <row r="1279" spans="51:53">
      <c r="AY1279" s="627">
        <v>4764</v>
      </c>
      <c r="AZ1279" s="628" t="s">
        <v>3611</v>
      </c>
      <c r="BA1279" s="629" t="s">
        <v>428</v>
      </c>
    </row>
    <row r="1280" spans="51:53">
      <c r="AY1280" s="627">
        <v>4765</v>
      </c>
      <c r="AZ1280" s="628" t="s">
        <v>3612</v>
      </c>
      <c r="BA1280" s="629" t="s">
        <v>428</v>
      </c>
    </row>
    <row r="1281" spans="51:53">
      <c r="AY1281" s="627">
        <v>4765</v>
      </c>
      <c r="AZ1281" s="628" t="s">
        <v>839</v>
      </c>
      <c r="BA1281" s="629" t="s">
        <v>428</v>
      </c>
    </row>
    <row r="1282" spans="51:53">
      <c r="AY1282" s="627">
        <v>4766</v>
      </c>
      <c r="AZ1282" s="628" t="s">
        <v>3613</v>
      </c>
      <c r="BA1282" s="629" t="s">
        <v>428</v>
      </c>
    </row>
    <row r="1283" spans="51:53">
      <c r="AY1283" s="627">
        <v>4767</v>
      </c>
      <c r="AZ1283" s="628" t="s">
        <v>3614</v>
      </c>
      <c r="BA1283" s="629" t="s">
        <v>428</v>
      </c>
    </row>
    <row r="1284" spans="51:53">
      <c r="AY1284" s="627">
        <v>4800</v>
      </c>
      <c r="AZ1284" s="628" t="s">
        <v>3615</v>
      </c>
      <c r="BA1284" s="629" t="s">
        <v>428</v>
      </c>
    </row>
    <row r="1285" spans="51:53">
      <c r="AY1285" s="627">
        <v>4803</v>
      </c>
      <c r="AZ1285" s="628" t="s">
        <v>3615</v>
      </c>
      <c r="BA1285" s="629" t="s">
        <v>428</v>
      </c>
    </row>
    <row r="1286" spans="51:53">
      <c r="AY1286" s="627">
        <v>4804</v>
      </c>
      <c r="AZ1286" s="628" t="s">
        <v>3615</v>
      </c>
      <c r="BA1286" s="629" t="s">
        <v>428</v>
      </c>
    </row>
    <row r="1287" spans="51:53">
      <c r="AY1287" s="627">
        <v>4811</v>
      </c>
      <c r="AZ1287" s="628" t="s">
        <v>3618</v>
      </c>
      <c r="BA1287" s="629" t="s">
        <v>428</v>
      </c>
    </row>
    <row r="1288" spans="51:53">
      <c r="AY1288" s="627">
        <v>4812</v>
      </c>
      <c r="AZ1288" s="628" t="s">
        <v>3619</v>
      </c>
      <c r="BA1288" s="629" t="s">
        <v>428</v>
      </c>
    </row>
    <row r="1289" spans="51:53">
      <c r="AY1289" s="627">
        <v>4813</v>
      </c>
      <c r="AZ1289" s="628" t="s">
        <v>3620</v>
      </c>
      <c r="BA1289" s="629" t="s">
        <v>428</v>
      </c>
    </row>
    <row r="1290" spans="51:53">
      <c r="AY1290" s="627">
        <v>4821</v>
      </c>
      <c r="AZ1290" s="628" t="s">
        <v>3621</v>
      </c>
      <c r="BA1290" s="629" t="s">
        <v>428</v>
      </c>
    </row>
    <row r="1291" spans="51:53">
      <c r="AY1291" s="627">
        <v>4822</v>
      </c>
      <c r="AZ1291" s="628" t="s">
        <v>3622</v>
      </c>
      <c r="BA1291" s="629" t="s">
        <v>428</v>
      </c>
    </row>
    <row r="1292" spans="51:53">
      <c r="AY1292" s="627">
        <v>4823</v>
      </c>
      <c r="AZ1292" s="628" t="s">
        <v>3623</v>
      </c>
      <c r="BA1292" s="629" t="s">
        <v>428</v>
      </c>
    </row>
    <row r="1293" spans="51:53">
      <c r="AY1293" s="627">
        <v>4824</v>
      </c>
      <c r="AZ1293" s="628" t="s">
        <v>3624</v>
      </c>
      <c r="BA1293" s="629" t="s">
        <v>428</v>
      </c>
    </row>
    <row r="1294" spans="51:53">
      <c r="AY1294" s="627">
        <v>4826</v>
      </c>
      <c r="AZ1294" s="628" t="s">
        <v>3625</v>
      </c>
      <c r="BA1294" s="629" t="s">
        <v>428</v>
      </c>
    </row>
    <row r="1295" spans="51:53">
      <c r="AY1295" s="627">
        <v>4831</v>
      </c>
      <c r="AZ1295" s="628" t="s">
        <v>3626</v>
      </c>
      <c r="BA1295" s="629" t="s">
        <v>428</v>
      </c>
    </row>
    <row r="1296" spans="51:53">
      <c r="AY1296" s="627">
        <v>4832</v>
      </c>
      <c r="AZ1296" s="628" t="s">
        <v>3627</v>
      </c>
      <c r="BA1296" s="629" t="s">
        <v>428</v>
      </c>
    </row>
    <row r="1297" spans="51:53">
      <c r="AY1297" s="627">
        <v>4833</v>
      </c>
      <c r="AZ1297" s="628" t="s">
        <v>3628</v>
      </c>
      <c r="BA1297" s="629" t="s">
        <v>428</v>
      </c>
    </row>
    <row r="1298" spans="51:53">
      <c r="AY1298" s="627">
        <v>4834</v>
      </c>
      <c r="AZ1298" s="628" t="s">
        <v>3629</v>
      </c>
      <c r="BA1298" s="629" t="s">
        <v>428</v>
      </c>
    </row>
    <row r="1299" spans="51:53">
      <c r="AY1299" s="627">
        <v>4835</v>
      </c>
      <c r="AZ1299" s="628" t="s">
        <v>3630</v>
      </c>
      <c r="BA1299" s="629" t="s">
        <v>428</v>
      </c>
    </row>
    <row r="1300" spans="51:53">
      <c r="AY1300" s="627">
        <v>4836</v>
      </c>
      <c r="AZ1300" s="628" t="s">
        <v>3631</v>
      </c>
      <c r="BA1300" s="629" t="s">
        <v>428</v>
      </c>
    </row>
    <row r="1301" spans="51:53">
      <c r="AY1301" s="627">
        <v>4841</v>
      </c>
      <c r="AZ1301" s="628" t="s">
        <v>3632</v>
      </c>
      <c r="BA1301" s="629" t="s">
        <v>428</v>
      </c>
    </row>
    <row r="1302" spans="51:53">
      <c r="AY1302" s="627">
        <v>4842</v>
      </c>
      <c r="AZ1302" s="628" t="s">
        <v>3633</v>
      </c>
      <c r="BA1302" s="629" t="s">
        <v>428</v>
      </c>
    </row>
    <row r="1303" spans="51:53">
      <c r="AY1303" s="627">
        <v>4843</v>
      </c>
      <c r="AZ1303" s="628" t="s">
        <v>3634</v>
      </c>
      <c r="BA1303" s="629" t="s">
        <v>428</v>
      </c>
    </row>
    <row r="1304" spans="51:53">
      <c r="AY1304" s="627">
        <v>4844</v>
      </c>
      <c r="AZ1304" s="628" t="s">
        <v>3635</v>
      </c>
      <c r="BA1304" s="629" t="s">
        <v>428</v>
      </c>
    </row>
    <row r="1305" spans="51:53">
      <c r="AY1305" s="627">
        <v>4845</v>
      </c>
      <c r="AZ1305" s="628" t="s">
        <v>3636</v>
      </c>
      <c r="BA1305" s="629" t="s">
        <v>428</v>
      </c>
    </row>
    <row r="1306" spans="51:53">
      <c r="AY1306" s="627">
        <v>4900</v>
      </c>
      <c r="AZ1306" s="628" t="s">
        <v>3637</v>
      </c>
      <c r="BA1306" s="629" t="s">
        <v>428</v>
      </c>
    </row>
    <row r="1307" spans="51:53">
      <c r="AY1307" s="627">
        <v>4911</v>
      </c>
      <c r="AZ1307" s="628" t="s">
        <v>3638</v>
      </c>
      <c r="BA1307" s="629" t="s">
        <v>428</v>
      </c>
    </row>
    <row r="1308" spans="51:53">
      <c r="AY1308" s="627">
        <v>4912</v>
      </c>
      <c r="AZ1308" s="628" t="s">
        <v>3639</v>
      </c>
      <c r="BA1308" s="629" t="s">
        <v>428</v>
      </c>
    </row>
    <row r="1309" spans="51:53">
      <c r="AY1309" s="627">
        <v>4913</v>
      </c>
      <c r="AZ1309" s="628" t="s">
        <v>3640</v>
      </c>
      <c r="BA1309" s="629" t="s">
        <v>428</v>
      </c>
    </row>
    <row r="1310" spans="51:53">
      <c r="AY1310" s="627">
        <v>4914</v>
      </c>
      <c r="AZ1310" s="628" t="s">
        <v>3641</v>
      </c>
      <c r="BA1310" s="629" t="s">
        <v>428</v>
      </c>
    </row>
    <row r="1311" spans="51:53">
      <c r="AY1311" s="627">
        <v>4921</v>
      </c>
      <c r="AZ1311" s="628" t="s">
        <v>3642</v>
      </c>
      <c r="BA1311" s="629" t="s">
        <v>428</v>
      </c>
    </row>
    <row r="1312" spans="51:53">
      <c r="AY1312" s="627">
        <v>4921</v>
      </c>
      <c r="AZ1312" s="628" t="s">
        <v>842</v>
      </c>
      <c r="BA1312" s="629" t="s">
        <v>428</v>
      </c>
    </row>
    <row r="1313" spans="51:53">
      <c r="AY1313" s="627">
        <v>4922</v>
      </c>
      <c r="AZ1313" s="628" t="s">
        <v>3643</v>
      </c>
      <c r="BA1313" s="629" t="s">
        <v>428</v>
      </c>
    </row>
    <row r="1314" spans="51:53">
      <c r="AY1314" s="627">
        <v>4931</v>
      </c>
      <c r="AZ1314" s="628" t="s">
        <v>3644</v>
      </c>
      <c r="BA1314" s="629" t="s">
        <v>428</v>
      </c>
    </row>
    <row r="1315" spans="51:53">
      <c r="AY1315" s="627">
        <v>4932</v>
      </c>
      <c r="AZ1315" s="628" t="s">
        <v>3645</v>
      </c>
      <c r="BA1315" s="629" t="s">
        <v>428</v>
      </c>
    </row>
    <row r="1316" spans="51:53">
      <c r="AY1316" s="627">
        <v>4933</v>
      </c>
      <c r="AZ1316" s="628" t="s">
        <v>3646</v>
      </c>
      <c r="BA1316" s="629" t="s">
        <v>428</v>
      </c>
    </row>
    <row r="1317" spans="51:53">
      <c r="AY1317" s="627">
        <v>4934</v>
      </c>
      <c r="AZ1317" s="628" t="s">
        <v>843</v>
      </c>
      <c r="BA1317" s="629" t="s">
        <v>428</v>
      </c>
    </row>
    <row r="1318" spans="51:53">
      <c r="AY1318" s="627">
        <v>4935</v>
      </c>
      <c r="AZ1318" s="628" t="s">
        <v>3648</v>
      </c>
      <c r="BA1318" s="629" t="s">
        <v>428</v>
      </c>
    </row>
    <row r="1319" spans="51:53">
      <c r="AY1319" s="627">
        <v>4936</v>
      </c>
      <c r="AZ1319" s="628" t="s">
        <v>3649</v>
      </c>
      <c r="BA1319" s="629" t="s">
        <v>428</v>
      </c>
    </row>
    <row r="1320" spans="51:53">
      <c r="AY1320" s="627">
        <v>4937</v>
      </c>
      <c r="AZ1320" s="628" t="s">
        <v>3650</v>
      </c>
      <c r="BA1320" s="629" t="s">
        <v>428</v>
      </c>
    </row>
    <row r="1321" spans="51:53">
      <c r="AY1321" s="627">
        <v>4941</v>
      </c>
      <c r="AZ1321" s="638" t="s">
        <v>3651</v>
      </c>
      <c r="BA1321" s="629" t="s">
        <v>428</v>
      </c>
    </row>
    <row r="1322" spans="51:53">
      <c r="AY1322" s="627">
        <v>4942</v>
      </c>
      <c r="AZ1322" s="628" t="s">
        <v>3652</v>
      </c>
      <c r="BA1322" s="629" t="s">
        <v>428</v>
      </c>
    </row>
    <row r="1323" spans="51:53">
      <c r="AY1323" s="627">
        <v>4942</v>
      </c>
      <c r="AZ1323" s="628" t="s">
        <v>4177</v>
      </c>
      <c r="BA1323" s="629" t="s">
        <v>421</v>
      </c>
    </row>
    <row r="1324" spans="51:53">
      <c r="AY1324" s="627">
        <v>4943</v>
      </c>
      <c r="AZ1324" s="628" t="s">
        <v>3653</v>
      </c>
      <c r="BA1324" s="629" t="s">
        <v>428</v>
      </c>
    </row>
    <row r="1325" spans="51:53">
      <c r="AY1325" s="627">
        <v>4944</v>
      </c>
      <c r="AZ1325" s="628" t="s">
        <v>3654</v>
      </c>
      <c r="BA1325" s="629" t="s">
        <v>428</v>
      </c>
    </row>
    <row r="1326" spans="51:53">
      <c r="AY1326" s="627">
        <v>4945</v>
      </c>
      <c r="AZ1326" s="628" t="s">
        <v>3655</v>
      </c>
      <c r="BA1326" s="629" t="s">
        <v>428</v>
      </c>
    </row>
    <row r="1327" spans="51:53">
      <c r="AY1327" s="627">
        <v>4946</v>
      </c>
      <c r="AZ1327" s="628" t="s">
        <v>3656</v>
      </c>
      <c r="BA1327" s="629" t="s">
        <v>428</v>
      </c>
    </row>
    <row r="1328" spans="51:53">
      <c r="AY1328" s="627">
        <v>4947</v>
      </c>
      <c r="AZ1328" s="628" t="s">
        <v>2406</v>
      </c>
      <c r="BA1328" s="629" t="s">
        <v>428</v>
      </c>
    </row>
    <row r="1329" spans="51:53">
      <c r="AY1329" s="627">
        <v>4948</v>
      </c>
      <c r="AZ1329" s="628" t="s">
        <v>2407</v>
      </c>
      <c r="BA1329" s="629" t="s">
        <v>428</v>
      </c>
    </row>
    <row r="1330" spans="51:53">
      <c r="AY1330" s="627">
        <v>4951</v>
      </c>
      <c r="AZ1330" s="628" t="s">
        <v>2408</v>
      </c>
      <c r="BA1330" s="629" t="s">
        <v>428</v>
      </c>
    </row>
    <row r="1331" spans="51:53">
      <c r="AY1331" s="627">
        <v>4952</v>
      </c>
      <c r="AZ1331" s="628" t="s">
        <v>2409</v>
      </c>
      <c r="BA1331" s="629" t="s">
        <v>428</v>
      </c>
    </row>
    <row r="1332" spans="51:53">
      <c r="AY1332" s="627">
        <v>4953</v>
      </c>
      <c r="AZ1332" s="628" t="s">
        <v>2410</v>
      </c>
      <c r="BA1332" s="629" t="s">
        <v>428</v>
      </c>
    </row>
    <row r="1333" spans="51:53">
      <c r="AY1333" s="627">
        <v>4954</v>
      </c>
      <c r="AZ1333" s="628" t="s">
        <v>2411</v>
      </c>
      <c r="BA1333" s="629" t="s">
        <v>428</v>
      </c>
    </row>
    <row r="1334" spans="51:53">
      <c r="AY1334" s="627">
        <v>4955</v>
      </c>
      <c r="AZ1334" s="628" t="s">
        <v>2412</v>
      </c>
      <c r="BA1334" s="629" t="s">
        <v>428</v>
      </c>
    </row>
    <row r="1335" spans="51:53">
      <c r="AY1335" s="627">
        <v>4956</v>
      </c>
      <c r="AZ1335" s="628" t="s">
        <v>4803</v>
      </c>
      <c r="BA1335" s="629" t="s">
        <v>428</v>
      </c>
    </row>
    <row r="1336" spans="51:53">
      <c r="AY1336" s="627">
        <v>4961</v>
      </c>
      <c r="AZ1336" s="630" t="s">
        <v>4804</v>
      </c>
      <c r="BA1336" s="629" t="s">
        <v>428</v>
      </c>
    </row>
    <row r="1337" spans="51:53">
      <c r="AY1337" s="627">
        <v>4962</v>
      </c>
      <c r="AZ1337" s="628" t="s">
        <v>4805</v>
      </c>
      <c r="BA1337" s="629" t="s">
        <v>428</v>
      </c>
    </row>
    <row r="1338" spans="51:53">
      <c r="AY1338" s="627">
        <v>4963</v>
      </c>
      <c r="AZ1338" s="628" t="s">
        <v>4806</v>
      </c>
      <c r="BA1338" s="629" t="s">
        <v>428</v>
      </c>
    </row>
    <row r="1339" spans="51:53">
      <c r="AY1339" s="627">
        <v>4964</v>
      </c>
      <c r="AZ1339" s="628" t="s">
        <v>4807</v>
      </c>
      <c r="BA1339" s="629" t="s">
        <v>428</v>
      </c>
    </row>
    <row r="1340" spans="51:53">
      <c r="AY1340" s="627">
        <v>4965</v>
      </c>
      <c r="AZ1340" s="628" t="s">
        <v>4808</v>
      </c>
      <c r="BA1340" s="629" t="s">
        <v>428</v>
      </c>
    </row>
    <row r="1341" spans="51:53">
      <c r="AY1341" s="627">
        <v>4966</v>
      </c>
      <c r="AZ1341" s="628" t="s">
        <v>2442</v>
      </c>
      <c r="BA1341" s="629" t="s">
        <v>428</v>
      </c>
    </row>
    <row r="1342" spans="51:53">
      <c r="AY1342" s="627">
        <v>4967</v>
      </c>
      <c r="AZ1342" s="628" t="s">
        <v>2443</v>
      </c>
      <c r="BA1342" s="629" t="s">
        <v>428</v>
      </c>
    </row>
    <row r="1343" spans="51:53">
      <c r="AY1343" s="627">
        <v>4968</v>
      </c>
      <c r="AZ1343" s="628" t="s">
        <v>845</v>
      </c>
      <c r="BA1343" s="629" t="s">
        <v>428</v>
      </c>
    </row>
    <row r="1344" spans="51:53">
      <c r="AY1344" s="627">
        <v>4969</v>
      </c>
      <c r="AZ1344" s="628" t="s">
        <v>3679</v>
      </c>
      <c r="BA1344" s="629" t="s">
        <v>428</v>
      </c>
    </row>
    <row r="1345" spans="51:53">
      <c r="AY1345" s="627">
        <v>4971</v>
      </c>
      <c r="AZ1345" s="628" t="s">
        <v>3680</v>
      </c>
      <c r="BA1345" s="629" t="s">
        <v>428</v>
      </c>
    </row>
    <row r="1346" spans="51:53">
      <c r="AY1346" s="627">
        <v>4972</v>
      </c>
      <c r="AZ1346" s="628" t="s">
        <v>3681</v>
      </c>
      <c r="BA1346" s="629" t="s">
        <v>428</v>
      </c>
    </row>
    <row r="1347" spans="51:53">
      <c r="AY1347" s="627">
        <v>4973</v>
      </c>
      <c r="AZ1347" s="628" t="s">
        <v>3682</v>
      </c>
      <c r="BA1347" s="629" t="s">
        <v>428</v>
      </c>
    </row>
    <row r="1348" spans="51:53">
      <c r="AY1348" s="627">
        <v>4974</v>
      </c>
      <c r="AZ1348" s="628" t="s">
        <v>3683</v>
      </c>
      <c r="BA1348" s="629" t="s">
        <v>428</v>
      </c>
    </row>
    <row r="1349" spans="51:53">
      <c r="AY1349" s="627">
        <v>4975</v>
      </c>
      <c r="AZ1349" s="628" t="s">
        <v>3684</v>
      </c>
      <c r="BA1349" s="629" t="s">
        <v>428</v>
      </c>
    </row>
    <row r="1350" spans="51:53">
      <c r="AY1350" s="627">
        <v>4976</v>
      </c>
      <c r="AZ1350" s="628" t="s">
        <v>3685</v>
      </c>
      <c r="BA1350" s="629" t="s">
        <v>428</v>
      </c>
    </row>
    <row r="1351" spans="51:53">
      <c r="AY1351" s="627">
        <v>4977</v>
      </c>
      <c r="AZ1351" s="628" t="s">
        <v>3686</v>
      </c>
      <c r="BA1351" s="629" t="s">
        <v>428</v>
      </c>
    </row>
    <row r="1352" spans="51:53">
      <c r="AY1352" s="627">
        <v>4977</v>
      </c>
      <c r="AZ1352" s="628" t="s">
        <v>846</v>
      </c>
      <c r="BA1352" s="629" t="s">
        <v>428</v>
      </c>
    </row>
    <row r="1353" spans="51:53">
      <c r="AY1353" s="627">
        <v>5000</v>
      </c>
      <c r="AZ1353" s="628" t="s">
        <v>3687</v>
      </c>
      <c r="BA1353" s="629" t="s">
        <v>3687</v>
      </c>
    </row>
    <row r="1354" spans="51:53">
      <c r="AY1354" s="627">
        <v>5008</v>
      </c>
      <c r="AZ1354" s="628" t="s">
        <v>3687</v>
      </c>
      <c r="BA1354" s="629" t="s">
        <v>3687</v>
      </c>
    </row>
    <row r="1355" spans="51:53">
      <c r="AY1355" s="627">
        <v>5051</v>
      </c>
      <c r="AZ1355" s="628" t="s">
        <v>3690</v>
      </c>
      <c r="BA1355" s="629" t="s">
        <v>404</v>
      </c>
    </row>
    <row r="1356" spans="51:53">
      <c r="AY1356" s="627">
        <v>5052</v>
      </c>
      <c r="AZ1356" s="628" t="s">
        <v>3691</v>
      </c>
      <c r="BA1356" s="629" t="s">
        <v>404</v>
      </c>
    </row>
    <row r="1357" spans="51:53">
      <c r="AY1357" s="627">
        <v>5053</v>
      </c>
      <c r="AZ1357" s="628" t="s">
        <v>3692</v>
      </c>
      <c r="BA1357" s="629" t="s">
        <v>404</v>
      </c>
    </row>
    <row r="1358" spans="51:53">
      <c r="AY1358" s="627">
        <v>5054</v>
      </c>
      <c r="AZ1358" s="628" t="s">
        <v>3693</v>
      </c>
      <c r="BA1358" s="629" t="s">
        <v>404</v>
      </c>
    </row>
    <row r="1359" spans="51:53">
      <c r="AY1359" s="627">
        <v>5055</v>
      </c>
      <c r="AZ1359" s="628" t="s">
        <v>3694</v>
      </c>
      <c r="BA1359" s="629" t="s">
        <v>404</v>
      </c>
    </row>
    <row r="1360" spans="51:53">
      <c r="AY1360" s="627">
        <v>5061</v>
      </c>
      <c r="AZ1360" s="628" t="s">
        <v>3695</v>
      </c>
      <c r="BA1360" s="629" t="s">
        <v>404</v>
      </c>
    </row>
    <row r="1361" spans="51:53">
      <c r="AY1361" s="627">
        <v>5062</v>
      </c>
      <c r="AZ1361" s="628" t="s">
        <v>848</v>
      </c>
      <c r="BA1361" s="629" t="s">
        <v>404</v>
      </c>
    </row>
    <row r="1362" spans="51:53">
      <c r="AY1362" s="692">
        <v>5063</v>
      </c>
      <c r="AZ1362" s="628" t="s">
        <v>4896</v>
      </c>
      <c r="BA1362" s="629" t="s">
        <v>404</v>
      </c>
    </row>
    <row r="1363" spans="51:53">
      <c r="AY1363" s="627">
        <v>5064</v>
      </c>
      <c r="AZ1363" s="628" t="s">
        <v>4897</v>
      </c>
      <c r="BA1363" s="629" t="s">
        <v>404</v>
      </c>
    </row>
    <row r="1364" spans="51:53">
      <c r="AY1364" s="627">
        <v>5065</v>
      </c>
      <c r="AZ1364" s="628" t="s">
        <v>4898</v>
      </c>
      <c r="BA1364" s="629" t="s">
        <v>404</v>
      </c>
    </row>
    <row r="1365" spans="51:53">
      <c r="AY1365" s="627">
        <v>5071</v>
      </c>
      <c r="AZ1365" s="628" t="s">
        <v>4899</v>
      </c>
      <c r="BA1365" s="629" t="s">
        <v>404</v>
      </c>
    </row>
    <row r="1366" spans="51:53">
      <c r="AY1366" s="627">
        <v>5081</v>
      </c>
      <c r="AZ1366" s="628" t="s">
        <v>4900</v>
      </c>
      <c r="BA1366" s="629" t="s">
        <v>404</v>
      </c>
    </row>
    <row r="1367" spans="51:53">
      <c r="AY1367" s="627">
        <v>5082</v>
      </c>
      <c r="AZ1367" s="628" t="s">
        <v>4901</v>
      </c>
      <c r="BA1367" s="629" t="s">
        <v>404</v>
      </c>
    </row>
    <row r="1368" spans="51:53">
      <c r="AY1368" s="627">
        <v>5083</v>
      </c>
      <c r="AZ1368" s="628" t="s">
        <v>4902</v>
      </c>
      <c r="BA1368" s="629" t="s">
        <v>404</v>
      </c>
    </row>
    <row r="1369" spans="51:53">
      <c r="AY1369" s="627">
        <v>5084</v>
      </c>
      <c r="AZ1369" s="628" t="s">
        <v>4903</v>
      </c>
      <c r="BA1369" s="629" t="s">
        <v>404</v>
      </c>
    </row>
    <row r="1370" spans="51:53">
      <c r="AY1370" s="627">
        <v>5085</v>
      </c>
      <c r="AZ1370" s="630" t="s">
        <v>4904</v>
      </c>
      <c r="BA1370" s="629" t="s">
        <v>404</v>
      </c>
    </row>
    <row r="1371" spans="51:53">
      <c r="AY1371" s="627">
        <v>5091</v>
      </c>
      <c r="AZ1371" s="630" t="s">
        <v>4905</v>
      </c>
      <c r="BA1371" s="629" t="s">
        <v>404</v>
      </c>
    </row>
    <row r="1372" spans="51:53">
      <c r="AY1372" s="627">
        <v>5092</v>
      </c>
      <c r="AZ1372" s="628" t="s">
        <v>4906</v>
      </c>
      <c r="BA1372" s="629" t="s">
        <v>404</v>
      </c>
    </row>
    <row r="1373" spans="51:53">
      <c r="AY1373" s="627">
        <v>5093</v>
      </c>
      <c r="AZ1373" s="628" t="s">
        <v>4907</v>
      </c>
      <c r="BA1373" s="629" t="s">
        <v>404</v>
      </c>
    </row>
    <row r="1374" spans="51:53">
      <c r="AY1374" s="627">
        <v>5094</v>
      </c>
      <c r="AZ1374" s="628" t="s">
        <v>4908</v>
      </c>
      <c r="BA1374" s="629" t="s">
        <v>404</v>
      </c>
    </row>
    <row r="1375" spans="51:53">
      <c r="AY1375" s="627">
        <v>5095</v>
      </c>
      <c r="AZ1375" s="628" t="s">
        <v>4906</v>
      </c>
      <c r="BA1375" s="629" t="s">
        <v>404</v>
      </c>
    </row>
    <row r="1376" spans="51:53">
      <c r="AY1376" s="627">
        <v>5100</v>
      </c>
      <c r="AZ1376" s="628" t="s">
        <v>4910</v>
      </c>
      <c r="BA1376" s="629" t="s">
        <v>404</v>
      </c>
    </row>
    <row r="1377" spans="51:53">
      <c r="AY1377" s="627">
        <v>5111</v>
      </c>
      <c r="AZ1377" s="628" t="s">
        <v>4911</v>
      </c>
      <c r="BA1377" s="629" t="s">
        <v>404</v>
      </c>
    </row>
    <row r="1378" spans="51:53">
      <c r="AY1378" s="627">
        <v>5121</v>
      </c>
      <c r="AZ1378" s="628" t="s">
        <v>4912</v>
      </c>
      <c r="BA1378" s="629" t="s">
        <v>404</v>
      </c>
    </row>
    <row r="1379" spans="51:53">
      <c r="AY1379" s="627">
        <v>5122</v>
      </c>
      <c r="AZ1379" s="628" t="s">
        <v>4913</v>
      </c>
      <c r="BA1379" s="629" t="s">
        <v>404</v>
      </c>
    </row>
    <row r="1380" spans="51:53">
      <c r="AY1380" s="627">
        <v>5123</v>
      </c>
      <c r="AZ1380" s="628" t="s">
        <v>4914</v>
      </c>
      <c r="BA1380" s="629" t="s">
        <v>404</v>
      </c>
    </row>
    <row r="1381" spans="51:53">
      <c r="AY1381" s="627">
        <v>5124</v>
      </c>
      <c r="AZ1381" s="628" t="s">
        <v>4915</v>
      </c>
      <c r="BA1381" s="629" t="s">
        <v>404</v>
      </c>
    </row>
    <row r="1382" spans="51:53">
      <c r="AY1382" s="627">
        <v>5125</v>
      </c>
      <c r="AZ1382" s="628" t="s">
        <v>4916</v>
      </c>
      <c r="BA1382" s="629" t="s">
        <v>404</v>
      </c>
    </row>
    <row r="1383" spans="51:53">
      <c r="AY1383" s="627">
        <v>5126</v>
      </c>
      <c r="AZ1383" s="628" t="s">
        <v>4917</v>
      </c>
      <c r="BA1383" s="629" t="s">
        <v>404</v>
      </c>
    </row>
    <row r="1384" spans="51:53">
      <c r="AY1384" s="627">
        <v>5130</v>
      </c>
      <c r="AZ1384" s="628" t="s">
        <v>4918</v>
      </c>
      <c r="BA1384" s="629" t="s">
        <v>404</v>
      </c>
    </row>
    <row r="1385" spans="51:53">
      <c r="AY1385" s="627">
        <v>5135</v>
      </c>
      <c r="AZ1385" s="628" t="s">
        <v>4919</v>
      </c>
      <c r="BA1385" s="629" t="s">
        <v>404</v>
      </c>
    </row>
    <row r="1386" spans="51:53">
      <c r="AY1386" s="627">
        <v>5136</v>
      </c>
      <c r="AZ1386" s="628" t="s">
        <v>4920</v>
      </c>
      <c r="BA1386" s="629" t="s">
        <v>404</v>
      </c>
    </row>
    <row r="1387" spans="51:53">
      <c r="AY1387" s="627">
        <v>5137</v>
      </c>
      <c r="AZ1387" s="628" t="s">
        <v>4921</v>
      </c>
      <c r="BA1387" s="629" t="s">
        <v>404</v>
      </c>
    </row>
    <row r="1388" spans="51:53">
      <c r="AY1388" s="627">
        <v>5141</v>
      </c>
      <c r="AZ1388" s="628" t="s">
        <v>4922</v>
      </c>
      <c r="BA1388" s="629" t="s">
        <v>404</v>
      </c>
    </row>
    <row r="1389" spans="51:53">
      <c r="AY1389" s="627">
        <v>5142</v>
      </c>
      <c r="AZ1389" s="628" t="s">
        <v>4923</v>
      </c>
      <c r="BA1389" s="629" t="s">
        <v>404</v>
      </c>
    </row>
    <row r="1390" spans="51:53">
      <c r="AY1390" s="627">
        <v>5143</v>
      </c>
      <c r="AZ1390" s="628" t="s">
        <v>4924</v>
      </c>
      <c r="BA1390" s="629" t="s">
        <v>404</v>
      </c>
    </row>
    <row r="1391" spans="51:53">
      <c r="AY1391" s="627">
        <v>5144</v>
      </c>
      <c r="AZ1391" s="628" t="s">
        <v>4925</v>
      </c>
      <c r="BA1391" s="629" t="s">
        <v>404</v>
      </c>
    </row>
    <row r="1392" spans="51:53">
      <c r="AY1392" s="627">
        <v>5152</v>
      </c>
      <c r="AZ1392" s="628" t="s">
        <v>4910</v>
      </c>
      <c r="BA1392" s="629" t="s">
        <v>404</v>
      </c>
    </row>
    <row r="1393" spans="51:53">
      <c r="AY1393" s="627">
        <v>5200</v>
      </c>
      <c r="AZ1393" s="628" t="s">
        <v>4927</v>
      </c>
      <c r="BA1393" s="629" t="s">
        <v>404</v>
      </c>
    </row>
    <row r="1394" spans="51:53">
      <c r="AY1394" s="627">
        <v>5211</v>
      </c>
      <c r="AZ1394" s="628" t="s">
        <v>4928</v>
      </c>
      <c r="BA1394" s="629" t="s">
        <v>404</v>
      </c>
    </row>
    <row r="1395" spans="51:53">
      <c r="AY1395" s="627">
        <v>5212</v>
      </c>
      <c r="AZ1395" s="628" t="s">
        <v>4927</v>
      </c>
      <c r="BA1395" s="629" t="s">
        <v>404</v>
      </c>
    </row>
    <row r="1396" spans="51:53">
      <c r="AY1396" s="627">
        <v>5213</v>
      </c>
      <c r="AZ1396" s="628" t="s">
        <v>4932</v>
      </c>
      <c r="BA1396" s="629" t="s">
        <v>404</v>
      </c>
    </row>
    <row r="1397" spans="51:53">
      <c r="AY1397" s="627">
        <v>5222</v>
      </c>
      <c r="AZ1397" s="628" t="s">
        <v>4931</v>
      </c>
      <c r="BA1397" s="629" t="s">
        <v>404</v>
      </c>
    </row>
    <row r="1398" spans="51:53">
      <c r="AY1398" s="627">
        <v>5231</v>
      </c>
      <c r="AZ1398" s="628" t="s">
        <v>4932</v>
      </c>
      <c r="BA1398" s="629" t="s">
        <v>404</v>
      </c>
    </row>
    <row r="1399" spans="51:53">
      <c r="AY1399" s="627">
        <v>5232</v>
      </c>
      <c r="AZ1399" s="628" t="s">
        <v>4933</v>
      </c>
      <c r="BA1399" s="629" t="s">
        <v>404</v>
      </c>
    </row>
    <row r="1400" spans="51:53">
      <c r="AY1400" s="627">
        <v>5233</v>
      </c>
      <c r="AZ1400" s="628" t="s">
        <v>4934</v>
      </c>
      <c r="BA1400" s="629" t="s">
        <v>404</v>
      </c>
    </row>
    <row r="1401" spans="51:53">
      <c r="AY1401" s="627">
        <v>5234</v>
      </c>
      <c r="AZ1401" s="628" t="s">
        <v>4935</v>
      </c>
      <c r="BA1401" s="629" t="s">
        <v>404</v>
      </c>
    </row>
    <row r="1402" spans="51:53">
      <c r="AY1402" s="627">
        <v>5235</v>
      </c>
      <c r="AZ1402" s="628" t="s">
        <v>853</v>
      </c>
      <c r="BA1402" s="629" t="s">
        <v>404</v>
      </c>
    </row>
    <row r="1403" spans="51:53">
      <c r="AY1403" s="627">
        <v>5241</v>
      </c>
      <c r="AZ1403" s="628" t="s">
        <v>2467</v>
      </c>
      <c r="BA1403" s="629" t="s">
        <v>404</v>
      </c>
    </row>
    <row r="1404" spans="51:53">
      <c r="AY1404" s="627">
        <v>5243</v>
      </c>
      <c r="AZ1404" s="628" t="s">
        <v>2468</v>
      </c>
      <c r="BA1404" s="629" t="s">
        <v>404</v>
      </c>
    </row>
    <row r="1405" spans="51:53">
      <c r="AY1405" s="627">
        <v>5244</v>
      </c>
      <c r="AZ1405" s="628" t="s">
        <v>2469</v>
      </c>
      <c r="BA1405" s="629" t="s">
        <v>404</v>
      </c>
    </row>
    <row r="1406" spans="51:53">
      <c r="AY1406" s="627">
        <v>5300</v>
      </c>
      <c r="AZ1406" s="628" t="s">
        <v>2470</v>
      </c>
      <c r="BA1406" s="629" t="s">
        <v>404</v>
      </c>
    </row>
    <row r="1407" spans="51:53">
      <c r="AY1407" s="627">
        <v>5309</v>
      </c>
      <c r="AZ1407" s="628" t="s">
        <v>2471</v>
      </c>
      <c r="BA1407" s="629" t="s">
        <v>404</v>
      </c>
    </row>
    <row r="1408" spans="51:53">
      <c r="AY1408" s="627">
        <v>5310</v>
      </c>
      <c r="AZ1408" s="628" t="s">
        <v>2472</v>
      </c>
      <c r="BA1408" s="629" t="s">
        <v>404</v>
      </c>
    </row>
    <row r="1409" spans="51:53">
      <c r="AY1409" s="627">
        <v>5321</v>
      </c>
      <c r="AZ1409" s="628" t="s">
        <v>2473</v>
      </c>
      <c r="BA1409" s="629" t="s">
        <v>404</v>
      </c>
    </row>
    <row r="1410" spans="51:53">
      <c r="AY1410" s="627">
        <v>5322</v>
      </c>
      <c r="AZ1410" s="628" t="s">
        <v>2474</v>
      </c>
      <c r="BA1410" s="629" t="s">
        <v>404</v>
      </c>
    </row>
    <row r="1411" spans="51:53">
      <c r="AY1411" s="627">
        <v>5323</v>
      </c>
      <c r="AZ1411" s="628" t="s">
        <v>2474</v>
      </c>
      <c r="BA1411" s="629" t="s">
        <v>404</v>
      </c>
    </row>
    <row r="1412" spans="51:53">
      <c r="AY1412" s="627">
        <v>5324</v>
      </c>
      <c r="AZ1412" s="628" t="s">
        <v>2476</v>
      </c>
      <c r="BA1412" s="629" t="s">
        <v>404</v>
      </c>
    </row>
    <row r="1413" spans="51:53">
      <c r="AY1413" s="627">
        <v>5331</v>
      </c>
      <c r="AZ1413" s="628" t="s">
        <v>2477</v>
      </c>
      <c r="BA1413" s="629" t="s">
        <v>404</v>
      </c>
    </row>
    <row r="1414" spans="51:53">
      <c r="AY1414" s="627">
        <v>5340</v>
      </c>
      <c r="AZ1414" s="628" t="s">
        <v>643</v>
      </c>
      <c r="BA1414" s="629" t="s">
        <v>404</v>
      </c>
    </row>
    <row r="1415" spans="51:53">
      <c r="AY1415" s="627">
        <v>5349</v>
      </c>
      <c r="AZ1415" s="628" t="s">
        <v>2477</v>
      </c>
      <c r="BA1415" s="629" t="s">
        <v>404</v>
      </c>
    </row>
    <row r="1416" spans="51:53">
      <c r="AY1416" s="627">
        <v>5350</v>
      </c>
      <c r="AZ1416" s="628" t="s">
        <v>645</v>
      </c>
      <c r="BA1416" s="629" t="s">
        <v>404</v>
      </c>
    </row>
    <row r="1417" spans="51:53">
      <c r="AY1417" s="627">
        <v>5358</v>
      </c>
      <c r="AZ1417" s="628" t="s">
        <v>645</v>
      </c>
      <c r="BA1417" s="629" t="s">
        <v>404</v>
      </c>
    </row>
    <row r="1418" spans="51:53">
      <c r="AY1418" s="627">
        <v>5359</v>
      </c>
      <c r="AZ1418" s="628" t="s">
        <v>645</v>
      </c>
      <c r="BA1418" s="629" t="s">
        <v>404</v>
      </c>
    </row>
    <row r="1419" spans="51:53">
      <c r="AY1419" s="627">
        <v>5361</v>
      </c>
      <c r="AZ1419" s="628" t="s">
        <v>648</v>
      </c>
      <c r="BA1419" s="629" t="s">
        <v>404</v>
      </c>
    </row>
    <row r="1420" spans="51:53">
      <c r="AY1420" s="627">
        <v>5362</v>
      </c>
      <c r="AZ1420" s="628" t="s">
        <v>649</v>
      </c>
      <c r="BA1420" s="629" t="s">
        <v>404</v>
      </c>
    </row>
    <row r="1421" spans="51:53">
      <c r="AY1421" s="627">
        <v>5363</v>
      </c>
      <c r="AZ1421" s="628" t="s">
        <v>650</v>
      </c>
      <c r="BA1421" s="629" t="s">
        <v>404</v>
      </c>
    </row>
    <row r="1422" spans="51:53">
      <c r="AY1422" s="627">
        <v>5400</v>
      </c>
      <c r="AZ1422" s="628" t="s">
        <v>651</v>
      </c>
      <c r="BA1422" s="629" t="s">
        <v>404</v>
      </c>
    </row>
    <row r="1423" spans="51:53">
      <c r="AY1423" s="627">
        <v>5411</v>
      </c>
      <c r="AZ1423" s="628" t="s">
        <v>652</v>
      </c>
      <c r="BA1423" s="629" t="s">
        <v>404</v>
      </c>
    </row>
    <row r="1424" spans="51:53">
      <c r="AY1424" s="627">
        <v>5412</v>
      </c>
      <c r="AZ1424" s="628" t="s">
        <v>653</v>
      </c>
      <c r="BA1424" s="629" t="s">
        <v>404</v>
      </c>
    </row>
    <row r="1425" spans="51:53">
      <c r="AY1425" s="627">
        <v>5420</v>
      </c>
      <c r="AZ1425" s="628" t="s">
        <v>654</v>
      </c>
      <c r="BA1425" s="629" t="s">
        <v>404</v>
      </c>
    </row>
    <row r="1426" spans="51:53">
      <c r="AY1426" s="627">
        <v>5430</v>
      </c>
      <c r="AZ1426" s="628" t="s">
        <v>655</v>
      </c>
      <c r="BA1426" s="629" t="s">
        <v>404</v>
      </c>
    </row>
    <row r="1427" spans="51:53">
      <c r="AY1427" s="627">
        <v>5435</v>
      </c>
      <c r="AZ1427" s="628" t="s">
        <v>656</v>
      </c>
      <c r="BA1427" s="629" t="s">
        <v>404</v>
      </c>
    </row>
    <row r="1428" spans="51:53">
      <c r="AY1428" s="627">
        <v>5440</v>
      </c>
      <c r="AZ1428" s="628" t="s">
        <v>657</v>
      </c>
      <c r="BA1428" s="629" t="s">
        <v>404</v>
      </c>
    </row>
    <row r="1429" spans="51:53">
      <c r="AY1429" s="627">
        <v>5449</v>
      </c>
      <c r="AZ1429" s="628" t="s">
        <v>657</v>
      </c>
      <c r="BA1429" s="629" t="s">
        <v>404</v>
      </c>
    </row>
    <row r="1430" spans="51:53">
      <c r="AY1430" s="627">
        <v>5451</v>
      </c>
      <c r="AZ1430" s="628" t="s">
        <v>679</v>
      </c>
      <c r="BA1430" s="629" t="s">
        <v>404</v>
      </c>
    </row>
    <row r="1431" spans="51:53">
      <c r="AY1431" s="627">
        <v>5452</v>
      </c>
      <c r="AZ1431" s="628" t="s">
        <v>680</v>
      </c>
      <c r="BA1431" s="629" t="s">
        <v>404</v>
      </c>
    </row>
    <row r="1432" spans="51:53">
      <c r="AY1432" s="627">
        <v>5453</v>
      </c>
      <c r="AZ1432" s="628" t="s">
        <v>681</v>
      </c>
      <c r="BA1432" s="629" t="s">
        <v>404</v>
      </c>
    </row>
    <row r="1433" spans="51:53">
      <c r="AY1433" s="627">
        <v>5461</v>
      </c>
      <c r="AZ1433" s="628" t="s">
        <v>655</v>
      </c>
      <c r="BA1433" s="629" t="s">
        <v>404</v>
      </c>
    </row>
    <row r="1434" spans="51:53">
      <c r="AY1434" s="627">
        <v>5462</v>
      </c>
      <c r="AZ1434" s="628" t="s">
        <v>4629</v>
      </c>
      <c r="BA1434" s="629" t="s">
        <v>412</v>
      </c>
    </row>
    <row r="1435" spans="51:53">
      <c r="AY1435" s="627">
        <v>5463</v>
      </c>
      <c r="AZ1435" s="628" t="s">
        <v>684</v>
      </c>
      <c r="BA1435" s="629" t="s">
        <v>404</v>
      </c>
    </row>
    <row r="1436" spans="51:53">
      <c r="AY1436" s="627">
        <v>5464</v>
      </c>
      <c r="AZ1436" s="628" t="s">
        <v>685</v>
      </c>
      <c r="BA1436" s="629" t="s">
        <v>404</v>
      </c>
    </row>
    <row r="1437" spans="51:53">
      <c r="AY1437" s="627">
        <v>5465</v>
      </c>
      <c r="AZ1437" s="628" t="s">
        <v>686</v>
      </c>
      <c r="BA1437" s="629" t="s">
        <v>404</v>
      </c>
    </row>
    <row r="1438" spans="51:53">
      <c r="AY1438" s="627">
        <v>5471</v>
      </c>
      <c r="AZ1438" s="628" t="s">
        <v>688</v>
      </c>
      <c r="BA1438" s="629" t="s">
        <v>404</v>
      </c>
    </row>
    <row r="1439" spans="51:53">
      <c r="AY1439" s="627">
        <v>5472</v>
      </c>
      <c r="AZ1439" s="628" t="s">
        <v>688</v>
      </c>
      <c r="BA1439" s="629" t="s">
        <v>404</v>
      </c>
    </row>
    <row r="1440" spans="51:53">
      <c r="AY1440" s="627">
        <v>5474</v>
      </c>
      <c r="AZ1440" s="628" t="s">
        <v>690</v>
      </c>
      <c r="BA1440" s="629" t="s">
        <v>404</v>
      </c>
    </row>
    <row r="1441" spans="51:53">
      <c r="AY1441" s="627">
        <v>5475</v>
      </c>
      <c r="AZ1441" s="628" t="s">
        <v>691</v>
      </c>
      <c r="BA1441" s="629" t="s">
        <v>404</v>
      </c>
    </row>
    <row r="1442" spans="51:53">
      <c r="AY1442" s="627">
        <v>5476</v>
      </c>
      <c r="AZ1442" s="628" t="s">
        <v>1602</v>
      </c>
      <c r="BA1442" s="629" t="s">
        <v>404</v>
      </c>
    </row>
    <row r="1443" spans="51:53">
      <c r="AY1443" s="627">
        <v>5500</v>
      </c>
      <c r="AZ1443" s="628" t="s">
        <v>693</v>
      </c>
      <c r="BA1443" s="629" t="s">
        <v>433</v>
      </c>
    </row>
    <row r="1444" spans="51:53">
      <c r="AY1444" s="627">
        <v>5502</v>
      </c>
      <c r="AZ1444" s="628" t="s">
        <v>693</v>
      </c>
      <c r="BA1444" s="629" t="s">
        <v>433</v>
      </c>
    </row>
    <row r="1445" spans="51:53">
      <c r="AY1445" s="627">
        <v>5510</v>
      </c>
      <c r="AZ1445" s="628" t="s">
        <v>696</v>
      </c>
      <c r="BA1445" s="629" t="s">
        <v>433</v>
      </c>
    </row>
    <row r="1446" spans="51:53">
      <c r="AY1446" s="627">
        <v>5515</v>
      </c>
      <c r="AZ1446" s="628" t="s">
        <v>697</v>
      </c>
      <c r="BA1446" s="629" t="s">
        <v>433</v>
      </c>
    </row>
    <row r="1447" spans="51:53">
      <c r="AY1447" s="627">
        <v>5516</v>
      </c>
      <c r="AZ1447" s="628" t="s">
        <v>698</v>
      </c>
      <c r="BA1447" s="629" t="s">
        <v>433</v>
      </c>
    </row>
    <row r="1448" spans="51:53">
      <c r="AY1448" s="627">
        <v>5520</v>
      </c>
      <c r="AZ1448" s="628" t="s">
        <v>699</v>
      </c>
      <c r="BA1448" s="629" t="s">
        <v>433</v>
      </c>
    </row>
    <row r="1449" spans="51:53">
      <c r="AY1449" s="627">
        <v>5525</v>
      </c>
      <c r="AZ1449" s="628" t="s">
        <v>700</v>
      </c>
      <c r="BA1449" s="629" t="s">
        <v>433</v>
      </c>
    </row>
    <row r="1450" spans="51:53">
      <c r="AY1450" s="627">
        <v>5526</v>
      </c>
      <c r="AZ1450" s="628" t="s">
        <v>701</v>
      </c>
      <c r="BA1450" s="629" t="s">
        <v>433</v>
      </c>
    </row>
    <row r="1451" spans="51:53">
      <c r="AY1451" s="627">
        <v>5527</v>
      </c>
      <c r="AZ1451" s="628" t="s">
        <v>702</v>
      </c>
      <c r="BA1451" s="629" t="s">
        <v>433</v>
      </c>
    </row>
    <row r="1452" spans="51:53">
      <c r="AY1452" s="627">
        <v>5530</v>
      </c>
      <c r="AZ1452" s="628" t="s">
        <v>854</v>
      </c>
      <c r="BA1452" s="629" t="s">
        <v>433</v>
      </c>
    </row>
    <row r="1453" spans="51:53">
      <c r="AY1453" s="627">
        <v>5534</v>
      </c>
      <c r="AZ1453" s="628" t="s">
        <v>704</v>
      </c>
      <c r="BA1453" s="629" t="s">
        <v>433</v>
      </c>
    </row>
    <row r="1454" spans="51:53">
      <c r="AY1454" s="627">
        <v>5536</v>
      </c>
      <c r="AZ1454" s="628" t="s">
        <v>2781</v>
      </c>
      <c r="BA1454" s="629" t="s">
        <v>433</v>
      </c>
    </row>
    <row r="1455" spans="51:53">
      <c r="AY1455" s="627">
        <v>5537</v>
      </c>
      <c r="AZ1455" s="628" t="s">
        <v>706</v>
      </c>
      <c r="BA1455" s="629" t="s">
        <v>433</v>
      </c>
    </row>
    <row r="1456" spans="51:53">
      <c r="AY1456" s="627">
        <v>5538</v>
      </c>
      <c r="AZ1456" s="628" t="s">
        <v>707</v>
      </c>
      <c r="BA1456" s="629" t="s">
        <v>433</v>
      </c>
    </row>
    <row r="1457" spans="51:53">
      <c r="AY1457" s="627">
        <v>5539</v>
      </c>
      <c r="AZ1457" s="628" t="s">
        <v>2782</v>
      </c>
      <c r="BA1457" s="629" t="s">
        <v>433</v>
      </c>
    </row>
    <row r="1458" spans="51:53">
      <c r="AY1458" s="627">
        <v>5540</v>
      </c>
      <c r="AZ1458" s="628" t="s">
        <v>709</v>
      </c>
      <c r="BA1458" s="629" t="s">
        <v>433</v>
      </c>
    </row>
    <row r="1459" spans="51:53">
      <c r="AY1459" s="627">
        <v>5551</v>
      </c>
      <c r="AZ1459" s="628" t="s">
        <v>2783</v>
      </c>
      <c r="BA1459" s="629" t="s">
        <v>433</v>
      </c>
    </row>
    <row r="1460" spans="51:53">
      <c r="AY1460" s="627">
        <v>5552</v>
      </c>
      <c r="AZ1460" s="628" t="s">
        <v>711</v>
      </c>
      <c r="BA1460" s="629" t="s">
        <v>433</v>
      </c>
    </row>
    <row r="1461" spans="51:53">
      <c r="AY1461" s="627">
        <v>5553</v>
      </c>
      <c r="AZ1461" s="628" t="s">
        <v>712</v>
      </c>
      <c r="BA1461" s="629" t="s">
        <v>433</v>
      </c>
    </row>
    <row r="1462" spans="51:53">
      <c r="AY1462" s="627">
        <v>5555</v>
      </c>
      <c r="AZ1462" s="628" t="s">
        <v>713</v>
      </c>
      <c r="BA1462" s="629" t="s">
        <v>433</v>
      </c>
    </row>
    <row r="1463" spans="51:53">
      <c r="AY1463" s="627">
        <v>5556</v>
      </c>
      <c r="AZ1463" s="628" t="s">
        <v>714</v>
      </c>
      <c r="BA1463" s="629" t="s">
        <v>433</v>
      </c>
    </row>
    <row r="1464" spans="51:53">
      <c r="AY1464" s="627">
        <v>5561</v>
      </c>
      <c r="AZ1464" s="628" t="s">
        <v>715</v>
      </c>
      <c r="BA1464" s="629" t="s">
        <v>433</v>
      </c>
    </row>
    <row r="1465" spans="51:53">
      <c r="AY1465" s="627">
        <v>5600</v>
      </c>
      <c r="AZ1465" s="628" t="s">
        <v>716</v>
      </c>
      <c r="BA1465" s="629" t="s">
        <v>716</v>
      </c>
    </row>
    <row r="1466" spans="51:53">
      <c r="AY1466" s="627">
        <v>5609</v>
      </c>
      <c r="AZ1466" s="628" t="s">
        <v>717</v>
      </c>
      <c r="BA1466" s="629" t="s">
        <v>433</v>
      </c>
    </row>
    <row r="1467" spans="51:53">
      <c r="AY1467" s="627">
        <v>5621</v>
      </c>
      <c r="AZ1467" s="628" t="s">
        <v>718</v>
      </c>
      <c r="BA1467" s="629" t="s">
        <v>433</v>
      </c>
    </row>
    <row r="1468" spans="51:53">
      <c r="AY1468" s="627">
        <v>5622</v>
      </c>
      <c r="AZ1468" s="628" t="s">
        <v>719</v>
      </c>
      <c r="BA1468" s="629" t="s">
        <v>433</v>
      </c>
    </row>
    <row r="1469" spans="51:53">
      <c r="AY1469" s="627">
        <v>5623</v>
      </c>
      <c r="AZ1469" s="628" t="s">
        <v>716</v>
      </c>
      <c r="BA1469" s="629" t="s">
        <v>716</v>
      </c>
    </row>
    <row r="1470" spans="51:53">
      <c r="AY1470" s="627">
        <v>5624</v>
      </c>
      <c r="AZ1470" s="628" t="s">
        <v>721</v>
      </c>
      <c r="BA1470" s="629" t="s">
        <v>433</v>
      </c>
    </row>
    <row r="1471" spans="51:53">
      <c r="AY1471" s="627">
        <v>5630</v>
      </c>
      <c r="AZ1471" s="628" t="s">
        <v>433</v>
      </c>
      <c r="BA1471" s="629" t="s">
        <v>433</v>
      </c>
    </row>
    <row r="1472" spans="51:53">
      <c r="AY1472" s="627">
        <v>5641</v>
      </c>
      <c r="AZ1472" s="628" t="s">
        <v>722</v>
      </c>
      <c r="BA1472" s="629" t="s">
        <v>433</v>
      </c>
    </row>
    <row r="1473" spans="51:53">
      <c r="AY1473" s="627">
        <v>5643</v>
      </c>
      <c r="AZ1473" s="628" t="s">
        <v>723</v>
      </c>
      <c r="BA1473" s="629" t="s">
        <v>433</v>
      </c>
    </row>
    <row r="1474" spans="51:53">
      <c r="AY1474" s="627">
        <v>5650</v>
      </c>
      <c r="AZ1474" s="628" t="s">
        <v>724</v>
      </c>
      <c r="BA1474" s="629" t="s">
        <v>433</v>
      </c>
    </row>
    <row r="1475" spans="51:53">
      <c r="AY1475" s="627">
        <v>5661</v>
      </c>
      <c r="AZ1475" s="628" t="s">
        <v>725</v>
      </c>
      <c r="BA1475" s="629" t="s">
        <v>433</v>
      </c>
    </row>
    <row r="1476" spans="51:53">
      <c r="AY1476" s="627">
        <v>5662</v>
      </c>
      <c r="AZ1476" s="628" t="s">
        <v>726</v>
      </c>
      <c r="BA1476" s="629" t="s">
        <v>433</v>
      </c>
    </row>
    <row r="1477" spans="51:53">
      <c r="AY1477" s="627">
        <v>5663</v>
      </c>
      <c r="AZ1477" s="628" t="s">
        <v>727</v>
      </c>
      <c r="BA1477" s="629" t="s">
        <v>433</v>
      </c>
    </row>
    <row r="1478" spans="51:53">
      <c r="AY1478" s="627">
        <v>5664</v>
      </c>
      <c r="AZ1478" s="628" t="s">
        <v>727</v>
      </c>
      <c r="BA1478" s="629" t="s">
        <v>433</v>
      </c>
    </row>
    <row r="1479" spans="51:53">
      <c r="AY1479" s="627">
        <v>5665</v>
      </c>
      <c r="AZ1479" s="628" t="s">
        <v>729</v>
      </c>
      <c r="BA1479" s="629" t="s">
        <v>433</v>
      </c>
    </row>
    <row r="1480" spans="51:53">
      <c r="AY1480" s="627">
        <v>5666</v>
      </c>
      <c r="AZ1480" s="628" t="s">
        <v>730</v>
      </c>
      <c r="BA1480" s="629" t="s">
        <v>433</v>
      </c>
    </row>
    <row r="1481" spans="51:53">
      <c r="AY1481" s="627">
        <v>5667</v>
      </c>
      <c r="AZ1481" s="628" t="s">
        <v>731</v>
      </c>
      <c r="BA1481" s="629" t="s">
        <v>433</v>
      </c>
    </row>
    <row r="1482" spans="51:53">
      <c r="AY1482" s="627">
        <v>5668</v>
      </c>
      <c r="AZ1482" s="628" t="s">
        <v>732</v>
      </c>
      <c r="BA1482" s="629" t="s">
        <v>433</v>
      </c>
    </row>
    <row r="1483" spans="51:53">
      <c r="AY1483" s="627">
        <v>5671</v>
      </c>
      <c r="AZ1483" s="628" t="s">
        <v>716</v>
      </c>
      <c r="BA1483" s="629" t="s">
        <v>716</v>
      </c>
    </row>
    <row r="1484" spans="51:53">
      <c r="AY1484" s="627">
        <v>5672</v>
      </c>
      <c r="AZ1484" s="628" t="s">
        <v>734</v>
      </c>
      <c r="BA1484" s="629" t="s">
        <v>433</v>
      </c>
    </row>
    <row r="1485" spans="51:53">
      <c r="AY1485" s="627">
        <v>5673</v>
      </c>
      <c r="AZ1485" s="628" t="s">
        <v>735</v>
      </c>
      <c r="BA1485" s="629" t="s">
        <v>433</v>
      </c>
    </row>
    <row r="1486" spans="51:53">
      <c r="AY1486" s="627">
        <v>5674</v>
      </c>
      <c r="AZ1486" s="630" t="s">
        <v>736</v>
      </c>
      <c r="BA1486" s="629" t="s">
        <v>433</v>
      </c>
    </row>
    <row r="1487" spans="51:53">
      <c r="AY1487" s="627">
        <v>5675</v>
      </c>
      <c r="AZ1487" s="628" t="s">
        <v>737</v>
      </c>
      <c r="BA1487" s="629" t="s">
        <v>433</v>
      </c>
    </row>
    <row r="1488" spans="51:53">
      <c r="AY1488" s="627">
        <v>5700</v>
      </c>
      <c r="AZ1488" s="628" t="s">
        <v>738</v>
      </c>
      <c r="BA1488" s="629" t="s">
        <v>433</v>
      </c>
    </row>
    <row r="1489" spans="51:53">
      <c r="AY1489" s="627">
        <v>5703</v>
      </c>
      <c r="AZ1489" s="628" t="s">
        <v>738</v>
      </c>
      <c r="BA1489" s="629" t="s">
        <v>433</v>
      </c>
    </row>
    <row r="1490" spans="51:53">
      <c r="AY1490" s="627">
        <v>5711</v>
      </c>
      <c r="AZ1490" s="628" t="s">
        <v>738</v>
      </c>
      <c r="BA1490" s="629" t="s">
        <v>433</v>
      </c>
    </row>
    <row r="1491" spans="51:53">
      <c r="AY1491" s="627">
        <v>5712</v>
      </c>
      <c r="AZ1491" s="628" t="s">
        <v>741</v>
      </c>
      <c r="BA1491" s="629" t="s">
        <v>433</v>
      </c>
    </row>
    <row r="1492" spans="51:53">
      <c r="AY1492" s="627">
        <v>5720</v>
      </c>
      <c r="AZ1492" s="628" t="s">
        <v>742</v>
      </c>
      <c r="BA1492" s="629" t="s">
        <v>433</v>
      </c>
    </row>
    <row r="1493" spans="51:53">
      <c r="AY1493" s="61">
        <v>5722</v>
      </c>
      <c r="AZ1493" s="638" t="s">
        <v>742</v>
      </c>
      <c r="BA1493" s="629" t="s">
        <v>433</v>
      </c>
    </row>
    <row r="1494" spans="51:53">
      <c r="AY1494" s="692">
        <v>5725</v>
      </c>
      <c r="AZ1494" s="628" t="s">
        <v>743</v>
      </c>
      <c r="BA1494" s="629" t="s">
        <v>433</v>
      </c>
    </row>
    <row r="1495" spans="51:53">
      <c r="AY1495" s="627">
        <v>5726</v>
      </c>
      <c r="AZ1495" s="628" t="s">
        <v>744</v>
      </c>
      <c r="BA1495" s="629" t="s">
        <v>433</v>
      </c>
    </row>
    <row r="1496" spans="51:53">
      <c r="AY1496" s="627">
        <v>5727</v>
      </c>
      <c r="AZ1496" s="628" t="s">
        <v>745</v>
      </c>
      <c r="BA1496" s="629" t="s">
        <v>433</v>
      </c>
    </row>
    <row r="1497" spans="51:53">
      <c r="AY1497" s="627">
        <v>5731</v>
      </c>
      <c r="AZ1497" s="628" t="s">
        <v>746</v>
      </c>
      <c r="BA1497" s="629" t="s">
        <v>433</v>
      </c>
    </row>
    <row r="1498" spans="51:53">
      <c r="AY1498" s="627">
        <v>5732</v>
      </c>
      <c r="AZ1498" s="628" t="s">
        <v>747</v>
      </c>
      <c r="BA1498" s="629" t="s">
        <v>433</v>
      </c>
    </row>
    <row r="1499" spans="51:53">
      <c r="AY1499" s="627">
        <v>5734</v>
      </c>
      <c r="AZ1499" s="628" t="s">
        <v>748</v>
      </c>
      <c r="BA1499" s="629" t="s">
        <v>433</v>
      </c>
    </row>
    <row r="1500" spans="51:53">
      <c r="AY1500" s="627">
        <v>5741</v>
      </c>
      <c r="AZ1500" s="628" t="s">
        <v>749</v>
      </c>
      <c r="BA1500" s="629" t="s">
        <v>433</v>
      </c>
    </row>
    <row r="1501" spans="51:53">
      <c r="AY1501" s="627">
        <v>5742</v>
      </c>
      <c r="AZ1501" s="628" t="s">
        <v>750</v>
      </c>
      <c r="BA1501" s="629" t="s">
        <v>433</v>
      </c>
    </row>
    <row r="1502" spans="51:53">
      <c r="AY1502" s="627">
        <v>5743</v>
      </c>
      <c r="AZ1502" s="628" t="s">
        <v>2792</v>
      </c>
      <c r="BA1502" s="629" t="s">
        <v>433</v>
      </c>
    </row>
    <row r="1503" spans="51:53">
      <c r="AY1503" s="627">
        <v>5744</v>
      </c>
      <c r="AZ1503" s="628" t="s">
        <v>752</v>
      </c>
      <c r="BA1503" s="629" t="s">
        <v>433</v>
      </c>
    </row>
    <row r="1504" spans="51:53">
      <c r="AY1504" s="627">
        <v>5745</v>
      </c>
      <c r="AZ1504" s="628" t="s">
        <v>753</v>
      </c>
      <c r="BA1504" s="629" t="s">
        <v>433</v>
      </c>
    </row>
    <row r="1505" spans="51:53">
      <c r="AY1505" s="627">
        <v>5746</v>
      </c>
      <c r="AZ1505" s="628" t="s">
        <v>754</v>
      </c>
      <c r="BA1505" s="629" t="s">
        <v>433</v>
      </c>
    </row>
    <row r="1506" spans="51:53">
      <c r="AY1506" s="627">
        <v>5747</v>
      </c>
      <c r="AZ1506" s="628" t="s">
        <v>755</v>
      </c>
      <c r="BA1506" s="629" t="s">
        <v>433</v>
      </c>
    </row>
    <row r="1507" spans="51:53">
      <c r="AY1507" s="627">
        <v>5751</v>
      </c>
      <c r="AZ1507" s="628" t="s">
        <v>756</v>
      </c>
      <c r="BA1507" s="629" t="s">
        <v>433</v>
      </c>
    </row>
    <row r="1508" spans="51:53">
      <c r="AY1508" s="627">
        <v>5752</v>
      </c>
      <c r="AZ1508" s="628" t="s">
        <v>730</v>
      </c>
      <c r="BA1508" s="629" t="s">
        <v>433</v>
      </c>
    </row>
    <row r="1509" spans="51:53">
      <c r="AY1509" s="627">
        <v>5800</v>
      </c>
      <c r="AZ1509" s="628" t="s">
        <v>758</v>
      </c>
      <c r="BA1509" s="629" t="s">
        <v>433</v>
      </c>
    </row>
    <row r="1510" spans="51:53">
      <c r="AY1510" s="627">
        <v>5811</v>
      </c>
      <c r="AZ1510" s="628" t="s">
        <v>759</v>
      </c>
      <c r="BA1510" s="629" t="s">
        <v>433</v>
      </c>
    </row>
    <row r="1511" spans="51:53">
      <c r="AY1511" s="627">
        <v>5820</v>
      </c>
      <c r="AZ1511" s="628" t="s">
        <v>760</v>
      </c>
      <c r="BA1511" s="629" t="s">
        <v>433</v>
      </c>
    </row>
    <row r="1512" spans="51:53">
      <c r="AY1512" s="627">
        <v>5830</v>
      </c>
      <c r="AZ1512" s="630" t="s">
        <v>761</v>
      </c>
      <c r="BA1512" s="629" t="s">
        <v>433</v>
      </c>
    </row>
    <row r="1513" spans="51:53">
      <c r="AY1513" s="627">
        <v>5836</v>
      </c>
      <c r="AZ1513" s="628" t="s">
        <v>762</v>
      </c>
      <c r="BA1513" s="629" t="s">
        <v>433</v>
      </c>
    </row>
    <row r="1514" spans="51:53">
      <c r="AY1514" s="627">
        <v>5837</v>
      </c>
      <c r="AZ1514" s="628" t="s">
        <v>763</v>
      </c>
      <c r="BA1514" s="629" t="s">
        <v>433</v>
      </c>
    </row>
    <row r="1515" spans="51:53">
      <c r="AY1515" s="627">
        <v>5838</v>
      </c>
      <c r="AZ1515" s="628" t="s">
        <v>764</v>
      </c>
      <c r="BA1515" s="629" t="s">
        <v>433</v>
      </c>
    </row>
    <row r="1516" spans="51:53">
      <c r="AY1516" s="627">
        <v>5900</v>
      </c>
      <c r="AZ1516" s="628" t="s">
        <v>765</v>
      </c>
      <c r="BA1516" s="629" t="s">
        <v>433</v>
      </c>
    </row>
    <row r="1517" spans="51:53">
      <c r="AY1517" s="627">
        <v>5903</v>
      </c>
      <c r="AZ1517" s="628" t="s">
        <v>765</v>
      </c>
      <c r="BA1517" s="629" t="s">
        <v>433</v>
      </c>
    </row>
    <row r="1518" spans="51:53">
      <c r="AY1518" s="627">
        <v>5904</v>
      </c>
      <c r="AZ1518" s="628" t="s">
        <v>765</v>
      </c>
      <c r="BA1518" s="629" t="s">
        <v>433</v>
      </c>
    </row>
    <row r="1519" spans="51:53">
      <c r="AY1519" s="627">
        <v>5905</v>
      </c>
      <c r="AZ1519" s="628" t="s">
        <v>765</v>
      </c>
      <c r="BA1519" s="629" t="s">
        <v>433</v>
      </c>
    </row>
    <row r="1520" spans="51:53">
      <c r="AY1520" s="627">
        <v>5919</v>
      </c>
      <c r="AZ1520" s="628" t="s">
        <v>770</v>
      </c>
      <c r="BA1520" s="629" t="s">
        <v>433</v>
      </c>
    </row>
    <row r="1521" spans="51:53">
      <c r="AY1521" s="627">
        <v>5920</v>
      </c>
      <c r="AZ1521" s="628" t="s">
        <v>771</v>
      </c>
      <c r="BA1521" s="629" t="s">
        <v>433</v>
      </c>
    </row>
    <row r="1522" spans="51:53">
      <c r="AY1522" s="627">
        <v>5925</v>
      </c>
      <c r="AZ1522" s="628" t="s">
        <v>772</v>
      </c>
      <c r="BA1522" s="629" t="s">
        <v>433</v>
      </c>
    </row>
    <row r="1523" spans="51:53">
      <c r="AY1523" s="627">
        <v>5931</v>
      </c>
      <c r="AZ1523" s="628" t="s">
        <v>773</v>
      </c>
      <c r="BA1523" s="629" t="s">
        <v>433</v>
      </c>
    </row>
    <row r="1524" spans="51:53">
      <c r="AY1524" s="627">
        <v>5932</v>
      </c>
      <c r="AZ1524" s="628" t="s">
        <v>3218</v>
      </c>
      <c r="BA1524" s="629" t="s">
        <v>433</v>
      </c>
    </row>
    <row r="1525" spans="51:53">
      <c r="AY1525" s="627">
        <v>5940</v>
      </c>
      <c r="AZ1525" s="628" t="s">
        <v>3219</v>
      </c>
      <c r="BA1525" s="629" t="s">
        <v>433</v>
      </c>
    </row>
    <row r="1526" spans="51:53">
      <c r="AY1526" s="627">
        <v>5945</v>
      </c>
      <c r="AZ1526" s="628" t="s">
        <v>3220</v>
      </c>
      <c r="BA1526" s="629" t="s">
        <v>433</v>
      </c>
    </row>
    <row r="1527" spans="51:53">
      <c r="AY1527" s="627">
        <v>5946</v>
      </c>
      <c r="AZ1527" s="628" t="s">
        <v>3221</v>
      </c>
      <c r="BA1527" s="629" t="s">
        <v>433</v>
      </c>
    </row>
    <row r="1528" spans="51:53">
      <c r="AY1528" s="627">
        <v>5948</v>
      </c>
      <c r="AZ1528" s="628" t="s">
        <v>3222</v>
      </c>
      <c r="BA1528" s="629" t="s">
        <v>433</v>
      </c>
    </row>
    <row r="1529" spans="51:53">
      <c r="AY1529" s="627">
        <v>6000</v>
      </c>
      <c r="AZ1529" s="628" t="s">
        <v>3312</v>
      </c>
      <c r="BA1529" s="629" t="s">
        <v>3312</v>
      </c>
    </row>
    <row r="1530" spans="51:53">
      <c r="AY1530" s="627">
        <v>6008</v>
      </c>
      <c r="AZ1530" s="628" t="s">
        <v>3312</v>
      </c>
      <c r="BA1530" s="629" t="s">
        <v>3312</v>
      </c>
    </row>
    <row r="1531" spans="51:53">
      <c r="AY1531" s="627">
        <v>6031</v>
      </c>
      <c r="AZ1531" s="628" t="s">
        <v>3314</v>
      </c>
      <c r="BA1531" s="629" t="s">
        <v>427</v>
      </c>
    </row>
    <row r="1532" spans="51:53">
      <c r="AY1532" s="627">
        <v>6032</v>
      </c>
      <c r="AZ1532" s="628" t="s">
        <v>3315</v>
      </c>
      <c r="BA1532" s="629" t="s">
        <v>427</v>
      </c>
    </row>
    <row r="1533" spans="51:53">
      <c r="AY1533" s="627">
        <v>6033</v>
      </c>
      <c r="AZ1533" s="628" t="s">
        <v>3316</v>
      </c>
      <c r="BA1533" s="629" t="s">
        <v>427</v>
      </c>
    </row>
    <row r="1534" spans="51:53">
      <c r="AY1534" s="627">
        <v>6034</v>
      </c>
      <c r="AZ1534" s="628" t="s">
        <v>3317</v>
      </c>
      <c r="BA1534" s="629" t="s">
        <v>427</v>
      </c>
    </row>
    <row r="1535" spans="51:53">
      <c r="AY1535" s="627">
        <v>6035</v>
      </c>
      <c r="AZ1535" s="628" t="s">
        <v>3318</v>
      </c>
      <c r="BA1535" s="629" t="s">
        <v>427</v>
      </c>
    </row>
    <row r="1536" spans="51:53">
      <c r="AY1536" s="627">
        <v>6041</v>
      </c>
      <c r="AZ1536" s="628" t="s">
        <v>2441</v>
      </c>
      <c r="BA1536" s="629" t="s">
        <v>427</v>
      </c>
    </row>
    <row r="1537" spans="51:53">
      <c r="AY1537" s="627">
        <v>6042</v>
      </c>
      <c r="AZ1537" s="628" t="s">
        <v>89</v>
      </c>
      <c r="BA1537" s="629" t="s">
        <v>427</v>
      </c>
    </row>
    <row r="1538" spans="51:53">
      <c r="AY1538" s="627">
        <v>6043</v>
      </c>
      <c r="AZ1538" s="628" t="s">
        <v>90</v>
      </c>
      <c r="BA1538" s="629" t="s">
        <v>427</v>
      </c>
    </row>
    <row r="1539" spans="51:53">
      <c r="AY1539" s="627">
        <v>6044</v>
      </c>
      <c r="AZ1539" s="628" t="s">
        <v>3312</v>
      </c>
      <c r="BA1539" s="629" t="s">
        <v>3312</v>
      </c>
    </row>
    <row r="1540" spans="51:53">
      <c r="AY1540" s="627">
        <v>6045</v>
      </c>
      <c r="AZ1540" s="628" t="s">
        <v>92</v>
      </c>
      <c r="BA1540" s="629" t="s">
        <v>427</v>
      </c>
    </row>
    <row r="1541" spans="51:53">
      <c r="AY1541" s="627">
        <v>6050</v>
      </c>
      <c r="AZ1541" s="628" t="s">
        <v>2799</v>
      </c>
      <c r="BA1541" s="629" t="s">
        <v>427</v>
      </c>
    </row>
    <row r="1542" spans="51:53">
      <c r="AY1542" s="627">
        <v>6055</v>
      </c>
      <c r="AZ1542" s="628" t="s">
        <v>94</v>
      </c>
      <c r="BA1542" s="629" t="s">
        <v>427</v>
      </c>
    </row>
    <row r="1543" spans="51:53">
      <c r="AY1543" s="627">
        <v>6060</v>
      </c>
      <c r="AZ1543" s="628" t="s">
        <v>95</v>
      </c>
      <c r="BA1543" s="629" t="s">
        <v>427</v>
      </c>
    </row>
    <row r="1544" spans="51:53">
      <c r="AY1544" s="627">
        <v>6062</v>
      </c>
      <c r="AZ1544" s="628" t="s">
        <v>95</v>
      </c>
      <c r="BA1544" s="629" t="s">
        <v>427</v>
      </c>
    </row>
    <row r="1545" spans="51:53">
      <c r="AY1545" s="627">
        <v>6064</v>
      </c>
      <c r="AZ1545" s="628" t="s">
        <v>97</v>
      </c>
      <c r="BA1545" s="629" t="s">
        <v>427</v>
      </c>
    </row>
    <row r="1546" spans="51:53">
      <c r="AY1546" s="627">
        <v>6065</v>
      </c>
      <c r="AZ1546" s="628" t="s">
        <v>98</v>
      </c>
      <c r="BA1546" s="629" t="s">
        <v>427</v>
      </c>
    </row>
    <row r="1547" spans="51:53">
      <c r="AY1547" s="627">
        <v>6066</v>
      </c>
      <c r="AZ1547" s="628" t="s">
        <v>99</v>
      </c>
      <c r="BA1547" s="629" t="s">
        <v>427</v>
      </c>
    </row>
    <row r="1548" spans="51:53">
      <c r="AY1548" s="627">
        <v>6067</v>
      </c>
      <c r="AZ1548" s="630" t="s">
        <v>99</v>
      </c>
      <c r="BA1548" s="629" t="s">
        <v>427</v>
      </c>
    </row>
    <row r="1549" spans="51:53">
      <c r="AY1549" s="627">
        <v>6070</v>
      </c>
      <c r="AZ1549" s="630" t="s">
        <v>101</v>
      </c>
      <c r="BA1549" s="629" t="s">
        <v>427</v>
      </c>
    </row>
    <row r="1550" spans="51:53">
      <c r="AY1550" s="627">
        <v>6075</v>
      </c>
      <c r="AZ1550" s="628" t="s">
        <v>102</v>
      </c>
      <c r="BA1550" s="629" t="s">
        <v>427</v>
      </c>
    </row>
    <row r="1551" spans="51:53">
      <c r="AY1551" s="627">
        <v>6076</v>
      </c>
      <c r="AZ1551" s="628" t="s">
        <v>103</v>
      </c>
      <c r="BA1551" s="629" t="s">
        <v>427</v>
      </c>
    </row>
    <row r="1552" spans="51:53">
      <c r="AY1552" s="627">
        <v>6077</v>
      </c>
      <c r="AZ1552" s="628" t="s">
        <v>104</v>
      </c>
      <c r="BA1552" s="629" t="s">
        <v>427</v>
      </c>
    </row>
    <row r="1553" spans="51:53">
      <c r="AY1553" s="627">
        <v>6078</v>
      </c>
      <c r="AZ1553" s="628" t="s">
        <v>105</v>
      </c>
      <c r="BA1553" s="629" t="s">
        <v>427</v>
      </c>
    </row>
    <row r="1554" spans="51:53">
      <c r="AY1554" s="627">
        <v>6080</v>
      </c>
      <c r="AZ1554" s="628" t="s">
        <v>1804</v>
      </c>
      <c r="BA1554" s="629" t="s">
        <v>427</v>
      </c>
    </row>
    <row r="1555" spans="51:53">
      <c r="AY1555" s="627">
        <v>6085</v>
      </c>
      <c r="AZ1555" s="628" t="s">
        <v>1805</v>
      </c>
      <c r="BA1555" s="629" t="s">
        <v>427</v>
      </c>
    </row>
    <row r="1556" spans="51:53">
      <c r="AY1556" s="627">
        <v>6086</v>
      </c>
      <c r="AZ1556" s="628" t="s">
        <v>1806</v>
      </c>
      <c r="BA1556" s="629" t="s">
        <v>427</v>
      </c>
    </row>
    <row r="1557" spans="51:53">
      <c r="AY1557" s="627">
        <v>6087</v>
      </c>
      <c r="AZ1557" s="628" t="s">
        <v>1807</v>
      </c>
      <c r="BA1557" s="629" t="s">
        <v>427</v>
      </c>
    </row>
    <row r="1558" spans="51:53">
      <c r="AY1558" s="627">
        <v>6088</v>
      </c>
      <c r="AZ1558" s="630" t="s">
        <v>1808</v>
      </c>
      <c r="BA1558" s="629" t="s">
        <v>427</v>
      </c>
    </row>
    <row r="1559" spans="51:53">
      <c r="AY1559" s="627">
        <v>6090</v>
      </c>
      <c r="AZ1559" s="628" t="s">
        <v>1809</v>
      </c>
      <c r="BA1559" s="629" t="s">
        <v>427</v>
      </c>
    </row>
    <row r="1560" spans="51:53">
      <c r="AY1560" s="627">
        <v>6096</v>
      </c>
      <c r="AZ1560" s="628" t="s">
        <v>1810</v>
      </c>
      <c r="BA1560" s="629" t="s">
        <v>427</v>
      </c>
    </row>
    <row r="1561" spans="51:53">
      <c r="AY1561" s="627">
        <v>6097</v>
      </c>
      <c r="AZ1561" s="628" t="s">
        <v>1811</v>
      </c>
      <c r="BA1561" s="629" t="s">
        <v>427</v>
      </c>
    </row>
    <row r="1562" spans="51:53">
      <c r="AY1562" s="627">
        <v>6098</v>
      </c>
      <c r="AZ1562" s="628" t="s">
        <v>1812</v>
      </c>
      <c r="BA1562" s="629" t="s">
        <v>427</v>
      </c>
    </row>
    <row r="1563" spans="51:53">
      <c r="AY1563" s="627">
        <v>6100</v>
      </c>
      <c r="AZ1563" s="628" t="s">
        <v>1813</v>
      </c>
      <c r="BA1563" s="629" t="s">
        <v>427</v>
      </c>
    </row>
    <row r="1564" spans="51:53">
      <c r="AY1564" s="627">
        <v>6111</v>
      </c>
      <c r="AZ1564" s="628" t="s">
        <v>1814</v>
      </c>
      <c r="BA1564" s="629" t="s">
        <v>427</v>
      </c>
    </row>
    <row r="1565" spans="51:53">
      <c r="AY1565" s="627">
        <v>6112</v>
      </c>
      <c r="AZ1565" s="628" t="s">
        <v>1815</v>
      </c>
      <c r="BA1565" s="629" t="s">
        <v>427</v>
      </c>
    </row>
    <row r="1566" spans="51:53">
      <c r="AY1566" s="627">
        <v>6113</v>
      </c>
      <c r="AZ1566" s="628" t="s">
        <v>1816</v>
      </c>
      <c r="BA1566" s="629" t="s">
        <v>427</v>
      </c>
    </row>
    <row r="1567" spans="51:53">
      <c r="AY1567" s="627">
        <v>6114</v>
      </c>
      <c r="AZ1567" s="628" t="s">
        <v>1817</v>
      </c>
      <c r="BA1567" s="629" t="s">
        <v>427</v>
      </c>
    </row>
    <row r="1568" spans="51:53">
      <c r="AY1568" s="627">
        <v>6114</v>
      </c>
      <c r="AZ1568" s="628" t="s">
        <v>1333</v>
      </c>
      <c r="BA1568" s="629" t="s">
        <v>427</v>
      </c>
    </row>
    <row r="1569" spans="51:53">
      <c r="AY1569" s="627">
        <v>6115</v>
      </c>
      <c r="AZ1569" s="628" t="s">
        <v>1818</v>
      </c>
      <c r="BA1569" s="629" t="s">
        <v>427</v>
      </c>
    </row>
    <row r="1570" spans="51:53">
      <c r="AY1570" s="627">
        <v>6116</v>
      </c>
      <c r="AZ1570" s="628" t="s">
        <v>1819</v>
      </c>
      <c r="BA1570" s="629" t="s">
        <v>427</v>
      </c>
    </row>
    <row r="1571" spans="51:53">
      <c r="AY1571" s="627">
        <v>6120</v>
      </c>
      <c r="AZ1571" s="628" t="s">
        <v>1820</v>
      </c>
      <c r="BA1571" s="629" t="s">
        <v>427</v>
      </c>
    </row>
    <row r="1572" spans="51:53">
      <c r="AY1572" s="627">
        <v>6131</v>
      </c>
      <c r="AZ1572" s="628" t="s">
        <v>1821</v>
      </c>
      <c r="BA1572" s="629" t="s">
        <v>427</v>
      </c>
    </row>
    <row r="1573" spans="51:53">
      <c r="AY1573" s="627">
        <v>6132</v>
      </c>
      <c r="AZ1573" s="628" t="s">
        <v>3185</v>
      </c>
      <c r="BA1573" s="629" t="s">
        <v>427</v>
      </c>
    </row>
    <row r="1574" spans="51:53">
      <c r="AY1574" s="627">
        <v>6133</v>
      </c>
      <c r="AZ1574" s="628" t="s">
        <v>1336</v>
      </c>
      <c r="BA1574" s="629" t="s">
        <v>427</v>
      </c>
    </row>
    <row r="1575" spans="51:53">
      <c r="AY1575" s="627">
        <v>6134</v>
      </c>
      <c r="AZ1575" s="628" t="s">
        <v>1824</v>
      </c>
      <c r="BA1575" s="629" t="s">
        <v>427</v>
      </c>
    </row>
    <row r="1576" spans="51:53">
      <c r="AY1576" s="627">
        <v>6135</v>
      </c>
      <c r="AZ1576" s="628" t="s">
        <v>1825</v>
      </c>
      <c r="BA1576" s="629" t="s">
        <v>427</v>
      </c>
    </row>
    <row r="1577" spans="51:53">
      <c r="AY1577" s="627">
        <v>6136</v>
      </c>
      <c r="AZ1577" s="628" t="s">
        <v>1826</v>
      </c>
      <c r="BA1577" s="629" t="s">
        <v>427</v>
      </c>
    </row>
    <row r="1578" spans="51:53">
      <c r="AY1578" s="627">
        <v>6200</v>
      </c>
      <c r="AZ1578" s="628" t="s">
        <v>893</v>
      </c>
      <c r="BA1578" s="629" t="s">
        <v>410</v>
      </c>
    </row>
    <row r="1579" spans="51:53">
      <c r="AY1579" s="627">
        <v>6211</v>
      </c>
      <c r="AZ1579" s="628" t="s">
        <v>1830</v>
      </c>
      <c r="BA1579" s="629" t="s">
        <v>427</v>
      </c>
    </row>
    <row r="1580" spans="51:53">
      <c r="AY1580" s="627">
        <v>6221</v>
      </c>
      <c r="AZ1580" s="628" t="s">
        <v>1831</v>
      </c>
      <c r="BA1580" s="629" t="s">
        <v>427</v>
      </c>
    </row>
    <row r="1581" spans="51:53">
      <c r="AY1581" s="627">
        <v>6222</v>
      </c>
      <c r="AZ1581" s="628" t="s">
        <v>1832</v>
      </c>
      <c r="BA1581" s="629" t="s">
        <v>427</v>
      </c>
    </row>
    <row r="1582" spans="51:53">
      <c r="AY1582" s="627">
        <v>6223</v>
      </c>
      <c r="AZ1582" s="628" t="s">
        <v>1833</v>
      </c>
      <c r="BA1582" s="629" t="s">
        <v>427</v>
      </c>
    </row>
    <row r="1583" spans="51:53">
      <c r="AY1583" s="627">
        <v>6224</v>
      </c>
      <c r="AZ1583" s="628" t="s">
        <v>1969</v>
      </c>
      <c r="BA1583" s="629" t="s">
        <v>427</v>
      </c>
    </row>
    <row r="1584" spans="51:53">
      <c r="AY1584" s="692">
        <v>6230</v>
      </c>
      <c r="AZ1584" s="628" t="s">
        <v>1970</v>
      </c>
      <c r="BA1584" s="629" t="s">
        <v>427</v>
      </c>
    </row>
    <row r="1585" spans="51:53">
      <c r="AY1585" s="627">
        <v>6235</v>
      </c>
      <c r="AZ1585" s="628" t="s">
        <v>1971</v>
      </c>
      <c r="BA1585" s="629" t="s">
        <v>427</v>
      </c>
    </row>
    <row r="1586" spans="51:53">
      <c r="AY1586" s="627">
        <v>6236</v>
      </c>
      <c r="AZ1586" s="628" t="s">
        <v>1972</v>
      </c>
      <c r="BA1586" s="629" t="s">
        <v>427</v>
      </c>
    </row>
    <row r="1587" spans="51:53">
      <c r="AY1587" s="627">
        <v>6237</v>
      </c>
      <c r="AZ1587" s="628" t="s">
        <v>1973</v>
      </c>
      <c r="BA1587" s="629" t="s">
        <v>427</v>
      </c>
    </row>
    <row r="1588" spans="51:53">
      <c r="AY1588" s="627">
        <v>6238</v>
      </c>
      <c r="AZ1588" s="628" t="s">
        <v>1974</v>
      </c>
      <c r="BA1588" s="629" t="s">
        <v>427</v>
      </c>
    </row>
    <row r="1589" spans="51:53">
      <c r="AY1589" s="627">
        <v>6239</v>
      </c>
      <c r="AZ1589" s="628" t="s">
        <v>1975</v>
      </c>
      <c r="BA1589" s="629" t="s">
        <v>427</v>
      </c>
    </row>
    <row r="1590" spans="51:53">
      <c r="AY1590" s="627">
        <v>6300</v>
      </c>
      <c r="AZ1590" s="628" t="s">
        <v>1976</v>
      </c>
      <c r="BA1590" s="629" t="s">
        <v>427</v>
      </c>
    </row>
    <row r="1591" spans="51:53">
      <c r="AY1591" s="627">
        <v>6311</v>
      </c>
      <c r="AZ1591" s="628" t="s">
        <v>1977</v>
      </c>
      <c r="BA1591" s="629" t="s">
        <v>427</v>
      </c>
    </row>
    <row r="1592" spans="51:53">
      <c r="AY1592" s="627">
        <v>6320</v>
      </c>
      <c r="AZ1592" s="628" t="s">
        <v>1978</v>
      </c>
      <c r="BA1592" s="629" t="s">
        <v>427</v>
      </c>
    </row>
    <row r="1593" spans="51:53">
      <c r="AY1593" s="627">
        <v>6320</v>
      </c>
      <c r="AZ1593" s="628" t="s">
        <v>1979</v>
      </c>
      <c r="BA1593" s="629" t="s">
        <v>427</v>
      </c>
    </row>
    <row r="1594" spans="51:53">
      <c r="AY1594" s="627">
        <v>6323</v>
      </c>
      <c r="AZ1594" s="628" t="s">
        <v>1980</v>
      </c>
      <c r="BA1594" s="629" t="s">
        <v>427</v>
      </c>
    </row>
    <row r="1595" spans="51:53">
      <c r="AY1595" s="627">
        <v>6325</v>
      </c>
      <c r="AZ1595" s="628" t="s">
        <v>1981</v>
      </c>
      <c r="BA1595" s="629" t="s">
        <v>427</v>
      </c>
    </row>
    <row r="1596" spans="51:53">
      <c r="AY1596" s="627">
        <v>6326</v>
      </c>
      <c r="AZ1596" s="628" t="s">
        <v>1982</v>
      </c>
      <c r="BA1596" s="629" t="s">
        <v>427</v>
      </c>
    </row>
    <row r="1597" spans="51:53">
      <c r="AY1597" s="627">
        <v>6327</v>
      </c>
      <c r="AZ1597" s="628" t="s">
        <v>1982</v>
      </c>
      <c r="BA1597" s="629" t="s">
        <v>427</v>
      </c>
    </row>
    <row r="1598" spans="51:53">
      <c r="AY1598" s="627">
        <v>6328</v>
      </c>
      <c r="AZ1598" s="628" t="s">
        <v>1984</v>
      </c>
      <c r="BA1598" s="629" t="s">
        <v>427</v>
      </c>
    </row>
    <row r="1599" spans="51:53">
      <c r="AY1599" s="627">
        <v>6331</v>
      </c>
      <c r="AZ1599" s="628" t="s">
        <v>1986</v>
      </c>
      <c r="BA1599" s="629" t="s">
        <v>427</v>
      </c>
    </row>
    <row r="1600" spans="51:53">
      <c r="AY1600" s="627">
        <v>6332</v>
      </c>
      <c r="AZ1600" s="628" t="s">
        <v>1987</v>
      </c>
      <c r="BA1600" s="629" t="s">
        <v>427</v>
      </c>
    </row>
    <row r="1601" spans="51:53">
      <c r="AY1601" s="627">
        <v>6333</v>
      </c>
      <c r="AZ1601" s="628" t="s">
        <v>1988</v>
      </c>
      <c r="BA1601" s="629" t="s">
        <v>427</v>
      </c>
    </row>
    <row r="1602" spans="51:53">
      <c r="AY1602" s="627">
        <v>6334</v>
      </c>
      <c r="AZ1602" s="628" t="s">
        <v>1989</v>
      </c>
      <c r="BA1602" s="629" t="s">
        <v>427</v>
      </c>
    </row>
    <row r="1603" spans="51:53">
      <c r="AY1603" s="627">
        <v>6335</v>
      </c>
      <c r="AZ1603" s="628" t="s">
        <v>1990</v>
      </c>
      <c r="BA1603" s="629" t="s">
        <v>427</v>
      </c>
    </row>
    <row r="1604" spans="51:53">
      <c r="AY1604" s="627">
        <v>6336</v>
      </c>
      <c r="AZ1604" s="628" t="s">
        <v>1991</v>
      </c>
      <c r="BA1604" s="629" t="s">
        <v>427</v>
      </c>
    </row>
    <row r="1605" spans="51:53">
      <c r="AY1605" s="627">
        <v>6337</v>
      </c>
      <c r="AZ1605" s="628" t="s">
        <v>1992</v>
      </c>
      <c r="BA1605" s="629" t="s">
        <v>427</v>
      </c>
    </row>
    <row r="1606" spans="51:53">
      <c r="AY1606" s="627">
        <v>6341</v>
      </c>
      <c r="AZ1606" s="628" t="s">
        <v>1993</v>
      </c>
      <c r="BA1606" s="629" t="s">
        <v>427</v>
      </c>
    </row>
    <row r="1607" spans="51:53">
      <c r="AY1607" s="627">
        <v>6342</v>
      </c>
      <c r="AZ1607" s="628" t="s">
        <v>1994</v>
      </c>
      <c r="BA1607" s="629" t="s">
        <v>427</v>
      </c>
    </row>
    <row r="1608" spans="51:53">
      <c r="AY1608" s="627">
        <v>6343</v>
      </c>
      <c r="AZ1608" s="628" t="s">
        <v>1995</v>
      </c>
      <c r="BA1608" s="629" t="s">
        <v>427</v>
      </c>
    </row>
    <row r="1609" spans="51:53">
      <c r="AY1609" s="627">
        <v>6344</v>
      </c>
      <c r="AZ1609" s="628" t="s">
        <v>1996</v>
      </c>
      <c r="BA1609" s="629" t="s">
        <v>427</v>
      </c>
    </row>
    <row r="1610" spans="51:53">
      <c r="AY1610" s="627">
        <v>6345</v>
      </c>
      <c r="AZ1610" s="628" t="s">
        <v>1997</v>
      </c>
      <c r="BA1610" s="629" t="s">
        <v>427</v>
      </c>
    </row>
    <row r="1611" spans="51:53">
      <c r="AY1611" s="627">
        <v>6346</v>
      </c>
      <c r="AZ1611" s="628" t="s">
        <v>1998</v>
      </c>
      <c r="BA1611" s="629" t="s">
        <v>427</v>
      </c>
    </row>
    <row r="1612" spans="51:53">
      <c r="AY1612" s="627">
        <v>6347</v>
      </c>
      <c r="AZ1612" s="628" t="s">
        <v>1999</v>
      </c>
      <c r="BA1612" s="629" t="s">
        <v>427</v>
      </c>
    </row>
    <row r="1613" spans="51:53">
      <c r="AY1613" s="627">
        <v>6348</v>
      </c>
      <c r="AZ1613" s="628" t="s">
        <v>2000</v>
      </c>
      <c r="BA1613" s="629" t="s">
        <v>427</v>
      </c>
    </row>
    <row r="1614" spans="51:53">
      <c r="AY1614" s="627">
        <v>6351</v>
      </c>
      <c r="AZ1614" s="628" t="s">
        <v>2001</v>
      </c>
      <c r="BA1614" s="629" t="s">
        <v>427</v>
      </c>
    </row>
    <row r="1615" spans="51:53">
      <c r="AY1615" s="627">
        <v>6352</v>
      </c>
      <c r="AZ1615" s="628" t="s">
        <v>2002</v>
      </c>
      <c r="BA1615" s="629" t="s">
        <v>427</v>
      </c>
    </row>
    <row r="1616" spans="51:53">
      <c r="AY1616" s="627">
        <v>6353</v>
      </c>
      <c r="AZ1616" s="628" t="s">
        <v>2003</v>
      </c>
      <c r="BA1616" s="629" t="s">
        <v>427</v>
      </c>
    </row>
    <row r="1617" spans="51:53">
      <c r="AY1617" s="627">
        <v>6400</v>
      </c>
      <c r="AZ1617" s="628" t="s">
        <v>2004</v>
      </c>
      <c r="BA1617" s="629" t="s">
        <v>427</v>
      </c>
    </row>
    <row r="1618" spans="51:53">
      <c r="AY1618" s="627">
        <v>6411</v>
      </c>
      <c r="AZ1618" s="628" t="s">
        <v>2005</v>
      </c>
      <c r="BA1618" s="629" t="s">
        <v>427</v>
      </c>
    </row>
    <row r="1619" spans="51:53">
      <c r="AY1619" s="627">
        <v>6412</v>
      </c>
      <c r="AZ1619" s="628" t="s">
        <v>2006</v>
      </c>
      <c r="BA1619" s="629" t="s">
        <v>427</v>
      </c>
    </row>
    <row r="1620" spans="51:53">
      <c r="AY1620" s="627">
        <v>6413</v>
      </c>
      <c r="AZ1620" s="628" t="s">
        <v>2007</v>
      </c>
      <c r="BA1620" s="629" t="s">
        <v>427</v>
      </c>
    </row>
    <row r="1621" spans="51:53">
      <c r="AY1621" s="627">
        <v>6414</v>
      </c>
      <c r="AZ1621" s="628" t="s">
        <v>2008</v>
      </c>
      <c r="BA1621" s="629" t="s">
        <v>427</v>
      </c>
    </row>
    <row r="1622" spans="51:53">
      <c r="AY1622" s="627">
        <v>6421</v>
      </c>
      <c r="AZ1622" s="628" t="s">
        <v>2009</v>
      </c>
      <c r="BA1622" s="629" t="s">
        <v>427</v>
      </c>
    </row>
    <row r="1623" spans="51:53">
      <c r="AY1623" s="627">
        <v>6422</v>
      </c>
      <c r="AZ1623" s="628" t="s">
        <v>2010</v>
      </c>
      <c r="BA1623" s="629" t="s">
        <v>427</v>
      </c>
    </row>
    <row r="1624" spans="51:53">
      <c r="AY1624" s="627">
        <v>6423</v>
      </c>
      <c r="AZ1624" s="628" t="s">
        <v>2011</v>
      </c>
      <c r="BA1624" s="629" t="s">
        <v>427</v>
      </c>
    </row>
    <row r="1625" spans="51:53">
      <c r="AY1625" s="627">
        <v>6424</v>
      </c>
      <c r="AZ1625" s="628" t="s">
        <v>2012</v>
      </c>
      <c r="BA1625" s="629" t="s">
        <v>427</v>
      </c>
    </row>
    <row r="1626" spans="51:53">
      <c r="AY1626" s="627">
        <v>6425</v>
      </c>
      <c r="AZ1626" s="628" t="s">
        <v>2013</v>
      </c>
      <c r="BA1626" s="629" t="s">
        <v>427</v>
      </c>
    </row>
    <row r="1627" spans="51:53">
      <c r="AY1627" s="627">
        <v>6430</v>
      </c>
      <c r="AZ1627" s="628" t="s">
        <v>2014</v>
      </c>
      <c r="BA1627" s="629" t="s">
        <v>427</v>
      </c>
    </row>
    <row r="1628" spans="51:53">
      <c r="AY1628" s="627">
        <v>6435</v>
      </c>
      <c r="AZ1628" s="628" t="s">
        <v>2015</v>
      </c>
      <c r="BA1628" s="629" t="s">
        <v>427</v>
      </c>
    </row>
    <row r="1629" spans="51:53">
      <c r="AY1629" s="627">
        <v>6440</v>
      </c>
      <c r="AZ1629" s="628" t="s">
        <v>2016</v>
      </c>
      <c r="BA1629" s="629" t="s">
        <v>427</v>
      </c>
    </row>
    <row r="1630" spans="51:53">
      <c r="AY1630" s="627">
        <v>6444</v>
      </c>
      <c r="AZ1630" s="628" t="s">
        <v>2017</v>
      </c>
      <c r="BA1630" s="629" t="s">
        <v>427</v>
      </c>
    </row>
    <row r="1631" spans="51:53">
      <c r="AY1631" s="627">
        <v>6445</v>
      </c>
      <c r="AZ1631" s="628" t="s">
        <v>2018</v>
      </c>
      <c r="BA1631" s="629" t="s">
        <v>427</v>
      </c>
    </row>
    <row r="1632" spans="51:53">
      <c r="AY1632" s="627">
        <v>6446</v>
      </c>
      <c r="AZ1632" s="628" t="s">
        <v>2019</v>
      </c>
      <c r="BA1632" s="629" t="s">
        <v>427</v>
      </c>
    </row>
    <row r="1633" spans="51:53">
      <c r="AY1633" s="627">
        <v>6447</v>
      </c>
      <c r="AZ1633" s="628" t="s">
        <v>2020</v>
      </c>
      <c r="BA1633" s="629" t="s">
        <v>427</v>
      </c>
    </row>
    <row r="1634" spans="51:53">
      <c r="AY1634" s="627">
        <v>6448</v>
      </c>
      <c r="AZ1634" s="628" t="s">
        <v>2021</v>
      </c>
      <c r="BA1634" s="629" t="s">
        <v>427</v>
      </c>
    </row>
    <row r="1635" spans="51:53">
      <c r="AY1635" s="627">
        <v>6449</v>
      </c>
      <c r="AZ1635" s="628" t="s">
        <v>2022</v>
      </c>
      <c r="BA1635" s="629" t="s">
        <v>427</v>
      </c>
    </row>
    <row r="1636" spans="51:53">
      <c r="AY1636" s="627">
        <v>6451</v>
      </c>
      <c r="AZ1636" s="628" t="s">
        <v>2023</v>
      </c>
      <c r="BA1636" s="629" t="s">
        <v>427</v>
      </c>
    </row>
    <row r="1637" spans="51:53">
      <c r="AY1637" s="627">
        <v>6452</v>
      </c>
      <c r="AZ1637" s="628" t="s">
        <v>2024</v>
      </c>
      <c r="BA1637" s="629" t="s">
        <v>427</v>
      </c>
    </row>
    <row r="1638" spans="51:53">
      <c r="AY1638" s="627">
        <v>6453</v>
      </c>
      <c r="AZ1638" s="628" t="s">
        <v>2025</v>
      </c>
      <c r="BA1638" s="629" t="s">
        <v>427</v>
      </c>
    </row>
    <row r="1639" spans="51:53">
      <c r="AY1639" s="627">
        <v>6454</v>
      </c>
      <c r="AZ1639" s="628" t="s">
        <v>1340</v>
      </c>
      <c r="BA1639" s="629" t="s">
        <v>427</v>
      </c>
    </row>
    <row r="1640" spans="51:53">
      <c r="AY1640" s="627">
        <v>6455</v>
      </c>
      <c r="AZ1640" s="628" t="s">
        <v>2027</v>
      </c>
      <c r="BA1640" s="629" t="s">
        <v>427</v>
      </c>
    </row>
    <row r="1641" spans="51:53">
      <c r="AY1641" s="627">
        <v>6456</v>
      </c>
      <c r="AZ1641" s="628" t="s">
        <v>2028</v>
      </c>
      <c r="BA1641" s="629" t="s">
        <v>427</v>
      </c>
    </row>
    <row r="1642" spans="51:53">
      <c r="AY1642" s="627">
        <v>6500</v>
      </c>
      <c r="AZ1642" s="628" t="s">
        <v>2029</v>
      </c>
      <c r="BA1642" s="629" t="s">
        <v>427</v>
      </c>
    </row>
    <row r="1643" spans="51:53">
      <c r="AY1643" s="627">
        <v>6503</v>
      </c>
      <c r="AZ1643" s="628" t="s">
        <v>2029</v>
      </c>
      <c r="BA1643" s="629" t="s">
        <v>427</v>
      </c>
    </row>
    <row r="1644" spans="51:53">
      <c r="AY1644" s="627">
        <v>6511</v>
      </c>
      <c r="AZ1644" s="628" t="s">
        <v>2030</v>
      </c>
      <c r="BA1644" s="629" t="s">
        <v>427</v>
      </c>
    </row>
    <row r="1645" spans="51:53">
      <c r="AY1645" s="627">
        <v>6512</v>
      </c>
      <c r="AZ1645" s="628" t="s">
        <v>2031</v>
      </c>
      <c r="BA1645" s="629" t="s">
        <v>427</v>
      </c>
    </row>
    <row r="1646" spans="51:53">
      <c r="AY1646" s="627">
        <v>6513</v>
      </c>
      <c r="AZ1646" s="628" t="s">
        <v>2032</v>
      </c>
      <c r="BA1646" s="629" t="s">
        <v>427</v>
      </c>
    </row>
    <row r="1647" spans="51:53">
      <c r="AY1647" s="627">
        <v>6521</v>
      </c>
      <c r="AZ1647" s="628" t="s">
        <v>2033</v>
      </c>
      <c r="BA1647" s="629" t="s">
        <v>427</v>
      </c>
    </row>
    <row r="1648" spans="51:53">
      <c r="AY1648" s="627">
        <v>6522</v>
      </c>
      <c r="AZ1648" s="628" t="s">
        <v>2034</v>
      </c>
      <c r="BA1648" s="629" t="s">
        <v>427</v>
      </c>
    </row>
    <row r="1649" spans="51:53">
      <c r="AY1649" s="627">
        <v>6523</v>
      </c>
      <c r="AZ1649" s="628" t="s">
        <v>2035</v>
      </c>
      <c r="BA1649" s="629" t="s">
        <v>427</v>
      </c>
    </row>
    <row r="1650" spans="51:53">
      <c r="AY1650" s="627">
        <v>6524</v>
      </c>
      <c r="AZ1650" s="628" t="s">
        <v>2036</v>
      </c>
      <c r="BA1650" s="629" t="s">
        <v>427</v>
      </c>
    </row>
    <row r="1651" spans="51:53">
      <c r="AY1651" s="627">
        <v>6525</v>
      </c>
      <c r="AZ1651" s="628" t="s">
        <v>2037</v>
      </c>
      <c r="BA1651" s="629" t="s">
        <v>427</v>
      </c>
    </row>
    <row r="1652" spans="51:53">
      <c r="AY1652" s="627">
        <v>6527</v>
      </c>
      <c r="AZ1652" s="628" t="s">
        <v>2038</v>
      </c>
      <c r="BA1652" s="629" t="s">
        <v>427</v>
      </c>
    </row>
    <row r="1653" spans="51:53">
      <c r="AY1653" s="627">
        <v>6528</v>
      </c>
      <c r="AZ1653" s="628" t="s">
        <v>2039</v>
      </c>
      <c r="BA1653" s="629" t="s">
        <v>427</v>
      </c>
    </row>
    <row r="1654" spans="51:53">
      <c r="AY1654" s="627">
        <v>6600</v>
      </c>
      <c r="AZ1654" s="628" t="s">
        <v>2040</v>
      </c>
      <c r="BA1654" s="629" t="s">
        <v>431</v>
      </c>
    </row>
    <row r="1655" spans="51:53">
      <c r="AY1655" s="627">
        <v>6612</v>
      </c>
      <c r="AZ1655" s="628" t="s">
        <v>2042</v>
      </c>
      <c r="BA1655" s="629" t="s">
        <v>431</v>
      </c>
    </row>
    <row r="1656" spans="51:53">
      <c r="AY1656" s="627">
        <v>6621</v>
      </c>
      <c r="AZ1656" s="628" t="s">
        <v>2044</v>
      </c>
      <c r="BA1656" s="629" t="s">
        <v>431</v>
      </c>
    </row>
    <row r="1657" spans="51:53">
      <c r="AY1657" s="627">
        <v>6622</v>
      </c>
      <c r="AZ1657" s="628" t="s">
        <v>2045</v>
      </c>
      <c r="BA1657" s="629" t="s">
        <v>431</v>
      </c>
    </row>
    <row r="1658" spans="51:53">
      <c r="AY1658" s="627">
        <v>6623</v>
      </c>
      <c r="AZ1658" s="628" t="s">
        <v>2046</v>
      </c>
      <c r="BA1658" s="629" t="s">
        <v>431</v>
      </c>
    </row>
    <row r="1659" spans="51:53">
      <c r="AY1659" s="627">
        <v>6624</v>
      </c>
      <c r="AZ1659" s="628" t="s">
        <v>2047</v>
      </c>
      <c r="BA1659" s="629" t="s">
        <v>431</v>
      </c>
    </row>
    <row r="1660" spans="51:53">
      <c r="AY1660" s="627">
        <v>6625</v>
      </c>
      <c r="AZ1660" s="628" t="s">
        <v>2048</v>
      </c>
      <c r="BA1660" s="629" t="s">
        <v>431</v>
      </c>
    </row>
    <row r="1661" spans="51:53">
      <c r="AY1661" s="627">
        <v>6630</v>
      </c>
      <c r="AZ1661" s="628" t="s">
        <v>2049</v>
      </c>
      <c r="BA1661" s="629" t="s">
        <v>431</v>
      </c>
    </row>
    <row r="1662" spans="51:53">
      <c r="AY1662" s="627">
        <v>6635</v>
      </c>
      <c r="AZ1662" s="628" t="s">
        <v>2050</v>
      </c>
      <c r="BA1662" s="629" t="s">
        <v>431</v>
      </c>
    </row>
    <row r="1663" spans="51:53">
      <c r="AY1663" s="627">
        <v>6636</v>
      </c>
      <c r="AZ1663" s="628" t="s">
        <v>2051</v>
      </c>
      <c r="BA1663" s="629" t="s">
        <v>431</v>
      </c>
    </row>
    <row r="1664" spans="51:53">
      <c r="AY1664" s="627">
        <v>6640</v>
      </c>
      <c r="AZ1664" s="628" t="s">
        <v>431</v>
      </c>
      <c r="BA1664" s="629" t="s">
        <v>431</v>
      </c>
    </row>
    <row r="1665" spans="51:53">
      <c r="AY1665" s="627">
        <v>6645</v>
      </c>
      <c r="AZ1665" s="628" t="s">
        <v>2052</v>
      </c>
      <c r="BA1665" s="629" t="s">
        <v>431</v>
      </c>
    </row>
    <row r="1666" spans="51:53">
      <c r="AY1666" s="627">
        <v>6646</v>
      </c>
      <c r="AZ1666" s="628" t="s">
        <v>2053</v>
      </c>
      <c r="BA1666" s="629" t="s">
        <v>431</v>
      </c>
    </row>
    <row r="1667" spans="51:53">
      <c r="AY1667" s="627">
        <v>6647</v>
      </c>
      <c r="AZ1667" s="628" t="s">
        <v>2054</v>
      </c>
      <c r="BA1667" s="629" t="s">
        <v>431</v>
      </c>
    </row>
    <row r="1668" spans="51:53">
      <c r="AY1668" s="692">
        <v>6648</v>
      </c>
      <c r="AZ1668" s="628" t="s">
        <v>431</v>
      </c>
      <c r="BA1668" s="629" t="s">
        <v>431</v>
      </c>
    </row>
    <row r="1669" spans="51:53">
      <c r="AY1669" s="627">
        <v>6700</v>
      </c>
      <c r="AZ1669" s="628" t="s">
        <v>2056</v>
      </c>
      <c r="BA1669" s="629" t="s">
        <v>2056</v>
      </c>
    </row>
    <row r="1670" spans="51:53">
      <c r="AY1670" s="627">
        <v>6710</v>
      </c>
      <c r="AZ1670" s="628" t="s">
        <v>2056</v>
      </c>
      <c r="BA1670" s="629" t="s">
        <v>2056</v>
      </c>
    </row>
    <row r="1671" spans="51:53">
      <c r="AY1671" s="627">
        <v>6720</v>
      </c>
      <c r="AZ1671" s="628" t="s">
        <v>2056</v>
      </c>
      <c r="BA1671" s="629" t="s">
        <v>2056</v>
      </c>
    </row>
    <row r="1672" spans="51:53">
      <c r="AY1672" s="627">
        <v>6721</v>
      </c>
      <c r="AZ1672" s="628" t="s">
        <v>2056</v>
      </c>
      <c r="BA1672" s="629" t="s">
        <v>2056</v>
      </c>
    </row>
    <row r="1673" spans="51:53">
      <c r="AY1673" s="627">
        <v>6722</v>
      </c>
      <c r="AZ1673" s="628" t="s">
        <v>2056</v>
      </c>
      <c r="BA1673" s="629" t="s">
        <v>2056</v>
      </c>
    </row>
    <row r="1674" spans="51:53">
      <c r="AY1674" s="627">
        <v>6723</v>
      </c>
      <c r="AZ1674" s="628" t="s">
        <v>2056</v>
      </c>
      <c r="BA1674" s="629" t="s">
        <v>2056</v>
      </c>
    </row>
    <row r="1675" spans="51:53">
      <c r="AY1675" s="627">
        <v>6724</v>
      </c>
      <c r="AZ1675" s="628" t="s">
        <v>2056</v>
      </c>
      <c r="BA1675" s="629" t="s">
        <v>2056</v>
      </c>
    </row>
    <row r="1676" spans="51:53">
      <c r="AY1676" s="627">
        <v>6725</v>
      </c>
      <c r="AZ1676" s="628" t="s">
        <v>2056</v>
      </c>
      <c r="BA1676" s="629" t="s">
        <v>2056</v>
      </c>
    </row>
    <row r="1677" spans="51:53">
      <c r="AY1677" s="627">
        <v>6726</v>
      </c>
      <c r="AZ1677" s="628" t="s">
        <v>2056</v>
      </c>
      <c r="BA1677" s="629" t="s">
        <v>2056</v>
      </c>
    </row>
    <row r="1678" spans="51:53">
      <c r="AY1678" s="627">
        <v>6727</v>
      </c>
      <c r="AZ1678" s="628" t="s">
        <v>2056</v>
      </c>
      <c r="BA1678" s="629" t="s">
        <v>2056</v>
      </c>
    </row>
    <row r="1679" spans="51:53">
      <c r="AY1679" s="627">
        <v>6728</v>
      </c>
      <c r="AZ1679" s="628" t="s">
        <v>2056</v>
      </c>
      <c r="BA1679" s="629" t="s">
        <v>2056</v>
      </c>
    </row>
    <row r="1680" spans="51:53">
      <c r="AY1680" s="627">
        <v>6729</v>
      </c>
      <c r="AZ1680" s="628" t="s">
        <v>2056</v>
      </c>
      <c r="BA1680" s="629" t="s">
        <v>2056</v>
      </c>
    </row>
    <row r="1681" spans="51:53">
      <c r="AY1681" s="627">
        <v>6750</v>
      </c>
      <c r="AZ1681" s="628" t="s">
        <v>2059</v>
      </c>
      <c r="BA1681" s="629" t="s">
        <v>431</v>
      </c>
    </row>
    <row r="1682" spans="51:53">
      <c r="AY1682" s="627">
        <v>6753</v>
      </c>
      <c r="AZ1682" s="628" t="s">
        <v>2056</v>
      </c>
      <c r="BA1682" s="629" t="s">
        <v>2056</v>
      </c>
    </row>
    <row r="1683" spans="51:53">
      <c r="AY1683" s="627">
        <v>6754</v>
      </c>
      <c r="AZ1683" s="628" t="s">
        <v>2061</v>
      </c>
      <c r="BA1683" s="629" t="s">
        <v>431</v>
      </c>
    </row>
    <row r="1684" spans="51:53">
      <c r="AY1684" s="627">
        <v>6755</v>
      </c>
      <c r="AZ1684" s="628" t="s">
        <v>2062</v>
      </c>
      <c r="BA1684" s="629" t="s">
        <v>431</v>
      </c>
    </row>
    <row r="1685" spans="51:53">
      <c r="AY1685" s="627">
        <v>6756</v>
      </c>
      <c r="AZ1685" s="628" t="s">
        <v>2063</v>
      </c>
      <c r="BA1685" s="629" t="s">
        <v>431</v>
      </c>
    </row>
    <row r="1686" spans="51:53">
      <c r="AY1686" s="627">
        <v>6757</v>
      </c>
      <c r="AZ1686" s="628" t="s">
        <v>2056</v>
      </c>
      <c r="BA1686" s="629" t="s">
        <v>2056</v>
      </c>
    </row>
    <row r="1687" spans="51:53">
      <c r="AY1687" s="627">
        <v>6758</v>
      </c>
      <c r="AZ1687" s="628" t="s">
        <v>2065</v>
      </c>
      <c r="BA1687" s="629" t="s">
        <v>431</v>
      </c>
    </row>
    <row r="1688" spans="51:53">
      <c r="AY1688" s="627">
        <v>6760</v>
      </c>
      <c r="AZ1688" s="628" t="s">
        <v>2066</v>
      </c>
      <c r="BA1688" s="629" t="s">
        <v>431</v>
      </c>
    </row>
    <row r="1689" spans="51:53">
      <c r="AY1689" s="627">
        <v>6762</v>
      </c>
      <c r="AZ1689" s="628" t="s">
        <v>2067</v>
      </c>
      <c r="BA1689" s="629" t="s">
        <v>431</v>
      </c>
    </row>
    <row r="1690" spans="51:53">
      <c r="AY1690" s="627">
        <v>6763</v>
      </c>
      <c r="AZ1690" s="628" t="s">
        <v>2068</v>
      </c>
      <c r="BA1690" s="629" t="s">
        <v>431</v>
      </c>
    </row>
    <row r="1691" spans="51:53">
      <c r="AY1691" s="627">
        <v>6764</v>
      </c>
      <c r="AZ1691" s="628" t="s">
        <v>2069</v>
      </c>
      <c r="BA1691" s="629" t="s">
        <v>431</v>
      </c>
    </row>
    <row r="1692" spans="51:53">
      <c r="AY1692" s="627">
        <v>6765</v>
      </c>
      <c r="AZ1692" s="630" t="s">
        <v>2070</v>
      </c>
      <c r="BA1692" s="629" t="s">
        <v>431</v>
      </c>
    </row>
    <row r="1693" spans="51:53">
      <c r="AY1693" s="627">
        <v>6766</v>
      </c>
      <c r="AZ1693" s="630" t="s">
        <v>2071</v>
      </c>
      <c r="BA1693" s="629" t="s">
        <v>431</v>
      </c>
    </row>
    <row r="1694" spans="51:53">
      <c r="AY1694" s="627">
        <v>6767</v>
      </c>
      <c r="AZ1694" s="630" t="s">
        <v>2072</v>
      </c>
      <c r="BA1694" s="629" t="s">
        <v>431</v>
      </c>
    </row>
    <row r="1695" spans="51:53">
      <c r="AY1695" s="627">
        <v>6768</v>
      </c>
      <c r="AZ1695" s="630" t="s">
        <v>2073</v>
      </c>
      <c r="BA1695" s="629" t="s">
        <v>431</v>
      </c>
    </row>
    <row r="1696" spans="51:53">
      <c r="AY1696" s="627">
        <v>6769</v>
      </c>
      <c r="AZ1696" s="630" t="s">
        <v>2074</v>
      </c>
      <c r="BA1696" s="629" t="s">
        <v>431</v>
      </c>
    </row>
    <row r="1697" spans="51:53">
      <c r="AY1697" s="627">
        <v>6771</v>
      </c>
      <c r="AZ1697" s="630" t="s">
        <v>2056</v>
      </c>
      <c r="BA1697" s="629" t="s">
        <v>2056</v>
      </c>
    </row>
    <row r="1698" spans="51:53">
      <c r="AY1698" s="627">
        <v>6772</v>
      </c>
      <c r="AZ1698" s="630" t="s">
        <v>2076</v>
      </c>
      <c r="BA1698" s="629" t="s">
        <v>431</v>
      </c>
    </row>
    <row r="1699" spans="51:53">
      <c r="AY1699" s="627">
        <v>6773</v>
      </c>
      <c r="AZ1699" s="630" t="s">
        <v>2077</v>
      </c>
      <c r="BA1699" s="629" t="s">
        <v>431</v>
      </c>
    </row>
    <row r="1700" spans="51:53">
      <c r="AY1700" s="627">
        <v>6774</v>
      </c>
      <c r="AZ1700" s="630" t="s">
        <v>2078</v>
      </c>
      <c r="BA1700" s="629" t="s">
        <v>431</v>
      </c>
    </row>
    <row r="1701" spans="51:53">
      <c r="AY1701" s="627">
        <v>6775</v>
      </c>
      <c r="AZ1701" s="630" t="s">
        <v>2079</v>
      </c>
      <c r="BA1701" s="629" t="s">
        <v>431</v>
      </c>
    </row>
    <row r="1702" spans="51:53">
      <c r="AY1702" s="627">
        <v>6781</v>
      </c>
      <c r="AZ1702" s="630" t="s">
        <v>2080</v>
      </c>
      <c r="BA1702" s="629" t="s">
        <v>431</v>
      </c>
    </row>
    <row r="1703" spans="51:53">
      <c r="AY1703" s="627">
        <v>6782</v>
      </c>
      <c r="AZ1703" s="630" t="s">
        <v>2081</v>
      </c>
      <c r="BA1703" s="629" t="s">
        <v>431</v>
      </c>
    </row>
    <row r="1704" spans="51:53">
      <c r="AY1704" s="627">
        <v>6783</v>
      </c>
      <c r="AZ1704" s="628" t="s">
        <v>2082</v>
      </c>
      <c r="BA1704" s="629" t="s">
        <v>431</v>
      </c>
    </row>
    <row r="1705" spans="51:53">
      <c r="AY1705" s="627">
        <v>6784</v>
      </c>
      <c r="AZ1705" s="630" t="s">
        <v>2083</v>
      </c>
      <c r="BA1705" s="629" t="s">
        <v>431</v>
      </c>
    </row>
    <row r="1706" spans="51:53">
      <c r="AY1706" s="627">
        <v>6785</v>
      </c>
      <c r="AZ1706" s="628" t="s">
        <v>2084</v>
      </c>
      <c r="BA1706" s="629" t="s">
        <v>431</v>
      </c>
    </row>
    <row r="1707" spans="51:53">
      <c r="AY1707" s="627">
        <v>6786</v>
      </c>
      <c r="AZ1707" s="628" t="s">
        <v>2085</v>
      </c>
      <c r="BA1707" s="629" t="s">
        <v>431</v>
      </c>
    </row>
    <row r="1708" spans="51:53">
      <c r="AY1708" s="627">
        <v>6787</v>
      </c>
      <c r="AZ1708" s="628" t="s">
        <v>2086</v>
      </c>
      <c r="BA1708" s="629" t="s">
        <v>431</v>
      </c>
    </row>
    <row r="1709" spans="51:53">
      <c r="AY1709" s="627">
        <v>6791</v>
      </c>
      <c r="AZ1709" s="630" t="s">
        <v>2056</v>
      </c>
      <c r="BA1709" s="629" t="s">
        <v>2056</v>
      </c>
    </row>
    <row r="1710" spans="51:53">
      <c r="AY1710" s="627">
        <v>6792</v>
      </c>
      <c r="AZ1710" s="628" t="s">
        <v>2088</v>
      </c>
      <c r="BA1710" s="629" t="s">
        <v>431</v>
      </c>
    </row>
    <row r="1711" spans="51:53">
      <c r="AY1711" s="627">
        <v>6793</v>
      </c>
      <c r="AZ1711" s="628" t="s">
        <v>2089</v>
      </c>
      <c r="BA1711" s="629" t="s">
        <v>431</v>
      </c>
    </row>
    <row r="1712" spans="51:53">
      <c r="AY1712" s="627">
        <v>6794</v>
      </c>
      <c r="AZ1712" s="628" t="s">
        <v>2090</v>
      </c>
      <c r="BA1712" s="629" t="s">
        <v>431</v>
      </c>
    </row>
    <row r="1713" spans="51:53">
      <c r="AY1713" s="627">
        <v>6795</v>
      </c>
      <c r="AZ1713" s="628" t="s">
        <v>2091</v>
      </c>
      <c r="BA1713" s="629" t="s">
        <v>431</v>
      </c>
    </row>
    <row r="1714" spans="51:53">
      <c r="AY1714" s="627">
        <v>6800</v>
      </c>
      <c r="AZ1714" s="628" t="s">
        <v>2092</v>
      </c>
      <c r="BA1714" s="629" t="s">
        <v>431</v>
      </c>
    </row>
    <row r="1715" spans="51:53">
      <c r="AY1715" s="627">
        <v>6806</v>
      </c>
      <c r="AZ1715" s="628" t="s">
        <v>2092</v>
      </c>
      <c r="BA1715" s="629" t="s">
        <v>431</v>
      </c>
    </row>
    <row r="1716" spans="51:53">
      <c r="AY1716" s="627">
        <v>6821</v>
      </c>
      <c r="AZ1716" s="628" t="s">
        <v>2094</v>
      </c>
      <c r="BA1716" s="629" t="s">
        <v>431</v>
      </c>
    </row>
    <row r="1717" spans="51:53">
      <c r="AY1717" s="627">
        <v>6900</v>
      </c>
      <c r="AZ1717" s="628" t="s">
        <v>2095</v>
      </c>
      <c r="BA1717" s="629" t="s">
        <v>431</v>
      </c>
    </row>
    <row r="1718" spans="51:53">
      <c r="AY1718" s="627">
        <v>6903</v>
      </c>
      <c r="AZ1718" s="628" t="s">
        <v>2095</v>
      </c>
      <c r="BA1718" s="629" t="s">
        <v>431</v>
      </c>
    </row>
    <row r="1719" spans="51:53">
      <c r="AY1719" s="627">
        <v>6911</v>
      </c>
      <c r="AZ1719" s="628" t="s">
        <v>2097</v>
      </c>
      <c r="BA1719" s="629" t="s">
        <v>431</v>
      </c>
    </row>
    <row r="1720" spans="51:53">
      <c r="AY1720" s="627">
        <v>6912</v>
      </c>
      <c r="AZ1720" s="630" t="s">
        <v>2098</v>
      </c>
      <c r="BA1720" s="629" t="s">
        <v>431</v>
      </c>
    </row>
    <row r="1721" spans="51:53">
      <c r="AY1721" s="627">
        <v>6913</v>
      </c>
      <c r="AZ1721" s="628" t="s">
        <v>2099</v>
      </c>
      <c r="BA1721" s="629" t="s">
        <v>431</v>
      </c>
    </row>
    <row r="1722" spans="51:53">
      <c r="AY1722" s="627">
        <v>6914</v>
      </c>
      <c r="AZ1722" s="628" t="s">
        <v>2100</v>
      </c>
      <c r="BA1722" s="629" t="s">
        <v>431</v>
      </c>
    </row>
    <row r="1723" spans="51:53">
      <c r="AY1723" s="627">
        <v>6915</v>
      </c>
      <c r="AZ1723" s="628" t="s">
        <v>2101</v>
      </c>
      <c r="BA1723" s="629" t="s">
        <v>431</v>
      </c>
    </row>
    <row r="1724" spans="51:53">
      <c r="AY1724" s="627">
        <v>6916</v>
      </c>
      <c r="AZ1724" s="628" t="s">
        <v>2102</v>
      </c>
      <c r="BA1724" s="629" t="s">
        <v>431</v>
      </c>
    </row>
    <row r="1725" spans="51:53">
      <c r="AY1725" s="627">
        <v>6917</v>
      </c>
      <c r="AZ1725" s="628" t="s">
        <v>2103</v>
      </c>
      <c r="BA1725" s="629" t="s">
        <v>431</v>
      </c>
    </row>
    <row r="1726" spans="51:53">
      <c r="AY1726" s="627">
        <v>6921</v>
      </c>
      <c r="AZ1726" s="628" t="s">
        <v>2104</v>
      </c>
      <c r="BA1726" s="629" t="s">
        <v>431</v>
      </c>
    </row>
    <row r="1727" spans="51:53">
      <c r="AY1727" s="627">
        <v>6922</v>
      </c>
      <c r="AZ1727" s="628" t="s">
        <v>2105</v>
      </c>
      <c r="BA1727" s="629" t="s">
        <v>431</v>
      </c>
    </row>
    <row r="1728" spans="51:53">
      <c r="AY1728" s="627">
        <v>6923</v>
      </c>
      <c r="AZ1728" s="628" t="s">
        <v>2106</v>
      </c>
      <c r="BA1728" s="629" t="s">
        <v>431</v>
      </c>
    </row>
    <row r="1729" spans="51:53">
      <c r="AY1729" s="627">
        <v>6931</v>
      </c>
      <c r="AZ1729" s="628" t="s">
        <v>2107</v>
      </c>
      <c r="BA1729" s="629" t="s">
        <v>431</v>
      </c>
    </row>
    <row r="1730" spans="51:53">
      <c r="AY1730" s="627">
        <v>6932</v>
      </c>
      <c r="AZ1730" s="628" t="s">
        <v>2108</v>
      </c>
      <c r="BA1730" s="629" t="s">
        <v>431</v>
      </c>
    </row>
    <row r="1731" spans="51:53">
      <c r="AY1731" s="627">
        <v>6933</v>
      </c>
      <c r="AZ1731" s="628" t="s">
        <v>2109</v>
      </c>
      <c r="BA1731" s="629" t="s">
        <v>431</v>
      </c>
    </row>
    <row r="1732" spans="51:53">
      <c r="AY1732" s="627">
        <v>7000</v>
      </c>
      <c r="AZ1732" s="630" t="s">
        <v>2110</v>
      </c>
      <c r="BA1732" s="629" t="s">
        <v>402</v>
      </c>
    </row>
    <row r="1733" spans="51:53">
      <c r="AY1733" s="627">
        <v>7003</v>
      </c>
      <c r="AZ1733" s="628" t="s">
        <v>2110</v>
      </c>
      <c r="BA1733" s="629" t="s">
        <v>402</v>
      </c>
    </row>
    <row r="1734" spans="51:53">
      <c r="AY1734" s="627">
        <v>7011</v>
      </c>
      <c r="AZ1734" s="628" t="s">
        <v>2112</v>
      </c>
      <c r="BA1734" s="629" t="s">
        <v>402</v>
      </c>
    </row>
    <row r="1735" spans="51:53">
      <c r="AY1735" s="627">
        <v>7012</v>
      </c>
      <c r="AZ1735" s="628" t="s">
        <v>2113</v>
      </c>
      <c r="BA1735" s="629" t="s">
        <v>402</v>
      </c>
    </row>
    <row r="1736" spans="51:53">
      <c r="AY1736" s="627">
        <v>7013</v>
      </c>
      <c r="AZ1736" s="628" t="s">
        <v>2114</v>
      </c>
      <c r="BA1736" s="629" t="s">
        <v>402</v>
      </c>
    </row>
    <row r="1737" spans="51:53">
      <c r="AY1737" s="627">
        <v>7014</v>
      </c>
      <c r="AZ1737" s="628" t="s">
        <v>2115</v>
      </c>
      <c r="BA1737" s="629" t="s">
        <v>402</v>
      </c>
    </row>
    <row r="1738" spans="51:53">
      <c r="AY1738" s="627">
        <v>7015</v>
      </c>
      <c r="AZ1738" s="628" t="s">
        <v>2116</v>
      </c>
      <c r="BA1738" s="629" t="s">
        <v>402</v>
      </c>
    </row>
    <row r="1739" spans="51:53">
      <c r="AY1739" s="627">
        <v>7016</v>
      </c>
      <c r="AZ1739" s="628" t="s">
        <v>2116</v>
      </c>
      <c r="BA1739" s="629" t="s">
        <v>402</v>
      </c>
    </row>
    <row r="1740" spans="51:53">
      <c r="AY1740" s="627">
        <v>7017</v>
      </c>
      <c r="AZ1740" s="628" t="s">
        <v>2118</v>
      </c>
      <c r="BA1740" s="629" t="s">
        <v>402</v>
      </c>
    </row>
    <row r="1741" spans="51:53">
      <c r="AY1741" s="627">
        <v>7018</v>
      </c>
      <c r="AZ1741" s="628" t="s">
        <v>2110</v>
      </c>
      <c r="BA1741" s="629" t="s">
        <v>402</v>
      </c>
    </row>
    <row r="1742" spans="51:53">
      <c r="AY1742" s="627">
        <v>7019</v>
      </c>
      <c r="AZ1742" s="628" t="s">
        <v>2110</v>
      </c>
      <c r="BA1742" s="629" t="s">
        <v>402</v>
      </c>
    </row>
    <row r="1743" spans="51:53">
      <c r="AY1743" s="627">
        <v>7020</v>
      </c>
      <c r="AZ1743" s="628" t="s">
        <v>1424</v>
      </c>
      <c r="BA1743" s="629" t="s">
        <v>435</v>
      </c>
    </row>
    <row r="1744" spans="51:53">
      <c r="AY1744" s="627">
        <v>7025</v>
      </c>
      <c r="AZ1744" s="628" t="s">
        <v>1425</v>
      </c>
      <c r="BA1744" s="629" t="s">
        <v>435</v>
      </c>
    </row>
    <row r="1745" spans="51:53">
      <c r="AY1745" s="627">
        <v>7026</v>
      </c>
      <c r="AZ1745" s="628" t="s">
        <v>1426</v>
      </c>
      <c r="BA1745" s="629" t="s">
        <v>435</v>
      </c>
    </row>
    <row r="1746" spans="51:53">
      <c r="AY1746" s="627">
        <v>7027</v>
      </c>
      <c r="AZ1746" s="628" t="s">
        <v>1427</v>
      </c>
      <c r="BA1746" s="629" t="s">
        <v>435</v>
      </c>
    </row>
    <row r="1747" spans="51:53">
      <c r="AY1747" s="627">
        <v>7030</v>
      </c>
      <c r="AZ1747" s="628" t="s">
        <v>1427</v>
      </c>
      <c r="BA1747" s="629" t="s">
        <v>435</v>
      </c>
    </row>
    <row r="1748" spans="51:53">
      <c r="AY1748" s="627">
        <v>7038</v>
      </c>
      <c r="AZ1748" s="628" t="s">
        <v>1428</v>
      </c>
      <c r="BA1748" s="629" t="s">
        <v>435</v>
      </c>
    </row>
    <row r="1749" spans="51:53">
      <c r="AY1749" s="627">
        <v>7039</v>
      </c>
      <c r="AZ1749" s="628" t="s">
        <v>1429</v>
      </c>
      <c r="BA1749" s="629" t="s">
        <v>435</v>
      </c>
    </row>
    <row r="1750" spans="51:53">
      <c r="AY1750" s="627">
        <v>7041</v>
      </c>
      <c r="AZ1750" s="628" t="s">
        <v>1430</v>
      </c>
      <c r="BA1750" s="629" t="s">
        <v>402</v>
      </c>
    </row>
    <row r="1751" spans="51:53">
      <c r="AY1751" s="627">
        <v>7042</v>
      </c>
      <c r="AZ1751" s="628" t="s">
        <v>1431</v>
      </c>
      <c r="BA1751" s="629" t="s">
        <v>435</v>
      </c>
    </row>
    <row r="1752" spans="51:53">
      <c r="AY1752" s="627">
        <v>7043</v>
      </c>
      <c r="AZ1752" s="628" t="s">
        <v>1432</v>
      </c>
      <c r="BA1752" s="629" t="s">
        <v>435</v>
      </c>
    </row>
    <row r="1753" spans="51:53">
      <c r="AY1753" s="627">
        <v>7044</v>
      </c>
      <c r="AZ1753" s="628" t="s">
        <v>1433</v>
      </c>
      <c r="BA1753" s="629" t="s">
        <v>435</v>
      </c>
    </row>
    <row r="1754" spans="51:53">
      <c r="AY1754" s="627">
        <v>7045</v>
      </c>
      <c r="AZ1754" s="628" t="s">
        <v>1434</v>
      </c>
      <c r="BA1754" s="629" t="s">
        <v>435</v>
      </c>
    </row>
    <row r="1755" spans="51:53">
      <c r="AY1755" s="627">
        <v>7047</v>
      </c>
      <c r="AZ1755" s="628" t="s">
        <v>1435</v>
      </c>
      <c r="BA1755" s="629" t="s">
        <v>435</v>
      </c>
    </row>
    <row r="1756" spans="51:53">
      <c r="AY1756" s="627">
        <v>7051</v>
      </c>
      <c r="AZ1756" s="628" t="s">
        <v>1436</v>
      </c>
      <c r="BA1756" s="629" t="s">
        <v>435</v>
      </c>
    </row>
    <row r="1757" spans="51:53">
      <c r="AY1757" s="627">
        <v>7052</v>
      </c>
      <c r="AZ1757" s="628" t="s">
        <v>1437</v>
      </c>
      <c r="BA1757" s="629" t="s">
        <v>435</v>
      </c>
    </row>
    <row r="1758" spans="51:53">
      <c r="AY1758" s="627">
        <v>7054</v>
      </c>
      <c r="AZ1758" s="628" t="s">
        <v>1438</v>
      </c>
      <c r="BA1758" s="629" t="s">
        <v>435</v>
      </c>
    </row>
    <row r="1759" spans="51:53">
      <c r="AY1759" s="627">
        <v>7056</v>
      </c>
      <c r="AZ1759" s="628" t="s">
        <v>1440</v>
      </c>
      <c r="BA1759" s="629" t="s">
        <v>435</v>
      </c>
    </row>
    <row r="1760" spans="51:53">
      <c r="AY1760" s="627">
        <v>7057</v>
      </c>
      <c r="AZ1760" s="628" t="s">
        <v>1441</v>
      </c>
      <c r="BA1760" s="629" t="s">
        <v>435</v>
      </c>
    </row>
    <row r="1761" spans="51:53">
      <c r="AY1761" s="627">
        <v>7061</v>
      </c>
      <c r="AZ1761" s="628" t="s">
        <v>1442</v>
      </c>
      <c r="BA1761" s="629" t="s">
        <v>435</v>
      </c>
    </row>
    <row r="1762" spans="51:53">
      <c r="AY1762" s="627">
        <v>7062</v>
      </c>
      <c r="AZ1762" s="628" t="s">
        <v>1443</v>
      </c>
      <c r="BA1762" s="629" t="s">
        <v>435</v>
      </c>
    </row>
    <row r="1763" spans="51:53">
      <c r="AY1763" s="627">
        <v>7063</v>
      </c>
      <c r="AZ1763" s="628" t="s">
        <v>1444</v>
      </c>
      <c r="BA1763" s="629" t="s">
        <v>435</v>
      </c>
    </row>
    <row r="1764" spans="51:53">
      <c r="AY1764" s="627">
        <v>7064</v>
      </c>
      <c r="AZ1764" s="628" t="s">
        <v>1445</v>
      </c>
      <c r="BA1764" s="629" t="s">
        <v>435</v>
      </c>
    </row>
    <row r="1765" spans="51:53">
      <c r="AY1765" s="627">
        <v>7065</v>
      </c>
      <c r="AZ1765" s="628" t="s">
        <v>1446</v>
      </c>
      <c r="BA1765" s="629" t="s">
        <v>435</v>
      </c>
    </row>
    <row r="1766" spans="51:53">
      <c r="AY1766" s="627">
        <v>7066</v>
      </c>
      <c r="AZ1766" s="628" t="s">
        <v>1447</v>
      </c>
      <c r="BA1766" s="629" t="s">
        <v>435</v>
      </c>
    </row>
    <row r="1767" spans="51:53">
      <c r="AY1767" s="627">
        <v>7067</v>
      </c>
      <c r="AZ1767" s="628" t="s">
        <v>1448</v>
      </c>
      <c r="BA1767" s="629" t="s">
        <v>435</v>
      </c>
    </row>
    <row r="1768" spans="51:53">
      <c r="AY1768" s="627">
        <v>7068</v>
      </c>
      <c r="AZ1768" s="628" t="s">
        <v>1449</v>
      </c>
      <c r="BA1768" s="629" t="s">
        <v>435</v>
      </c>
    </row>
    <row r="1769" spans="51:53">
      <c r="AY1769" s="627">
        <v>7071</v>
      </c>
      <c r="AZ1769" s="628" t="s">
        <v>1450</v>
      </c>
      <c r="BA1769" s="629" t="s">
        <v>435</v>
      </c>
    </row>
    <row r="1770" spans="51:53">
      <c r="AY1770" s="627">
        <v>7072</v>
      </c>
      <c r="AZ1770" s="628" t="s">
        <v>1451</v>
      </c>
      <c r="BA1770" s="629" t="s">
        <v>435</v>
      </c>
    </row>
    <row r="1771" spans="51:53">
      <c r="AY1771" s="627">
        <v>7081</v>
      </c>
      <c r="AZ1771" s="628" t="s">
        <v>1452</v>
      </c>
      <c r="BA1771" s="629" t="s">
        <v>435</v>
      </c>
    </row>
    <row r="1772" spans="51:53">
      <c r="AY1772" s="627">
        <v>7082</v>
      </c>
      <c r="AZ1772" s="628" t="s">
        <v>1453</v>
      </c>
      <c r="BA1772" s="629" t="s">
        <v>435</v>
      </c>
    </row>
    <row r="1773" spans="51:53">
      <c r="AY1773" s="627">
        <v>7083</v>
      </c>
      <c r="AZ1773" s="628" t="s">
        <v>1454</v>
      </c>
      <c r="BA1773" s="629" t="s">
        <v>435</v>
      </c>
    </row>
    <row r="1774" spans="51:53">
      <c r="AY1774" s="627">
        <v>7084</v>
      </c>
      <c r="AZ1774" s="628" t="s">
        <v>1455</v>
      </c>
      <c r="BA1774" s="629" t="s">
        <v>435</v>
      </c>
    </row>
    <row r="1775" spans="51:53">
      <c r="AY1775" s="627">
        <v>7085</v>
      </c>
      <c r="AZ1775" s="628" t="s">
        <v>1456</v>
      </c>
      <c r="BA1775" s="629" t="s">
        <v>435</v>
      </c>
    </row>
    <row r="1776" spans="51:53">
      <c r="AY1776" s="627">
        <v>7086</v>
      </c>
      <c r="AZ1776" s="628" t="s">
        <v>1457</v>
      </c>
      <c r="BA1776" s="629" t="s">
        <v>435</v>
      </c>
    </row>
    <row r="1777" spans="51:53">
      <c r="AY1777" s="627">
        <v>7087</v>
      </c>
      <c r="AZ1777" s="628" t="s">
        <v>1458</v>
      </c>
      <c r="BA1777" s="629" t="s">
        <v>435</v>
      </c>
    </row>
    <row r="1778" spans="51:53">
      <c r="AY1778" s="627">
        <v>7090</v>
      </c>
      <c r="AZ1778" s="628" t="s">
        <v>1459</v>
      </c>
      <c r="BA1778" s="629" t="s">
        <v>435</v>
      </c>
    </row>
    <row r="1779" spans="51:53">
      <c r="AY1779" s="627">
        <v>7091</v>
      </c>
      <c r="AZ1779" s="628" t="s">
        <v>1351</v>
      </c>
      <c r="BA1779" s="629" t="s">
        <v>435</v>
      </c>
    </row>
    <row r="1780" spans="51:53">
      <c r="AY1780" s="627">
        <v>7092</v>
      </c>
      <c r="AZ1780" s="628" t="s">
        <v>1461</v>
      </c>
      <c r="BA1780" s="629" t="s">
        <v>435</v>
      </c>
    </row>
    <row r="1781" spans="51:53">
      <c r="AY1781" s="627">
        <v>7093</v>
      </c>
      <c r="AZ1781" s="628" t="s">
        <v>1462</v>
      </c>
      <c r="BA1781" s="629" t="s">
        <v>435</v>
      </c>
    </row>
    <row r="1782" spans="51:53">
      <c r="AY1782" s="627">
        <v>7094</v>
      </c>
      <c r="AZ1782" s="628" t="s">
        <v>1463</v>
      </c>
      <c r="BA1782" s="629" t="s">
        <v>435</v>
      </c>
    </row>
    <row r="1783" spans="51:53">
      <c r="AY1783" s="627">
        <v>7095</v>
      </c>
      <c r="AZ1783" s="628" t="s">
        <v>1352</v>
      </c>
      <c r="BA1783" s="629" t="s">
        <v>435</v>
      </c>
    </row>
    <row r="1784" spans="51:53">
      <c r="AY1784" s="627">
        <v>7095</v>
      </c>
      <c r="AZ1784" s="628" t="s">
        <v>1464</v>
      </c>
      <c r="BA1784" s="629" t="s">
        <v>435</v>
      </c>
    </row>
    <row r="1785" spans="51:53">
      <c r="AY1785" s="627">
        <v>7097</v>
      </c>
      <c r="AZ1785" s="628" t="s">
        <v>1465</v>
      </c>
      <c r="BA1785" s="629" t="s">
        <v>435</v>
      </c>
    </row>
    <row r="1786" spans="51:53">
      <c r="AY1786" s="627">
        <v>7098</v>
      </c>
      <c r="AZ1786" s="628" t="s">
        <v>1466</v>
      </c>
      <c r="BA1786" s="629" t="s">
        <v>435</v>
      </c>
    </row>
    <row r="1787" spans="51:53">
      <c r="AY1787" s="627">
        <v>7099</v>
      </c>
      <c r="AZ1787" s="628" t="s">
        <v>1467</v>
      </c>
      <c r="BA1787" s="629" t="s">
        <v>435</v>
      </c>
    </row>
    <row r="1788" spans="51:53">
      <c r="AY1788" s="627">
        <v>7100</v>
      </c>
      <c r="AZ1788" s="628" t="s">
        <v>1468</v>
      </c>
      <c r="BA1788" s="629" t="s">
        <v>1468</v>
      </c>
    </row>
    <row r="1789" spans="51:53">
      <c r="AY1789" s="627">
        <v>7121</v>
      </c>
      <c r="AZ1789" s="628" t="s">
        <v>1469</v>
      </c>
      <c r="BA1789" s="629" t="s">
        <v>435</v>
      </c>
    </row>
    <row r="1790" spans="51:53">
      <c r="AY1790" s="627">
        <v>7122</v>
      </c>
      <c r="AZ1790" s="628" t="s">
        <v>1470</v>
      </c>
      <c r="BA1790" s="629" t="s">
        <v>435</v>
      </c>
    </row>
    <row r="1791" spans="51:53">
      <c r="AY1791" s="627">
        <v>7130</v>
      </c>
      <c r="AZ1791" s="628" t="s">
        <v>435</v>
      </c>
      <c r="BA1791" s="629" t="s">
        <v>435</v>
      </c>
    </row>
    <row r="1792" spans="51:53">
      <c r="AY1792" s="627">
        <v>7131</v>
      </c>
      <c r="AZ1792" s="628" t="s">
        <v>435</v>
      </c>
      <c r="BA1792" s="629" t="s">
        <v>435</v>
      </c>
    </row>
    <row r="1793" spans="51:53">
      <c r="AY1793" s="627">
        <v>7132</v>
      </c>
      <c r="AZ1793" s="628" t="s">
        <v>1472</v>
      </c>
      <c r="BA1793" s="629" t="s">
        <v>435</v>
      </c>
    </row>
    <row r="1794" spans="51:53">
      <c r="AY1794" s="627">
        <v>7133</v>
      </c>
      <c r="AZ1794" s="628" t="s">
        <v>1354</v>
      </c>
      <c r="BA1794" s="629" t="s">
        <v>435</v>
      </c>
    </row>
    <row r="1795" spans="51:53">
      <c r="AY1795" s="627">
        <v>7134</v>
      </c>
      <c r="AZ1795" s="628" t="s">
        <v>1474</v>
      </c>
      <c r="BA1795" s="629" t="s">
        <v>435</v>
      </c>
    </row>
    <row r="1796" spans="51:53">
      <c r="AY1796" s="627">
        <v>7135</v>
      </c>
      <c r="AZ1796" s="628" t="s">
        <v>1475</v>
      </c>
      <c r="BA1796" s="629" t="s">
        <v>435</v>
      </c>
    </row>
    <row r="1797" spans="51:53">
      <c r="AY1797" s="627">
        <v>7136</v>
      </c>
      <c r="AZ1797" s="628" t="s">
        <v>1476</v>
      </c>
      <c r="BA1797" s="629" t="s">
        <v>435</v>
      </c>
    </row>
    <row r="1798" spans="51:53">
      <c r="AY1798" s="627">
        <v>7140</v>
      </c>
      <c r="AZ1798" s="628" t="s">
        <v>1478</v>
      </c>
      <c r="BA1798" s="629" t="s">
        <v>435</v>
      </c>
    </row>
    <row r="1799" spans="51:53">
      <c r="AY1799" s="627">
        <v>7142</v>
      </c>
      <c r="AZ1799" s="628" t="s">
        <v>1479</v>
      </c>
      <c r="BA1799" s="629" t="s">
        <v>435</v>
      </c>
    </row>
    <row r="1800" spans="51:53">
      <c r="AY1800" s="627">
        <v>7143</v>
      </c>
      <c r="AZ1800" s="628" t="s">
        <v>1480</v>
      </c>
      <c r="BA1800" s="629" t="s">
        <v>435</v>
      </c>
    </row>
    <row r="1801" spans="51:53">
      <c r="AY1801" s="627">
        <v>7144</v>
      </c>
      <c r="AZ1801" s="628" t="s">
        <v>1481</v>
      </c>
      <c r="BA1801" s="629" t="s">
        <v>435</v>
      </c>
    </row>
    <row r="1802" spans="51:53">
      <c r="AY1802" s="627">
        <v>7145</v>
      </c>
      <c r="AZ1802" s="628" t="s">
        <v>1482</v>
      </c>
      <c r="BA1802" s="629" t="s">
        <v>435</v>
      </c>
    </row>
    <row r="1803" spans="51:53">
      <c r="AY1803" s="627">
        <v>7146</v>
      </c>
      <c r="AZ1803" s="628" t="s">
        <v>1483</v>
      </c>
      <c r="BA1803" s="629" t="s">
        <v>435</v>
      </c>
    </row>
    <row r="1804" spans="51:53">
      <c r="AY1804" s="627">
        <v>7147</v>
      </c>
      <c r="AZ1804" s="628" t="s">
        <v>1195</v>
      </c>
      <c r="BA1804" s="629" t="s">
        <v>435</v>
      </c>
    </row>
    <row r="1805" spans="51:53">
      <c r="AY1805" s="627">
        <v>7148</v>
      </c>
      <c r="AZ1805" s="628" t="s">
        <v>1196</v>
      </c>
      <c r="BA1805" s="629" t="s">
        <v>435</v>
      </c>
    </row>
    <row r="1806" spans="51:53">
      <c r="AY1806" s="627">
        <v>7149</v>
      </c>
      <c r="AZ1806" s="628" t="s">
        <v>1197</v>
      </c>
      <c r="BA1806" s="629" t="s">
        <v>435</v>
      </c>
    </row>
    <row r="1807" spans="51:53">
      <c r="AY1807" s="692">
        <v>7150</v>
      </c>
      <c r="AZ1807" s="631" t="s">
        <v>1198</v>
      </c>
      <c r="BA1807" s="632" t="s">
        <v>412</v>
      </c>
    </row>
    <row r="1808" spans="51:53">
      <c r="AY1808" s="627">
        <v>7158</v>
      </c>
      <c r="AZ1808" s="628" t="s">
        <v>1199</v>
      </c>
      <c r="BA1808" s="629" t="s">
        <v>435</v>
      </c>
    </row>
    <row r="1809" spans="51:53">
      <c r="AY1809" s="627">
        <v>7159</v>
      </c>
      <c r="AZ1809" s="628" t="s">
        <v>1200</v>
      </c>
      <c r="BA1809" s="629" t="s">
        <v>435</v>
      </c>
    </row>
    <row r="1810" spans="51:53">
      <c r="AY1810" s="627">
        <v>7161</v>
      </c>
      <c r="AZ1810" s="628" t="s">
        <v>3856</v>
      </c>
      <c r="BA1810" s="629" t="s">
        <v>3180</v>
      </c>
    </row>
    <row r="1811" spans="51:53">
      <c r="AY1811" s="627">
        <v>7162</v>
      </c>
      <c r="AZ1811" s="628" t="s">
        <v>1355</v>
      </c>
      <c r="BA1811" s="629" t="s">
        <v>435</v>
      </c>
    </row>
    <row r="1812" spans="51:53">
      <c r="AY1812" s="627">
        <v>7163</v>
      </c>
      <c r="AZ1812" s="628" t="s">
        <v>1203</v>
      </c>
      <c r="BA1812" s="629" t="s">
        <v>435</v>
      </c>
    </row>
    <row r="1813" spans="51:53">
      <c r="AY1813" s="627">
        <v>7164</v>
      </c>
      <c r="AZ1813" s="628" t="s">
        <v>1204</v>
      </c>
      <c r="BA1813" s="629" t="s">
        <v>435</v>
      </c>
    </row>
    <row r="1814" spans="51:53">
      <c r="AY1814" s="627">
        <v>7165</v>
      </c>
      <c r="AZ1814" s="628" t="s">
        <v>1205</v>
      </c>
      <c r="BA1814" s="629" t="s">
        <v>435</v>
      </c>
    </row>
    <row r="1815" spans="51:53">
      <c r="AY1815" s="627">
        <v>7171</v>
      </c>
      <c r="AZ1815" s="628" t="s">
        <v>1206</v>
      </c>
      <c r="BA1815" s="629" t="s">
        <v>435</v>
      </c>
    </row>
    <row r="1816" spans="51:53">
      <c r="AY1816" s="627">
        <v>7172</v>
      </c>
      <c r="AZ1816" s="628" t="s">
        <v>1207</v>
      </c>
      <c r="BA1816" s="629" t="s">
        <v>435</v>
      </c>
    </row>
    <row r="1817" spans="51:53">
      <c r="AY1817" s="627">
        <v>7173</v>
      </c>
      <c r="AZ1817" s="628" t="s">
        <v>1356</v>
      </c>
      <c r="BA1817" s="629" t="s">
        <v>435</v>
      </c>
    </row>
    <row r="1818" spans="51:53">
      <c r="AY1818" s="627">
        <v>7174</v>
      </c>
      <c r="AZ1818" s="628" t="s">
        <v>1209</v>
      </c>
      <c r="BA1818" s="629" t="s">
        <v>435</v>
      </c>
    </row>
    <row r="1819" spans="51:53">
      <c r="AY1819" s="627">
        <v>7175</v>
      </c>
      <c r="AZ1819" s="628" t="s">
        <v>1208</v>
      </c>
      <c r="BA1819" s="629" t="s">
        <v>435</v>
      </c>
    </row>
    <row r="1820" spans="51:53">
      <c r="AY1820" s="627">
        <v>7176</v>
      </c>
      <c r="AZ1820" s="628" t="s">
        <v>1211</v>
      </c>
      <c r="BA1820" s="629" t="s">
        <v>435</v>
      </c>
    </row>
    <row r="1821" spans="51:53">
      <c r="AY1821" s="627">
        <v>7181</v>
      </c>
      <c r="AZ1821" s="628" t="s">
        <v>1212</v>
      </c>
      <c r="BA1821" s="629" t="s">
        <v>435</v>
      </c>
    </row>
    <row r="1822" spans="51:53">
      <c r="AY1822" s="627">
        <v>7182</v>
      </c>
      <c r="AZ1822" s="628" t="s">
        <v>1213</v>
      </c>
      <c r="BA1822" s="629" t="s">
        <v>435</v>
      </c>
    </row>
    <row r="1823" spans="51:53">
      <c r="AY1823" s="627">
        <v>7183</v>
      </c>
      <c r="AZ1823" s="628" t="s">
        <v>1214</v>
      </c>
      <c r="BA1823" s="629" t="s">
        <v>435</v>
      </c>
    </row>
    <row r="1824" spans="51:53">
      <c r="AY1824" s="627">
        <v>7184</v>
      </c>
      <c r="AZ1824" s="628" t="s">
        <v>1215</v>
      </c>
      <c r="BA1824" s="629" t="s">
        <v>406</v>
      </c>
    </row>
    <row r="1825" spans="51:53">
      <c r="AY1825" s="627">
        <v>7184</v>
      </c>
      <c r="AZ1825" s="628" t="s">
        <v>1357</v>
      </c>
      <c r="BA1825" s="629" t="s">
        <v>435</v>
      </c>
    </row>
    <row r="1826" spans="51:53">
      <c r="AY1826" s="627">
        <v>7185</v>
      </c>
      <c r="AZ1826" s="628" t="s">
        <v>1216</v>
      </c>
      <c r="BA1826" s="629" t="s">
        <v>435</v>
      </c>
    </row>
    <row r="1827" spans="51:53">
      <c r="AY1827" s="627">
        <v>7186</v>
      </c>
      <c r="AZ1827" s="628" t="s">
        <v>1358</v>
      </c>
      <c r="BA1827" s="629" t="s">
        <v>435</v>
      </c>
    </row>
    <row r="1828" spans="51:53">
      <c r="AY1828" s="627">
        <v>7186</v>
      </c>
      <c r="AZ1828" s="628" t="s">
        <v>1217</v>
      </c>
      <c r="BA1828" s="629" t="s">
        <v>435</v>
      </c>
    </row>
    <row r="1829" spans="51:53">
      <c r="AY1829" s="627">
        <v>7187</v>
      </c>
      <c r="AZ1829" s="628" t="s">
        <v>1198</v>
      </c>
      <c r="BA1829" s="629" t="s">
        <v>435</v>
      </c>
    </row>
    <row r="1830" spans="51:53">
      <c r="AY1830" s="627">
        <v>7191</v>
      </c>
      <c r="AZ1830" s="628" t="s">
        <v>1219</v>
      </c>
      <c r="BA1830" s="629" t="s">
        <v>435</v>
      </c>
    </row>
    <row r="1831" spans="51:53">
      <c r="AY1831" s="627">
        <v>7192</v>
      </c>
      <c r="AZ1831" s="628" t="s">
        <v>1220</v>
      </c>
      <c r="BA1831" s="629" t="s">
        <v>435</v>
      </c>
    </row>
    <row r="1832" spans="51:53">
      <c r="AY1832" s="627">
        <v>7193</v>
      </c>
      <c r="AZ1832" s="628" t="s">
        <v>1221</v>
      </c>
      <c r="BA1832" s="629" t="s">
        <v>435</v>
      </c>
    </row>
    <row r="1833" spans="51:53">
      <c r="AY1833" s="627">
        <v>7194</v>
      </c>
      <c r="AZ1833" s="628" t="s">
        <v>1222</v>
      </c>
      <c r="BA1833" s="629" t="s">
        <v>435</v>
      </c>
    </row>
    <row r="1834" spans="51:53">
      <c r="AY1834" s="627">
        <v>7195</v>
      </c>
      <c r="AZ1834" s="628" t="s">
        <v>1223</v>
      </c>
      <c r="BA1834" s="629" t="s">
        <v>435</v>
      </c>
    </row>
    <row r="1835" spans="51:53">
      <c r="AY1835" s="627">
        <v>7200</v>
      </c>
      <c r="AZ1835" s="628" t="s">
        <v>1224</v>
      </c>
      <c r="BA1835" s="629" t="s">
        <v>435</v>
      </c>
    </row>
    <row r="1836" spans="51:53">
      <c r="AY1836" s="627">
        <v>7211</v>
      </c>
      <c r="AZ1836" s="628" t="s">
        <v>3895</v>
      </c>
      <c r="BA1836" s="629" t="s">
        <v>435</v>
      </c>
    </row>
    <row r="1837" spans="51:53">
      <c r="AY1837" s="627">
        <v>7212</v>
      </c>
      <c r="AZ1837" s="628" t="s">
        <v>3896</v>
      </c>
      <c r="BA1837" s="629" t="s">
        <v>435</v>
      </c>
    </row>
    <row r="1838" spans="51:53">
      <c r="AY1838" s="627">
        <v>7213</v>
      </c>
      <c r="AZ1838" s="628" t="s">
        <v>3897</v>
      </c>
      <c r="BA1838" s="629" t="s">
        <v>435</v>
      </c>
    </row>
    <row r="1839" spans="51:53">
      <c r="AY1839" s="627">
        <v>7214</v>
      </c>
      <c r="AZ1839" s="628" t="s">
        <v>1360</v>
      </c>
      <c r="BA1839" s="629" t="s">
        <v>435</v>
      </c>
    </row>
    <row r="1840" spans="51:53">
      <c r="AY1840" s="627">
        <v>7214</v>
      </c>
      <c r="AZ1840" s="628" t="s">
        <v>3898</v>
      </c>
      <c r="BA1840" s="629" t="s">
        <v>435</v>
      </c>
    </row>
    <row r="1841" spans="51:53">
      <c r="AY1841" s="627">
        <v>7215</v>
      </c>
      <c r="AZ1841" s="628" t="s">
        <v>3899</v>
      </c>
      <c r="BA1841" s="629" t="s">
        <v>435</v>
      </c>
    </row>
    <row r="1842" spans="51:53">
      <c r="AY1842" s="627">
        <v>7224</v>
      </c>
      <c r="AZ1842" s="628" t="s">
        <v>3900</v>
      </c>
      <c r="BA1842" s="629" t="s">
        <v>435</v>
      </c>
    </row>
    <row r="1843" spans="51:53">
      <c r="AY1843" s="627">
        <v>7225</v>
      </c>
      <c r="AZ1843" s="628" t="s">
        <v>3901</v>
      </c>
      <c r="BA1843" s="629" t="s">
        <v>435</v>
      </c>
    </row>
    <row r="1844" spans="51:53">
      <c r="AY1844" s="627">
        <v>7226</v>
      </c>
      <c r="AZ1844" s="628" t="s">
        <v>3902</v>
      </c>
      <c r="BA1844" s="629" t="s">
        <v>435</v>
      </c>
    </row>
    <row r="1845" spans="51:53">
      <c r="AY1845" s="627">
        <v>7227</v>
      </c>
      <c r="AZ1845" s="628" t="s">
        <v>3903</v>
      </c>
      <c r="BA1845" s="629" t="s">
        <v>435</v>
      </c>
    </row>
    <row r="1846" spans="51:53">
      <c r="AY1846" s="627">
        <v>7228</v>
      </c>
      <c r="AZ1846" s="628" t="s">
        <v>3904</v>
      </c>
      <c r="BA1846" s="629" t="s">
        <v>435</v>
      </c>
    </row>
    <row r="1847" spans="51:53">
      <c r="AY1847" s="627">
        <v>7251</v>
      </c>
      <c r="AZ1847" s="628" t="s">
        <v>3905</v>
      </c>
      <c r="BA1847" s="629" t="s">
        <v>435</v>
      </c>
    </row>
    <row r="1848" spans="51:53">
      <c r="AY1848" s="627">
        <v>7252</v>
      </c>
      <c r="AZ1848" s="628" t="s">
        <v>3906</v>
      </c>
      <c r="BA1848" s="629" t="s">
        <v>435</v>
      </c>
    </row>
    <row r="1849" spans="51:53">
      <c r="AY1849" s="627">
        <v>7253</v>
      </c>
      <c r="AZ1849" s="628" t="s">
        <v>1361</v>
      </c>
      <c r="BA1849" s="629" t="s">
        <v>423</v>
      </c>
    </row>
    <row r="1850" spans="51:53">
      <c r="AY1850" s="627">
        <v>7253</v>
      </c>
      <c r="AZ1850" s="628" t="s">
        <v>3907</v>
      </c>
      <c r="BA1850" s="629" t="s">
        <v>423</v>
      </c>
    </row>
    <row r="1851" spans="51:53">
      <c r="AY1851" s="627">
        <v>7255</v>
      </c>
      <c r="AZ1851" s="628" t="s">
        <v>3908</v>
      </c>
      <c r="BA1851" s="629" t="s">
        <v>423</v>
      </c>
    </row>
    <row r="1852" spans="51:53">
      <c r="AY1852" s="627">
        <v>7256</v>
      </c>
      <c r="AZ1852" s="628" t="s">
        <v>3909</v>
      </c>
      <c r="BA1852" s="629" t="s">
        <v>423</v>
      </c>
    </row>
    <row r="1853" spans="51:53">
      <c r="AY1853" s="627">
        <v>7257</v>
      </c>
      <c r="AZ1853" s="628" t="s">
        <v>3910</v>
      </c>
      <c r="BA1853" s="629" t="s">
        <v>423</v>
      </c>
    </row>
    <row r="1854" spans="51:53">
      <c r="AY1854" s="627">
        <v>7258</v>
      </c>
      <c r="AZ1854" s="628" t="s">
        <v>3911</v>
      </c>
      <c r="BA1854" s="629" t="s">
        <v>423</v>
      </c>
    </row>
    <row r="1855" spans="51:53">
      <c r="AY1855" s="627">
        <v>7258</v>
      </c>
      <c r="AZ1855" s="628" t="s">
        <v>3912</v>
      </c>
      <c r="BA1855" s="629" t="s">
        <v>423</v>
      </c>
    </row>
    <row r="1856" spans="51:53">
      <c r="AY1856" s="627">
        <v>7261</v>
      </c>
      <c r="AZ1856" s="628" t="s">
        <v>1362</v>
      </c>
      <c r="BA1856" s="629" t="s">
        <v>423</v>
      </c>
    </row>
    <row r="1857" spans="51:53">
      <c r="AY1857" s="627">
        <v>7261</v>
      </c>
      <c r="AZ1857" s="628" t="s">
        <v>3913</v>
      </c>
      <c r="BA1857" s="629" t="s">
        <v>423</v>
      </c>
    </row>
    <row r="1858" spans="51:53">
      <c r="AY1858" s="627">
        <v>7271</v>
      </c>
      <c r="AZ1858" s="628" t="s">
        <v>3914</v>
      </c>
      <c r="BA1858" s="629" t="s">
        <v>423</v>
      </c>
    </row>
    <row r="1859" spans="51:53">
      <c r="AY1859" s="627">
        <v>7272</v>
      </c>
      <c r="AZ1859" s="628" t="s">
        <v>1363</v>
      </c>
      <c r="BA1859" s="629" t="s">
        <v>423</v>
      </c>
    </row>
    <row r="1860" spans="51:53">
      <c r="AY1860" s="627">
        <v>7273</v>
      </c>
      <c r="AZ1860" s="628" t="s">
        <v>3916</v>
      </c>
      <c r="BA1860" s="629" t="s">
        <v>423</v>
      </c>
    </row>
    <row r="1861" spans="51:53">
      <c r="AY1861" s="627">
        <v>7274</v>
      </c>
      <c r="AZ1861" s="628" t="s">
        <v>3917</v>
      </c>
      <c r="BA1861" s="629" t="s">
        <v>423</v>
      </c>
    </row>
    <row r="1862" spans="51:53">
      <c r="AY1862" s="627">
        <v>7275</v>
      </c>
      <c r="AZ1862" s="628" t="s">
        <v>3918</v>
      </c>
      <c r="BA1862" s="629" t="s">
        <v>423</v>
      </c>
    </row>
    <row r="1863" spans="51:53">
      <c r="AY1863" s="627">
        <v>7276</v>
      </c>
      <c r="AZ1863" s="628" t="s">
        <v>3920</v>
      </c>
      <c r="BA1863" s="629" t="s">
        <v>423</v>
      </c>
    </row>
    <row r="1864" spans="51:53">
      <c r="AY1864" s="627">
        <v>7276</v>
      </c>
      <c r="AZ1864" s="628" t="s">
        <v>3919</v>
      </c>
      <c r="BA1864" s="629" t="s">
        <v>423</v>
      </c>
    </row>
    <row r="1865" spans="51:53">
      <c r="AY1865" s="627">
        <v>7279</v>
      </c>
      <c r="AZ1865" s="628" t="s">
        <v>3921</v>
      </c>
      <c r="BA1865" s="629" t="s">
        <v>423</v>
      </c>
    </row>
    <row r="1866" spans="51:53">
      <c r="AY1866" s="627">
        <v>7281</v>
      </c>
      <c r="AZ1866" s="628" t="s">
        <v>1364</v>
      </c>
      <c r="BA1866" s="629" t="s">
        <v>423</v>
      </c>
    </row>
    <row r="1867" spans="51:53">
      <c r="AY1867" s="627">
        <v>7282</v>
      </c>
      <c r="AZ1867" s="628" t="s">
        <v>3923</v>
      </c>
      <c r="BA1867" s="629" t="s">
        <v>423</v>
      </c>
    </row>
    <row r="1868" spans="51:53">
      <c r="AY1868" s="627">
        <v>7282</v>
      </c>
      <c r="AZ1868" s="628" t="s">
        <v>3922</v>
      </c>
      <c r="BA1868" s="629" t="s">
        <v>423</v>
      </c>
    </row>
    <row r="1869" spans="51:53">
      <c r="AY1869" s="627">
        <v>7283</v>
      </c>
      <c r="AZ1869" s="628" t="s">
        <v>3924</v>
      </c>
      <c r="BA1869" s="629" t="s">
        <v>423</v>
      </c>
    </row>
    <row r="1870" spans="51:53">
      <c r="AY1870" s="627">
        <v>7284</v>
      </c>
      <c r="AZ1870" s="628" t="s">
        <v>3925</v>
      </c>
      <c r="BA1870" s="629" t="s">
        <v>423</v>
      </c>
    </row>
    <row r="1871" spans="51:53">
      <c r="AY1871" s="627">
        <v>7285</v>
      </c>
      <c r="AZ1871" s="628" t="s">
        <v>1365</v>
      </c>
      <c r="BA1871" s="629" t="s">
        <v>423</v>
      </c>
    </row>
    <row r="1872" spans="51:53">
      <c r="AY1872" s="61">
        <v>7285</v>
      </c>
      <c r="AZ1872" s="638" t="s">
        <v>3926</v>
      </c>
      <c r="BA1872" s="629" t="s">
        <v>423</v>
      </c>
    </row>
    <row r="1873" spans="51:53">
      <c r="AY1873" s="627">
        <v>7285</v>
      </c>
      <c r="AZ1873" s="628" t="s">
        <v>1366</v>
      </c>
      <c r="BA1873" s="629" t="s">
        <v>423</v>
      </c>
    </row>
    <row r="1874" spans="51:53">
      <c r="AY1874" s="627">
        <v>7300</v>
      </c>
      <c r="AZ1874" s="628" t="s">
        <v>3928</v>
      </c>
      <c r="BA1874" s="629" t="s">
        <v>406</v>
      </c>
    </row>
    <row r="1875" spans="51:53">
      <c r="AY1875" s="627">
        <v>7300</v>
      </c>
      <c r="AZ1875" s="628" t="s">
        <v>3930</v>
      </c>
      <c r="BA1875" s="629" t="s">
        <v>406</v>
      </c>
    </row>
    <row r="1876" spans="51:53">
      <c r="AY1876" s="627">
        <v>7304</v>
      </c>
      <c r="AZ1876" s="628" t="s">
        <v>3929</v>
      </c>
      <c r="BA1876" s="629" t="s">
        <v>406</v>
      </c>
    </row>
    <row r="1877" spans="51:53">
      <c r="AY1877" s="627">
        <v>7305</v>
      </c>
      <c r="AZ1877" s="628" t="s">
        <v>3928</v>
      </c>
      <c r="BA1877" s="629" t="s">
        <v>406</v>
      </c>
    </row>
    <row r="1878" spans="51:53">
      <c r="AY1878" s="627">
        <v>7331</v>
      </c>
      <c r="AZ1878" s="630" t="s">
        <v>3933</v>
      </c>
      <c r="BA1878" s="629" t="s">
        <v>406</v>
      </c>
    </row>
    <row r="1879" spans="51:53">
      <c r="AY1879" s="627">
        <v>7332</v>
      </c>
      <c r="AZ1879" s="630" t="s">
        <v>3934</v>
      </c>
      <c r="BA1879" s="629" t="s">
        <v>406</v>
      </c>
    </row>
    <row r="1880" spans="51:53">
      <c r="AY1880" s="627">
        <v>7333</v>
      </c>
      <c r="AZ1880" s="630" t="s">
        <v>1370</v>
      </c>
      <c r="BA1880" s="629" t="s">
        <v>406</v>
      </c>
    </row>
    <row r="1881" spans="51:53">
      <c r="AY1881" s="627">
        <v>7333</v>
      </c>
      <c r="AZ1881" s="630" t="s">
        <v>3935</v>
      </c>
      <c r="BA1881" s="629" t="s">
        <v>406</v>
      </c>
    </row>
    <row r="1882" spans="51:53">
      <c r="AY1882" s="627">
        <v>7334</v>
      </c>
      <c r="AZ1882" s="630" t="s">
        <v>1371</v>
      </c>
      <c r="BA1882" s="629" t="s">
        <v>406</v>
      </c>
    </row>
    <row r="1883" spans="51:53">
      <c r="AY1883" s="627">
        <v>7334</v>
      </c>
      <c r="AZ1883" s="630" t="s">
        <v>3936</v>
      </c>
      <c r="BA1883" s="629" t="s">
        <v>406</v>
      </c>
    </row>
    <row r="1884" spans="51:53">
      <c r="AY1884" s="627">
        <v>7341</v>
      </c>
      <c r="AZ1884" s="630" t="s">
        <v>3937</v>
      </c>
      <c r="BA1884" s="629" t="s">
        <v>435</v>
      </c>
    </row>
    <row r="1885" spans="51:53">
      <c r="AY1885" s="627">
        <v>7342</v>
      </c>
      <c r="AZ1885" s="630" t="s">
        <v>3938</v>
      </c>
      <c r="BA1885" s="629" t="s">
        <v>406</v>
      </c>
    </row>
    <row r="1886" spans="51:53">
      <c r="AY1886" s="627">
        <v>7343</v>
      </c>
      <c r="AZ1886" s="630" t="s">
        <v>3939</v>
      </c>
      <c r="BA1886" s="629" t="s">
        <v>406</v>
      </c>
    </row>
    <row r="1887" spans="51:53">
      <c r="AY1887" s="627">
        <v>7344</v>
      </c>
      <c r="AZ1887" s="630" t="s">
        <v>3940</v>
      </c>
      <c r="BA1887" s="629" t="s">
        <v>406</v>
      </c>
    </row>
    <row r="1888" spans="51:53">
      <c r="AY1888" s="627">
        <v>7345</v>
      </c>
      <c r="AZ1888" s="630" t="s">
        <v>3941</v>
      </c>
      <c r="BA1888" s="629" t="s">
        <v>406</v>
      </c>
    </row>
    <row r="1889" spans="51:53">
      <c r="AY1889" s="627">
        <v>7346</v>
      </c>
      <c r="AZ1889" s="630" t="s">
        <v>3942</v>
      </c>
      <c r="BA1889" s="629" t="s">
        <v>406</v>
      </c>
    </row>
    <row r="1890" spans="51:53">
      <c r="AY1890" s="627">
        <v>7347</v>
      </c>
      <c r="AZ1890" s="630" t="s">
        <v>3943</v>
      </c>
      <c r="BA1890" s="629" t="s">
        <v>406</v>
      </c>
    </row>
    <row r="1891" spans="51:53">
      <c r="AY1891" s="627">
        <v>7348</v>
      </c>
      <c r="AZ1891" s="630" t="s">
        <v>1372</v>
      </c>
      <c r="BA1891" s="629" t="s">
        <v>406</v>
      </c>
    </row>
    <row r="1892" spans="51:53">
      <c r="AY1892" s="627">
        <v>7348</v>
      </c>
      <c r="AZ1892" s="630" t="s">
        <v>3944</v>
      </c>
      <c r="BA1892" s="629" t="s">
        <v>406</v>
      </c>
    </row>
    <row r="1893" spans="51:53">
      <c r="AY1893" s="627">
        <v>7349</v>
      </c>
      <c r="AZ1893" s="630" t="s">
        <v>3945</v>
      </c>
      <c r="BA1893" s="629" t="s">
        <v>406</v>
      </c>
    </row>
    <row r="1894" spans="51:53">
      <c r="AY1894" s="627">
        <v>7351</v>
      </c>
      <c r="AZ1894" s="630" t="s">
        <v>1373</v>
      </c>
      <c r="BA1894" s="629" t="s">
        <v>406</v>
      </c>
    </row>
    <row r="1895" spans="51:53">
      <c r="AY1895" s="627">
        <v>7352</v>
      </c>
      <c r="AZ1895" s="630" t="s">
        <v>3947</v>
      </c>
      <c r="BA1895" s="629" t="s">
        <v>435</v>
      </c>
    </row>
    <row r="1896" spans="51:53">
      <c r="AY1896" s="627">
        <v>7353</v>
      </c>
      <c r="AZ1896" s="628" t="s">
        <v>3948</v>
      </c>
      <c r="BA1896" s="629" t="s">
        <v>435</v>
      </c>
    </row>
    <row r="1897" spans="51:53">
      <c r="AY1897" s="627">
        <v>7354</v>
      </c>
      <c r="AZ1897" s="628" t="s">
        <v>3949</v>
      </c>
      <c r="BA1897" s="629" t="s">
        <v>435</v>
      </c>
    </row>
    <row r="1898" spans="51:53">
      <c r="AY1898" s="627">
        <v>7355</v>
      </c>
      <c r="AZ1898" s="628" t="s">
        <v>3950</v>
      </c>
      <c r="BA1898" s="629" t="s">
        <v>435</v>
      </c>
    </row>
    <row r="1899" spans="51:53">
      <c r="AY1899" s="627">
        <v>7356</v>
      </c>
      <c r="AZ1899" s="628" t="s">
        <v>3951</v>
      </c>
      <c r="BA1899" s="629" t="s">
        <v>435</v>
      </c>
    </row>
    <row r="1900" spans="51:53">
      <c r="AY1900" s="627">
        <v>7357</v>
      </c>
      <c r="AZ1900" s="628" t="s">
        <v>3952</v>
      </c>
      <c r="BA1900" s="629" t="s">
        <v>435</v>
      </c>
    </row>
    <row r="1901" spans="51:53">
      <c r="AY1901" s="627">
        <v>7361</v>
      </c>
      <c r="AZ1901" s="628" t="s">
        <v>3953</v>
      </c>
      <c r="BA1901" s="629" t="s">
        <v>435</v>
      </c>
    </row>
    <row r="1902" spans="51:53">
      <c r="AY1902" s="627">
        <v>7362</v>
      </c>
      <c r="AZ1902" s="628" t="s">
        <v>1374</v>
      </c>
      <c r="BA1902" s="629" t="s">
        <v>406</v>
      </c>
    </row>
    <row r="1903" spans="51:53">
      <c r="AY1903" s="627">
        <v>7362</v>
      </c>
      <c r="AZ1903" s="628" t="s">
        <v>1375</v>
      </c>
      <c r="BA1903" s="629" t="s">
        <v>406</v>
      </c>
    </row>
    <row r="1904" spans="51:53">
      <c r="AY1904" s="627">
        <v>7362</v>
      </c>
      <c r="AZ1904" s="628" t="s">
        <v>3954</v>
      </c>
      <c r="BA1904" s="629" t="s">
        <v>406</v>
      </c>
    </row>
    <row r="1905" spans="51:53">
      <c r="AY1905" s="627">
        <v>7370</v>
      </c>
      <c r="AZ1905" s="628" t="s">
        <v>1376</v>
      </c>
      <c r="BA1905" s="629" t="s">
        <v>406</v>
      </c>
    </row>
    <row r="1906" spans="51:53">
      <c r="AY1906" s="627">
        <v>7370</v>
      </c>
      <c r="AZ1906" s="628" t="s">
        <v>1377</v>
      </c>
      <c r="BA1906" s="629" t="s">
        <v>406</v>
      </c>
    </row>
    <row r="1907" spans="51:53">
      <c r="AY1907" s="627">
        <v>7370</v>
      </c>
      <c r="AZ1907" s="628" t="s">
        <v>1378</v>
      </c>
      <c r="BA1907" s="629" t="s">
        <v>406</v>
      </c>
    </row>
    <row r="1908" spans="51:53">
      <c r="AY1908" s="627">
        <v>7370</v>
      </c>
      <c r="AZ1908" s="628" t="s">
        <v>1379</v>
      </c>
      <c r="BA1908" s="629" t="s">
        <v>406</v>
      </c>
    </row>
    <row r="1909" spans="51:53">
      <c r="AY1909" s="627">
        <v>7370</v>
      </c>
      <c r="AZ1909" s="628" t="s">
        <v>1380</v>
      </c>
      <c r="BA1909" s="629" t="s">
        <v>406</v>
      </c>
    </row>
    <row r="1910" spans="51:53">
      <c r="AY1910" s="627">
        <v>7370</v>
      </c>
      <c r="AZ1910" s="628" t="s">
        <v>1381</v>
      </c>
      <c r="BA1910" s="629" t="s">
        <v>406</v>
      </c>
    </row>
    <row r="1911" spans="51:53">
      <c r="AY1911" s="627">
        <v>7370</v>
      </c>
      <c r="AZ1911" s="628" t="s">
        <v>3955</v>
      </c>
      <c r="BA1911" s="629" t="s">
        <v>406</v>
      </c>
    </row>
    <row r="1912" spans="51:53">
      <c r="AY1912" s="627">
        <v>7381</v>
      </c>
      <c r="AZ1912" s="628" t="s">
        <v>1382</v>
      </c>
      <c r="BA1912" s="629" t="s">
        <v>406</v>
      </c>
    </row>
    <row r="1913" spans="51:53">
      <c r="AY1913" s="627">
        <v>7381</v>
      </c>
      <c r="AZ1913" s="628" t="s">
        <v>1383</v>
      </c>
      <c r="BA1913" s="629" t="s">
        <v>406</v>
      </c>
    </row>
    <row r="1914" spans="51:53">
      <c r="AY1914" s="627">
        <v>7381</v>
      </c>
      <c r="AZ1914" s="628" t="s">
        <v>3956</v>
      </c>
      <c r="BA1914" s="629" t="s">
        <v>406</v>
      </c>
    </row>
    <row r="1915" spans="51:53">
      <c r="AY1915" s="627">
        <v>7383</v>
      </c>
      <c r="AZ1915" s="628" t="s">
        <v>1384</v>
      </c>
      <c r="BA1915" s="629" t="s">
        <v>406</v>
      </c>
    </row>
    <row r="1916" spans="51:53">
      <c r="AY1916" s="627">
        <v>7383</v>
      </c>
      <c r="AZ1916" s="628" t="s">
        <v>1385</v>
      </c>
      <c r="BA1916" s="629" t="s">
        <v>406</v>
      </c>
    </row>
    <row r="1917" spans="51:53">
      <c r="AY1917" s="627">
        <v>7383</v>
      </c>
      <c r="AZ1917" s="628" t="s">
        <v>3957</v>
      </c>
      <c r="BA1917" s="629" t="s">
        <v>406</v>
      </c>
    </row>
    <row r="1918" spans="51:53">
      <c r="AY1918" s="627">
        <v>7384</v>
      </c>
      <c r="AZ1918" s="628" t="s">
        <v>3958</v>
      </c>
      <c r="BA1918" s="629" t="s">
        <v>406</v>
      </c>
    </row>
    <row r="1919" spans="51:53">
      <c r="AY1919" s="627">
        <v>7385</v>
      </c>
      <c r="AZ1919" s="628" t="s">
        <v>3959</v>
      </c>
      <c r="BA1919" s="629" t="s">
        <v>406</v>
      </c>
    </row>
    <row r="1920" spans="51:53">
      <c r="AY1920" s="627">
        <v>7386</v>
      </c>
      <c r="AZ1920" s="628" t="s">
        <v>3959</v>
      </c>
      <c r="BA1920" s="629" t="s">
        <v>406</v>
      </c>
    </row>
    <row r="1921" spans="51:53">
      <c r="AY1921" s="627">
        <v>7391</v>
      </c>
      <c r="AZ1921" s="628" t="s">
        <v>1388</v>
      </c>
      <c r="BA1921" s="629" t="s">
        <v>406</v>
      </c>
    </row>
    <row r="1922" spans="51:53">
      <c r="AY1922" s="627">
        <v>7391</v>
      </c>
      <c r="AZ1922" s="628" t="s">
        <v>1389</v>
      </c>
      <c r="BA1922" s="629" t="s">
        <v>406</v>
      </c>
    </row>
    <row r="1923" spans="51:53">
      <c r="AY1923" s="627">
        <v>7391</v>
      </c>
      <c r="AZ1923" s="628" t="s">
        <v>3961</v>
      </c>
      <c r="BA1923" s="629" t="s">
        <v>406</v>
      </c>
    </row>
    <row r="1924" spans="51:53">
      <c r="AY1924" s="627">
        <v>7393</v>
      </c>
      <c r="AZ1924" s="628" t="s">
        <v>3962</v>
      </c>
      <c r="BA1924" s="629" t="s">
        <v>406</v>
      </c>
    </row>
    <row r="1925" spans="51:53">
      <c r="AY1925" s="627">
        <v>7394</v>
      </c>
      <c r="AZ1925" s="628" t="s">
        <v>545</v>
      </c>
      <c r="BA1925" s="629" t="s">
        <v>406</v>
      </c>
    </row>
    <row r="1926" spans="51:53">
      <c r="AY1926" s="627">
        <v>7394</v>
      </c>
      <c r="AZ1926" s="630" t="s">
        <v>3963</v>
      </c>
      <c r="BA1926" s="629" t="s">
        <v>406</v>
      </c>
    </row>
    <row r="1927" spans="51:53">
      <c r="AY1927" s="627">
        <v>7396</v>
      </c>
      <c r="AZ1927" s="630" t="s">
        <v>3964</v>
      </c>
      <c r="BA1927" s="629" t="s">
        <v>406</v>
      </c>
    </row>
    <row r="1928" spans="51:53">
      <c r="AY1928" s="627">
        <v>7400</v>
      </c>
      <c r="AZ1928" s="628" t="s">
        <v>546</v>
      </c>
      <c r="BA1928" s="629" t="s">
        <v>423</v>
      </c>
    </row>
    <row r="1929" spans="51:53">
      <c r="AY1929" s="627">
        <v>7400</v>
      </c>
      <c r="AZ1929" s="628" t="s">
        <v>547</v>
      </c>
      <c r="BA1929" s="629" t="s">
        <v>423</v>
      </c>
    </row>
    <row r="1930" spans="51:53">
      <c r="AY1930" s="627">
        <v>7400</v>
      </c>
      <c r="AZ1930" s="628" t="s">
        <v>3965</v>
      </c>
      <c r="BA1930" s="629" t="s">
        <v>3965</v>
      </c>
    </row>
    <row r="1931" spans="51:53">
      <c r="AY1931" s="627">
        <v>7431</v>
      </c>
      <c r="AZ1931" s="628" t="s">
        <v>3966</v>
      </c>
      <c r="BA1931" s="629" t="s">
        <v>423</v>
      </c>
    </row>
    <row r="1932" spans="51:53">
      <c r="AY1932" s="627">
        <v>7432</v>
      </c>
      <c r="AZ1932" s="628" t="s">
        <v>548</v>
      </c>
      <c r="BA1932" s="629" t="s">
        <v>423</v>
      </c>
    </row>
    <row r="1933" spans="51:53">
      <c r="AY1933" s="627">
        <v>7432</v>
      </c>
      <c r="AZ1933" s="628" t="s">
        <v>3967</v>
      </c>
      <c r="BA1933" s="629" t="s">
        <v>423</v>
      </c>
    </row>
    <row r="1934" spans="51:53">
      <c r="AY1934" s="627">
        <v>7434</v>
      </c>
      <c r="AZ1934" s="628" t="s">
        <v>3968</v>
      </c>
      <c r="BA1934" s="629" t="s">
        <v>423</v>
      </c>
    </row>
    <row r="1935" spans="51:53">
      <c r="AY1935" s="627">
        <v>7435</v>
      </c>
      <c r="AZ1935" s="628" t="s">
        <v>3969</v>
      </c>
      <c r="BA1935" s="629" t="s">
        <v>423</v>
      </c>
    </row>
    <row r="1936" spans="51:53">
      <c r="AY1936" s="627">
        <v>7436</v>
      </c>
      <c r="AZ1936" s="628" t="s">
        <v>3970</v>
      </c>
      <c r="BA1936" s="629" t="s">
        <v>423</v>
      </c>
    </row>
    <row r="1937" spans="51:53">
      <c r="AY1937" s="627">
        <v>7439</v>
      </c>
      <c r="AZ1937" s="628" t="s">
        <v>3971</v>
      </c>
      <c r="BA1937" s="629" t="s">
        <v>423</v>
      </c>
    </row>
    <row r="1938" spans="51:53">
      <c r="AY1938" s="627">
        <v>7441</v>
      </c>
      <c r="AZ1938" s="628" t="s">
        <v>3972</v>
      </c>
      <c r="BA1938" s="629" t="s">
        <v>423</v>
      </c>
    </row>
    <row r="1939" spans="51:53">
      <c r="AY1939" s="627">
        <v>7442</v>
      </c>
      <c r="AZ1939" s="628" t="s">
        <v>3973</v>
      </c>
      <c r="BA1939" s="629" t="s">
        <v>423</v>
      </c>
    </row>
    <row r="1940" spans="51:53">
      <c r="AY1940" s="627">
        <v>7443</v>
      </c>
      <c r="AZ1940" s="628" t="s">
        <v>549</v>
      </c>
      <c r="BA1940" s="629" t="s">
        <v>423</v>
      </c>
    </row>
    <row r="1941" spans="51:53">
      <c r="AY1941" s="627">
        <v>7443</v>
      </c>
      <c r="AZ1941" s="628" t="s">
        <v>550</v>
      </c>
      <c r="BA1941" s="629" t="s">
        <v>423</v>
      </c>
    </row>
    <row r="1942" spans="51:53">
      <c r="AY1942" s="627">
        <v>7443</v>
      </c>
      <c r="AZ1942" s="628" t="s">
        <v>3974</v>
      </c>
      <c r="BA1942" s="629" t="s">
        <v>423</v>
      </c>
    </row>
    <row r="1943" spans="51:53">
      <c r="AY1943" s="627">
        <v>7444</v>
      </c>
      <c r="AZ1943" s="628" t="s">
        <v>1866</v>
      </c>
      <c r="BA1943" s="629" t="s">
        <v>423</v>
      </c>
    </row>
    <row r="1944" spans="51:53">
      <c r="AY1944" s="61">
        <v>7451</v>
      </c>
      <c r="AZ1944" s="628" t="s">
        <v>3965</v>
      </c>
      <c r="BA1944" s="629" t="s">
        <v>3965</v>
      </c>
    </row>
    <row r="1945" spans="51:53">
      <c r="AY1945" s="627">
        <v>7452</v>
      </c>
      <c r="AZ1945" s="628" t="s">
        <v>1868</v>
      </c>
      <c r="BA1945" s="629" t="s">
        <v>423</v>
      </c>
    </row>
    <row r="1946" spans="51:53">
      <c r="AY1946" s="627">
        <v>7453</v>
      </c>
      <c r="AZ1946" s="628" t="s">
        <v>1869</v>
      </c>
      <c r="BA1946" s="629" t="s">
        <v>423</v>
      </c>
    </row>
    <row r="1947" spans="51:53">
      <c r="AY1947" s="627">
        <v>7454</v>
      </c>
      <c r="AZ1947" s="628" t="s">
        <v>3075</v>
      </c>
      <c r="BA1947" s="629" t="s">
        <v>423</v>
      </c>
    </row>
    <row r="1948" spans="51:53">
      <c r="AY1948" s="627">
        <v>7455</v>
      </c>
      <c r="AZ1948" s="628" t="s">
        <v>3076</v>
      </c>
      <c r="BA1948" s="629" t="s">
        <v>423</v>
      </c>
    </row>
    <row r="1949" spans="51:53">
      <c r="AY1949" s="627">
        <v>7456</v>
      </c>
      <c r="AZ1949" s="628" t="s">
        <v>552</v>
      </c>
      <c r="BA1949" s="629" t="s">
        <v>423</v>
      </c>
    </row>
    <row r="1950" spans="51:53">
      <c r="AY1950" s="627">
        <v>7457</v>
      </c>
      <c r="AZ1950" s="628" t="s">
        <v>3078</v>
      </c>
      <c r="BA1950" s="629" t="s">
        <v>423</v>
      </c>
    </row>
    <row r="1951" spans="51:53">
      <c r="AY1951" s="627">
        <v>7458</v>
      </c>
      <c r="AZ1951" s="628" t="s">
        <v>3079</v>
      </c>
      <c r="BA1951" s="629" t="s">
        <v>423</v>
      </c>
    </row>
    <row r="1952" spans="51:53">
      <c r="AY1952" s="61">
        <v>7461</v>
      </c>
      <c r="AZ1952" s="628" t="s">
        <v>3965</v>
      </c>
      <c r="BA1952" s="629" t="s">
        <v>3965</v>
      </c>
    </row>
    <row r="1953" spans="51:53">
      <c r="AY1953" s="627">
        <v>7463</v>
      </c>
      <c r="AZ1953" s="628" t="s">
        <v>554</v>
      </c>
      <c r="BA1953" s="629" t="s">
        <v>423</v>
      </c>
    </row>
    <row r="1954" spans="51:53">
      <c r="AY1954" s="627">
        <v>7463</v>
      </c>
      <c r="AZ1954" s="628" t="s">
        <v>3081</v>
      </c>
      <c r="BA1954" s="629" t="s">
        <v>423</v>
      </c>
    </row>
    <row r="1955" spans="51:53">
      <c r="AY1955" s="627">
        <v>7464</v>
      </c>
      <c r="AZ1955" s="628" t="s">
        <v>3082</v>
      </c>
      <c r="BA1955" s="629" t="s">
        <v>423</v>
      </c>
    </row>
    <row r="1956" spans="51:53">
      <c r="AY1956" s="627">
        <v>7465</v>
      </c>
      <c r="AZ1956" s="628" t="s">
        <v>3083</v>
      </c>
      <c r="BA1956" s="629" t="s">
        <v>423</v>
      </c>
    </row>
    <row r="1957" spans="51:53">
      <c r="AY1957" s="627">
        <v>7471</v>
      </c>
      <c r="AZ1957" s="628" t="s">
        <v>3084</v>
      </c>
      <c r="BA1957" s="629" t="s">
        <v>423</v>
      </c>
    </row>
    <row r="1958" spans="51:53">
      <c r="AY1958" s="627">
        <v>7472</v>
      </c>
      <c r="AZ1958" s="628" t="s">
        <v>555</v>
      </c>
      <c r="BA1958" s="629" t="s">
        <v>423</v>
      </c>
    </row>
    <row r="1959" spans="51:53">
      <c r="AY1959" s="627">
        <v>7472</v>
      </c>
      <c r="AZ1959" s="628" t="s">
        <v>3085</v>
      </c>
      <c r="BA1959" s="629" t="s">
        <v>423</v>
      </c>
    </row>
    <row r="1960" spans="51:53">
      <c r="AY1960" s="627">
        <v>7473</v>
      </c>
      <c r="AZ1960" s="628" t="s">
        <v>556</v>
      </c>
      <c r="BA1960" s="629" t="s">
        <v>423</v>
      </c>
    </row>
    <row r="1961" spans="51:53">
      <c r="AY1961" s="627">
        <v>7473</v>
      </c>
      <c r="AZ1961" s="628" t="s">
        <v>557</v>
      </c>
      <c r="BA1961" s="629" t="s">
        <v>423</v>
      </c>
    </row>
    <row r="1962" spans="51:53">
      <c r="AY1962" s="627">
        <v>7473</v>
      </c>
      <c r="AZ1962" s="628" t="s">
        <v>3086</v>
      </c>
      <c r="BA1962" s="629" t="s">
        <v>423</v>
      </c>
    </row>
    <row r="1963" spans="51:53">
      <c r="AY1963" s="627">
        <v>7474</v>
      </c>
      <c r="AZ1963" s="628" t="s">
        <v>558</v>
      </c>
      <c r="BA1963" s="629" t="s">
        <v>423</v>
      </c>
    </row>
    <row r="1964" spans="51:53">
      <c r="AY1964" s="627">
        <v>7474</v>
      </c>
      <c r="AZ1964" s="628" t="s">
        <v>3087</v>
      </c>
      <c r="BA1964" s="629" t="s">
        <v>423</v>
      </c>
    </row>
    <row r="1965" spans="51:53">
      <c r="AY1965" s="627">
        <v>7475</v>
      </c>
      <c r="AZ1965" s="628" t="s">
        <v>3088</v>
      </c>
      <c r="BA1965" s="629" t="s">
        <v>423</v>
      </c>
    </row>
    <row r="1966" spans="51:53">
      <c r="AY1966" s="627">
        <v>7476</v>
      </c>
      <c r="AZ1966" s="628" t="s">
        <v>3089</v>
      </c>
      <c r="BA1966" s="629" t="s">
        <v>423</v>
      </c>
    </row>
    <row r="1967" spans="51:53">
      <c r="AY1967" s="627">
        <v>7477</v>
      </c>
      <c r="AZ1967" s="628" t="s">
        <v>1060</v>
      </c>
      <c r="BA1967" s="629" t="s">
        <v>410</v>
      </c>
    </row>
    <row r="1968" spans="51:53">
      <c r="AY1968" s="627">
        <v>7477</v>
      </c>
      <c r="AZ1968" s="628" t="s">
        <v>559</v>
      </c>
      <c r="BA1968" s="629" t="s">
        <v>423</v>
      </c>
    </row>
    <row r="1969" spans="51:53">
      <c r="AY1969" s="627">
        <v>7477</v>
      </c>
      <c r="AZ1969" s="628" t="s">
        <v>560</v>
      </c>
      <c r="BA1969" s="629" t="s">
        <v>423</v>
      </c>
    </row>
    <row r="1970" spans="51:53">
      <c r="AY1970" s="627">
        <v>7477</v>
      </c>
      <c r="AZ1970" s="628" t="s">
        <v>3090</v>
      </c>
      <c r="BA1970" s="629" t="s">
        <v>423</v>
      </c>
    </row>
    <row r="1971" spans="51:53">
      <c r="AY1971" s="627">
        <v>7478</v>
      </c>
      <c r="AZ1971" s="628" t="s">
        <v>3091</v>
      </c>
      <c r="BA1971" s="629" t="s">
        <v>423</v>
      </c>
    </row>
    <row r="1972" spans="51:53">
      <c r="AY1972" s="627">
        <v>7479</v>
      </c>
      <c r="AZ1972" s="628" t="s">
        <v>3092</v>
      </c>
      <c r="BA1972" s="629" t="s">
        <v>423</v>
      </c>
    </row>
    <row r="1973" spans="51:53">
      <c r="AY1973" s="627">
        <v>7500</v>
      </c>
      <c r="AZ1973" s="628" t="s">
        <v>3093</v>
      </c>
      <c r="BA1973" s="629" t="s">
        <v>423</v>
      </c>
    </row>
    <row r="1974" spans="51:53">
      <c r="AY1974" s="627">
        <v>7511</v>
      </c>
      <c r="AZ1974" s="628" t="s">
        <v>3094</v>
      </c>
      <c r="BA1974" s="629" t="s">
        <v>423</v>
      </c>
    </row>
    <row r="1975" spans="51:53">
      <c r="AY1975" s="627">
        <v>7512</v>
      </c>
      <c r="AZ1975" s="628" t="s">
        <v>3095</v>
      </c>
      <c r="BA1975" s="629" t="s">
        <v>423</v>
      </c>
    </row>
    <row r="1976" spans="51:53">
      <c r="AY1976" s="627">
        <v>7513</v>
      </c>
      <c r="AZ1976" s="628" t="s">
        <v>3096</v>
      </c>
      <c r="BA1976" s="629" t="s">
        <v>423</v>
      </c>
    </row>
    <row r="1977" spans="51:53">
      <c r="AY1977" s="627">
        <v>7514</v>
      </c>
      <c r="AZ1977" s="628" t="s">
        <v>3097</v>
      </c>
      <c r="BA1977" s="629" t="s">
        <v>423</v>
      </c>
    </row>
    <row r="1978" spans="51:53">
      <c r="AY1978" s="627">
        <v>7515</v>
      </c>
      <c r="AZ1978" s="628" t="s">
        <v>3098</v>
      </c>
      <c r="BA1978" s="629" t="s">
        <v>423</v>
      </c>
    </row>
    <row r="1979" spans="51:53">
      <c r="AY1979" s="627">
        <v>7516</v>
      </c>
      <c r="AZ1979" s="628" t="s">
        <v>333</v>
      </c>
      <c r="BA1979" s="629" t="s">
        <v>423</v>
      </c>
    </row>
    <row r="1980" spans="51:53">
      <c r="AY1980" s="627">
        <v>7517</v>
      </c>
      <c r="AZ1980" s="628" t="s">
        <v>334</v>
      </c>
      <c r="BA1980" s="629" t="s">
        <v>423</v>
      </c>
    </row>
    <row r="1981" spans="51:53">
      <c r="AY1981" s="627">
        <v>7521</v>
      </c>
      <c r="AZ1981" s="628" t="s">
        <v>335</v>
      </c>
      <c r="BA1981" s="629" t="s">
        <v>423</v>
      </c>
    </row>
    <row r="1982" spans="51:53">
      <c r="AY1982" s="627">
        <v>7522</v>
      </c>
      <c r="AZ1982" s="628" t="s">
        <v>336</v>
      </c>
      <c r="BA1982" s="629" t="s">
        <v>423</v>
      </c>
    </row>
    <row r="1983" spans="51:53">
      <c r="AY1983" s="627">
        <v>7523</v>
      </c>
      <c r="AZ1983" s="628" t="s">
        <v>562</v>
      </c>
      <c r="BA1983" s="629" t="s">
        <v>423</v>
      </c>
    </row>
    <row r="1984" spans="51:53">
      <c r="AY1984" s="627">
        <v>7523</v>
      </c>
      <c r="AZ1984" s="628" t="s">
        <v>337</v>
      </c>
      <c r="BA1984" s="629" t="s">
        <v>423</v>
      </c>
    </row>
    <row r="1985" spans="51:53">
      <c r="AY1985" s="627">
        <v>7524</v>
      </c>
      <c r="AZ1985" s="628" t="s">
        <v>1828</v>
      </c>
      <c r="BA1985" s="629" t="s">
        <v>427</v>
      </c>
    </row>
    <row r="1986" spans="51:53">
      <c r="AY1986" s="627">
        <v>7525</v>
      </c>
      <c r="AZ1986" s="628" t="s">
        <v>339</v>
      </c>
      <c r="BA1986" s="629" t="s">
        <v>423</v>
      </c>
    </row>
    <row r="1987" spans="51:53">
      <c r="AY1987" s="627">
        <v>7526</v>
      </c>
      <c r="AZ1987" s="628" t="s">
        <v>340</v>
      </c>
      <c r="BA1987" s="629" t="s">
        <v>423</v>
      </c>
    </row>
    <row r="1988" spans="51:53">
      <c r="AY1988" s="627">
        <v>7527</v>
      </c>
      <c r="AZ1988" s="628" t="s">
        <v>563</v>
      </c>
      <c r="BA1988" s="629" t="s">
        <v>423</v>
      </c>
    </row>
    <row r="1989" spans="51:53">
      <c r="AY1989" s="627">
        <v>7527</v>
      </c>
      <c r="AZ1989" s="628" t="s">
        <v>341</v>
      </c>
      <c r="BA1989" s="629" t="s">
        <v>423</v>
      </c>
    </row>
    <row r="1990" spans="51:53">
      <c r="AY1990" s="627">
        <v>7530</v>
      </c>
      <c r="AZ1990" s="628" t="s">
        <v>342</v>
      </c>
      <c r="BA1990" s="629" t="s">
        <v>423</v>
      </c>
    </row>
    <row r="1991" spans="51:53">
      <c r="AY1991" s="627">
        <v>7530</v>
      </c>
      <c r="AZ1991" s="628" t="s">
        <v>343</v>
      </c>
      <c r="BA1991" s="629" t="s">
        <v>423</v>
      </c>
    </row>
    <row r="1992" spans="51:53">
      <c r="AY1992" s="627">
        <v>7532</v>
      </c>
      <c r="AZ1992" s="628" t="s">
        <v>344</v>
      </c>
      <c r="BA1992" s="629" t="s">
        <v>423</v>
      </c>
    </row>
    <row r="1993" spans="51:53">
      <c r="AY1993" s="627">
        <v>7533</v>
      </c>
      <c r="AZ1993" s="628" t="s">
        <v>345</v>
      </c>
      <c r="BA1993" s="629" t="s">
        <v>423</v>
      </c>
    </row>
    <row r="1994" spans="51:53">
      <c r="AY1994" s="627">
        <v>7533</v>
      </c>
      <c r="AZ1994" s="628" t="s">
        <v>346</v>
      </c>
      <c r="BA1994" s="629" t="s">
        <v>423</v>
      </c>
    </row>
    <row r="1995" spans="51:53">
      <c r="AY1995" s="627">
        <v>7535</v>
      </c>
      <c r="AZ1995" s="628" t="s">
        <v>347</v>
      </c>
      <c r="BA1995" s="629" t="s">
        <v>423</v>
      </c>
    </row>
    <row r="1996" spans="51:53">
      <c r="AY1996" s="627">
        <v>7536</v>
      </c>
      <c r="AZ1996" s="628" t="s">
        <v>348</v>
      </c>
      <c r="BA1996" s="629" t="s">
        <v>423</v>
      </c>
    </row>
    <row r="1997" spans="51:53">
      <c r="AY1997" s="627">
        <v>7537</v>
      </c>
      <c r="AZ1997" s="628" t="s">
        <v>349</v>
      </c>
      <c r="BA1997" s="629" t="s">
        <v>423</v>
      </c>
    </row>
    <row r="1998" spans="51:53">
      <c r="AY1998" s="627">
        <v>7538</v>
      </c>
      <c r="AZ1998" s="628" t="s">
        <v>350</v>
      </c>
      <c r="BA1998" s="629" t="s">
        <v>423</v>
      </c>
    </row>
    <row r="1999" spans="51:53">
      <c r="AY1999" s="627">
        <v>7539</v>
      </c>
      <c r="AZ1999" s="628" t="s">
        <v>351</v>
      </c>
      <c r="BA1999" s="629" t="s">
        <v>423</v>
      </c>
    </row>
    <row r="2000" spans="51:53">
      <c r="AY2000" s="627">
        <v>7541</v>
      </c>
      <c r="AZ2000" s="628" t="s">
        <v>352</v>
      </c>
      <c r="BA2000" s="629" t="s">
        <v>423</v>
      </c>
    </row>
    <row r="2001" spans="51:53">
      <c r="AY2001" s="627">
        <v>7542</v>
      </c>
      <c r="AZ2001" s="628" t="s">
        <v>353</v>
      </c>
      <c r="BA2001" s="629" t="s">
        <v>423</v>
      </c>
    </row>
    <row r="2002" spans="51:53">
      <c r="AY2002" s="627">
        <v>7543</v>
      </c>
      <c r="AZ2002" s="628" t="s">
        <v>354</v>
      </c>
      <c r="BA2002" s="629" t="s">
        <v>423</v>
      </c>
    </row>
    <row r="2003" spans="51:53">
      <c r="AY2003" s="627">
        <v>7544</v>
      </c>
      <c r="AZ2003" s="628" t="s">
        <v>355</v>
      </c>
      <c r="BA2003" s="629" t="s">
        <v>423</v>
      </c>
    </row>
    <row r="2004" spans="51:53">
      <c r="AY2004" s="627">
        <v>7545</v>
      </c>
      <c r="AZ2004" s="628" t="s">
        <v>356</v>
      </c>
      <c r="BA2004" s="629" t="s">
        <v>423</v>
      </c>
    </row>
    <row r="2005" spans="51:53">
      <c r="AY2005" s="627">
        <v>7551</v>
      </c>
      <c r="AZ2005" s="628" t="s">
        <v>357</v>
      </c>
      <c r="BA2005" s="629" t="s">
        <v>423</v>
      </c>
    </row>
    <row r="2006" spans="51:53">
      <c r="AY2006" s="627">
        <v>7552</v>
      </c>
      <c r="AZ2006" s="628" t="s">
        <v>358</v>
      </c>
      <c r="BA2006" s="629" t="s">
        <v>423</v>
      </c>
    </row>
    <row r="2007" spans="51:53">
      <c r="AY2007" s="627">
        <v>7553</v>
      </c>
      <c r="AZ2007" s="628" t="s">
        <v>359</v>
      </c>
      <c r="BA2007" s="629" t="s">
        <v>423</v>
      </c>
    </row>
    <row r="2008" spans="51:53">
      <c r="AY2008" s="627">
        <v>7555</v>
      </c>
      <c r="AZ2008" s="628" t="s">
        <v>360</v>
      </c>
      <c r="BA2008" s="629" t="s">
        <v>423</v>
      </c>
    </row>
    <row r="2009" spans="51:53">
      <c r="AY2009" s="627">
        <v>7556</v>
      </c>
      <c r="AZ2009" s="628" t="s">
        <v>361</v>
      </c>
      <c r="BA2009" s="629" t="s">
        <v>423</v>
      </c>
    </row>
    <row r="2010" spans="51:53">
      <c r="AY2010" s="627">
        <v>7557</v>
      </c>
      <c r="AZ2010" s="628" t="s">
        <v>362</v>
      </c>
      <c r="BA2010" s="629" t="s">
        <v>423</v>
      </c>
    </row>
    <row r="2011" spans="51:53">
      <c r="AY2011" s="627">
        <v>7561</v>
      </c>
      <c r="AZ2011" s="628" t="s">
        <v>565</v>
      </c>
      <c r="BA2011" s="629" t="s">
        <v>423</v>
      </c>
    </row>
    <row r="2012" spans="51:53">
      <c r="AY2012" s="627">
        <v>7561</v>
      </c>
      <c r="AZ2012" s="628" t="s">
        <v>363</v>
      </c>
      <c r="BA2012" s="629" t="s">
        <v>423</v>
      </c>
    </row>
    <row r="2013" spans="51:53">
      <c r="AY2013" s="627">
        <v>7562</v>
      </c>
      <c r="AZ2013" s="628" t="s">
        <v>364</v>
      </c>
      <c r="BA2013" s="629" t="s">
        <v>423</v>
      </c>
    </row>
    <row r="2014" spans="51:53">
      <c r="AY2014" s="627">
        <v>7563</v>
      </c>
      <c r="AZ2014" s="628" t="s">
        <v>365</v>
      </c>
      <c r="BA2014" s="629" t="s">
        <v>423</v>
      </c>
    </row>
    <row r="2015" spans="51:53">
      <c r="AY2015" s="627">
        <v>7564</v>
      </c>
      <c r="AZ2015" s="628" t="s">
        <v>366</v>
      </c>
      <c r="BA2015" s="629" t="s">
        <v>423</v>
      </c>
    </row>
    <row r="2016" spans="51:53">
      <c r="AY2016" s="627">
        <v>7570</v>
      </c>
      <c r="AZ2016" s="628" t="s">
        <v>362</v>
      </c>
      <c r="BA2016" s="629" t="s">
        <v>423</v>
      </c>
    </row>
    <row r="2017" spans="51:53">
      <c r="AY2017" s="627">
        <v>7582</v>
      </c>
      <c r="AZ2017" s="628" t="s">
        <v>566</v>
      </c>
      <c r="BA2017" s="629" t="s">
        <v>423</v>
      </c>
    </row>
    <row r="2018" spans="51:53">
      <c r="AY2018" s="627">
        <v>7582</v>
      </c>
      <c r="AZ2018" s="628" t="s">
        <v>369</v>
      </c>
      <c r="BA2018" s="629" t="s">
        <v>423</v>
      </c>
    </row>
    <row r="2019" spans="51:53">
      <c r="AY2019" s="627">
        <v>7584</v>
      </c>
      <c r="AZ2019" s="628" t="s">
        <v>567</v>
      </c>
      <c r="BA2019" s="629" t="s">
        <v>423</v>
      </c>
    </row>
    <row r="2020" spans="51:53">
      <c r="AY2020" s="627">
        <v>7584</v>
      </c>
      <c r="AZ2020" s="628" t="s">
        <v>568</v>
      </c>
      <c r="BA2020" s="629" t="s">
        <v>423</v>
      </c>
    </row>
    <row r="2021" spans="51:53">
      <c r="AY2021" s="627">
        <v>7584</v>
      </c>
      <c r="AZ2021" s="628" t="s">
        <v>370</v>
      </c>
      <c r="BA2021" s="629" t="s">
        <v>423</v>
      </c>
    </row>
    <row r="2022" spans="51:53">
      <c r="AY2022" s="627">
        <v>7585</v>
      </c>
      <c r="AZ2022" s="628" t="s">
        <v>569</v>
      </c>
      <c r="BA2022" s="629" t="s">
        <v>423</v>
      </c>
    </row>
    <row r="2023" spans="51:53">
      <c r="AY2023" s="627">
        <v>7585</v>
      </c>
      <c r="AZ2023" s="628" t="s">
        <v>371</v>
      </c>
      <c r="BA2023" s="629" t="s">
        <v>423</v>
      </c>
    </row>
    <row r="2024" spans="51:53">
      <c r="AY2024" s="627">
        <v>7586</v>
      </c>
      <c r="AZ2024" s="628" t="s">
        <v>372</v>
      </c>
      <c r="BA2024" s="629" t="s">
        <v>423</v>
      </c>
    </row>
    <row r="2025" spans="51:53">
      <c r="AY2025" s="627">
        <v>7587</v>
      </c>
      <c r="AZ2025" s="628" t="s">
        <v>373</v>
      </c>
      <c r="BA2025" s="629" t="s">
        <v>423</v>
      </c>
    </row>
    <row r="2026" spans="51:53">
      <c r="AY2026" s="627">
        <v>7588</v>
      </c>
      <c r="AZ2026" s="628" t="s">
        <v>374</v>
      </c>
      <c r="BA2026" s="629" t="s">
        <v>423</v>
      </c>
    </row>
    <row r="2027" spans="51:53">
      <c r="AY2027" s="627">
        <v>7589</v>
      </c>
      <c r="AZ2027" s="628" t="s">
        <v>375</v>
      </c>
      <c r="BA2027" s="629" t="s">
        <v>423</v>
      </c>
    </row>
    <row r="2028" spans="51:53">
      <c r="AY2028" s="627">
        <v>7600</v>
      </c>
      <c r="AZ2028" s="628" t="s">
        <v>377</v>
      </c>
      <c r="BA2028" s="629" t="s">
        <v>377</v>
      </c>
    </row>
    <row r="2029" spans="51:53">
      <c r="AY2029" s="627">
        <v>7621</v>
      </c>
      <c r="AZ2029" s="628" t="s">
        <v>377</v>
      </c>
      <c r="BA2029" s="629" t="s">
        <v>377</v>
      </c>
    </row>
    <row r="2030" spans="51:53">
      <c r="AY2030" s="627">
        <v>7622</v>
      </c>
      <c r="AZ2030" s="628" t="s">
        <v>377</v>
      </c>
      <c r="BA2030" s="629" t="s">
        <v>377</v>
      </c>
    </row>
    <row r="2031" spans="51:53">
      <c r="AY2031" s="627">
        <v>7623</v>
      </c>
      <c r="AZ2031" s="628" t="s">
        <v>377</v>
      </c>
      <c r="BA2031" s="629" t="s">
        <v>377</v>
      </c>
    </row>
    <row r="2032" spans="51:53">
      <c r="AY2032" s="627">
        <v>7624</v>
      </c>
      <c r="AZ2032" s="628" t="s">
        <v>377</v>
      </c>
      <c r="BA2032" s="629" t="s">
        <v>377</v>
      </c>
    </row>
    <row r="2033" spans="51:53">
      <c r="AY2033" s="627">
        <v>7625</v>
      </c>
      <c r="AZ2033" s="628" t="s">
        <v>377</v>
      </c>
      <c r="BA2033" s="629" t="s">
        <v>377</v>
      </c>
    </row>
    <row r="2034" spans="51:53">
      <c r="AY2034" s="627">
        <v>7626</v>
      </c>
      <c r="AZ2034" s="628" t="s">
        <v>377</v>
      </c>
      <c r="BA2034" s="629" t="s">
        <v>377</v>
      </c>
    </row>
    <row r="2035" spans="51:53">
      <c r="AY2035" s="627">
        <v>7627</v>
      </c>
      <c r="AZ2035" s="628" t="s">
        <v>377</v>
      </c>
      <c r="BA2035" s="629" t="s">
        <v>377</v>
      </c>
    </row>
    <row r="2036" spans="51:53">
      <c r="AY2036" s="627">
        <v>7628</v>
      </c>
      <c r="AZ2036" s="628" t="s">
        <v>377</v>
      </c>
      <c r="BA2036" s="629" t="s">
        <v>377</v>
      </c>
    </row>
    <row r="2037" spans="51:53">
      <c r="AY2037" s="627">
        <v>7629</v>
      </c>
      <c r="AZ2037" s="628" t="s">
        <v>377</v>
      </c>
      <c r="BA2037" s="629" t="s">
        <v>377</v>
      </c>
    </row>
    <row r="2038" spans="51:53">
      <c r="AY2038" s="627">
        <v>7630</v>
      </c>
      <c r="AZ2038" s="628" t="s">
        <v>377</v>
      </c>
      <c r="BA2038" s="629" t="s">
        <v>377</v>
      </c>
    </row>
    <row r="2039" spans="51:53">
      <c r="AY2039" s="627">
        <v>7631</v>
      </c>
      <c r="AZ2039" s="628" t="s">
        <v>377</v>
      </c>
      <c r="BA2039" s="629" t="s">
        <v>377</v>
      </c>
    </row>
    <row r="2040" spans="51:53">
      <c r="AY2040" s="627">
        <v>7632</v>
      </c>
      <c r="AZ2040" s="628" t="s">
        <v>377</v>
      </c>
      <c r="BA2040" s="629" t="s">
        <v>377</v>
      </c>
    </row>
    <row r="2041" spans="51:53">
      <c r="AY2041" s="627">
        <v>7633</v>
      </c>
      <c r="AZ2041" s="628" t="s">
        <v>377</v>
      </c>
      <c r="BA2041" s="629" t="s">
        <v>377</v>
      </c>
    </row>
    <row r="2042" spans="51:53">
      <c r="AY2042" s="627">
        <v>7634</v>
      </c>
      <c r="AZ2042" s="628" t="s">
        <v>377</v>
      </c>
      <c r="BA2042" s="629" t="s">
        <v>377</v>
      </c>
    </row>
    <row r="2043" spans="51:53">
      <c r="AY2043" s="627">
        <v>7635</v>
      </c>
      <c r="AZ2043" s="628" t="s">
        <v>377</v>
      </c>
      <c r="BA2043" s="629" t="s">
        <v>377</v>
      </c>
    </row>
    <row r="2044" spans="51:53">
      <c r="AY2044" s="627">
        <v>7636</v>
      </c>
      <c r="AZ2044" s="628" t="s">
        <v>377</v>
      </c>
      <c r="BA2044" s="629" t="s">
        <v>377</v>
      </c>
    </row>
    <row r="2045" spans="51:53">
      <c r="AY2045" s="61">
        <v>7639</v>
      </c>
      <c r="AZ2045" s="638" t="s">
        <v>378</v>
      </c>
      <c r="BA2045" s="629" t="s">
        <v>406</v>
      </c>
    </row>
    <row r="2046" spans="51:53">
      <c r="AY2046" s="627">
        <v>7661</v>
      </c>
      <c r="AZ2046" s="628" t="s">
        <v>570</v>
      </c>
      <c r="BA2046" s="629" t="s">
        <v>406</v>
      </c>
    </row>
    <row r="2047" spans="51:53">
      <c r="AY2047" s="627">
        <v>7661</v>
      </c>
      <c r="AZ2047" s="628" t="s">
        <v>571</v>
      </c>
      <c r="BA2047" s="629" t="s">
        <v>406</v>
      </c>
    </row>
    <row r="2048" spans="51:53">
      <c r="AY2048" s="627">
        <v>7661</v>
      </c>
      <c r="AZ2048" s="628" t="s">
        <v>572</v>
      </c>
      <c r="BA2048" s="629" t="s">
        <v>406</v>
      </c>
    </row>
    <row r="2049" spans="51:53">
      <c r="AY2049" s="627">
        <v>7661</v>
      </c>
      <c r="AZ2049" s="628" t="s">
        <v>379</v>
      </c>
      <c r="BA2049" s="629" t="s">
        <v>406</v>
      </c>
    </row>
    <row r="2050" spans="51:53">
      <c r="AY2050" s="627">
        <v>7663</v>
      </c>
      <c r="AZ2050" s="628" t="s">
        <v>380</v>
      </c>
      <c r="BA2050" s="629" t="s">
        <v>406</v>
      </c>
    </row>
    <row r="2051" spans="51:53">
      <c r="AY2051" s="627">
        <v>7664</v>
      </c>
      <c r="AZ2051" s="628" t="s">
        <v>573</v>
      </c>
      <c r="BA2051" s="629" t="s">
        <v>406</v>
      </c>
    </row>
    <row r="2052" spans="51:53">
      <c r="AY2052" s="627">
        <v>7664</v>
      </c>
      <c r="AZ2052" s="628" t="s">
        <v>574</v>
      </c>
      <c r="BA2052" s="629" t="s">
        <v>406</v>
      </c>
    </row>
    <row r="2053" spans="51:53">
      <c r="AY2053" s="627">
        <v>7664</v>
      </c>
      <c r="AZ2053" s="628" t="s">
        <v>381</v>
      </c>
      <c r="BA2053" s="629" t="s">
        <v>406</v>
      </c>
    </row>
    <row r="2054" spans="51:53">
      <c r="AY2054" s="627">
        <v>7666</v>
      </c>
      <c r="AZ2054" s="628" t="s">
        <v>575</v>
      </c>
      <c r="BA2054" s="629" t="s">
        <v>406</v>
      </c>
    </row>
    <row r="2055" spans="51:53">
      <c r="AY2055" s="627">
        <v>7668</v>
      </c>
      <c r="AZ2055" s="628" t="s">
        <v>576</v>
      </c>
      <c r="BA2055" s="629" t="s">
        <v>406</v>
      </c>
    </row>
    <row r="2056" spans="51:53">
      <c r="AY2056" s="627">
        <v>7668</v>
      </c>
      <c r="AZ2056" s="628" t="s">
        <v>4508</v>
      </c>
      <c r="BA2056" s="629" t="s">
        <v>406</v>
      </c>
    </row>
    <row r="2057" spans="51:53">
      <c r="AY2057" s="627">
        <v>7671</v>
      </c>
      <c r="AZ2057" s="628" t="s">
        <v>577</v>
      </c>
      <c r="BA2057" s="629" t="s">
        <v>406</v>
      </c>
    </row>
    <row r="2058" spans="51:53">
      <c r="AY2058" s="627">
        <v>7671</v>
      </c>
      <c r="AZ2058" s="628" t="s">
        <v>4509</v>
      </c>
      <c r="BA2058" s="629" t="s">
        <v>406</v>
      </c>
    </row>
    <row r="2059" spans="51:53">
      <c r="AY2059" s="627">
        <v>7671</v>
      </c>
      <c r="AZ2059" s="628" t="s">
        <v>578</v>
      </c>
      <c r="BA2059" s="629" t="s">
        <v>406</v>
      </c>
    </row>
    <row r="2060" spans="51:53">
      <c r="AY2060" s="627">
        <v>7672</v>
      </c>
      <c r="AZ2060" s="628" t="s">
        <v>4510</v>
      </c>
      <c r="BA2060" s="629" t="s">
        <v>406</v>
      </c>
    </row>
    <row r="2061" spans="51:53">
      <c r="AY2061" s="692">
        <v>7673</v>
      </c>
      <c r="AZ2061" s="628" t="s">
        <v>579</v>
      </c>
      <c r="BA2061" s="629" t="s">
        <v>406</v>
      </c>
    </row>
    <row r="2062" spans="51:53">
      <c r="AY2062" s="627">
        <v>7673</v>
      </c>
      <c r="AZ2062" s="628" t="s">
        <v>4511</v>
      </c>
      <c r="BA2062" s="629" t="s">
        <v>406</v>
      </c>
    </row>
    <row r="2063" spans="51:53">
      <c r="AY2063" s="627">
        <v>7675</v>
      </c>
      <c r="AZ2063" s="628" t="s">
        <v>580</v>
      </c>
      <c r="BA2063" s="629" t="s">
        <v>406</v>
      </c>
    </row>
    <row r="2064" spans="51:53">
      <c r="AY2064" s="627">
        <v>7675</v>
      </c>
      <c r="AZ2064" s="628" t="s">
        <v>581</v>
      </c>
      <c r="BA2064" s="629" t="s">
        <v>406</v>
      </c>
    </row>
    <row r="2065" spans="51:53">
      <c r="AY2065" s="627">
        <v>7677</v>
      </c>
      <c r="AZ2065" s="628" t="s">
        <v>3186</v>
      </c>
      <c r="BA2065" s="629" t="s">
        <v>406</v>
      </c>
    </row>
    <row r="2066" spans="51:53">
      <c r="AY2066" s="627">
        <v>7678</v>
      </c>
      <c r="AZ2066" s="628" t="s">
        <v>583</v>
      </c>
      <c r="BA2066" s="629" t="s">
        <v>406</v>
      </c>
    </row>
    <row r="2067" spans="51:53">
      <c r="AY2067" s="627">
        <v>7678</v>
      </c>
      <c r="AZ2067" s="628" t="s">
        <v>584</v>
      </c>
      <c r="BA2067" s="629" t="s">
        <v>406</v>
      </c>
    </row>
    <row r="2068" spans="51:53">
      <c r="AY2068" s="627">
        <v>7678</v>
      </c>
      <c r="AZ2068" s="628" t="s">
        <v>1227</v>
      </c>
      <c r="BA2068" s="629" t="s">
        <v>406</v>
      </c>
    </row>
    <row r="2069" spans="51:53">
      <c r="AY2069" s="627">
        <v>7681</v>
      </c>
      <c r="AZ2069" s="628" t="s">
        <v>585</v>
      </c>
      <c r="BA2069" s="629" t="s">
        <v>406</v>
      </c>
    </row>
    <row r="2070" spans="51:53">
      <c r="AY2070" s="627">
        <v>7681</v>
      </c>
      <c r="AZ2070" s="628" t="s">
        <v>586</v>
      </c>
      <c r="BA2070" s="629" t="s">
        <v>406</v>
      </c>
    </row>
    <row r="2071" spans="51:53">
      <c r="AY2071" s="627">
        <v>7681</v>
      </c>
      <c r="AZ2071" s="628" t="s">
        <v>1228</v>
      </c>
      <c r="BA2071" s="629" t="s">
        <v>406</v>
      </c>
    </row>
    <row r="2072" spans="51:53">
      <c r="AY2072" s="627">
        <v>7682</v>
      </c>
      <c r="AZ2072" s="628" t="s">
        <v>1229</v>
      </c>
      <c r="BA2072" s="629" t="s">
        <v>406</v>
      </c>
    </row>
    <row r="2073" spans="51:53">
      <c r="AY2073" s="627">
        <v>7683</v>
      </c>
      <c r="AZ2073" s="628" t="s">
        <v>587</v>
      </c>
      <c r="BA2073" s="629" t="s">
        <v>406</v>
      </c>
    </row>
    <row r="2074" spans="51:53">
      <c r="AY2074" s="627">
        <v>7683</v>
      </c>
      <c r="AZ2074" s="628" t="s">
        <v>588</v>
      </c>
      <c r="BA2074" s="629" t="s">
        <v>406</v>
      </c>
    </row>
    <row r="2075" spans="51:53">
      <c r="AY2075" s="627">
        <v>7683</v>
      </c>
      <c r="AZ2075" s="628" t="s">
        <v>1230</v>
      </c>
      <c r="BA2075" s="629" t="s">
        <v>406</v>
      </c>
    </row>
    <row r="2076" spans="51:53">
      <c r="AY2076" s="627">
        <v>7691</v>
      </c>
      <c r="AZ2076" s="628" t="s">
        <v>377</v>
      </c>
      <c r="BA2076" s="629" t="s">
        <v>377</v>
      </c>
    </row>
    <row r="2077" spans="51:53">
      <c r="AY2077" s="627">
        <v>7693</v>
      </c>
      <c r="AZ2077" s="628" t="s">
        <v>377</v>
      </c>
      <c r="BA2077" s="629" t="s">
        <v>377</v>
      </c>
    </row>
    <row r="2078" spans="51:53">
      <c r="AY2078" s="627">
        <v>7694</v>
      </c>
      <c r="AZ2078" s="628" t="s">
        <v>589</v>
      </c>
      <c r="BA2078" s="629" t="s">
        <v>406</v>
      </c>
    </row>
    <row r="2079" spans="51:53">
      <c r="AY2079" s="627">
        <v>7695</v>
      </c>
      <c r="AZ2079" s="628" t="s">
        <v>590</v>
      </c>
      <c r="BA2079" s="629" t="s">
        <v>406</v>
      </c>
    </row>
    <row r="2080" spans="51:53">
      <c r="AY2080" s="627">
        <v>7695</v>
      </c>
      <c r="AZ2080" s="628" t="s">
        <v>1871</v>
      </c>
      <c r="BA2080" s="629" t="s">
        <v>406</v>
      </c>
    </row>
    <row r="2081" spans="51:53">
      <c r="AY2081" s="627">
        <v>7695</v>
      </c>
      <c r="AZ2081" s="628" t="s">
        <v>1872</v>
      </c>
      <c r="BA2081" s="629" t="s">
        <v>406</v>
      </c>
    </row>
    <row r="2082" spans="51:53">
      <c r="AY2082" s="627">
        <v>7696</v>
      </c>
      <c r="AZ2082" s="628" t="s">
        <v>591</v>
      </c>
      <c r="BA2082" s="629" t="s">
        <v>406</v>
      </c>
    </row>
    <row r="2083" spans="51:53">
      <c r="AY2083" s="627">
        <v>7700</v>
      </c>
      <c r="AZ2083" s="628" t="s">
        <v>1873</v>
      </c>
      <c r="BA2083" s="629" t="s">
        <v>406</v>
      </c>
    </row>
    <row r="2084" spans="51:53">
      <c r="AY2084" s="627">
        <v>7711</v>
      </c>
      <c r="AZ2084" s="628" t="s">
        <v>1874</v>
      </c>
      <c r="BA2084" s="629" t="s">
        <v>406</v>
      </c>
    </row>
    <row r="2085" spans="51:53">
      <c r="AY2085" s="627">
        <v>7712</v>
      </c>
      <c r="AZ2085" s="628" t="s">
        <v>1875</v>
      </c>
      <c r="BA2085" s="629" t="s">
        <v>406</v>
      </c>
    </row>
    <row r="2086" spans="51:53">
      <c r="AY2086" s="627">
        <v>7714</v>
      </c>
      <c r="AZ2086" s="628" t="s">
        <v>1873</v>
      </c>
      <c r="BA2086" s="629" t="s">
        <v>406</v>
      </c>
    </row>
    <row r="2087" spans="51:53">
      <c r="AY2087" s="627">
        <v>7715</v>
      </c>
      <c r="AZ2087" s="628" t="s">
        <v>1873</v>
      </c>
      <c r="BA2087" s="629" t="s">
        <v>406</v>
      </c>
    </row>
    <row r="2088" spans="51:53">
      <c r="AY2088" s="627">
        <v>7716</v>
      </c>
      <c r="AZ2088" s="628" t="s">
        <v>1878</v>
      </c>
      <c r="BA2088" s="629" t="s">
        <v>406</v>
      </c>
    </row>
    <row r="2089" spans="51:53">
      <c r="AY2089" s="627">
        <v>7717</v>
      </c>
      <c r="AZ2089" s="628" t="s">
        <v>1879</v>
      </c>
      <c r="BA2089" s="629" t="s">
        <v>406</v>
      </c>
    </row>
    <row r="2090" spans="51:53">
      <c r="AY2090" s="627">
        <v>7718</v>
      </c>
      <c r="AZ2090" s="628" t="s">
        <v>1880</v>
      </c>
      <c r="BA2090" s="629" t="s">
        <v>406</v>
      </c>
    </row>
    <row r="2091" spans="51:53">
      <c r="AY2091" s="627">
        <v>7720</v>
      </c>
      <c r="AZ2091" s="628" t="s">
        <v>594</v>
      </c>
      <c r="BA2091" s="629" t="s">
        <v>406</v>
      </c>
    </row>
    <row r="2092" spans="51:53">
      <c r="AY2092" s="627">
        <v>7720</v>
      </c>
      <c r="AZ2092" s="628" t="s">
        <v>595</v>
      </c>
      <c r="BA2092" s="629" t="s">
        <v>406</v>
      </c>
    </row>
    <row r="2093" spans="51:53">
      <c r="AY2093" s="627">
        <v>7720</v>
      </c>
      <c r="AZ2093" s="628" t="s">
        <v>596</v>
      </c>
      <c r="BA2093" s="629" t="s">
        <v>406</v>
      </c>
    </row>
    <row r="2094" spans="51:53">
      <c r="AY2094" s="627">
        <v>7720</v>
      </c>
      <c r="AZ2094" s="628" t="s">
        <v>1881</v>
      </c>
      <c r="BA2094" s="629" t="s">
        <v>406</v>
      </c>
    </row>
    <row r="2095" spans="51:53">
      <c r="AY2095" s="627">
        <v>7720</v>
      </c>
      <c r="AZ2095" s="628" t="s">
        <v>1882</v>
      </c>
      <c r="BA2095" s="629" t="s">
        <v>406</v>
      </c>
    </row>
    <row r="2096" spans="51:53">
      <c r="AY2096" s="627">
        <v>7723</v>
      </c>
      <c r="AZ2096" s="628" t="s">
        <v>1883</v>
      </c>
      <c r="BA2096" s="629" t="s">
        <v>406</v>
      </c>
    </row>
    <row r="2097" spans="51:53">
      <c r="AY2097" s="627">
        <v>7724</v>
      </c>
      <c r="AZ2097" s="628" t="s">
        <v>1884</v>
      </c>
      <c r="BA2097" s="629" t="s">
        <v>406</v>
      </c>
    </row>
    <row r="2098" spans="51:53">
      <c r="AY2098" s="627">
        <v>7725</v>
      </c>
      <c r="AZ2098" s="628" t="s">
        <v>1885</v>
      </c>
      <c r="BA2098" s="629" t="s">
        <v>406</v>
      </c>
    </row>
    <row r="2099" spans="51:53">
      <c r="AY2099" s="627">
        <v>7726</v>
      </c>
      <c r="AZ2099" s="628" t="s">
        <v>1886</v>
      </c>
      <c r="BA2099" s="629" t="s">
        <v>406</v>
      </c>
    </row>
    <row r="2100" spans="51:53">
      <c r="AY2100" s="627">
        <v>7727</v>
      </c>
      <c r="AZ2100" s="628" t="s">
        <v>1887</v>
      </c>
      <c r="BA2100" s="629" t="s">
        <v>406</v>
      </c>
    </row>
    <row r="2101" spans="51:53">
      <c r="AY2101" s="627">
        <v>7728</v>
      </c>
      <c r="AZ2101" s="628" t="s">
        <v>1889</v>
      </c>
      <c r="BA2101" s="629" t="s">
        <v>406</v>
      </c>
    </row>
    <row r="2102" spans="51:53">
      <c r="AY2102" s="627">
        <v>7728</v>
      </c>
      <c r="AZ2102" s="628" t="s">
        <v>1888</v>
      </c>
      <c r="BA2102" s="629" t="s">
        <v>406</v>
      </c>
    </row>
    <row r="2103" spans="51:53">
      <c r="AY2103" s="627">
        <v>7731</v>
      </c>
      <c r="AZ2103" s="628" t="s">
        <v>1890</v>
      </c>
      <c r="BA2103" s="629" t="s">
        <v>406</v>
      </c>
    </row>
    <row r="2104" spans="51:53">
      <c r="AY2104" s="627">
        <v>7732</v>
      </c>
      <c r="AZ2104" s="628" t="s">
        <v>1891</v>
      </c>
      <c r="BA2104" s="629" t="s">
        <v>406</v>
      </c>
    </row>
    <row r="2105" spans="51:53">
      <c r="AY2105" s="627">
        <v>7733</v>
      </c>
      <c r="AZ2105" s="628" t="s">
        <v>598</v>
      </c>
      <c r="BA2105" s="629" t="s">
        <v>406</v>
      </c>
    </row>
    <row r="2106" spans="51:53">
      <c r="AY2106" s="627">
        <v>7733</v>
      </c>
      <c r="AZ2106" s="628" t="s">
        <v>1892</v>
      </c>
      <c r="BA2106" s="629" t="s">
        <v>406</v>
      </c>
    </row>
    <row r="2107" spans="51:53">
      <c r="AY2107" s="627">
        <v>7735</v>
      </c>
      <c r="AZ2107" s="628" t="s">
        <v>599</v>
      </c>
      <c r="BA2107" s="629" t="s">
        <v>406</v>
      </c>
    </row>
    <row r="2108" spans="51:53">
      <c r="AY2108" s="627">
        <v>7735</v>
      </c>
      <c r="AZ2108" s="628" t="s">
        <v>600</v>
      </c>
      <c r="BA2108" s="629" t="s">
        <v>406</v>
      </c>
    </row>
    <row r="2109" spans="51:53">
      <c r="AY2109" s="627">
        <v>7735</v>
      </c>
      <c r="AZ2109" s="628" t="s">
        <v>1893</v>
      </c>
      <c r="BA2109" s="629" t="s">
        <v>406</v>
      </c>
    </row>
    <row r="2110" spans="51:53">
      <c r="AY2110" s="627">
        <v>7737</v>
      </c>
      <c r="AZ2110" s="628" t="s">
        <v>1894</v>
      </c>
      <c r="BA2110" s="629" t="s">
        <v>406</v>
      </c>
    </row>
    <row r="2111" spans="51:53">
      <c r="AY2111" s="627">
        <v>7741</v>
      </c>
      <c r="AZ2111" s="628" t="s">
        <v>601</v>
      </c>
      <c r="BA2111" s="629" t="s">
        <v>406</v>
      </c>
    </row>
    <row r="2112" spans="51:53">
      <c r="AY2112" s="627">
        <v>7742</v>
      </c>
      <c r="AZ2112" s="628" t="s">
        <v>1896</v>
      </c>
      <c r="BA2112" s="629" t="s">
        <v>406</v>
      </c>
    </row>
    <row r="2113" spans="51:53">
      <c r="AY2113" s="627">
        <v>7743</v>
      </c>
      <c r="AZ2113" s="628" t="s">
        <v>1897</v>
      </c>
      <c r="BA2113" s="629" t="s">
        <v>406</v>
      </c>
    </row>
    <row r="2114" spans="51:53">
      <c r="AY2114" s="627">
        <v>7744</v>
      </c>
      <c r="AZ2114" s="628" t="s">
        <v>1898</v>
      </c>
      <c r="BA2114" s="629" t="s">
        <v>406</v>
      </c>
    </row>
    <row r="2115" spans="51:53">
      <c r="AY2115" s="627">
        <v>7745</v>
      </c>
      <c r="AZ2115" s="628" t="s">
        <v>602</v>
      </c>
      <c r="BA2115" s="629" t="s">
        <v>406</v>
      </c>
    </row>
    <row r="2116" spans="51:53">
      <c r="AY2116" s="627">
        <v>7745</v>
      </c>
      <c r="AZ2116" s="628" t="s">
        <v>1899</v>
      </c>
      <c r="BA2116" s="629" t="s">
        <v>406</v>
      </c>
    </row>
    <row r="2117" spans="51:53">
      <c r="AY2117" s="627">
        <v>7747</v>
      </c>
      <c r="AZ2117" s="628" t="s">
        <v>603</v>
      </c>
      <c r="BA2117" s="629" t="s">
        <v>406</v>
      </c>
    </row>
    <row r="2118" spans="51:53">
      <c r="AY2118" s="627">
        <v>7747</v>
      </c>
      <c r="AZ2118" s="628" t="s">
        <v>1900</v>
      </c>
      <c r="BA2118" s="629" t="s">
        <v>406</v>
      </c>
    </row>
    <row r="2119" spans="51:53">
      <c r="AY2119" s="627">
        <v>7751</v>
      </c>
      <c r="AZ2119" s="628" t="s">
        <v>604</v>
      </c>
      <c r="BA2119" s="629" t="s">
        <v>406</v>
      </c>
    </row>
    <row r="2120" spans="51:53">
      <c r="AY2120" s="627">
        <v>7751</v>
      </c>
      <c r="AZ2120" s="628" t="s">
        <v>1901</v>
      </c>
      <c r="BA2120" s="629" t="s">
        <v>406</v>
      </c>
    </row>
    <row r="2121" spans="51:53">
      <c r="AY2121" s="627">
        <v>7752</v>
      </c>
      <c r="AZ2121" s="628" t="s">
        <v>1902</v>
      </c>
      <c r="BA2121" s="629" t="s">
        <v>406</v>
      </c>
    </row>
    <row r="2122" spans="51:53">
      <c r="AY2122" s="627">
        <v>7753</v>
      </c>
      <c r="AZ2122" s="628" t="s">
        <v>1903</v>
      </c>
      <c r="BA2122" s="629" t="s">
        <v>406</v>
      </c>
    </row>
    <row r="2123" spans="51:53">
      <c r="AY2123" s="627">
        <v>7754</v>
      </c>
      <c r="AZ2123" s="628" t="s">
        <v>1904</v>
      </c>
      <c r="BA2123" s="629" t="s">
        <v>406</v>
      </c>
    </row>
    <row r="2124" spans="51:53">
      <c r="AY2124" s="627">
        <v>7755</v>
      </c>
      <c r="AZ2124" s="628" t="s">
        <v>1905</v>
      </c>
      <c r="BA2124" s="629" t="s">
        <v>406</v>
      </c>
    </row>
    <row r="2125" spans="51:53">
      <c r="AY2125" s="627">
        <v>7756</v>
      </c>
      <c r="AZ2125" s="628" t="s">
        <v>605</v>
      </c>
      <c r="BA2125" s="629" t="s">
        <v>406</v>
      </c>
    </row>
    <row r="2126" spans="51:53">
      <c r="AY2126" s="627">
        <v>7756</v>
      </c>
      <c r="AZ2126" s="628" t="s">
        <v>606</v>
      </c>
      <c r="BA2126" s="629" t="s">
        <v>406</v>
      </c>
    </row>
    <row r="2127" spans="51:53">
      <c r="AY2127" s="627">
        <v>7756</v>
      </c>
      <c r="AZ2127" s="628" t="s">
        <v>607</v>
      </c>
      <c r="BA2127" s="629" t="s">
        <v>406</v>
      </c>
    </row>
    <row r="2128" spans="51:53">
      <c r="AY2128" s="627">
        <v>7756</v>
      </c>
      <c r="AZ2128" s="628" t="s">
        <v>608</v>
      </c>
      <c r="BA2128" s="629" t="s">
        <v>406</v>
      </c>
    </row>
    <row r="2129" spans="51:53">
      <c r="AY2129" s="627">
        <v>7757</v>
      </c>
      <c r="AZ2129" s="628" t="s">
        <v>1907</v>
      </c>
      <c r="BA2129" s="629" t="s">
        <v>406</v>
      </c>
    </row>
    <row r="2130" spans="51:53">
      <c r="AY2130" s="627">
        <v>7757</v>
      </c>
      <c r="AZ2130" s="628" t="s">
        <v>1908</v>
      </c>
      <c r="BA2130" s="629" t="s">
        <v>406</v>
      </c>
    </row>
    <row r="2131" spans="51:53">
      <c r="AY2131" s="627">
        <v>7759</v>
      </c>
      <c r="AZ2131" s="628" t="s">
        <v>609</v>
      </c>
      <c r="BA2131" s="629" t="s">
        <v>406</v>
      </c>
    </row>
    <row r="2132" spans="51:53">
      <c r="AY2132" s="627">
        <v>7759</v>
      </c>
      <c r="AZ2132" s="628" t="s">
        <v>1909</v>
      </c>
      <c r="BA2132" s="629" t="s">
        <v>406</v>
      </c>
    </row>
    <row r="2133" spans="51:53">
      <c r="AY2133" s="627">
        <v>7761</v>
      </c>
      <c r="AZ2133" s="628" t="s">
        <v>1592</v>
      </c>
      <c r="BA2133" s="629" t="s">
        <v>406</v>
      </c>
    </row>
    <row r="2134" spans="51:53">
      <c r="AY2134" s="627">
        <v>7761</v>
      </c>
      <c r="AZ2134" s="628" t="s">
        <v>1593</v>
      </c>
      <c r="BA2134" s="629" t="s">
        <v>406</v>
      </c>
    </row>
    <row r="2135" spans="51:53">
      <c r="AY2135" s="627">
        <v>7761</v>
      </c>
      <c r="AZ2135" s="628" t="s">
        <v>1594</v>
      </c>
      <c r="BA2135" s="629" t="s">
        <v>406</v>
      </c>
    </row>
    <row r="2136" spans="51:53">
      <c r="AY2136" s="627">
        <v>7762</v>
      </c>
      <c r="AZ2136" s="628" t="s">
        <v>1911</v>
      </c>
      <c r="BA2136" s="629" t="s">
        <v>406</v>
      </c>
    </row>
    <row r="2137" spans="51:53">
      <c r="AY2137" s="627">
        <v>7763</v>
      </c>
      <c r="AZ2137" s="628" t="s">
        <v>1912</v>
      </c>
      <c r="BA2137" s="629" t="s">
        <v>406</v>
      </c>
    </row>
    <row r="2138" spans="51:53">
      <c r="AY2138" s="627">
        <v>7763</v>
      </c>
      <c r="AZ2138" s="628" t="s">
        <v>1595</v>
      </c>
      <c r="BA2138" s="629" t="s">
        <v>406</v>
      </c>
    </row>
    <row r="2139" spans="51:53">
      <c r="AY2139" s="627">
        <v>7763</v>
      </c>
      <c r="AZ2139" s="628" t="s">
        <v>1606</v>
      </c>
      <c r="BA2139" s="629" t="s">
        <v>406</v>
      </c>
    </row>
    <row r="2140" spans="51:53">
      <c r="AY2140" s="627">
        <v>7763</v>
      </c>
      <c r="AZ2140" s="628" t="s">
        <v>1895</v>
      </c>
      <c r="BA2140" s="629" t="s">
        <v>406</v>
      </c>
    </row>
    <row r="2141" spans="51:53">
      <c r="AY2141" s="627">
        <v>7763</v>
      </c>
      <c r="AZ2141" s="628" t="s">
        <v>1607</v>
      </c>
      <c r="BA2141" s="629" t="s">
        <v>406</v>
      </c>
    </row>
    <row r="2142" spans="51:53">
      <c r="AY2142" s="627">
        <v>7766</v>
      </c>
      <c r="AZ2142" s="628" t="s">
        <v>1914</v>
      </c>
      <c r="BA2142" s="629" t="s">
        <v>406</v>
      </c>
    </row>
    <row r="2143" spans="51:53">
      <c r="AY2143" s="627">
        <v>7766</v>
      </c>
      <c r="AZ2143" s="628" t="s">
        <v>1608</v>
      </c>
      <c r="BA2143" s="629" t="s">
        <v>406</v>
      </c>
    </row>
    <row r="2144" spans="51:53">
      <c r="AY2144" s="627">
        <v>7766</v>
      </c>
      <c r="AZ2144" s="628" t="s">
        <v>1609</v>
      </c>
      <c r="BA2144" s="629" t="s">
        <v>406</v>
      </c>
    </row>
    <row r="2145" spans="51:53">
      <c r="AY2145" s="627">
        <v>7766</v>
      </c>
      <c r="AZ2145" s="628" t="s">
        <v>1913</v>
      </c>
      <c r="BA2145" s="629" t="s">
        <v>406</v>
      </c>
    </row>
    <row r="2146" spans="51:53">
      <c r="AY2146" s="627">
        <v>7768</v>
      </c>
      <c r="AZ2146" s="628" t="s">
        <v>1610</v>
      </c>
      <c r="BA2146" s="629" t="s">
        <v>406</v>
      </c>
    </row>
    <row r="2147" spans="51:53">
      <c r="AY2147" s="627">
        <v>7768</v>
      </c>
      <c r="AZ2147" s="628" t="s">
        <v>1915</v>
      </c>
      <c r="BA2147" s="629" t="s">
        <v>406</v>
      </c>
    </row>
    <row r="2148" spans="51:53">
      <c r="AY2148" s="627">
        <v>7771</v>
      </c>
      <c r="AZ2148" s="628" t="s">
        <v>1916</v>
      </c>
      <c r="BA2148" s="629" t="s">
        <v>406</v>
      </c>
    </row>
    <row r="2149" spans="51:53">
      <c r="AY2149" s="627">
        <v>7772</v>
      </c>
      <c r="AZ2149" s="628" t="s">
        <v>1611</v>
      </c>
      <c r="BA2149" s="629" t="s">
        <v>406</v>
      </c>
    </row>
    <row r="2150" spans="51:53">
      <c r="AY2150" s="627">
        <v>7772</v>
      </c>
      <c r="AZ2150" s="628" t="s">
        <v>1917</v>
      </c>
      <c r="BA2150" s="629" t="s">
        <v>406</v>
      </c>
    </row>
    <row r="2151" spans="51:53">
      <c r="AY2151" s="627">
        <v>7773</v>
      </c>
      <c r="AZ2151" s="628" t="s">
        <v>1612</v>
      </c>
      <c r="BA2151" s="629" t="s">
        <v>406</v>
      </c>
    </row>
    <row r="2152" spans="51:53">
      <c r="AY2152" s="627">
        <v>7773</v>
      </c>
      <c r="AZ2152" s="628" t="s">
        <v>1918</v>
      </c>
      <c r="BA2152" s="629" t="s">
        <v>406</v>
      </c>
    </row>
    <row r="2153" spans="51:53">
      <c r="AY2153" s="627">
        <v>7774</v>
      </c>
      <c r="AZ2153" s="628" t="s">
        <v>1919</v>
      </c>
      <c r="BA2153" s="629" t="s">
        <v>406</v>
      </c>
    </row>
    <row r="2154" spans="51:53">
      <c r="AY2154" s="627">
        <v>7775</v>
      </c>
      <c r="AZ2154" s="628" t="s">
        <v>1613</v>
      </c>
      <c r="BA2154" s="629" t="s">
        <v>406</v>
      </c>
    </row>
    <row r="2155" spans="51:53">
      <c r="AY2155" s="627">
        <v>7775</v>
      </c>
      <c r="AZ2155" s="628" t="s">
        <v>1614</v>
      </c>
      <c r="BA2155" s="629" t="s">
        <v>406</v>
      </c>
    </row>
    <row r="2156" spans="51:53">
      <c r="AY2156" s="627">
        <v>7775</v>
      </c>
      <c r="AZ2156" s="628" t="s">
        <v>1615</v>
      </c>
      <c r="BA2156" s="629" t="s">
        <v>406</v>
      </c>
    </row>
    <row r="2157" spans="51:53">
      <c r="AY2157" s="627">
        <v>7775</v>
      </c>
      <c r="AZ2157" s="628" t="s">
        <v>1920</v>
      </c>
      <c r="BA2157" s="629" t="s">
        <v>406</v>
      </c>
    </row>
    <row r="2158" spans="51:53">
      <c r="AY2158" s="627">
        <v>7781</v>
      </c>
      <c r="AZ2158" s="628" t="s">
        <v>1616</v>
      </c>
      <c r="BA2158" s="629" t="s">
        <v>406</v>
      </c>
    </row>
    <row r="2159" spans="51:53">
      <c r="AY2159" s="627">
        <v>7781</v>
      </c>
      <c r="AZ2159" s="628" t="s">
        <v>1921</v>
      </c>
      <c r="BA2159" s="629" t="s">
        <v>406</v>
      </c>
    </row>
    <row r="2160" spans="51:53">
      <c r="AY2160" s="627">
        <v>7781</v>
      </c>
      <c r="AZ2160" s="628" t="s">
        <v>1922</v>
      </c>
      <c r="BA2160" s="629" t="s">
        <v>406</v>
      </c>
    </row>
    <row r="2161" spans="51:53">
      <c r="AY2161" s="627">
        <v>7782</v>
      </c>
      <c r="AZ2161" s="628" t="s">
        <v>1617</v>
      </c>
      <c r="BA2161" s="629" t="s">
        <v>406</v>
      </c>
    </row>
    <row r="2162" spans="51:53">
      <c r="AY2162" s="627">
        <v>7783</v>
      </c>
      <c r="AZ2162" s="628" t="s">
        <v>1923</v>
      </c>
      <c r="BA2162" s="629" t="s">
        <v>406</v>
      </c>
    </row>
    <row r="2163" spans="51:53">
      <c r="AY2163" s="627">
        <v>7784</v>
      </c>
      <c r="AZ2163" s="628" t="s">
        <v>1924</v>
      </c>
      <c r="BA2163" s="629" t="s">
        <v>406</v>
      </c>
    </row>
    <row r="2164" spans="51:53">
      <c r="AY2164" s="627">
        <v>7785</v>
      </c>
      <c r="AZ2164" s="628" t="s">
        <v>1925</v>
      </c>
      <c r="BA2164" s="629" t="s">
        <v>406</v>
      </c>
    </row>
    <row r="2165" spans="51:53">
      <c r="AY2165" s="627">
        <v>7800</v>
      </c>
      <c r="AZ2165" s="630" t="s">
        <v>1934</v>
      </c>
      <c r="BA2165" s="629" t="s">
        <v>406</v>
      </c>
    </row>
    <row r="2166" spans="51:53">
      <c r="AY2166" s="627">
        <v>7800</v>
      </c>
      <c r="AZ2166" s="630" t="s">
        <v>1618</v>
      </c>
      <c r="BA2166" s="629" t="s">
        <v>406</v>
      </c>
    </row>
    <row r="2167" spans="51:53">
      <c r="AY2167" s="627">
        <v>7800</v>
      </c>
      <c r="AZ2167" s="628" t="s">
        <v>1926</v>
      </c>
      <c r="BA2167" s="629" t="s">
        <v>406</v>
      </c>
    </row>
    <row r="2168" spans="51:53">
      <c r="AY2168" s="627">
        <v>7811</v>
      </c>
      <c r="AZ2168" s="628" t="s">
        <v>1619</v>
      </c>
      <c r="BA2168" s="629" t="s">
        <v>406</v>
      </c>
    </row>
    <row r="2169" spans="51:53">
      <c r="AY2169" s="627">
        <v>7811</v>
      </c>
      <c r="AZ2169" s="628" t="s">
        <v>1620</v>
      </c>
      <c r="BA2169" s="629" t="s">
        <v>406</v>
      </c>
    </row>
    <row r="2170" spans="51:53">
      <c r="AY2170" s="627">
        <v>7811</v>
      </c>
      <c r="AZ2170" s="628" t="s">
        <v>1621</v>
      </c>
      <c r="BA2170" s="629" t="s">
        <v>406</v>
      </c>
    </row>
    <row r="2171" spans="51:53">
      <c r="AY2171" s="627">
        <v>7811</v>
      </c>
      <c r="AZ2171" s="628" t="s">
        <v>1622</v>
      </c>
      <c r="BA2171" s="629" t="s">
        <v>406</v>
      </c>
    </row>
    <row r="2172" spans="51:53">
      <c r="AY2172" s="627">
        <v>7811</v>
      </c>
      <c r="AZ2172" s="628" t="s">
        <v>1623</v>
      </c>
      <c r="BA2172" s="629" t="s">
        <v>406</v>
      </c>
    </row>
    <row r="2173" spans="51:53">
      <c r="AY2173" s="627">
        <v>7811</v>
      </c>
      <c r="AZ2173" s="628" t="s">
        <v>1927</v>
      </c>
      <c r="BA2173" s="629" t="s">
        <v>406</v>
      </c>
    </row>
    <row r="2174" spans="51:53">
      <c r="AY2174" s="627">
        <v>7812</v>
      </c>
      <c r="AZ2174" s="628" t="s">
        <v>1928</v>
      </c>
      <c r="BA2174" s="629" t="s">
        <v>406</v>
      </c>
    </row>
    <row r="2175" spans="51:53">
      <c r="AY2175" s="627">
        <v>7813</v>
      </c>
      <c r="AZ2175" s="628" t="s">
        <v>1929</v>
      </c>
      <c r="BA2175" s="629" t="s">
        <v>406</v>
      </c>
    </row>
    <row r="2176" spans="51:53">
      <c r="AY2176" s="627">
        <v>7814</v>
      </c>
      <c r="AZ2176" s="628" t="s">
        <v>1624</v>
      </c>
      <c r="BA2176" s="629" t="s">
        <v>406</v>
      </c>
    </row>
    <row r="2177" spans="51:53">
      <c r="AY2177" s="627">
        <v>7814</v>
      </c>
      <c r="AZ2177" s="628" t="s">
        <v>1625</v>
      </c>
      <c r="BA2177" s="629" t="s">
        <v>406</v>
      </c>
    </row>
    <row r="2178" spans="51:53">
      <c r="AY2178" s="627">
        <v>7814</v>
      </c>
      <c r="AZ2178" s="628" t="s">
        <v>1626</v>
      </c>
      <c r="BA2178" s="629" t="s">
        <v>406</v>
      </c>
    </row>
    <row r="2179" spans="51:53">
      <c r="AY2179" s="627">
        <v>7814</v>
      </c>
      <c r="AZ2179" s="628" t="s">
        <v>1930</v>
      </c>
      <c r="BA2179" s="629" t="s">
        <v>406</v>
      </c>
    </row>
    <row r="2180" spans="51:53">
      <c r="AY2180" s="627">
        <v>7815</v>
      </c>
      <c r="AZ2180" s="628" t="s">
        <v>1931</v>
      </c>
      <c r="BA2180" s="629" t="s">
        <v>406</v>
      </c>
    </row>
    <row r="2181" spans="51:53">
      <c r="AY2181" s="627">
        <v>7817</v>
      </c>
      <c r="AZ2181" s="628" t="s">
        <v>1627</v>
      </c>
      <c r="BA2181" s="629" t="s">
        <v>406</v>
      </c>
    </row>
    <row r="2182" spans="51:53">
      <c r="AY2182" s="627">
        <v>7817</v>
      </c>
      <c r="AZ2182" s="628" t="s">
        <v>1932</v>
      </c>
      <c r="BA2182" s="629" t="s">
        <v>406</v>
      </c>
    </row>
    <row r="2183" spans="51:53">
      <c r="AY2183" s="627">
        <v>7817</v>
      </c>
      <c r="AZ2183" s="628" t="s">
        <v>1951</v>
      </c>
      <c r="BA2183" s="629" t="s">
        <v>406</v>
      </c>
    </row>
    <row r="2184" spans="51:53">
      <c r="AY2184" s="627">
        <v>7822</v>
      </c>
      <c r="AZ2184" s="628" t="s">
        <v>1935</v>
      </c>
      <c r="BA2184" s="629" t="s">
        <v>406</v>
      </c>
    </row>
    <row r="2185" spans="51:53">
      <c r="AY2185" s="627">
        <v>7823</v>
      </c>
      <c r="AZ2185" s="628" t="s">
        <v>1628</v>
      </c>
      <c r="BA2185" s="629" t="s">
        <v>406</v>
      </c>
    </row>
    <row r="2186" spans="51:53">
      <c r="AY2186" s="627">
        <v>7823</v>
      </c>
      <c r="AZ2186" s="628" t="s">
        <v>1936</v>
      </c>
      <c r="BA2186" s="629" t="s">
        <v>406</v>
      </c>
    </row>
    <row r="2187" spans="51:53">
      <c r="AY2187" s="627">
        <v>7824</v>
      </c>
      <c r="AZ2187" s="628" t="s">
        <v>1937</v>
      </c>
      <c r="BA2187" s="629" t="s">
        <v>406</v>
      </c>
    </row>
    <row r="2188" spans="51:53">
      <c r="AY2188" s="627">
        <v>7824</v>
      </c>
      <c r="AZ2188" s="628" t="s">
        <v>1938</v>
      </c>
      <c r="BA2188" s="629" t="s">
        <v>406</v>
      </c>
    </row>
    <row r="2189" spans="51:53">
      <c r="AY2189" s="627">
        <v>7826</v>
      </c>
      <c r="AZ2189" s="628" t="s">
        <v>1939</v>
      </c>
      <c r="BA2189" s="629" t="s">
        <v>406</v>
      </c>
    </row>
    <row r="2190" spans="51:53">
      <c r="AY2190" s="627">
        <v>7827</v>
      </c>
      <c r="AZ2190" s="628" t="s">
        <v>1629</v>
      </c>
      <c r="BA2190" s="629" t="s">
        <v>406</v>
      </c>
    </row>
    <row r="2191" spans="51:53">
      <c r="AY2191" s="627">
        <v>7827</v>
      </c>
      <c r="AZ2191" s="628" t="s">
        <v>1940</v>
      </c>
      <c r="BA2191" s="629" t="s">
        <v>406</v>
      </c>
    </row>
    <row r="2192" spans="51:53">
      <c r="AY2192" s="627">
        <v>7831</v>
      </c>
      <c r="AZ2192" s="628" t="s">
        <v>1941</v>
      </c>
      <c r="BA2192" s="629" t="s">
        <v>406</v>
      </c>
    </row>
    <row r="2193" spans="51:53">
      <c r="AY2193" s="627">
        <v>7833</v>
      </c>
      <c r="AZ2193" s="628" t="s">
        <v>1630</v>
      </c>
      <c r="BA2193" s="629" t="s">
        <v>406</v>
      </c>
    </row>
    <row r="2194" spans="51:53">
      <c r="AY2194" s="627">
        <v>7833</v>
      </c>
      <c r="AZ2194" s="628" t="s">
        <v>1631</v>
      </c>
      <c r="BA2194" s="629" t="s">
        <v>406</v>
      </c>
    </row>
    <row r="2195" spans="51:53">
      <c r="AY2195" s="627">
        <v>7833</v>
      </c>
      <c r="AZ2195" s="628" t="s">
        <v>1942</v>
      </c>
      <c r="BA2195" s="629" t="s">
        <v>406</v>
      </c>
    </row>
    <row r="2196" spans="51:53">
      <c r="AY2196" s="627">
        <v>7834</v>
      </c>
      <c r="AZ2196" s="628" t="s">
        <v>1632</v>
      </c>
      <c r="BA2196" s="629" t="s">
        <v>406</v>
      </c>
    </row>
    <row r="2197" spans="51:53">
      <c r="AY2197" s="627">
        <v>7834</v>
      </c>
      <c r="AZ2197" s="628" t="s">
        <v>1943</v>
      </c>
      <c r="BA2197" s="629" t="s">
        <v>406</v>
      </c>
    </row>
    <row r="2198" spans="51:53">
      <c r="AY2198" s="627">
        <v>7834</v>
      </c>
      <c r="AZ2198" s="628" t="s">
        <v>1944</v>
      </c>
      <c r="BA2198" s="629" t="s">
        <v>406</v>
      </c>
    </row>
    <row r="2199" spans="51:53">
      <c r="AY2199" s="627">
        <v>7836</v>
      </c>
      <c r="AZ2199" s="628" t="s">
        <v>1633</v>
      </c>
      <c r="BA2199" s="629" t="s">
        <v>406</v>
      </c>
    </row>
    <row r="2200" spans="51:53">
      <c r="AY2200" s="627">
        <v>7836</v>
      </c>
      <c r="AZ2200" s="628" t="s">
        <v>1945</v>
      </c>
      <c r="BA2200" s="629" t="s">
        <v>406</v>
      </c>
    </row>
    <row r="2201" spans="51:53">
      <c r="AY2201" s="627">
        <v>7837</v>
      </c>
      <c r="AZ2201" s="628" t="s">
        <v>1946</v>
      </c>
      <c r="BA2201" s="629" t="s">
        <v>406</v>
      </c>
    </row>
    <row r="2202" spans="51:53">
      <c r="AY2202" s="627">
        <v>7838</v>
      </c>
      <c r="AZ2202" s="628" t="s">
        <v>1634</v>
      </c>
      <c r="BA2202" s="629" t="s">
        <v>406</v>
      </c>
    </row>
    <row r="2203" spans="51:53">
      <c r="AY2203" s="627">
        <v>7838</v>
      </c>
      <c r="AZ2203" s="628" t="s">
        <v>1635</v>
      </c>
      <c r="BA2203" s="629" t="s">
        <v>406</v>
      </c>
    </row>
    <row r="2204" spans="51:53">
      <c r="AY2204" s="627">
        <v>7838</v>
      </c>
      <c r="AZ2204" s="628" t="s">
        <v>1636</v>
      </c>
      <c r="BA2204" s="629" t="s">
        <v>406</v>
      </c>
    </row>
    <row r="2205" spans="51:53">
      <c r="AY2205" s="627">
        <v>7838</v>
      </c>
      <c r="AZ2205" s="628" t="s">
        <v>3466</v>
      </c>
      <c r="BA2205" s="629" t="s">
        <v>406</v>
      </c>
    </row>
    <row r="2206" spans="51:53">
      <c r="AY2206" s="627">
        <v>7838</v>
      </c>
      <c r="AZ2206" s="628" t="s">
        <v>1637</v>
      </c>
      <c r="BA2206" s="629" t="s">
        <v>406</v>
      </c>
    </row>
    <row r="2207" spans="51:53">
      <c r="AY2207" s="627">
        <v>7838</v>
      </c>
      <c r="AZ2207" s="628" t="s">
        <v>1638</v>
      </c>
      <c r="BA2207" s="629" t="s">
        <v>406</v>
      </c>
    </row>
    <row r="2208" spans="51:53">
      <c r="AY2208" s="627">
        <v>7838</v>
      </c>
      <c r="AZ2208" s="628" t="s">
        <v>1639</v>
      </c>
      <c r="BA2208" s="629" t="s">
        <v>406</v>
      </c>
    </row>
    <row r="2209" spans="51:53">
      <c r="AY2209" s="627">
        <v>7838</v>
      </c>
      <c r="AZ2209" s="628" t="s">
        <v>1947</v>
      </c>
      <c r="BA2209" s="629" t="s">
        <v>406</v>
      </c>
    </row>
    <row r="2210" spans="51:53">
      <c r="AY2210" s="627">
        <v>7839</v>
      </c>
      <c r="AZ2210" s="628" t="s">
        <v>1640</v>
      </c>
      <c r="BA2210" s="629" t="s">
        <v>406</v>
      </c>
    </row>
    <row r="2211" spans="51:53">
      <c r="AY2211" s="627">
        <v>7839</v>
      </c>
      <c r="AZ2211" s="628" t="s">
        <v>1948</v>
      </c>
      <c r="BA2211" s="629" t="s">
        <v>406</v>
      </c>
    </row>
    <row r="2212" spans="51:53">
      <c r="AY2212" s="627">
        <v>7841</v>
      </c>
      <c r="AZ2212" s="628" t="s">
        <v>1641</v>
      </c>
      <c r="BA2212" s="629" t="s">
        <v>406</v>
      </c>
    </row>
    <row r="2213" spans="51:53">
      <c r="AY2213" s="627">
        <v>7841</v>
      </c>
      <c r="AZ2213" s="628" t="s">
        <v>3663</v>
      </c>
      <c r="BA2213" s="629" t="s">
        <v>406</v>
      </c>
    </row>
    <row r="2214" spans="51:53">
      <c r="AY2214" s="627">
        <v>7841</v>
      </c>
      <c r="AZ2214" s="628" t="s">
        <v>3664</v>
      </c>
      <c r="BA2214" s="629" t="s">
        <v>406</v>
      </c>
    </row>
    <row r="2215" spans="51:53">
      <c r="AY2215" s="627">
        <v>7841</v>
      </c>
      <c r="AZ2215" s="628" t="s">
        <v>3665</v>
      </c>
      <c r="BA2215" s="629" t="s">
        <v>406</v>
      </c>
    </row>
    <row r="2216" spans="51:53">
      <c r="AY2216" s="627">
        <v>7841</v>
      </c>
      <c r="AZ2216" s="628" t="s">
        <v>1949</v>
      </c>
      <c r="BA2216" s="629" t="s">
        <v>406</v>
      </c>
    </row>
    <row r="2217" spans="51:53">
      <c r="AY2217" s="627">
        <v>7843</v>
      </c>
      <c r="AZ2217" s="631" t="s">
        <v>3666</v>
      </c>
      <c r="BA2217" s="629" t="s">
        <v>406</v>
      </c>
    </row>
    <row r="2218" spans="51:53">
      <c r="AY2218" s="627">
        <v>7843</v>
      </c>
      <c r="AZ2218" s="628" t="s">
        <v>3667</v>
      </c>
      <c r="BA2218" s="629" t="s">
        <v>406</v>
      </c>
    </row>
    <row r="2219" spans="51:53">
      <c r="AY2219" s="627">
        <v>7843</v>
      </c>
      <c r="AZ2219" s="628" t="s">
        <v>3668</v>
      </c>
      <c r="BA2219" s="629" t="s">
        <v>406</v>
      </c>
    </row>
    <row r="2220" spans="51:53">
      <c r="AY2220" s="627">
        <v>7843</v>
      </c>
      <c r="AZ2220" s="628" t="s">
        <v>3669</v>
      </c>
      <c r="BA2220" s="629" t="s">
        <v>406</v>
      </c>
    </row>
    <row r="2221" spans="51:53">
      <c r="AY2221" s="627">
        <v>7843</v>
      </c>
      <c r="AZ2221" s="628" t="s">
        <v>1950</v>
      </c>
      <c r="BA2221" s="629" t="s">
        <v>406</v>
      </c>
    </row>
    <row r="2222" spans="51:53">
      <c r="AY2222" s="627">
        <v>7846</v>
      </c>
      <c r="AZ2222" s="628" t="s">
        <v>3670</v>
      </c>
      <c r="BA2222" s="629" t="s">
        <v>406</v>
      </c>
    </row>
    <row r="2223" spans="51:53">
      <c r="AY2223" s="627">
        <v>7847</v>
      </c>
      <c r="AZ2223" s="628" t="s">
        <v>3671</v>
      </c>
      <c r="BA2223" s="629" t="s">
        <v>406</v>
      </c>
    </row>
    <row r="2224" spans="51:53">
      <c r="AY2224" s="627">
        <v>7847</v>
      </c>
      <c r="AZ2224" s="628" t="s">
        <v>3672</v>
      </c>
      <c r="BA2224" s="629" t="s">
        <v>406</v>
      </c>
    </row>
    <row r="2225" spans="51:53">
      <c r="AY2225" s="627">
        <v>7847</v>
      </c>
      <c r="AZ2225" s="628" t="s">
        <v>1952</v>
      </c>
      <c r="BA2225" s="629" t="s">
        <v>406</v>
      </c>
    </row>
    <row r="2226" spans="51:53">
      <c r="AY2226" s="627">
        <v>7849</v>
      </c>
      <c r="AZ2226" s="628" t="s">
        <v>1953</v>
      </c>
      <c r="BA2226" s="629" t="s">
        <v>406</v>
      </c>
    </row>
    <row r="2227" spans="51:53">
      <c r="AY2227" s="627">
        <v>7850</v>
      </c>
      <c r="AZ2227" s="628" t="s">
        <v>1954</v>
      </c>
      <c r="BA2227" s="629" t="s">
        <v>406</v>
      </c>
    </row>
    <row r="2228" spans="51:53">
      <c r="AY2228" s="627">
        <v>7851</v>
      </c>
      <c r="AZ2228" s="628" t="s">
        <v>1955</v>
      </c>
      <c r="BA2228" s="629" t="s">
        <v>406</v>
      </c>
    </row>
    <row r="2229" spans="51:53">
      <c r="AY2229" s="627">
        <v>7853</v>
      </c>
      <c r="AZ2229" s="628" t="s">
        <v>1956</v>
      </c>
      <c r="BA2229" s="629" t="s">
        <v>406</v>
      </c>
    </row>
    <row r="2230" spans="51:53">
      <c r="AY2230" s="627">
        <v>7854</v>
      </c>
      <c r="AZ2230" s="628" t="s">
        <v>1957</v>
      </c>
      <c r="BA2230" s="629" t="s">
        <v>406</v>
      </c>
    </row>
    <row r="2231" spans="51:53">
      <c r="AY2231" s="627">
        <v>7900</v>
      </c>
      <c r="AZ2231" s="628" t="s">
        <v>1959</v>
      </c>
      <c r="BA2231" s="629" t="s">
        <v>406</v>
      </c>
    </row>
    <row r="2232" spans="51:53">
      <c r="AY2232" s="627">
        <v>7900</v>
      </c>
      <c r="AZ2232" s="628" t="s">
        <v>3450</v>
      </c>
      <c r="BA2232" s="629" t="s">
        <v>406</v>
      </c>
    </row>
    <row r="2233" spans="51:53">
      <c r="AY2233" s="627">
        <v>7900</v>
      </c>
      <c r="AZ2233" s="628" t="s">
        <v>3673</v>
      </c>
      <c r="BA2233" s="629" t="s">
        <v>406</v>
      </c>
    </row>
    <row r="2234" spans="51:53">
      <c r="AY2234" s="627">
        <v>7912</v>
      </c>
      <c r="AZ2234" s="628" t="s">
        <v>3674</v>
      </c>
      <c r="BA2234" s="629" t="s">
        <v>406</v>
      </c>
    </row>
    <row r="2235" spans="51:53">
      <c r="AY2235" s="627">
        <v>7912</v>
      </c>
      <c r="AZ2235" s="628" t="s">
        <v>3675</v>
      </c>
      <c r="BA2235" s="629" t="s">
        <v>406</v>
      </c>
    </row>
    <row r="2236" spans="51:53">
      <c r="AY2236" s="627">
        <v>7912</v>
      </c>
      <c r="AZ2236" s="628" t="s">
        <v>1960</v>
      </c>
      <c r="BA2236" s="629" t="s">
        <v>406</v>
      </c>
    </row>
    <row r="2237" spans="51:53">
      <c r="AY2237" s="627">
        <v>7913</v>
      </c>
      <c r="AZ2237" s="628" t="s">
        <v>1961</v>
      </c>
      <c r="BA2237" s="629" t="s">
        <v>406</v>
      </c>
    </row>
    <row r="2238" spans="51:53">
      <c r="AY2238" s="627">
        <v>7914</v>
      </c>
      <c r="AZ2238" s="628" t="s">
        <v>3676</v>
      </c>
      <c r="BA2238" s="629" t="s">
        <v>406</v>
      </c>
    </row>
    <row r="2239" spans="51:53">
      <c r="AY2239" s="627">
        <v>7914</v>
      </c>
      <c r="AZ2239" s="628" t="s">
        <v>3677</v>
      </c>
      <c r="BA2239" s="629" t="s">
        <v>406</v>
      </c>
    </row>
    <row r="2240" spans="51:53">
      <c r="AY2240" s="627">
        <v>7914</v>
      </c>
      <c r="AZ2240" s="628" t="s">
        <v>1962</v>
      </c>
      <c r="BA2240" s="629" t="s">
        <v>406</v>
      </c>
    </row>
    <row r="2241" spans="51:53">
      <c r="AY2241" s="627">
        <v>7915</v>
      </c>
      <c r="AZ2241" s="628" t="s">
        <v>3678</v>
      </c>
      <c r="BA2241" s="629" t="s">
        <v>406</v>
      </c>
    </row>
    <row r="2242" spans="51:53">
      <c r="AY2242" s="627">
        <v>7915</v>
      </c>
      <c r="AZ2242" s="628" t="s">
        <v>1963</v>
      </c>
      <c r="BA2242" s="629" t="s">
        <v>406</v>
      </c>
    </row>
    <row r="2243" spans="51:53">
      <c r="AY2243" s="627">
        <v>7918</v>
      </c>
      <c r="AZ2243" s="630" t="s">
        <v>3706</v>
      </c>
      <c r="BA2243" s="629" t="s">
        <v>423</v>
      </c>
    </row>
    <row r="2244" spans="51:53">
      <c r="AY2244" s="627">
        <v>7918</v>
      </c>
      <c r="AZ2244" s="628" t="s">
        <v>3707</v>
      </c>
      <c r="BA2244" s="629" t="s">
        <v>423</v>
      </c>
    </row>
    <row r="2245" spans="51:53">
      <c r="AY2245" s="627">
        <v>7918</v>
      </c>
      <c r="AZ2245" s="628" t="s">
        <v>1964</v>
      </c>
      <c r="BA2245" s="629" t="s">
        <v>423</v>
      </c>
    </row>
    <row r="2246" spans="51:53">
      <c r="AY2246" s="627">
        <v>7921</v>
      </c>
      <c r="AZ2246" s="628" t="s">
        <v>1965</v>
      </c>
      <c r="BA2246" s="629" t="s">
        <v>406</v>
      </c>
    </row>
    <row r="2247" spans="51:53">
      <c r="AY2247" s="627">
        <v>7922</v>
      </c>
      <c r="AZ2247" s="628" t="s">
        <v>3708</v>
      </c>
      <c r="BA2247" s="629" t="s">
        <v>406</v>
      </c>
    </row>
    <row r="2248" spans="51:53">
      <c r="AY2248" s="627">
        <v>7923</v>
      </c>
      <c r="AZ2248" s="628" t="s">
        <v>1967</v>
      </c>
      <c r="BA2248" s="629" t="s">
        <v>406</v>
      </c>
    </row>
    <row r="2249" spans="51:53">
      <c r="AY2249" s="627">
        <v>7923</v>
      </c>
      <c r="AZ2249" s="628" t="s">
        <v>3709</v>
      </c>
      <c r="BA2249" s="629" t="s">
        <v>406</v>
      </c>
    </row>
    <row r="2250" spans="51:53">
      <c r="AY2250" s="627">
        <v>7924</v>
      </c>
      <c r="AZ2250" s="628" t="s">
        <v>1966</v>
      </c>
      <c r="BA2250" s="629" t="s">
        <v>406</v>
      </c>
    </row>
    <row r="2251" spans="51:53">
      <c r="AY2251" s="627">
        <v>7925</v>
      </c>
      <c r="AZ2251" s="628" t="s">
        <v>3710</v>
      </c>
      <c r="BA2251" s="629" t="s">
        <v>406</v>
      </c>
    </row>
    <row r="2252" spans="51:53">
      <c r="AY2252" s="627">
        <v>7925</v>
      </c>
      <c r="AZ2252" s="628" t="s">
        <v>1968</v>
      </c>
      <c r="BA2252" s="629" t="s">
        <v>406</v>
      </c>
    </row>
    <row r="2253" spans="51:53">
      <c r="AY2253" s="627">
        <v>7926</v>
      </c>
      <c r="AZ2253" s="628" t="s">
        <v>3449</v>
      </c>
      <c r="BA2253" s="629" t="s">
        <v>406</v>
      </c>
    </row>
    <row r="2254" spans="51:53">
      <c r="AY2254" s="627">
        <v>7932</v>
      </c>
      <c r="AZ2254" s="628" t="s">
        <v>3711</v>
      </c>
      <c r="BA2254" s="629" t="s">
        <v>406</v>
      </c>
    </row>
    <row r="2255" spans="51:53">
      <c r="AY2255" s="627">
        <v>7932</v>
      </c>
      <c r="AZ2255" s="630" t="s">
        <v>3712</v>
      </c>
      <c r="BA2255" s="629" t="s">
        <v>406</v>
      </c>
    </row>
    <row r="2256" spans="51:53">
      <c r="AY2256" s="627">
        <v>7932</v>
      </c>
      <c r="AZ2256" s="628" t="s">
        <v>3451</v>
      </c>
      <c r="BA2256" s="629" t="s">
        <v>406</v>
      </c>
    </row>
    <row r="2257" spans="51:53">
      <c r="AY2257" s="627">
        <v>7934</v>
      </c>
      <c r="AZ2257" s="628" t="s">
        <v>3452</v>
      </c>
      <c r="BA2257" s="629" t="s">
        <v>406</v>
      </c>
    </row>
    <row r="2258" spans="51:53">
      <c r="AY2258" s="627">
        <v>7935</v>
      </c>
      <c r="AZ2258" s="628" t="s">
        <v>3713</v>
      </c>
      <c r="BA2258" s="629" t="s">
        <v>406</v>
      </c>
    </row>
    <row r="2259" spans="51:53">
      <c r="AY2259" s="627">
        <v>7935</v>
      </c>
      <c r="AZ2259" s="628" t="s">
        <v>3714</v>
      </c>
      <c r="BA2259" s="629" t="s">
        <v>406</v>
      </c>
    </row>
    <row r="2260" spans="51:53">
      <c r="AY2260" s="627">
        <v>7935</v>
      </c>
      <c r="AZ2260" s="628" t="s">
        <v>3453</v>
      </c>
      <c r="BA2260" s="629" t="s">
        <v>406</v>
      </c>
    </row>
    <row r="2261" spans="51:53">
      <c r="AY2261" s="627">
        <v>7936</v>
      </c>
      <c r="AZ2261" s="628" t="s">
        <v>3454</v>
      </c>
      <c r="BA2261" s="629" t="s">
        <v>406</v>
      </c>
    </row>
    <row r="2262" spans="51:53">
      <c r="AY2262" s="627">
        <v>7937</v>
      </c>
      <c r="AZ2262" s="628" t="s">
        <v>3455</v>
      </c>
      <c r="BA2262" s="629" t="s">
        <v>406</v>
      </c>
    </row>
    <row r="2263" spans="51:53">
      <c r="AY2263" s="627">
        <v>7940</v>
      </c>
      <c r="AZ2263" s="628" t="s">
        <v>3715</v>
      </c>
      <c r="BA2263" s="629" t="s">
        <v>406</v>
      </c>
    </row>
    <row r="2264" spans="51:53">
      <c r="AY2264" s="627">
        <v>7940</v>
      </c>
      <c r="AZ2264" s="628" t="s">
        <v>3716</v>
      </c>
      <c r="BA2264" s="629" t="s">
        <v>406</v>
      </c>
    </row>
    <row r="2265" spans="51:53">
      <c r="AY2265" s="627">
        <v>7940</v>
      </c>
      <c r="AZ2265" s="628" t="s">
        <v>3457</v>
      </c>
      <c r="BA2265" s="629" t="s">
        <v>406</v>
      </c>
    </row>
    <row r="2266" spans="51:53">
      <c r="AY2266" s="627">
        <v>7951</v>
      </c>
      <c r="AZ2266" s="628" t="s">
        <v>3717</v>
      </c>
      <c r="BA2266" s="629" t="s">
        <v>406</v>
      </c>
    </row>
    <row r="2267" spans="51:53">
      <c r="AY2267" s="627">
        <v>7951</v>
      </c>
      <c r="AZ2267" s="628" t="s">
        <v>3718</v>
      </c>
      <c r="BA2267" s="629" t="s">
        <v>406</v>
      </c>
    </row>
    <row r="2268" spans="51:53">
      <c r="AY2268" s="627">
        <v>7951</v>
      </c>
      <c r="AZ2268" s="628" t="s">
        <v>3458</v>
      </c>
      <c r="BA2268" s="629" t="s">
        <v>406</v>
      </c>
    </row>
    <row r="2269" spans="51:53">
      <c r="AY2269" s="627">
        <v>7951</v>
      </c>
      <c r="AZ2269" s="628" t="s">
        <v>3459</v>
      </c>
      <c r="BA2269" s="629" t="s">
        <v>406</v>
      </c>
    </row>
    <row r="2270" spans="51:53">
      <c r="AY2270" s="627">
        <v>7953</v>
      </c>
      <c r="AZ2270" s="628" t="s">
        <v>3460</v>
      </c>
      <c r="BA2270" s="629" t="s">
        <v>406</v>
      </c>
    </row>
    <row r="2271" spans="51:53">
      <c r="AY2271" s="627">
        <v>7954</v>
      </c>
      <c r="AZ2271" s="628" t="s">
        <v>3719</v>
      </c>
      <c r="BA2271" s="629" t="s">
        <v>406</v>
      </c>
    </row>
    <row r="2272" spans="51:53">
      <c r="AY2272" s="627">
        <v>7954</v>
      </c>
      <c r="AZ2272" s="628" t="s">
        <v>3720</v>
      </c>
      <c r="BA2272" s="629" t="s">
        <v>406</v>
      </c>
    </row>
    <row r="2273" spans="51:53">
      <c r="AY2273" s="627">
        <v>7954</v>
      </c>
      <c r="AZ2273" s="628" t="s">
        <v>3721</v>
      </c>
      <c r="BA2273" s="629" t="s">
        <v>406</v>
      </c>
    </row>
    <row r="2274" spans="51:53">
      <c r="AY2274" s="627">
        <v>7954</v>
      </c>
      <c r="AZ2274" s="628" t="s">
        <v>3722</v>
      </c>
      <c r="BA2274" s="629" t="s">
        <v>406</v>
      </c>
    </row>
    <row r="2275" spans="51:53">
      <c r="AY2275" s="627">
        <v>7954</v>
      </c>
      <c r="AZ2275" s="628" t="s">
        <v>3461</v>
      </c>
      <c r="BA2275" s="629" t="s">
        <v>406</v>
      </c>
    </row>
    <row r="2276" spans="51:53">
      <c r="AY2276" s="627">
        <v>7957</v>
      </c>
      <c r="AZ2276" s="628" t="s">
        <v>3463</v>
      </c>
      <c r="BA2276" s="629" t="s">
        <v>406</v>
      </c>
    </row>
    <row r="2277" spans="51:53">
      <c r="AY2277" s="627">
        <v>7958</v>
      </c>
      <c r="AZ2277" s="628" t="s">
        <v>3464</v>
      </c>
      <c r="BA2277" s="629" t="s">
        <v>406</v>
      </c>
    </row>
    <row r="2278" spans="51:53">
      <c r="AY2278" s="627">
        <v>7960</v>
      </c>
      <c r="AZ2278" s="628" t="s">
        <v>3725</v>
      </c>
      <c r="BA2278" s="629" t="s">
        <v>406</v>
      </c>
    </row>
    <row r="2279" spans="51:53">
      <c r="AY2279" s="627">
        <v>7960</v>
      </c>
      <c r="AZ2279" s="628" t="s">
        <v>3467</v>
      </c>
      <c r="BA2279" s="629" t="s">
        <v>406</v>
      </c>
    </row>
    <row r="2280" spans="51:53">
      <c r="AY2280" s="627">
        <v>7960</v>
      </c>
      <c r="AZ2280" s="628" t="s">
        <v>3726</v>
      </c>
      <c r="BA2280" s="629" t="s">
        <v>406</v>
      </c>
    </row>
    <row r="2281" spans="51:53">
      <c r="AY2281" s="627">
        <v>7960</v>
      </c>
      <c r="AZ2281" s="628" t="s">
        <v>3727</v>
      </c>
      <c r="BA2281" s="629" t="s">
        <v>406</v>
      </c>
    </row>
    <row r="2282" spans="51:53">
      <c r="AY2282" s="627">
        <v>7960</v>
      </c>
      <c r="AZ2282" s="628" t="s">
        <v>3465</v>
      </c>
      <c r="BA2282" s="629" t="s">
        <v>406</v>
      </c>
    </row>
    <row r="2283" spans="51:53">
      <c r="AY2283" s="627">
        <v>7960</v>
      </c>
      <c r="AZ2283" s="628" t="s">
        <v>3462</v>
      </c>
      <c r="BA2283" s="629" t="s">
        <v>406</v>
      </c>
    </row>
    <row r="2284" spans="51:53">
      <c r="AY2284" s="627">
        <v>7964</v>
      </c>
      <c r="AZ2284" s="628" t="s">
        <v>3728</v>
      </c>
      <c r="BA2284" s="629" t="s">
        <v>406</v>
      </c>
    </row>
    <row r="2285" spans="51:53">
      <c r="AY2285" s="627">
        <v>7966</v>
      </c>
      <c r="AZ2285" s="628" t="s">
        <v>3468</v>
      </c>
      <c r="BA2285" s="629" t="s">
        <v>406</v>
      </c>
    </row>
    <row r="2286" spans="51:53">
      <c r="AY2286" s="627">
        <v>7967</v>
      </c>
      <c r="AZ2286" s="628" t="s">
        <v>3729</v>
      </c>
      <c r="BA2286" s="629" t="s">
        <v>406</v>
      </c>
    </row>
    <row r="2287" spans="51:53">
      <c r="AY2287" s="627">
        <v>7967</v>
      </c>
      <c r="AZ2287" s="628" t="s">
        <v>3730</v>
      </c>
      <c r="BA2287" s="629" t="s">
        <v>406</v>
      </c>
    </row>
    <row r="2288" spans="51:53">
      <c r="AY2288" s="627">
        <v>7967</v>
      </c>
      <c r="AZ2288" s="628" t="s">
        <v>3469</v>
      </c>
      <c r="BA2288" s="629" t="s">
        <v>406</v>
      </c>
    </row>
    <row r="2289" spans="51:53">
      <c r="AY2289" s="627">
        <v>7968</v>
      </c>
      <c r="AZ2289" s="628" t="s">
        <v>3470</v>
      </c>
      <c r="BA2289" s="629" t="s">
        <v>406</v>
      </c>
    </row>
    <row r="2290" spans="51:53">
      <c r="AY2290" s="627">
        <v>7971</v>
      </c>
      <c r="AZ2290" s="628" t="s">
        <v>3471</v>
      </c>
      <c r="BA2290" s="629" t="s">
        <v>406</v>
      </c>
    </row>
    <row r="2291" spans="51:53">
      <c r="AY2291" s="627">
        <v>7972</v>
      </c>
      <c r="AZ2291" s="628" t="s">
        <v>3731</v>
      </c>
      <c r="BA2291" s="629" t="s">
        <v>406</v>
      </c>
    </row>
    <row r="2292" spans="51:53">
      <c r="AY2292" s="627">
        <v>7973</v>
      </c>
      <c r="AZ2292" s="628" t="s">
        <v>3732</v>
      </c>
      <c r="BA2292" s="629" t="s">
        <v>406</v>
      </c>
    </row>
    <row r="2293" spans="51:53">
      <c r="AY2293" s="627">
        <v>7973</v>
      </c>
      <c r="AZ2293" s="628" t="s">
        <v>3733</v>
      </c>
      <c r="BA2293" s="629" t="s">
        <v>406</v>
      </c>
    </row>
    <row r="2294" spans="51:53">
      <c r="AY2294" s="627">
        <v>7973</v>
      </c>
      <c r="AZ2294" s="628" t="s">
        <v>3734</v>
      </c>
      <c r="BA2294" s="629" t="s">
        <v>406</v>
      </c>
    </row>
    <row r="2295" spans="51:53">
      <c r="AY2295" s="627">
        <v>7973</v>
      </c>
      <c r="AZ2295" s="628" t="s">
        <v>3473</v>
      </c>
      <c r="BA2295" s="629" t="s">
        <v>406</v>
      </c>
    </row>
    <row r="2296" spans="51:53">
      <c r="AY2296" s="627">
        <v>7975</v>
      </c>
      <c r="AZ2296" s="628" t="s">
        <v>3474</v>
      </c>
      <c r="BA2296" s="629" t="s">
        <v>406</v>
      </c>
    </row>
    <row r="2297" spans="51:53">
      <c r="AY2297" s="692">
        <v>7976</v>
      </c>
      <c r="AZ2297" s="628" t="s">
        <v>3735</v>
      </c>
      <c r="BA2297" s="629" t="s">
        <v>406</v>
      </c>
    </row>
    <row r="2298" spans="51:53">
      <c r="AY2298" s="627">
        <v>7976</v>
      </c>
      <c r="AZ2298" s="628" t="s">
        <v>3475</v>
      </c>
      <c r="BA2298" s="629" t="s">
        <v>406</v>
      </c>
    </row>
    <row r="2299" spans="51:53">
      <c r="AY2299" s="627">
        <v>7977</v>
      </c>
      <c r="AZ2299" s="628" t="s">
        <v>3736</v>
      </c>
      <c r="BA2299" s="629" t="s">
        <v>423</v>
      </c>
    </row>
    <row r="2300" spans="51:53">
      <c r="AY2300" s="627">
        <v>7977</v>
      </c>
      <c r="AZ2300" s="628" t="s">
        <v>3737</v>
      </c>
      <c r="BA2300" s="629" t="s">
        <v>423</v>
      </c>
    </row>
    <row r="2301" spans="51:53">
      <c r="AY2301" s="627">
        <v>7977</v>
      </c>
      <c r="AZ2301" s="628" t="s">
        <v>3476</v>
      </c>
      <c r="BA2301" s="629" t="s">
        <v>423</v>
      </c>
    </row>
    <row r="2302" spans="51:53">
      <c r="AY2302" s="627">
        <v>7979</v>
      </c>
      <c r="AZ2302" s="628" t="s">
        <v>3477</v>
      </c>
      <c r="BA2302" s="629" t="s">
        <v>423</v>
      </c>
    </row>
    <row r="2303" spans="51:53">
      <c r="AY2303" s="627">
        <v>7980</v>
      </c>
      <c r="AZ2303" s="628" t="s">
        <v>3472</v>
      </c>
      <c r="BA2303" s="629" t="s">
        <v>406</v>
      </c>
    </row>
    <row r="2304" spans="51:53">
      <c r="AY2304" s="627">
        <v>7981</v>
      </c>
      <c r="AZ2304" s="628" t="s">
        <v>3738</v>
      </c>
      <c r="BA2304" s="629" t="s">
        <v>406</v>
      </c>
    </row>
    <row r="2305" spans="51:53">
      <c r="AY2305" s="627">
        <v>7981</v>
      </c>
      <c r="AZ2305" s="628" t="s">
        <v>3739</v>
      </c>
      <c r="BA2305" s="629" t="s">
        <v>406</v>
      </c>
    </row>
    <row r="2306" spans="51:53">
      <c r="AY2306" s="627">
        <v>7981</v>
      </c>
      <c r="AZ2306" s="628" t="s">
        <v>3740</v>
      </c>
      <c r="BA2306" s="629" t="s">
        <v>406</v>
      </c>
    </row>
    <row r="2307" spans="51:53">
      <c r="AY2307" s="627">
        <v>7981</v>
      </c>
      <c r="AZ2307" s="628" t="s">
        <v>3741</v>
      </c>
      <c r="BA2307" s="629" t="s">
        <v>406</v>
      </c>
    </row>
    <row r="2308" spans="51:53">
      <c r="AY2308" s="627">
        <v>7981</v>
      </c>
      <c r="AZ2308" s="628" t="s">
        <v>3478</v>
      </c>
      <c r="BA2308" s="629" t="s">
        <v>406</v>
      </c>
    </row>
    <row r="2309" spans="51:53">
      <c r="AY2309" s="627">
        <v>7985</v>
      </c>
      <c r="AZ2309" s="628" t="s">
        <v>3480</v>
      </c>
      <c r="BA2309" s="629" t="s">
        <v>406</v>
      </c>
    </row>
    <row r="2310" spans="51:53">
      <c r="AY2310" s="627">
        <v>7985</v>
      </c>
      <c r="AZ2310" s="628" t="s">
        <v>3479</v>
      </c>
      <c r="BA2310" s="629" t="s">
        <v>406</v>
      </c>
    </row>
    <row r="2311" spans="51:53">
      <c r="AY2311" s="627">
        <v>7987</v>
      </c>
      <c r="AZ2311" s="628" t="s">
        <v>3481</v>
      </c>
      <c r="BA2311" s="629" t="s">
        <v>423</v>
      </c>
    </row>
    <row r="2312" spans="51:53">
      <c r="AY2312" s="627">
        <v>7988</v>
      </c>
      <c r="AZ2312" s="628" t="s">
        <v>3482</v>
      </c>
      <c r="BA2312" s="629" t="s">
        <v>423</v>
      </c>
    </row>
    <row r="2313" spans="51:53">
      <c r="AY2313" s="627">
        <v>8000</v>
      </c>
      <c r="AZ2313" s="628" t="s">
        <v>3483</v>
      </c>
      <c r="BA2313" s="629" t="s">
        <v>3483</v>
      </c>
    </row>
    <row r="2314" spans="51:53">
      <c r="AY2314" s="627">
        <v>8019</v>
      </c>
      <c r="AZ2314" s="628" t="s">
        <v>3483</v>
      </c>
      <c r="BA2314" s="629" t="s">
        <v>3483</v>
      </c>
    </row>
    <row r="2315" spans="51:53">
      <c r="AY2315" s="627">
        <v>8041</v>
      </c>
      <c r="AZ2315" s="628" t="s">
        <v>3486</v>
      </c>
      <c r="BA2315" s="629" t="s">
        <v>402</v>
      </c>
    </row>
    <row r="2316" spans="51:53">
      <c r="AY2316" s="627">
        <v>8042</v>
      </c>
      <c r="AZ2316" s="628" t="s">
        <v>3487</v>
      </c>
      <c r="BA2316" s="629" t="s">
        <v>402</v>
      </c>
    </row>
    <row r="2317" spans="51:53">
      <c r="AY2317" s="627">
        <v>8043</v>
      </c>
      <c r="AZ2317" s="628" t="s">
        <v>3488</v>
      </c>
      <c r="BA2317" s="629" t="s">
        <v>402</v>
      </c>
    </row>
    <row r="2318" spans="51:53">
      <c r="AY2318" s="627">
        <v>8044</v>
      </c>
      <c r="AZ2318" s="628" t="s">
        <v>3489</v>
      </c>
      <c r="BA2318" s="629" t="s">
        <v>402</v>
      </c>
    </row>
    <row r="2319" spans="51:53">
      <c r="AY2319" s="627">
        <v>8045</v>
      </c>
      <c r="AZ2319" s="628" t="s">
        <v>3491</v>
      </c>
      <c r="BA2319" s="629" t="s">
        <v>402</v>
      </c>
    </row>
    <row r="2320" spans="51:53">
      <c r="AY2320" s="627">
        <v>8045</v>
      </c>
      <c r="AZ2320" s="628" t="s">
        <v>3490</v>
      </c>
      <c r="BA2320" s="629" t="s">
        <v>402</v>
      </c>
    </row>
    <row r="2321" spans="51:53">
      <c r="AY2321" s="627">
        <v>8051</v>
      </c>
      <c r="AZ2321" s="628" t="s">
        <v>3492</v>
      </c>
      <c r="BA2321" s="629" t="s">
        <v>402</v>
      </c>
    </row>
    <row r="2322" spans="51:53">
      <c r="AY2322" s="627">
        <v>8052</v>
      </c>
      <c r="AZ2322" s="628" t="s">
        <v>3493</v>
      </c>
      <c r="BA2322" s="629" t="s">
        <v>402</v>
      </c>
    </row>
    <row r="2323" spans="51:53">
      <c r="AY2323" s="627">
        <v>8053</v>
      </c>
      <c r="AZ2323" s="628" t="s">
        <v>3494</v>
      </c>
      <c r="BA2323" s="629" t="s">
        <v>402</v>
      </c>
    </row>
    <row r="2324" spans="51:53">
      <c r="AY2324" s="627">
        <v>8054</v>
      </c>
      <c r="AZ2324" s="628" t="s">
        <v>3496</v>
      </c>
      <c r="BA2324" s="629" t="s">
        <v>402</v>
      </c>
    </row>
    <row r="2325" spans="51:53">
      <c r="AY2325" s="627">
        <v>8055</v>
      </c>
      <c r="AZ2325" s="628" t="s">
        <v>3496</v>
      </c>
      <c r="BA2325" s="629" t="s">
        <v>402</v>
      </c>
    </row>
    <row r="2326" spans="51:53">
      <c r="AY2326" s="627">
        <v>8056</v>
      </c>
      <c r="AZ2326" s="628" t="s">
        <v>3497</v>
      </c>
      <c r="BA2326" s="629" t="s">
        <v>402</v>
      </c>
    </row>
    <row r="2327" spans="51:53">
      <c r="AY2327" s="627">
        <v>8060</v>
      </c>
      <c r="AZ2327" s="628" t="s">
        <v>3498</v>
      </c>
      <c r="BA2327" s="629" t="s">
        <v>402</v>
      </c>
    </row>
    <row r="2328" spans="51:53">
      <c r="AY2328" s="627">
        <v>8065</v>
      </c>
      <c r="AZ2328" s="628" t="s">
        <v>3499</v>
      </c>
      <c r="BA2328" s="629" t="s">
        <v>402</v>
      </c>
    </row>
    <row r="2329" spans="51:53">
      <c r="AY2329" s="627">
        <v>8066</v>
      </c>
      <c r="AZ2329" s="628" t="s">
        <v>3500</v>
      </c>
      <c r="BA2329" s="629" t="s">
        <v>402</v>
      </c>
    </row>
    <row r="2330" spans="51:53">
      <c r="AY2330" s="627">
        <v>8071</v>
      </c>
      <c r="AZ2330" s="628" t="s">
        <v>3501</v>
      </c>
      <c r="BA2330" s="629" t="s">
        <v>402</v>
      </c>
    </row>
    <row r="2331" spans="51:53">
      <c r="AY2331" s="627">
        <v>8072</v>
      </c>
      <c r="AZ2331" s="628" t="s">
        <v>3502</v>
      </c>
      <c r="BA2331" s="629" t="s">
        <v>402</v>
      </c>
    </row>
    <row r="2332" spans="51:53">
      <c r="AY2332" s="627">
        <v>8073</v>
      </c>
      <c r="AZ2332" s="628" t="s">
        <v>3503</v>
      </c>
      <c r="BA2332" s="629" t="s">
        <v>402</v>
      </c>
    </row>
    <row r="2333" spans="51:53">
      <c r="AY2333" s="627">
        <v>8074</v>
      </c>
      <c r="AZ2333" s="628" t="s">
        <v>3504</v>
      </c>
      <c r="BA2333" s="629" t="s">
        <v>402</v>
      </c>
    </row>
    <row r="2334" spans="51:53">
      <c r="AY2334" s="627">
        <v>8081</v>
      </c>
      <c r="AZ2334" s="628" t="s">
        <v>3506</v>
      </c>
      <c r="BA2334" s="629" t="s">
        <v>402</v>
      </c>
    </row>
    <row r="2335" spans="51:53">
      <c r="AY2335" s="627">
        <v>8082</v>
      </c>
      <c r="AZ2335" s="628" t="s">
        <v>3507</v>
      </c>
      <c r="BA2335" s="629" t="s">
        <v>402</v>
      </c>
    </row>
    <row r="2336" spans="51:53">
      <c r="AY2336" s="627">
        <v>8083</v>
      </c>
      <c r="AZ2336" s="628" t="s">
        <v>3508</v>
      </c>
      <c r="BA2336" s="629" t="s">
        <v>402</v>
      </c>
    </row>
    <row r="2337" spans="51:53">
      <c r="AY2337" s="627">
        <v>8085</v>
      </c>
      <c r="AZ2337" s="628" t="s">
        <v>3505</v>
      </c>
      <c r="BA2337" s="629" t="s">
        <v>402</v>
      </c>
    </row>
    <row r="2338" spans="51:53">
      <c r="AY2338" s="627">
        <v>8085</v>
      </c>
      <c r="AZ2338" s="628" t="s">
        <v>2604</v>
      </c>
      <c r="BA2338" s="629" t="s">
        <v>402</v>
      </c>
    </row>
    <row r="2339" spans="51:53">
      <c r="AY2339" s="627">
        <v>8086</v>
      </c>
      <c r="AZ2339" s="628" t="s">
        <v>2605</v>
      </c>
      <c r="BA2339" s="629" t="s">
        <v>402</v>
      </c>
    </row>
    <row r="2340" spans="51:53">
      <c r="AY2340" s="627">
        <v>8087</v>
      </c>
      <c r="AZ2340" s="628" t="s">
        <v>2606</v>
      </c>
      <c r="BA2340" s="629" t="s">
        <v>402</v>
      </c>
    </row>
    <row r="2341" spans="51:53">
      <c r="AY2341" s="627">
        <v>8088</v>
      </c>
      <c r="AZ2341" s="628" t="s">
        <v>2607</v>
      </c>
      <c r="BA2341" s="629" t="s">
        <v>402</v>
      </c>
    </row>
    <row r="2342" spans="51:53">
      <c r="AY2342" s="627">
        <v>8089</v>
      </c>
      <c r="AZ2342" s="628" t="s">
        <v>2608</v>
      </c>
      <c r="BA2342" s="629" t="s">
        <v>402</v>
      </c>
    </row>
    <row r="2343" spans="51:53">
      <c r="AY2343" s="627">
        <v>8092</v>
      </c>
      <c r="AZ2343" s="628" t="s">
        <v>2609</v>
      </c>
      <c r="BA2343" s="629" t="s">
        <v>402</v>
      </c>
    </row>
    <row r="2344" spans="51:53">
      <c r="AY2344" s="627">
        <v>8093</v>
      </c>
      <c r="AZ2344" s="628" t="s">
        <v>2610</v>
      </c>
      <c r="BA2344" s="629" t="s">
        <v>402</v>
      </c>
    </row>
    <row r="2345" spans="51:53">
      <c r="AY2345" s="627">
        <v>8095</v>
      </c>
      <c r="AZ2345" s="628" t="s">
        <v>2611</v>
      </c>
      <c r="BA2345" s="629" t="s">
        <v>402</v>
      </c>
    </row>
    <row r="2346" spans="51:53">
      <c r="AY2346" s="627">
        <v>8096</v>
      </c>
      <c r="AZ2346" s="628" t="s">
        <v>2612</v>
      </c>
      <c r="BA2346" s="629" t="s">
        <v>402</v>
      </c>
    </row>
    <row r="2347" spans="51:53">
      <c r="AY2347" s="627">
        <v>8097</v>
      </c>
      <c r="AZ2347" s="628" t="s">
        <v>2613</v>
      </c>
      <c r="BA2347" s="629" t="s">
        <v>402</v>
      </c>
    </row>
    <row r="2348" spans="51:53">
      <c r="AY2348" s="627">
        <v>8100</v>
      </c>
      <c r="AZ2348" s="628" t="s">
        <v>2614</v>
      </c>
      <c r="BA2348" s="629" t="s">
        <v>419</v>
      </c>
    </row>
    <row r="2349" spans="51:53">
      <c r="AY2349" s="627">
        <v>8103</v>
      </c>
      <c r="AZ2349" s="628" t="s">
        <v>2614</v>
      </c>
      <c r="BA2349" s="629" t="s">
        <v>419</v>
      </c>
    </row>
    <row r="2350" spans="51:53">
      <c r="AY2350" s="627">
        <v>8104</v>
      </c>
      <c r="AZ2350" s="628" t="s">
        <v>2614</v>
      </c>
      <c r="BA2350" s="629" t="s">
        <v>419</v>
      </c>
    </row>
    <row r="2351" spans="51:53">
      <c r="AY2351" s="627">
        <v>8105</v>
      </c>
      <c r="AZ2351" s="628" t="s">
        <v>2616</v>
      </c>
      <c r="BA2351" s="629" t="s">
        <v>419</v>
      </c>
    </row>
    <row r="2352" spans="51:53">
      <c r="AY2352" s="627">
        <v>8109</v>
      </c>
      <c r="AZ2352" s="628" t="s">
        <v>2617</v>
      </c>
      <c r="BA2352" s="629" t="s">
        <v>419</v>
      </c>
    </row>
    <row r="2353" spans="51:53">
      <c r="AY2353" s="627">
        <v>8111</v>
      </c>
      <c r="AZ2353" s="628" t="s">
        <v>2618</v>
      </c>
      <c r="BA2353" s="629" t="s">
        <v>402</v>
      </c>
    </row>
    <row r="2354" spans="51:53">
      <c r="AY2354" s="627">
        <v>8112</v>
      </c>
      <c r="AZ2354" s="628" t="s">
        <v>2619</v>
      </c>
      <c r="BA2354" s="629" t="s">
        <v>402</v>
      </c>
    </row>
    <row r="2355" spans="51:53">
      <c r="AY2355" s="627">
        <v>8121</v>
      </c>
      <c r="AZ2355" s="628" t="s">
        <v>2621</v>
      </c>
      <c r="BA2355" s="629" t="s">
        <v>402</v>
      </c>
    </row>
    <row r="2356" spans="51:53">
      <c r="AY2356" s="627">
        <v>8122</v>
      </c>
      <c r="AZ2356" s="628" t="s">
        <v>2622</v>
      </c>
      <c r="BA2356" s="629" t="s">
        <v>402</v>
      </c>
    </row>
    <row r="2357" spans="51:53">
      <c r="AY2357" s="627">
        <v>8123</v>
      </c>
      <c r="AZ2357" s="628" t="s">
        <v>2623</v>
      </c>
      <c r="BA2357" s="629" t="s">
        <v>402</v>
      </c>
    </row>
    <row r="2358" spans="51:53">
      <c r="AY2358" s="627">
        <v>8124</v>
      </c>
      <c r="AZ2358" s="628" t="s">
        <v>3745</v>
      </c>
      <c r="BA2358" s="629" t="s">
        <v>402</v>
      </c>
    </row>
    <row r="2359" spans="51:53">
      <c r="AY2359" s="627">
        <v>8125</v>
      </c>
      <c r="AZ2359" s="628" t="s">
        <v>2625</v>
      </c>
      <c r="BA2359" s="629" t="s">
        <v>402</v>
      </c>
    </row>
    <row r="2360" spans="51:53">
      <c r="AY2360" s="627">
        <v>8126</v>
      </c>
      <c r="AZ2360" s="628" t="s">
        <v>2626</v>
      </c>
      <c r="BA2360" s="629" t="s">
        <v>402</v>
      </c>
    </row>
    <row r="2361" spans="51:53">
      <c r="AY2361" s="627">
        <v>8127</v>
      </c>
      <c r="AZ2361" s="628" t="s">
        <v>2627</v>
      </c>
      <c r="BA2361" s="629" t="s">
        <v>402</v>
      </c>
    </row>
    <row r="2362" spans="51:53">
      <c r="AY2362" s="627">
        <v>8128</v>
      </c>
      <c r="AZ2362" s="628" t="s">
        <v>2627</v>
      </c>
      <c r="BA2362" s="629" t="s">
        <v>402</v>
      </c>
    </row>
    <row r="2363" spans="51:53">
      <c r="AY2363" s="627">
        <v>8130</v>
      </c>
      <c r="AZ2363" s="628" t="s">
        <v>2629</v>
      </c>
      <c r="BA2363" s="629" t="s">
        <v>402</v>
      </c>
    </row>
    <row r="2364" spans="51:53">
      <c r="AY2364" s="627">
        <v>8131</v>
      </c>
      <c r="AZ2364" s="628" t="s">
        <v>2629</v>
      </c>
      <c r="BA2364" s="629" t="s">
        <v>402</v>
      </c>
    </row>
    <row r="2365" spans="51:53">
      <c r="AY2365" s="627">
        <v>8132</v>
      </c>
      <c r="AZ2365" s="628" t="s">
        <v>2631</v>
      </c>
      <c r="BA2365" s="629" t="s">
        <v>402</v>
      </c>
    </row>
    <row r="2366" spans="51:53">
      <c r="AY2366" s="627">
        <v>8133</v>
      </c>
      <c r="AZ2366" s="628" t="s">
        <v>2632</v>
      </c>
      <c r="BA2366" s="629" t="s">
        <v>402</v>
      </c>
    </row>
    <row r="2367" spans="51:53">
      <c r="AY2367" s="627">
        <v>8134</v>
      </c>
      <c r="AZ2367" s="628" t="s">
        <v>2633</v>
      </c>
      <c r="BA2367" s="629" t="s">
        <v>402</v>
      </c>
    </row>
    <row r="2368" spans="51:53">
      <c r="AY2368" s="627">
        <v>8135</v>
      </c>
      <c r="AZ2368" s="628" t="s">
        <v>2634</v>
      </c>
      <c r="BA2368" s="629" t="s">
        <v>402</v>
      </c>
    </row>
    <row r="2369" spans="51:53">
      <c r="AY2369" s="627">
        <v>8136</v>
      </c>
      <c r="AZ2369" s="628" t="s">
        <v>2635</v>
      </c>
      <c r="BA2369" s="629" t="s">
        <v>402</v>
      </c>
    </row>
    <row r="2370" spans="51:53">
      <c r="AY2370" s="627">
        <v>8137</v>
      </c>
      <c r="AZ2370" s="628" t="s">
        <v>2636</v>
      </c>
      <c r="BA2370" s="629" t="s">
        <v>402</v>
      </c>
    </row>
    <row r="2371" spans="51:53">
      <c r="AY2371" s="627">
        <v>8138</v>
      </c>
      <c r="AZ2371" s="628" t="s">
        <v>286</v>
      </c>
      <c r="BA2371" s="629" t="s">
        <v>402</v>
      </c>
    </row>
    <row r="2372" spans="51:53">
      <c r="AY2372" s="627">
        <v>8142</v>
      </c>
      <c r="AZ2372" s="628" t="s">
        <v>287</v>
      </c>
      <c r="BA2372" s="629" t="s">
        <v>402</v>
      </c>
    </row>
    <row r="2373" spans="51:53">
      <c r="AY2373" s="627">
        <v>8143</v>
      </c>
      <c r="AZ2373" s="628" t="s">
        <v>2641</v>
      </c>
      <c r="BA2373" s="629" t="s">
        <v>402</v>
      </c>
    </row>
    <row r="2374" spans="51:53">
      <c r="AY2374" s="627">
        <v>8144</v>
      </c>
      <c r="AZ2374" s="630" t="s">
        <v>2642</v>
      </c>
      <c r="BA2374" s="629" t="s">
        <v>402</v>
      </c>
    </row>
    <row r="2375" spans="51:53">
      <c r="AY2375" s="627">
        <v>8145</v>
      </c>
      <c r="AZ2375" s="630" t="s">
        <v>289</v>
      </c>
      <c r="BA2375" s="629" t="s">
        <v>402</v>
      </c>
    </row>
    <row r="2376" spans="51:53">
      <c r="AY2376" s="627">
        <v>8146</v>
      </c>
      <c r="AZ2376" s="628" t="s">
        <v>2644</v>
      </c>
      <c r="BA2376" s="629" t="s">
        <v>402</v>
      </c>
    </row>
    <row r="2377" spans="51:53">
      <c r="AY2377" s="627">
        <v>8151</v>
      </c>
      <c r="AZ2377" s="628" t="s">
        <v>2640</v>
      </c>
      <c r="BA2377" s="629" t="s">
        <v>402</v>
      </c>
    </row>
    <row r="2378" spans="51:53">
      <c r="AY2378" s="627">
        <v>8152</v>
      </c>
      <c r="AZ2378" s="628" t="s">
        <v>2645</v>
      </c>
      <c r="BA2378" s="629" t="s">
        <v>402</v>
      </c>
    </row>
    <row r="2379" spans="51:53">
      <c r="AY2379" s="627">
        <v>8153</v>
      </c>
      <c r="AZ2379" s="628" t="s">
        <v>2647</v>
      </c>
      <c r="BA2379" s="629" t="s">
        <v>402</v>
      </c>
    </row>
    <row r="2380" spans="51:53">
      <c r="AY2380" s="627">
        <v>8154</v>
      </c>
      <c r="AZ2380" s="628" t="s">
        <v>2647</v>
      </c>
      <c r="BA2380" s="629" t="s">
        <v>402</v>
      </c>
    </row>
    <row r="2381" spans="51:53">
      <c r="AY2381" s="627">
        <v>8155</v>
      </c>
      <c r="AZ2381" s="628" t="s">
        <v>2647</v>
      </c>
      <c r="BA2381" s="629" t="s">
        <v>402</v>
      </c>
    </row>
    <row r="2382" spans="51:53">
      <c r="AY2382" s="627">
        <v>8156</v>
      </c>
      <c r="AZ2382" s="628" t="s">
        <v>2649</v>
      </c>
      <c r="BA2382" s="629" t="s">
        <v>402</v>
      </c>
    </row>
    <row r="2383" spans="51:53">
      <c r="AY2383" s="627">
        <v>8157</v>
      </c>
      <c r="AZ2383" s="628" t="s">
        <v>2650</v>
      </c>
      <c r="BA2383" s="629" t="s">
        <v>402</v>
      </c>
    </row>
    <row r="2384" spans="51:53">
      <c r="AY2384" s="627">
        <v>8161</v>
      </c>
      <c r="AZ2384" s="628" t="s">
        <v>2651</v>
      </c>
      <c r="BA2384" s="629" t="s">
        <v>419</v>
      </c>
    </row>
    <row r="2385" spans="51:53">
      <c r="AY2385" s="627">
        <v>8162</v>
      </c>
      <c r="AZ2385" s="628" t="s">
        <v>2652</v>
      </c>
      <c r="BA2385" s="629" t="s">
        <v>419</v>
      </c>
    </row>
    <row r="2386" spans="51:53">
      <c r="AY2386" s="627">
        <v>8163</v>
      </c>
      <c r="AZ2386" s="628" t="s">
        <v>2653</v>
      </c>
      <c r="BA2386" s="629" t="s">
        <v>419</v>
      </c>
    </row>
    <row r="2387" spans="51:53">
      <c r="AY2387" s="627">
        <v>8164</v>
      </c>
      <c r="AZ2387" s="628" t="s">
        <v>2654</v>
      </c>
      <c r="BA2387" s="629" t="s">
        <v>419</v>
      </c>
    </row>
    <row r="2388" spans="51:53">
      <c r="AY2388" s="627">
        <v>8171</v>
      </c>
      <c r="AZ2388" s="628" t="s">
        <v>2655</v>
      </c>
      <c r="BA2388" s="629" t="s">
        <v>419</v>
      </c>
    </row>
    <row r="2389" spans="51:53">
      <c r="AY2389" s="627">
        <v>8172</v>
      </c>
      <c r="AZ2389" s="628" t="s">
        <v>2656</v>
      </c>
      <c r="BA2389" s="629" t="s">
        <v>419</v>
      </c>
    </row>
    <row r="2390" spans="51:53">
      <c r="AY2390" s="61">
        <v>8173</v>
      </c>
      <c r="AZ2390" s="639" t="s">
        <v>2656</v>
      </c>
      <c r="BA2390" s="629" t="s">
        <v>419</v>
      </c>
    </row>
    <row r="2391" spans="51:53">
      <c r="AY2391" s="627">
        <v>8174</v>
      </c>
      <c r="AZ2391" s="628" t="s">
        <v>2656</v>
      </c>
      <c r="BA2391" s="629" t="s">
        <v>419</v>
      </c>
    </row>
    <row r="2392" spans="51:53">
      <c r="AY2392" s="627">
        <v>8175</v>
      </c>
      <c r="AZ2392" s="628" t="s">
        <v>2658</v>
      </c>
      <c r="BA2392" s="629" t="s">
        <v>419</v>
      </c>
    </row>
    <row r="2393" spans="51:53">
      <c r="AY2393" s="627">
        <v>8181</v>
      </c>
      <c r="AZ2393" s="628" t="s">
        <v>2659</v>
      </c>
      <c r="BA2393" s="629" t="s">
        <v>419</v>
      </c>
    </row>
    <row r="2394" spans="51:53">
      <c r="AY2394" s="627">
        <v>8182</v>
      </c>
      <c r="AZ2394" s="628" t="s">
        <v>2659</v>
      </c>
      <c r="BA2394" s="629" t="s">
        <v>419</v>
      </c>
    </row>
    <row r="2395" spans="51:53">
      <c r="AY2395" s="627">
        <v>8183</v>
      </c>
      <c r="AZ2395" s="628" t="s">
        <v>2661</v>
      </c>
      <c r="BA2395" s="629" t="s">
        <v>419</v>
      </c>
    </row>
    <row r="2396" spans="51:53">
      <c r="AY2396" s="627">
        <v>8184</v>
      </c>
      <c r="AZ2396" s="628" t="s">
        <v>2658</v>
      </c>
      <c r="BA2396" s="629" t="s">
        <v>419</v>
      </c>
    </row>
    <row r="2397" spans="51:53">
      <c r="AY2397" s="627">
        <v>8191</v>
      </c>
      <c r="AZ2397" s="628" t="s">
        <v>296</v>
      </c>
      <c r="BA2397" s="629" t="s">
        <v>419</v>
      </c>
    </row>
    <row r="2398" spans="51:53">
      <c r="AY2398" s="627">
        <v>8192</v>
      </c>
      <c r="AZ2398" s="628" t="s">
        <v>24</v>
      </c>
      <c r="BA2398" s="629" t="s">
        <v>419</v>
      </c>
    </row>
    <row r="2399" spans="51:53">
      <c r="AY2399" s="627">
        <v>8193</v>
      </c>
      <c r="AZ2399" s="628" t="s">
        <v>25</v>
      </c>
      <c r="BA2399" s="629" t="s">
        <v>419</v>
      </c>
    </row>
    <row r="2400" spans="51:53">
      <c r="AY2400" s="627">
        <v>8194</v>
      </c>
      <c r="AZ2400" s="628" t="s">
        <v>26</v>
      </c>
      <c r="BA2400" s="629" t="s">
        <v>419</v>
      </c>
    </row>
    <row r="2401" spans="51:53">
      <c r="AY2401" s="627">
        <v>8195</v>
      </c>
      <c r="AZ2401" s="628" t="s">
        <v>27</v>
      </c>
      <c r="BA2401" s="629" t="s">
        <v>419</v>
      </c>
    </row>
    <row r="2402" spans="51:53">
      <c r="AY2402" s="627">
        <v>8196</v>
      </c>
      <c r="AZ2402" s="628" t="s">
        <v>28</v>
      </c>
      <c r="BA2402" s="629" t="s">
        <v>419</v>
      </c>
    </row>
    <row r="2403" spans="51:53">
      <c r="AY2403" s="627">
        <v>8200</v>
      </c>
      <c r="AZ2403" s="628" t="s">
        <v>419</v>
      </c>
      <c r="BA2403" s="628" t="s">
        <v>158</v>
      </c>
    </row>
    <row r="2404" spans="51:53">
      <c r="AY2404" s="627">
        <v>8220</v>
      </c>
      <c r="AZ2404" s="628" t="s">
        <v>29</v>
      </c>
      <c r="BA2404" s="629" t="s">
        <v>419</v>
      </c>
    </row>
    <row r="2405" spans="51:53">
      <c r="AY2405" s="627">
        <v>8225</v>
      </c>
      <c r="AZ2405" s="628" t="s">
        <v>32</v>
      </c>
      <c r="BA2405" s="629" t="s">
        <v>419</v>
      </c>
    </row>
    <row r="2406" spans="51:53">
      <c r="AY2406" s="627">
        <v>8226</v>
      </c>
      <c r="AZ2406" s="628" t="s">
        <v>2852</v>
      </c>
      <c r="BA2406" s="629" t="s">
        <v>419</v>
      </c>
    </row>
    <row r="2407" spans="51:53">
      <c r="AY2407" s="627">
        <v>8227</v>
      </c>
      <c r="AZ2407" s="628" t="s">
        <v>2853</v>
      </c>
      <c r="BA2407" s="629" t="s">
        <v>419</v>
      </c>
    </row>
    <row r="2408" spans="51:53">
      <c r="AY2408" s="627">
        <v>8228</v>
      </c>
      <c r="AZ2408" s="628" t="s">
        <v>298</v>
      </c>
      <c r="BA2408" s="629" t="s">
        <v>419</v>
      </c>
    </row>
    <row r="2409" spans="51:53">
      <c r="AY2409" s="692">
        <v>8229</v>
      </c>
      <c r="AZ2409" s="628" t="s">
        <v>299</v>
      </c>
      <c r="BA2409" s="629" t="s">
        <v>419</v>
      </c>
    </row>
    <row r="2410" spans="51:53">
      <c r="AY2410" s="627">
        <v>8229</v>
      </c>
      <c r="AZ2410" s="628" t="s">
        <v>2855</v>
      </c>
      <c r="BA2410" s="629" t="s">
        <v>419</v>
      </c>
    </row>
    <row r="2411" spans="51:53">
      <c r="AY2411" s="627">
        <v>8230</v>
      </c>
      <c r="AZ2411" s="628" t="s">
        <v>2856</v>
      </c>
      <c r="BA2411" s="629" t="s">
        <v>419</v>
      </c>
    </row>
    <row r="2412" spans="51:53">
      <c r="AY2412" s="627">
        <v>8233</v>
      </c>
      <c r="AZ2412" s="628" t="s">
        <v>4366</v>
      </c>
      <c r="BA2412" s="629" t="s">
        <v>419</v>
      </c>
    </row>
    <row r="2413" spans="51:53">
      <c r="AY2413" s="627">
        <v>8236</v>
      </c>
      <c r="AZ2413" s="628" t="s">
        <v>2856</v>
      </c>
      <c r="BA2413" s="629" t="s">
        <v>419</v>
      </c>
    </row>
    <row r="2414" spans="51:53">
      <c r="AY2414" s="627">
        <v>8237</v>
      </c>
      <c r="AZ2414" s="628" t="s">
        <v>4369</v>
      </c>
      <c r="BA2414" s="629" t="s">
        <v>419</v>
      </c>
    </row>
    <row r="2415" spans="51:53">
      <c r="AY2415" s="627">
        <v>8241</v>
      </c>
      <c r="AZ2415" s="628" t="s">
        <v>4370</v>
      </c>
      <c r="BA2415" s="629" t="s">
        <v>419</v>
      </c>
    </row>
    <row r="2416" spans="51:53">
      <c r="AY2416" s="627">
        <v>8242</v>
      </c>
      <c r="AZ2416" s="628" t="s">
        <v>1642</v>
      </c>
      <c r="BA2416" s="629" t="s">
        <v>419</v>
      </c>
    </row>
    <row r="2417" spans="51:53">
      <c r="AY2417" s="627">
        <v>8242</v>
      </c>
      <c r="AZ2417" s="628" t="s">
        <v>4371</v>
      </c>
      <c r="BA2417" s="629" t="s">
        <v>419</v>
      </c>
    </row>
    <row r="2418" spans="51:53">
      <c r="AY2418" s="627">
        <v>8243</v>
      </c>
      <c r="AZ2418" s="628" t="s">
        <v>4372</v>
      </c>
      <c r="BA2418" s="629" t="s">
        <v>419</v>
      </c>
    </row>
    <row r="2419" spans="51:53">
      <c r="AY2419" s="627">
        <v>8244</v>
      </c>
      <c r="AZ2419" s="628" t="s">
        <v>4373</v>
      </c>
      <c r="BA2419" s="629" t="s">
        <v>419</v>
      </c>
    </row>
    <row r="2420" spans="51:53">
      <c r="AY2420" s="627">
        <v>8245</v>
      </c>
      <c r="AZ2420" s="628" t="s">
        <v>1643</v>
      </c>
      <c r="BA2420" s="629" t="s">
        <v>419</v>
      </c>
    </row>
    <row r="2421" spans="51:53">
      <c r="AY2421" s="627">
        <v>8245</v>
      </c>
      <c r="AZ2421" s="628" t="s">
        <v>4374</v>
      </c>
      <c r="BA2421" s="629" t="s">
        <v>419</v>
      </c>
    </row>
    <row r="2422" spans="51:53">
      <c r="AY2422" s="627">
        <v>8246</v>
      </c>
      <c r="AZ2422" s="628" t="s">
        <v>4375</v>
      </c>
      <c r="BA2422" s="629" t="s">
        <v>419</v>
      </c>
    </row>
    <row r="2423" spans="51:53">
      <c r="AY2423" s="627">
        <v>8247</v>
      </c>
      <c r="AZ2423" s="628" t="s">
        <v>4376</v>
      </c>
      <c r="BA2423" s="629" t="s">
        <v>419</v>
      </c>
    </row>
    <row r="2424" spans="51:53">
      <c r="AY2424" s="627">
        <v>8248</v>
      </c>
      <c r="AZ2424" s="628" t="s">
        <v>1644</v>
      </c>
      <c r="BA2424" s="629" t="s">
        <v>419</v>
      </c>
    </row>
    <row r="2425" spans="51:53">
      <c r="AY2425" s="627">
        <v>8248</v>
      </c>
      <c r="AZ2425" s="628" t="s">
        <v>1645</v>
      </c>
      <c r="BA2425" s="629" t="s">
        <v>419</v>
      </c>
    </row>
    <row r="2426" spans="51:53">
      <c r="AY2426" s="627">
        <v>8251</v>
      </c>
      <c r="AZ2426" s="628" t="s">
        <v>4378</v>
      </c>
      <c r="BA2426" s="629" t="s">
        <v>419</v>
      </c>
    </row>
    <row r="2427" spans="51:53">
      <c r="AY2427" s="627">
        <v>8252</v>
      </c>
      <c r="AZ2427" s="628" t="s">
        <v>4379</v>
      </c>
      <c r="BA2427" s="629" t="s">
        <v>419</v>
      </c>
    </row>
    <row r="2428" spans="51:53">
      <c r="AY2428" s="627">
        <v>8253</v>
      </c>
      <c r="AZ2428" s="628" t="s">
        <v>4380</v>
      </c>
      <c r="BA2428" s="629" t="s">
        <v>419</v>
      </c>
    </row>
    <row r="2429" spans="51:53">
      <c r="AY2429" s="627">
        <v>8254</v>
      </c>
      <c r="AZ2429" s="628" t="s">
        <v>1647</v>
      </c>
      <c r="BA2429" s="629" t="s">
        <v>419</v>
      </c>
    </row>
    <row r="2430" spans="51:53">
      <c r="AY2430" s="627">
        <v>8254</v>
      </c>
      <c r="AZ2430" s="628" t="s">
        <v>4381</v>
      </c>
      <c r="BA2430" s="629" t="s">
        <v>419</v>
      </c>
    </row>
    <row r="2431" spans="51:53">
      <c r="AY2431" s="627">
        <v>8255</v>
      </c>
      <c r="AZ2431" s="628" t="s">
        <v>1648</v>
      </c>
      <c r="BA2431" s="629" t="s">
        <v>419</v>
      </c>
    </row>
    <row r="2432" spans="51:53">
      <c r="AY2432" s="627">
        <v>8256</v>
      </c>
      <c r="AZ2432" s="628" t="s">
        <v>1649</v>
      </c>
      <c r="BA2432" s="629" t="s">
        <v>419</v>
      </c>
    </row>
    <row r="2433" spans="51:53">
      <c r="AY2433" s="627">
        <v>8256</v>
      </c>
      <c r="AZ2433" s="628" t="s">
        <v>4383</v>
      </c>
      <c r="BA2433" s="629" t="s">
        <v>419</v>
      </c>
    </row>
    <row r="2434" spans="51:53">
      <c r="AY2434" s="627">
        <v>8257</v>
      </c>
      <c r="AZ2434" s="628" t="s">
        <v>4385</v>
      </c>
      <c r="BA2434" s="629" t="s">
        <v>419</v>
      </c>
    </row>
    <row r="2435" spans="51:53">
      <c r="AY2435" s="627">
        <v>8258</v>
      </c>
      <c r="AZ2435" s="628" t="s">
        <v>4385</v>
      </c>
      <c r="BA2435" s="629" t="s">
        <v>419</v>
      </c>
    </row>
    <row r="2436" spans="51:53">
      <c r="AY2436" s="627">
        <v>8261</v>
      </c>
      <c r="AZ2436" s="628" t="s">
        <v>4385</v>
      </c>
      <c r="BA2436" s="629" t="s">
        <v>419</v>
      </c>
    </row>
    <row r="2437" spans="51:53">
      <c r="AY2437" s="627">
        <v>8262</v>
      </c>
      <c r="AZ2437" s="628" t="s">
        <v>4388</v>
      </c>
      <c r="BA2437" s="629" t="s">
        <v>419</v>
      </c>
    </row>
    <row r="2438" spans="51:53">
      <c r="AY2438" s="627">
        <v>8263</v>
      </c>
      <c r="AZ2438" s="628" t="s">
        <v>4388</v>
      </c>
      <c r="BA2438" s="629" t="s">
        <v>419</v>
      </c>
    </row>
    <row r="2439" spans="51:53">
      <c r="AY2439" s="627">
        <v>8264</v>
      </c>
      <c r="AZ2439" s="628" t="s">
        <v>4389</v>
      </c>
      <c r="BA2439" s="629" t="s">
        <v>419</v>
      </c>
    </row>
    <row r="2440" spans="51:53">
      <c r="AY2440" s="627">
        <v>8265</v>
      </c>
      <c r="AZ2440" s="628" t="s">
        <v>4390</v>
      </c>
      <c r="BA2440" s="629" t="s">
        <v>419</v>
      </c>
    </row>
    <row r="2441" spans="51:53">
      <c r="AY2441" s="627">
        <v>8271</v>
      </c>
      <c r="AZ2441" s="628" t="s">
        <v>4391</v>
      </c>
      <c r="BA2441" s="629" t="s">
        <v>419</v>
      </c>
    </row>
    <row r="2442" spans="51:53">
      <c r="AY2442" s="627">
        <v>8272</v>
      </c>
      <c r="AZ2442" s="628" t="s">
        <v>1652</v>
      </c>
      <c r="BA2442" s="629" t="s">
        <v>419</v>
      </c>
    </row>
    <row r="2443" spans="51:53">
      <c r="AY2443" s="627">
        <v>8272</v>
      </c>
      <c r="AZ2443" s="628" t="s">
        <v>1653</v>
      </c>
      <c r="BA2443" s="629" t="s">
        <v>419</v>
      </c>
    </row>
    <row r="2444" spans="51:53">
      <c r="AY2444" s="627">
        <v>8272</v>
      </c>
      <c r="AZ2444" s="628" t="s">
        <v>1654</v>
      </c>
      <c r="BA2444" s="629" t="s">
        <v>419</v>
      </c>
    </row>
    <row r="2445" spans="51:53">
      <c r="AY2445" s="627">
        <v>8272</v>
      </c>
      <c r="AZ2445" s="628" t="s">
        <v>1655</v>
      </c>
      <c r="BA2445" s="629" t="s">
        <v>419</v>
      </c>
    </row>
    <row r="2446" spans="51:53">
      <c r="AY2446" s="627">
        <v>8272</v>
      </c>
      <c r="AZ2446" s="628" t="s">
        <v>4392</v>
      </c>
      <c r="BA2446" s="629" t="s">
        <v>419</v>
      </c>
    </row>
    <row r="2447" spans="51:53">
      <c r="AY2447" s="627">
        <v>8273</v>
      </c>
      <c r="AZ2447" s="628" t="s">
        <v>4393</v>
      </c>
      <c r="BA2447" s="629" t="s">
        <v>419</v>
      </c>
    </row>
    <row r="2448" spans="51:53">
      <c r="AY2448" s="627">
        <v>8274</v>
      </c>
      <c r="AZ2448" s="628" t="s">
        <v>4394</v>
      </c>
      <c r="BA2448" s="629" t="s">
        <v>419</v>
      </c>
    </row>
    <row r="2449" spans="51:53">
      <c r="AY2449" s="627">
        <v>8275</v>
      </c>
      <c r="AZ2449" s="628" t="s">
        <v>1241</v>
      </c>
      <c r="BA2449" s="629" t="s">
        <v>419</v>
      </c>
    </row>
    <row r="2450" spans="51:53">
      <c r="AY2450" s="627">
        <v>8281</v>
      </c>
      <c r="AZ2450" s="628" t="s">
        <v>1242</v>
      </c>
      <c r="BA2450" s="629" t="s">
        <v>419</v>
      </c>
    </row>
    <row r="2451" spans="51:53">
      <c r="AY2451" s="627">
        <v>8282</v>
      </c>
      <c r="AZ2451" s="628" t="s">
        <v>1243</v>
      </c>
      <c r="BA2451" s="629" t="s">
        <v>419</v>
      </c>
    </row>
    <row r="2452" spans="51:53">
      <c r="AY2452" s="627">
        <v>8283</v>
      </c>
      <c r="AZ2452" s="628" t="s">
        <v>1244</v>
      </c>
      <c r="BA2452" s="629" t="s">
        <v>419</v>
      </c>
    </row>
    <row r="2453" spans="51:53">
      <c r="AY2453" s="627">
        <v>8284</v>
      </c>
      <c r="AZ2453" s="628" t="s">
        <v>1246</v>
      </c>
      <c r="BA2453" s="629" t="s">
        <v>419</v>
      </c>
    </row>
    <row r="2454" spans="51:53">
      <c r="AY2454" s="627">
        <v>8284</v>
      </c>
      <c r="AZ2454" s="628" t="s">
        <v>1245</v>
      </c>
      <c r="BA2454" s="629" t="s">
        <v>419</v>
      </c>
    </row>
    <row r="2455" spans="51:53">
      <c r="AY2455" s="627">
        <v>8286</v>
      </c>
      <c r="AZ2455" s="628" t="s">
        <v>1247</v>
      </c>
      <c r="BA2455" s="629" t="s">
        <v>419</v>
      </c>
    </row>
    <row r="2456" spans="51:53">
      <c r="AY2456" s="627">
        <v>8291</v>
      </c>
      <c r="AZ2456" s="628" t="s">
        <v>1656</v>
      </c>
      <c r="BA2456" s="629" t="s">
        <v>419</v>
      </c>
    </row>
    <row r="2457" spans="51:53">
      <c r="AY2457" s="627">
        <v>8291</v>
      </c>
      <c r="AZ2457" s="628" t="s">
        <v>1657</v>
      </c>
      <c r="BA2457" s="629" t="s">
        <v>419</v>
      </c>
    </row>
    <row r="2458" spans="51:53">
      <c r="AY2458" s="627">
        <v>8291</v>
      </c>
      <c r="AZ2458" s="628" t="s">
        <v>1658</v>
      </c>
      <c r="BA2458" s="629" t="s">
        <v>419</v>
      </c>
    </row>
    <row r="2459" spans="51:53">
      <c r="AY2459" s="627">
        <v>8291</v>
      </c>
      <c r="AZ2459" s="628" t="s">
        <v>1248</v>
      </c>
      <c r="BA2459" s="629" t="s">
        <v>419</v>
      </c>
    </row>
    <row r="2460" spans="51:53">
      <c r="AY2460" s="627">
        <v>8292</v>
      </c>
      <c r="AZ2460" s="628" t="s">
        <v>1249</v>
      </c>
      <c r="BA2460" s="629" t="s">
        <v>419</v>
      </c>
    </row>
    <row r="2461" spans="51:53">
      <c r="AY2461" s="627">
        <v>8294</v>
      </c>
      <c r="AZ2461" s="628" t="s">
        <v>1251</v>
      </c>
      <c r="BA2461" s="629" t="s">
        <v>419</v>
      </c>
    </row>
    <row r="2462" spans="51:53">
      <c r="AY2462" s="627">
        <v>8294</v>
      </c>
      <c r="AZ2462" s="628" t="s">
        <v>1250</v>
      </c>
      <c r="BA2462" s="629" t="s">
        <v>419</v>
      </c>
    </row>
    <row r="2463" spans="51:53">
      <c r="AY2463" s="627">
        <v>8295</v>
      </c>
      <c r="AZ2463" s="628" t="s">
        <v>1252</v>
      </c>
      <c r="BA2463" s="629" t="s">
        <v>419</v>
      </c>
    </row>
    <row r="2464" spans="51:53">
      <c r="AY2464" s="627">
        <v>8296</v>
      </c>
      <c r="AZ2464" s="628" t="s">
        <v>1659</v>
      </c>
      <c r="BA2464" s="629" t="s">
        <v>419</v>
      </c>
    </row>
    <row r="2465" spans="51:53">
      <c r="AY2465" s="627">
        <v>8296</v>
      </c>
      <c r="AZ2465" s="628" t="s">
        <v>1253</v>
      </c>
      <c r="BA2465" s="629" t="s">
        <v>419</v>
      </c>
    </row>
    <row r="2466" spans="51:53">
      <c r="AY2466" s="627">
        <v>8297</v>
      </c>
      <c r="AZ2466" s="628" t="s">
        <v>1660</v>
      </c>
      <c r="BA2466" s="629" t="s">
        <v>419</v>
      </c>
    </row>
    <row r="2467" spans="51:53">
      <c r="AY2467" s="627">
        <v>8300</v>
      </c>
      <c r="AZ2467" s="628" t="s">
        <v>1255</v>
      </c>
      <c r="BA2467" s="629" t="s">
        <v>419</v>
      </c>
    </row>
    <row r="2468" spans="51:53">
      <c r="AY2468" s="627">
        <v>8300</v>
      </c>
      <c r="AZ2468" s="628" t="s">
        <v>1660</v>
      </c>
      <c r="BA2468" s="629" t="s">
        <v>419</v>
      </c>
    </row>
    <row r="2469" spans="51:53">
      <c r="AY2469" s="627">
        <v>8308</v>
      </c>
      <c r="AZ2469" s="628" t="s">
        <v>1661</v>
      </c>
      <c r="BA2469" s="629" t="s">
        <v>419</v>
      </c>
    </row>
    <row r="2470" spans="51:53">
      <c r="AY2470" s="627">
        <v>8308</v>
      </c>
      <c r="AZ2470" s="628" t="s">
        <v>1256</v>
      </c>
      <c r="BA2470" s="629" t="s">
        <v>419</v>
      </c>
    </row>
    <row r="2471" spans="51:53">
      <c r="AY2471" s="627">
        <v>8311</v>
      </c>
      <c r="AZ2471" s="628" t="s">
        <v>1257</v>
      </c>
      <c r="BA2471" s="629" t="s">
        <v>419</v>
      </c>
    </row>
    <row r="2472" spans="51:53">
      <c r="AY2472" s="627">
        <v>8312</v>
      </c>
      <c r="AZ2472" s="628" t="s">
        <v>1258</v>
      </c>
      <c r="BA2472" s="629" t="s">
        <v>419</v>
      </c>
    </row>
    <row r="2473" spans="51:53">
      <c r="AY2473" s="627">
        <v>8313</v>
      </c>
      <c r="AZ2473" s="628" t="s">
        <v>1259</v>
      </c>
      <c r="BA2473" s="629" t="s">
        <v>432</v>
      </c>
    </row>
    <row r="2474" spans="51:53">
      <c r="AY2474" s="627">
        <v>8314</v>
      </c>
      <c r="AZ2474" s="628" t="s">
        <v>1260</v>
      </c>
      <c r="BA2474" s="629" t="s">
        <v>432</v>
      </c>
    </row>
    <row r="2475" spans="51:53">
      <c r="AY2475" s="627">
        <v>8315</v>
      </c>
      <c r="AZ2475" s="628" t="s">
        <v>1261</v>
      </c>
      <c r="BA2475" s="629" t="s">
        <v>432</v>
      </c>
    </row>
    <row r="2476" spans="51:53">
      <c r="AY2476" s="627">
        <v>8316</v>
      </c>
      <c r="AZ2476" s="628" t="s">
        <v>1662</v>
      </c>
      <c r="BA2476" s="629" t="s">
        <v>432</v>
      </c>
    </row>
    <row r="2477" spans="51:53">
      <c r="AY2477" s="627">
        <v>8316</v>
      </c>
      <c r="AZ2477" s="628" t="s">
        <v>1262</v>
      </c>
      <c r="BA2477" s="629" t="s">
        <v>432</v>
      </c>
    </row>
    <row r="2478" spans="51:53">
      <c r="AY2478" s="627">
        <v>8318</v>
      </c>
      <c r="AZ2478" s="628" t="s">
        <v>1263</v>
      </c>
      <c r="BA2478" s="629" t="s">
        <v>419</v>
      </c>
    </row>
    <row r="2479" spans="51:53">
      <c r="AY2479" s="627">
        <v>8318</v>
      </c>
      <c r="AZ2479" s="628" t="s">
        <v>1264</v>
      </c>
      <c r="BA2479" s="629" t="s">
        <v>419</v>
      </c>
    </row>
    <row r="2480" spans="51:53">
      <c r="AY2480" s="627">
        <v>8319</v>
      </c>
      <c r="AZ2480" s="628" t="s">
        <v>1265</v>
      </c>
      <c r="BA2480" s="629" t="s">
        <v>419</v>
      </c>
    </row>
    <row r="2481" spans="51:53">
      <c r="AY2481" s="627">
        <v>8321</v>
      </c>
      <c r="AZ2481" s="628" t="s">
        <v>1266</v>
      </c>
      <c r="BA2481" s="629" t="s">
        <v>419</v>
      </c>
    </row>
    <row r="2482" spans="51:53">
      <c r="AY2482" s="627">
        <v>8330</v>
      </c>
      <c r="AZ2482" s="628" t="s">
        <v>1267</v>
      </c>
      <c r="BA2482" s="629" t="s">
        <v>419</v>
      </c>
    </row>
    <row r="2483" spans="51:53">
      <c r="AY2483" s="627">
        <v>8341</v>
      </c>
      <c r="AZ2483" s="628" t="s">
        <v>1663</v>
      </c>
      <c r="BA2483" s="629" t="s">
        <v>432</v>
      </c>
    </row>
    <row r="2484" spans="51:53">
      <c r="AY2484" s="627">
        <v>8341</v>
      </c>
      <c r="AZ2484" s="628" t="s">
        <v>1664</v>
      </c>
      <c r="BA2484" s="629" t="s">
        <v>432</v>
      </c>
    </row>
    <row r="2485" spans="51:53">
      <c r="AY2485" s="627">
        <v>8341</v>
      </c>
      <c r="AZ2485" s="628" t="s">
        <v>1268</v>
      </c>
      <c r="BA2485" s="629" t="s">
        <v>432</v>
      </c>
    </row>
    <row r="2486" spans="51:53">
      <c r="AY2486" s="627">
        <v>8342</v>
      </c>
      <c r="AZ2486" s="628" t="s">
        <v>1269</v>
      </c>
      <c r="BA2486" s="629" t="s">
        <v>432</v>
      </c>
    </row>
    <row r="2487" spans="51:53">
      <c r="AY2487" s="627">
        <v>8344</v>
      </c>
      <c r="AZ2487" s="628" t="s">
        <v>1270</v>
      </c>
      <c r="BA2487" s="629" t="s">
        <v>419</v>
      </c>
    </row>
    <row r="2488" spans="51:53">
      <c r="AY2488" s="627">
        <v>8344</v>
      </c>
      <c r="AZ2488" s="628" t="s">
        <v>1665</v>
      </c>
      <c r="BA2488" s="629" t="s">
        <v>419</v>
      </c>
    </row>
    <row r="2489" spans="51:53">
      <c r="AY2489" s="627">
        <v>8345</v>
      </c>
      <c r="AZ2489" s="628" t="s">
        <v>1271</v>
      </c>
      <c r="BA2489" s="629" t="s">
        <v>419</v>
      </c>
    </row>
    <row r="2490" spans="51:53">
      <c r="AY2490" s="627">
        <v>8346</v>
      </c>
      <c r="AZ2490" s="628" t="s">
        <v>1272</v>
      </c>
      <c r="BA2490" s="629" t="s">
        <v>419</v>
      </c>
    </row>
    <row r="2491" spans="51:53">
      <c r="AY2491" s="627">
        <v>8347</v>
      </c>
      <c r="AZ2491" s="628" t="s">
        <v>1273</v>
      </c>
      <c r="BA2491" s="629" t="s">
        <v>419</v>
      </c>
    </row>
    <row r="2492" spans="51:53">
      <c r="AY2492" s="627">
        <v>8348</v>
      </c>
      <c r="AZ2492" s="628" t="s">
        <v>1666</v>
      </c>
      <c r="BA2492" s="629" t="s">
        <v>419</v>
      </c>
    </row>
    <row r="2493" spans="51:53">
      <c r="AY2493" s="627">
        <v>8348</v>
      </c>
      <c r="AZ2493" s="628" t="s">
        <v>1667</v>
      </c>
      <c r="BA2493" s="629" t="s">
        <v>419</v>
      </c>
    </row>
    <row r="2494" spans="51:53">
      <c r="AY2494" s="627">
        <v>8348</v>
      </c>
      <c r="AZ2494" s="628" t="s">
        <v>1274</v>
      </c>
      <c r="BA2494" s="629" t="s">
        <v>419</v>
      </c>
    </row>
    <row r="2495" spans="51:53">
      <c r="AY2495" s="627">
        <v>8349</v>
      </c>
      <c r="AZ2495" s="628" t="s">
        <v>1275</v>
      </c>
      <c r="BA2495" s="629" t="s">
        <v>419</v>
      </c>
    </row>
    <row r="2496" spans="51:53">
      <c r="AY2496" s="627">
        <v>8351</v>
      </c>
      <c r="AZ2496" s="628" t="s">
        <v>1276</v>
      </c>
      <c r="BA2496" s="629" t="s">
        <v>419</v>
      </c>
    </row>
    <row r="2497" spans="51:53">
      <c r="AY2497" s="627">
        <v>8352</v>
      </c>
      <c r="AZ2497" s="628" t="s">
        <v>1277</v>
      </c>
      <c r="BA2497" s="629" t="s">
        <v>419</v>
      </c>
    </row>
    <row r="2498" spans="51:53">
      <c r="AY2498" s="627">
        <v>8353</v>
      </c>
      <c r="AZ2498" s="628" t="s">
        <v>1668</v>
      </c>
      <c r="BA2498" s="629" t="s">
        <v>432</v>
      </c>
    </row>
    <row r="2499" spans="51:53">
      <c r="AY2499" s="627">
        <v>8353</v>
      </c>
      <c r="AZ2499" s="628" t="s">
        <v>1278</v>
      </c>
      <c r="BA2499" s="629" t="s">
        <v>432</v>
      </c>
    </row>
    <row r="2500" spans="51:53">
      <c r="AY2500" s="627">
        <v>8354</v>
      </c>
      <c r="AZ2500" s="628" t="s">
        <v>1669</v>
      </c>
      <c r="BA2500" s="629" t="s">
        <v>432</v>
      </c>
    </row>
    <row r="2501" spans="51:53">
      <c r="AY2501" s="627">
        <v>8354</v>
      </c>
      <c r="AZ2501" s="628" t="s">
        <v>1670</v>
      </c>
      <c r="BA2501" s="629" t="s">
        <v>432</v>
      </c>
    </row>
    <row r="2502" spans="51:53">
      <c r="AY2502" s="627">
        <v>8354</v>
      </c>
      <c r="AZ2502" s="628" t="s">
        <v>1279</v>
      </c>
      <c r="BA2502" s="629" t="s">
        <v>432</v>
      </c>
    </row>
    <row r="2503" spans="51:53">
      <c r="AY2503" s="627">
        <v>8355</v>
      </c>
      <c r="AZ2503" s="628" t="s">
        <v>1280</v>
      </c>
      <c r="BA2503" s="629" t="s">
        <v>432</v>
      </c>
    </row>
    <row r="2504" spans="51:53">
      <c r="AY2504" s="627">
        <v>8356</v>
      </c>
      <c r="AZ2504" s="628" t="s">
        <v>1671</v>
      </c>
      <c r="BA2504" s="629" t="s">
        <v>432</v>
      </c>
    </row>
    <row r="2505" spans="51:53">
      <c r="AY2505" s="627">
        <v>8356</v>
      </c>
      <c r="AZ2505" s="628" t="s">
        <v>1281</v>
      </c>
      <c r="BA2505" s="629" t="s">
        <v>432</v>
      </c>
    </row>
    <row r="2506" spans="51:53">
      <c r="AY2506" s="627">
        <v>8357</v>
      </c>
      <c r="AZ2506" s="628" t="s">
        <v>1672</v>
      </c>
      <c r="BA2506" s="629" t="s">
        <v>432</v>
      </c>
    </row>
    <row r="2507" spans="51:53">
      <c r="AY2507" s="627">
        <v>8357</v>
      </c>
      <c r="AZ2507" s="628" t="s">
        <v>1282</v>
      </c>
      <c r="BA2507" s="629" t="s">
        <v>432</v>
      </c>
    </row>
    <row r="2508" spans="51:53">
      <c r="AY2508" s="627">
        <v>8360</v>
      </c>
      <c r="AZ2508" s="628" t="s">
        <v>1283</v>
      </c>
      <c r="BA2508" s="629" t="s">
        <v>432</v>
      </c>
    </row>
    <row r="2509" spans="51:53">
      <c r="AY2509" s="627">
        <v>8371</v>
      </c>
      <c r="AZ2509" s="628" t="s">
        <v>1284</v>
      </c>
      <c r="BA2509" s="629" t="s">
        <v>432</v>
      </c>
    </row>
    <row r="2510" spans="51:53">
      <c r="AY2510" s="627">
        <v>8372</v>
      </c>
      <c r="AZ2510" s="628" t="s">
        <v>1285</v>
      </c>
      <c r="BA2510" s="629" t="s">
        <v>432</v>
      </c>
    </row>
    <row r="2511" spans="51:53">
      <c r="AY2511" s="627">
        <v>8373</v>
      </c>
      <c r="AZ2511" s="628" t="s">
        <v>1286</v>
      </c>
      <c r="BA2511" s="629" t="s">
        <v>432</v>
      </c>
    </row>
    <row r="2512" spans="51:53">
      <c r="AY2512" s="627">
        <v>8380</v>
      </c>
      <c r="AZ2512" s="628" t="s">
        <v>1292</v>
      </c>
      <c r="BA2512" s="629" t="s">
        <v>432</v>
      </c>
    </row>
    <row r="2513" spans="51:53">
      <c r="AY2513" s="627">
        <v>8380</v>
      </c>
      <c r="AZ2513" s="628" t="s">
        <v>1287</v>
      </c>
      <c r="BA2513" s="629" t="s">
        <v>432</v>
      </c>
    </row>
    <row r="2514" spans="51:53">
      <c r="AY2514" s="627">
        <v>8391</v>
      </c>
      <c r="AZ2514" s="628" t="s">
        <v>1288</v>
      </c>
      <c r="BA2514" s="629" t="s">
        <v>432</v>
      </c>
    </row>
    <row r="2515" spans="51:53">
      <c r="AY2515" s="627">
        <v>8392</v>
      </c>
      <c r="AZ2515" s="628" t="s">
        <v>1289</v>
      </c>
      <c r="BA2515" s="629" t="s">
        <v>432</v>
      </c>
    </row>
    <row r="2516" spans="51:53">
      <c r="AY2516" s="627">
        <v>8393</v>
      </c>
      <c r="AZ2516" s="628" t="s">
        <v>1290</v>
      </c>
      <c r="BA2516" s="629" t="s">
        <v>432</v>
      </c>
    </row>
    <row r="2517" spans="51:53">
      <c r="AY2517" s="627">
        <v>8394</v>
      </c>
      <c r="AZ2517" s="628" t="s">
        <v>1291</v>
      </c>
      <c r="BA2517" s="629" t="s">
        <v>432</v>
      </c>
    </row>
    <row r="2518" spans="51:53">
      <c r="AY2518" s="627">
        <v>8400</v>
      </c>
      <c r="AZ2518" s="628" t="s">
        <v>1293</v>
      </c>
      <c r="BA2518" s="629" t="s">
        <v>419</v>
      </c>
    </row>
    <row r="2519" spans="51:53">
      <c r="AY2519" s="627">
        <v>8409</v>
      </c>
      <c r="AZ2519" s="628" t="s">
        <v>1294</v>
      </c>
      <c r="BA2519" s="629" t="s">
        <v>419</v>
      </c>
    </row>
    <row r="2520" spans="51:53">
      <c r="AY2520" s="627">
        <v>8411</v>
      </c>
      <c r="AZ2520" s="628" t="s">
        <v>419</v>
      </c>
      <c r="BA2520" s="628" t="s">
        <v>158</v>
      </c>
    </row>
    <row r="2521" spans="51:53">
      <c r="AY2521" s="627">
        <v>8412</v>
      </c>
      <c r="AZ2521" s="628" t="s">
        <v>419</v>
      </c>
      <c r="BA2521" s="628" t="s">
        <v>158</v>
      </c>
    </row>
    <row r="2522" spans="51:53">
      <c r="AY2522" s="627">
        <v>8413</v>
      </c>
      <c r="AZ2522" s="628" t="s">
        <v>1297</v>
      </c>
      <c r="BA2522" s="629" t="s">
        <v>419</v>
      </c>
    </row>
    <row r="2523" spans="51:53">
      <c r="AY2523" s="627">
        <v>8414</v>
      </c>
      <c r="AZ2523" s="628" t="s">
        <v>1674</v>
      </c>
      <c r="BA2523" s="629" t="s">
        <v>419</v>
      </c>
    </row>
    <row r="2524" spans="51:53">
      <c r="AY2524" s="627">
        <v>8415</v>
      </c>
      <c r="AZ2524" s="628" t="s">
        <v>1299</v>
      </c>
      <c r="BA2524" s="629" t="s">
        <v>419</v>
      </c>
    </row>
    <row r="2525" spans="51:53">
      <c r="AY2525" s="627">
        <v>8416</v>
      </c>
      <c r="AZ2525" s="628" t="s">
        <v>1300</v>
      </c>
      <c r="BA2525" s="629" t="s">
        <v>419</v>
      </c>
    </row>
    <row r="2526" spans="51:53">
      <c r="AY2526" s="627">
        <v>8417</v>
      </c>
      <c r="AZ2526" s="628" t="s">
        <v>1301</v>
      </c>
      <c r="BA2526" s="629" t="s">
        <v>419</v>
      </c>
    </row>
    <row r="2527" spans="51:53">
      <c r="AY2527" s="627">
        <v>8418</v>
      </c>
      <c r="AZ2527" s="628" t="s">
        <v>1302</v>
      </c>
      <c r="BA2527" s="629" t="s">
        <v>419</v>
      </c>
    </row>
    <row r="2528" spans="51:53">
      <c r="AY2528" s="627">
        <v>8419</v>
      </c>
      <c r="AZ2528" s="628" t="s">
        <v>1303</v>
      </c>
      <c r="BA2528" s="629" t="s">
        <v>419</v>
      </c>
    </row>
    <row r="2529" spans="51:53">
      <c r="AY2529" s="627">
        <v>8420</v>
      </c>
      <c r="AZ2529" s="628" t="s">
        <v>1298</v>
      </c>
      <c r="BA2529" s="629" t="s">
        <v>419</v>
      </c>
    </row>
    <row r="2530" spans="51:53">
      <c r="AY2530" s="627">
        <v>8422</v>
      </c>
      <c r="AZ2530" s="628" t="s">
        <v>1304</v>
      </c>
      <c r="BA2530" s="629" t="s">
        <v>419</v>
      </c>
    </row>
    <row r="2531" spans="51:53">
      <c r="AY2531" s="627">
        <v>8423</v>
      </c>
      <c r="AZ2531" s="628" t="s">
        <v>1305</v>
      </c>
      <c r="BA2531" s="629" t="s">
        <v>419</v>
      </c>
    </row>
    <row r="2532" spans="51:53">
      <c r="AY2532" s="627">
        <v>8424</v>
      </c>
      <c r="AZ2532" s="628" t="s">
        <v>1306</v>
      </c>
      <c r="BA2532" s="629" t="s">
        <v>419</v>
      </c>
    </row>
    <row r="2533" spans="51:53">
      <c r="AY2533" s="627">
        <v>8425</v>
      </c>
      <c r="AZ2533" s="628" t="s">
        <v>1675</v>
      </c>
      <c r="BA2533" s="629" t="s">
        <v>419</v>
      </c>
    </row>
    <row r="2534" spans="51:53">
      <c r="AY2534" s="627">
        <v>8426</v>
      </c>
      <c r="AZ2534" s="628" t="s">
        <v>3651</v>
      </c>
      <c r="BA2534" s="629" t="s">
        <v>428</v>
      </c>
    </row>
    <row r="2535" spans="51:53">
      <c r="AY2535" s="627">
        <v>8427</v>
      </c>
      <c r="AZ2535" s="628" t="s">
        <v>1309</v>
      </c>
      <c r="BA2535" s="629" t="s">
        <v>419</v>
      </c>
    </row>
    <row r="2536" spans="51:53">
      <c r="AY2536" s="627">
        <v>8428</v>
      </c>
      <c r="AZ2536" s="628" t="s">
        <v>1310</v>
      </c>
      <c r="BA2536" s="629" t="s">
        <v>419</v>
      </c>
    </row>
    <row r="2537" spans="51:53">
      <c r="AY2537" s="627">
        <v>8429</v>
      </c>
      <c r="AZ2537" s="628" t="s">
        <v>1311</v>
      </c>
      <c r="BA2537" s="629" t="s">
        <v>419</v>
      </c>
    </row>
    <row r="2538" spans="51:53">
      <c r="AY2538" s="627">
        <v>8430</v>
      </c>
      <c r="AZ2538" s="628" t="s">
        <v>1312</v>
      </c>
      <c r="BA2538" s="629" t="s">
        <v>419</v>
      </c>
    </row>
    <row r="2539" spans="51:53">
      <c r="AY2539" s="627">
        <v>8431</v>
      </c>
      <c r="AZ2539" s="628" t="s">
        <v>1313</v>
      </c>
      <c r="BA2539" s="629" t="s">
        <v>3180</v>
      </c>
    </row>
    <row r="2540" spans="51:53">
      <c r="AY2540" s="627">
        <v>8432</v>
      </c>
      <c r="AZ2540" s="628" t="s">
        <v>1314</v>
      </c>
      <c r="BA2540" s="629" t="s">
        <v>3180</v>
      </c>
    </row>
    <row r="2541" spans="51:53">
      <c r="AY2541" s="627">
        <v>8433</v>
      </c>
      <c r="AZ2541" s="628" t="s">
        <v>1315</v>
      </c>
      <c r="BA2541" s="629" t="s">
        <v>3180</v>
      </c>
    </row>
    <row r="2542" spans="51:53">
      <c r="AY2542" s="627">
        <v>8434</v>
      </c>
      <c r="AZ2542" s="628" t="s">
        <v>1316</v>
      </c>
      <c r="BA2542" s="629" t="s">
        <v>3180</v>
      </c>
    </row>
    <row r="2543" spans="51:53">
      <c r="AY2543" s="627">
        <v>8435</v>
      </c>
      <c r="AZ2543" s="628" t="s">
        <v>1317</v>
      </c>
      <c r="BA2543" s="629" t="s">
        <v>419</v>
      </c>
    </row>
    <row r="2544" spans="51:53">
      <c r="AY2544" s="627">
        <v>8438</v>
      </c>
      <c r="AZ2544" s="628" t="s">
        <v>1320</v>
      </c>
      <c r="BA2544" s="629" t="s">
        <v>3180</v>
      </c>
    </row>
    <row r="2545" spans="51:53">
      <c r="AY2545" s="627">
        <v>8439</v>
      </c>
      <c r="AZ2545" s="628" t="s">
        <v>1321</v>
      </c>
      <c r="BA2545" s="629" t="s">
        <v>3180</v>
      </c>
    </row>
    <row r="2546" spans="51:53">
      <c r="AY2546" s="627">
        <v>8440</v>
      </c>
      <c r="AZ2546" s="628" t="s">
        <v>1322</v>
      </c>
      <c r="BA2546" s="629" t="s">
        <v>419</v>
      </c>
    </row>
    <row r="2547" spans="51:53">
      <c r="AY2547" s="627">
        <v>8441</v>
      </c>
      <c r="AZ2547" s="628" t="s">
        <v>3975</v>
      </c>
      <c r="BA2547" s="629" t="s">
        <v>419</v>
      </c>
    </row>
    <row r="2548" spans="51:53">
      <c r="AY2548" s="627">
        <v>8442</v>
      </c>
      <c r="AZ2548" s="628" t="s">
        <v>3976</v>
      </c>
      <c r="BA2548" s="629" t="s">
        <v>419</v>
      </c>
    </row>
    <row r="2549" spans="51:53">
      <c r="AY2549" s="627">
        <v>8443</v>
      </c>
      <c r="AZ2549" s="628" t="s">
        <v>3977</v>
      </c>
      <c r="BA2549" s="629" t="s">
        <v>419</v>
      </c>
    </row>
    <row r="2550" spans="51:53">
      <c r="AY2550" s="627">
        <v>8444</v>
      </c>
      <c r="AZ2550" s="628" t="s">
        <v>3978</v>
      </c>
      <c r="BA2550" s="629" t="s">
        <v>419</v>
      </c>
    </row>
    <row r="2551" spans="51:53">
      <c r="AY2551" s="627">
        <v>8445</v>
      </c>
      <c r="AZ2551" s="628" t="s">
        <v>1676</v>
      </c>
      <c r="BA2551" s="629" t="s">
        <v>419</v>
      </c>
    </row>
    <row r="2552" spans="51:53">
      <c r="AY2552" s="627">
        <v>8445</v>
      </c>
      <c r="AZ2552" s="628" t="s">
        <v>3979</v>
      </c>
      <c r="BA2552" s="629" t="s">
        <v>419</v>
      </c>
    </row>
    <row r="2553" spans="51:53">
      <c r="AY2553" s="627">
        <v>8446</v>
      </c>
      <c r="AZ2553" s="628" t="s">
        <v>3980</v>
      </c>
      <c r="BA2553" s="629" t="s">
        <v>419</v>
      </c>
    </row>
    <row r="2554" spans="51:53">
      <c r="AY2554" s="627">
        <v>8447</v>
      </c>
      <c r="AZ2554" s="628" t="s">
        <v>1293</v>
      </c>
      <c r="BA2554" s="629" t="s">
        <v>419</v>
      </c>
    </row>
    <row r="2555" spans="51:53">
      <c r="AY2555" s="627">
        <v>8448</v>
      </c>
      <c r="AZ2555" s="628" t="s">
        <v>1293</v>
      </c>
      <c r="BA2555" s="629" t="s">
        <v>419</v>
      </c>
    </row>
    <row r="2556" spans="51:53">
      <c r="AY2556" s="627">
        <v>8449</v>
      </c>
      <c r="AZ2556" s="628" t="s">
        <v>4296</v>
      </c>
      <c r="BA2556" s="629" t="s">
        <v>419</v>
      </c>
    </row>
    <row r="2557" spans="51:53">
      <c r="AY2557" s="627">
        <v>8451</v>
      </c>
      <c r="AZ2557" s="628" t="s">
        <v>1293</v>
      </c>
      <c r="BA2557" s="629" t="s">
        <v>419</v>
      </c>
    </row>
    <row r="2558" spans="51:53">
      <c r="AY2558" s="627">
        <v>8452</v>
      </c>
      <c r="AZ2558" s="628" t="s">
        <v>1680</v>
      </c>
      <c r="BA2558" s="629" t="s">
        <v>419</v>
      </c>
    </row>
    <row r="2559" spans="51:53">
      <c r="AY2559" s="627">
        <v>8452</v>
      </c>
      <c r="AZ2559" s="628" t="s">
        <v>4298</v>
      </c>
      <c r="BA2559" s="629" t="s">
        <v>419</v>
      </c>
    </row>
    <row r="2560" spans="51:53">
      <c r="AY2560" s="627">
        <v>8454</v>
      </c>
      <c r="AZ2560" s="628" t="s">
        <v>4299</v>
      </c>
      <c r="BA2560" s="629" t="s">
        <v>419</v>
      </c>
    </row>
    <row r="2561" spans="51:53">
      <c r="AY2561" s="627">
        <v>8455</v>
      </c>
      <c r="AZ2561" s="628" t="s">
        <v>4300</v>
      </c>
      <c r="BA2561" s="629" t="s">
        <v>419</v>
      </c>
    </row>
    <row r="2562" spans="51:53">
      <c r="AY2562" s="627">
        <v>8456</v>
      </c>
      <c r="AZ2562" s="628" t="s">
        <v>4301</v>
      </c>
      <c r="BA2562" s="629" t="s">
        <v>419</v>
      </c>
    </row>
    <row r="2563" spans="51:53">
      <c r="AY2563" s="627">
        <v>8457</v>
      </c>
      <c r="AZ2563" s="628" t="s">
        <v>4302</v>
      </c>
      <c r="BA2563" s="629" t="s">
        <v>419</v>
      </c>
    </row>
    <row r="2564" spans="51:53">
      <c r="AY2564" s="627">
        <v>8458</v>
      </c>
      <c r="AZ2564" s="628" t="s">
        <v>4303</v>
      </c>
      <c r="BA2564" s="629" t="s">
        <v>419</v>
      </c>
    </row>
    <row r="2565" spans="51:53">
      <c r="AY2565" s="627">
        <v>8460</v>
      </c>
      <c r="AZ2565" s="628" t="s">
        <v>4304</v>
      </c>
      <c r="BA2565" s="629" t="s">
        <v>419</v>
      </c>
    </row>
    <row r="2566" spans="51:53">
      <c r="AY2566" s="627">
        <v>8468</v>
      </c>
      <c r="AZ2566" s="628" t="s">
        <v>4305</v>
      </c>
      <c r="BA2566" s="629" t="s">
        <v>419</v>
      </c>
    </row>
    <row r="2567" spans="51:53">
      <c r="AY2567" s="627">
        <v>8469</v>
      </c>
      <c r="AZ2567" s="628" t="s">
        <v>4306</v>
      </c>
      <c r="BA2567" s="629" t="s">
        <v>419</v>
      </c>
    </row>
    <row r="2568" spans="51:53">
      <c r="AY2568" s="627">
        <v>8471</v>
      </c>
      <c r="AZ2568" s="628" t="s">
        <v>1681</v>
      </c>
      <c r="BA2568" s="629" t="s">
        <v>419</v>
      </c>
    </row>
    <row r="2569" spans="51:53">
      <c r="AY2569" s="627">
        <v>8471</v>
      </c>
      <c r="AZ2569" s="628" t="s">
        <v>1682</v>
      </c>
      <c r="BA2569" s="629" t="s">
        <v>419</v>
      </c>
    </row>
    <row r="2570" spans="51:53">
      <c r="AY2570" s="627">
        <v>8471</v>
      </c>
      <c r="AZ2570" s="628" t="s">
        <v>4307</v>
      </c>
      <c r="BA2570" s="629" t="s">
        <v>419</v>
      </c>
    </row>
    <row r="2571" spans="51:53">
      <c r="AY2571" s="627">
        <v>8473</v>
      </c>
      <c r="AZ2571" s="628" t="s">
        <v>4308</v>
      </c>
      <c r="BA2571" s="629" t="s">
        <v>419</v>
      </c>
    </row>
    <row r="2572" spans="51:53">
      <c r="AY2572" s="627">
        <v>8474</v>
      </c>
      <c r="AZ2572" s="628" t="s">
        <v>4309</v>
      </c>
      <c r="BA2572" s="629" t="s">
        <v>419</v>
      </c>
    </row>
    <row r="2573" spans="51:53">
      <c r="AY2573" s="627">
        <v>8475</v>
      </c>
      <c r="AZ2573" s="628" t="s">
        <v>1683</v>
      </c>
      <c r="BA2573" s="629" t="s">
        <v>419</v>
      </c>
    </row>
    <row r="2574" spans="51:53">
      <c r="AY2574" s="627">
        <v>8475</v>
      </c>
      <c r="AZ2574" s="628" t="s">
        <v>1684</v>
      </c>
      <c r="BA2574" s="629" t="s">
        <v>419</v>
      </c>
    </row>
    <row r="2575" spans="51:53">
      <c r="AY2575" s="627">
        <v>8475</v>
      </c>
      <c r="AZ2575" s="628" t="s">
        <v>4310</v>
      </c>
      <c r="BA2575" s="629" t="s">
        <v>419</v>
      </c>
    </row>
    <row r="2576" spans="51:53">
      <c r="AY2576" s="627">
        <v>8476</v>
      </c>
      <c r="AZ2576" s="628" t="s">
        <v>4311</v>
      </c>
      <c r="BA2576" s="629" t="s">
        <v>419</v>
      </c>
    </row>
    <row r="2577" spans="51:53">
      <c r="AY2577" s="627">
        <v>8477</v>
      </c>
      <c r="AZ2577" s="628" t="s">
        <v>1685</v>
      </c>
      <c r="BA2577" s="629" t="s">
        <v>419</v>
      </c>
    </row>
    <row r="2578" spans="51:53">
      <c r="AY2578" s="627">
        <v>8477</v>
      </c>
      <c r="AZ2578" s="628" t="s">
        <v>1686</v>
      </c>
      <c r="BA2578" s="629" t="s">
        <v>419</v>
      </c>
    </row>
    <row r="2579" spans="51:53">
      <c r="AY2579" s="627">
        <v>8477</v>
      </c>
      <c r="AZ2579" s="628" t="s">
        <v>4312</v>
      </c>
      <c r="BA2579" s="629" t="s">
        <v>419</v>
      </c>
    </row>
    <row r="2580" spans="51:53">
      <c r="AY2580" s="627">
        <v>8478</v>
      </c>
      <c r="AZ2580" s="628" t="s">
        <v>4313</v>
      </c>
      <c r="BA2580" s="629" t="s">
        <v>419</v>
      </c>
    </row>
    <row r="2581" spans="51:53">
      <c r="AY2581" s="627">
        <v>8479</v>
      </c>
      <c r="AZ2581" s="628" t="s">
        <v>4314</v>
      </c>
      <c r="BA2581" s="629" t="s">
        <v>419</v>
      </c>
    </row>
    <row r="2582" spans="51:53">
      <c r="AY2582" s="627">
        <v>8481</v>
      </c>
      <c r="AZ2582" s="628" t="s">
        <v>4315</v>
      </c>
      <c r="BA2582" s="629" t="s">
        <v>419</v>
      </c>
    </row>
    <row r="2583" spans="51:53">
      <c r="AY2583" s="627">
        <v>8482</v>
      </c>
      <c r="AZ2583" s="628" t="s">
        <v>4316</v>
      </c>
      <c r="BA2583" s="629" t="s">
        <v>419</v>
      </c>
    </row>
    <row r="2584" spans="51:53">
      <c r="AY2584" s="627">
        <v>8483</v>
      </c>
      <c r="AZ2584" s="628" t="s">
        <v>1687</v>
      </c>
      <c r="BA2584" s="629" t="s">
        <v>419</v>
      </c>
    </row>
    <row r="2585" spans="51:53">
      <c r="AY2585" s="627">
        <v>8483</v>
      </c>
      <c r="AZ2585" s="628" t="s">
        <v>4317</v>
      </c>
      <c r="BA2585" s="629" t="s">
        <v>419</v>
      </c>
    </row>
    <row r="2586" spans="51:53">
      <c r="AY2586" s="627">
        <v>8484</v>
      </c>
      <c r="AZ2586" s="628" t="s">
        <v>1688</v>
      </c>
      <c r="BA2586" s="629" t="s">
        <v>419</v>
      </c>
    </row>
    <row r="2587" spans="51:53">
      <c r="AY2587" s="627">
        <v>8484</v>
      </c>
      <c r="AZ2587" s="628" t="s">
        <v>1689</v>
      </c>
      <c r="BA2587" s="629" t="s">
        <v>419</v>
      </c>
    </row>
    <row r="2588" spans="51:53">
      <c r="AY2588" s="627">
        <v>8484</v>
      </c>
      <c r="AZ2588" s="628" t="s">
        <v>4318</v>
      </c>
      <c r="BA2588" s="629" t="s">
        <v>419</v>
      </c>
    </row>
    <row r="2589" spans="51:53">
      <c r="AY2589" s="627">
        <v>8485</v>
      </c>
      <c r="AZ2589" s="628" t="s">
        <v>2749</v>
      </c>
      <c r="BA2589" s="629" t="s">
        <v>419</v>
      </c>
    </row>
    <row r="2590" spans="51:53">
      <c r="AY2590" s="627">
        <v>8491</v>
      </c>
      <c r="AZ2590" s="628" t="s">
        <v>2750</v>
      </c>
      <c r="BA2590" s="629" t="s">
        <v>419</v>
      </c>
    </row>
    <row r="2591" spans="51:53">
      <c r="AY2591" s="627">
        <v>8492</v>
      </c>
      <c r="AZ2591" s="628" t="s">
        <v>2751</v>
      </c>
      <c r="BA2591" s="629" t="s">
        <v>419</v>
      </c>
    </row>
    <row r="2592" spans="51:53">
      <c r="AY2592" s="627">
        <v>8493</v>
      </c>
      <c r="AZ2592" s="628" t="s">
        <v>2752</v>
      </c>
      <c r="BA2592" s="629" t="s">
        <v>419</v>
      </c>
    </row>
    <row r="2593" spans="51:53">
      <c r="AY2593" s="627">
        <v>8494</v>
      </c>
      <c r="AZ2593" s="628" t="s">
        <v>2753</v>
      </c>
      <c r="BA2593" s="629" t="s">
        <v>419</v>
      </c>
    </row>
    <row r="2594" spans="51:53">
      <c r="AY2594" s="627">
        <v>8495</v>
      </c>
      <c r="AZ2594" s="628" t="s">
        <v>2754</v>
      </c>
      <c r="BA2594" s="629" t="s">
        <v>419</v>
      </c>
    </row>
    <row r="2595" spans="51:53">
      <c r="AY2595" s="627">
        <v>8496</v>
      </c>
      <c r="AZ2595" s="628" t="s">
        <v>1690</v>
      </c>
      <c r="BA2595" s="629" t="s">
        <v>419</v>
      </c>
    </row>
    <row r="2596" spans="51:53">
      <c r="AY2596" s="627">
        <v>8496</v>
      </c>
      <c r="AZ2596" s="628" t="s">
        <v>2755</v>
      </c>
      <c r="BA2596" s="629" t="s">
        <v>419</v>
      </c>
    </row>
    <row r="2597" spans="51:53">
      <c r="AY2597" s="627">
        <v>8497</v>
      </c>
      <c r="AZ2597" s="628" t="s">
        <v>1691</v>
      </c>
      <c r="BA2597" s="629" t="s">
        <v>419</v>
      </c>
    </row>
    <row r="2598" spans="51:53">
      <c r="AY2598" s="627">
        <v>8497</v>
      </c>
      <c r="AZ2598" s="628" t="s">
        <v>2756</v>
      </c>
      <c r="BA2598" s="629" t="s">
        <v>419</v>
      </c>
    </row>
    <row r="2599" spans="51:53">
      <c r="AY2599" s="627">
        <v>8500</v>
      </c>
      <c r="AZ2599" s="628" t="s">
        <v>2757</v>
      </c>
      <c r="BA2599" s="629" t="s">
        <v>419</v>
      </c>
    </row>
    <row r="2600" spans="51:53">
      <c r="AY2600" s="627">
        <v>8511</v>
      </c>
      <c r="AZ2600" s="628" t="s">
        <v>2757</v>
      </c>
      <c r="BA2600" s="629" t="s">
        <v>419</v>
      </c>
    </row>
    <row r="2601" spans="51:53">
      <c r="AY2601" s="627">
        <v>8512</v>
      </c>
      <c r="AZ2601" s="628" t="s">
        <v>2760</v>
      </c>
      <c r="BA2601" s="629" t="s">
        <v>419</v>
      </c>
    </row>
    <row r="2602" spans="51:53">
      <c r="AY2602" s="627">
        <v>8513</v>
      </c>
      <c r="AZ2602" s="628" t="s">
        <v>2761</v>
      </c>
      <c r="BA2602" s="629" t="s">
        <v>419</v>
      </c>
    </row>
    <row r="2603" spans="51:53">
      <c r="AY2603" s="627">
        <v>8514</v>
      </c>
      <c r="AZ2603" s="628" t="s">
        <v>2758</v>
      </c>
      <c r="BA2603" s="629" t="s">
        <v>419</v>
      </c>
    </row>
    <row r="2604" spans="51:53">
      <c r="AY2604" s="627">
        <v>8515</v>
      </c>
      <c r="AZ2604" s="628" t="s">
        <v>2763</v>
      </c>
      <c r="BA2604" s="629" t="s">
        <v>419</v>
      </c>
    </row>
    <row r="2605" spans="51:53">
      <c r="AY2605" s="627">
        <v>8516</v>
      </c>
      <c r="AZ2605" s="628" t="s">
        <v>2764</v>
      </c>
      <c r="BA2605" s="629" t="s">
        <v>419</v>
      </c>
    </row>
    <row r="2606" spans="51:53">
      <c r="AY2606" s="627">
        <v>8517</v>
      </c>
      <c r="AZ2606" s="628" t="s">
        <v>2765</v>
      </c>
      <c r="BA2606" s="629" t="s">
        <v>419</v>
      </c>
    </row>
    <row r="2607" spans="51:53">
      <c r="AY2607" s="627">
        <v>8518</v>
      </c>
      <c r="AZ2607" s="628" t="s">
        <v>2766</v>
      </c>
      <c r="BA2607" s="629" t="s">
        <v>419</v>
      </c>
    </row>
    <row r="2608" spans="51:53">
      <c r="AY2608" s="627">
        <v>8521</v>
      </c>
      <c r="AZ2608" s="628" t="s">
        <v>2767</v>
      </c>
      <c r="BA2608" s="629" t="s">
        <v>419</v>
      </c>
    </row>
    <row r="2609" spans="51:53">
      <c r="AY2609" s="627">
        <v>8522</v>
      </c>
      <c r="AZ2609" s="628" t="s">
        <v>2768</v>
      </c>
      <c r="BA2609" s="629" t="s">
        <v>419</v>
      </c>
    </row>
    <row r="2610" spans="51:53">
      <c r="AY2610" s="627">
        <v>8523</v>
      </c>
      <c r="AZ2610" s="628" t="s">
        <v>2769</v>
      </c>
      <c r="BA2610" s="629" t="s">
        <v>419</v>
      </c>
    </row>
    <row r="2611" spans="51:53">
      <c r="AY2611" s="627">
        <v>8523</v>
      </c>
      <c r="AZ2611" s="628" t="s">
        <v>1693</v>
      </c>
      <c r="BA2611" s="629" t="s">
        <v>419</v>
      </c>
    </row>
    <row r="2612" spans="51:53">
      <c r="AY2612" s="627">
        <v>8531</v>
      </c>
      <c r="AZ2612" s="628" t="s">
        <v>2770</v>
      </c>
      <c r="BA2612" s="629" t="s">
        <v>419</v>
      </c>
    </row>
    <row r="2613" spans="51:53">
      <c r="AY2613" s="627">
        <v>8532</v>
      </c>
      <c r="AZ2613" s="628" t="s">
        <v>2770</v>
      </c>
      <c r="BA2613" s="629" t="s">
        <v>419</v>
      </c>
    </row>
    <row r="2614" spans="51:53">
      <c r="AY2614" s="627">
        <v>8533</v>
      </c>
      <c r="AZ2614" s="628" t="s">
        <v>2772</v>
      </c>
      <c r="BA2614" s="629" t="s">
        <v>419</v>
      </c>
    </row>
    <row r="2615" spans="51:53">
      <c r="AY2615" s="627">
        <v>8541</v>
      </c>
      <c r="AZ2615" s="628" t="s">
        <v>2774</v>
      </c>
      <c r="BA2615" s="629" t="s">
        <v>419</v>
      </c>
    </row>
    <row r="2616" spans="51:53">
      <c r="AY2616" s="627">
        <v>8542</v>
      </c>
      <c r="AZ2616" s="628" t="s">
        <v>2775</v>
      </c>
      <c r="BA2616" s="629" t="s">
        <v>419</v>
      </c>
    </row>
    <row r="2617" spans="51:53">
      <c r="AY2617" s="627">
        <v>8543</v>
      </c>
      <c r="AZ2617" s="628" t="s">
        <v>2776</v>
      </c>
      <c r="BA2617" s="629" t="s">
        <v>419</v>
      </c>
    </row>
    <row r="2618" spans="51:53">
      <c r="AY2618" s="627">
        <v>8551</v>
      </c>
      <c r="AZ2618" s="628" t="s">
        <v>2779</v>
      </c>
      <c r="BA2618" s="629" t="s">
        <v>419</v>
      </c>
    </row>
    <row r="2619" spans="51:53">
      <c r="AY2619" s="627">
        <v>8552</v>
      </c>
      <c r="AZ2619" s="628" t="s">
        <v>2780</v>
      </c>
      <c r="BA2619" s="629" t="s">
        <v>419</v>
      </c>
    </row>
    <row r="2620" spans="51:53">
      <c r="AY2620" s="627">
        <v>8553</v>
      </c>
      <c r="AZ2620" s="628" t="s">
        <v>4954</v>
      </c>
      <c r="BA2620" s="629" t="s">
        <v>419</v>
      </c>
    </row>
    <row r="2621" spans="51:53">
      <c r="AY2621" s="627">
        <v>8554</v>
      </c>
      <c r="AZ2621" s="628" t="s">
        <v>4955</v>
      </c>
      <c r="BA2621" s="629" t="s">
        <v>419</v>
      </c>
    </row>
    <row r="2622" spans="51:53">
      <c r="AY2622" s="627">
        <v>8555</v>
      </c>
      <c r="AZ2622" s="628" t="s">
        <v>4956</v>
      </c>
      <c r="BA2622" s="629" t="s">
        <v>419</v>
      </c>
    </row>
    <row r="2623" spans="51:53">
      <c r="AY2623" s="627">
        <v>8556</v>
      </c>
      <c r="AZ2623" s="628" t="s">
        <v>4957</v>
      </c>
      <c r="BA2623" s="629" t="s">
        <v>419</v>
      </c>
    </row>
    <row r="2624" spans="51:53">
      <c r="AY2624" s="627">
        <v>8557</v>
      </c>
      <c r="AZ2624" s="628" t="s">
        <v>1695</v>
      </c>
      <c r="BA2624" s="629" t="s">
        <v>419</v>
      </c>
    </row>
    <row r="2625" spans="51:53">
      <c r="AY2625" s="627">
        <v>8557</v>
      </c>
      <c r="AZ2625" s="628" t="s">
        <v>4958</v>
      </c>
      <c r="BA2625" s="629" t="s">
        <v>419</v>
      </c>
    </row>
    <row r="2626" spans="51:53">
      <c r="AY2626" s="627">
        <v>8558</v>
      </c>
      <c r="AZ2626" s="628" t="s">
        <v>4959</v>
      </c>
      <c r="BA2626" s="629" t="s">
        <v>419</v>
      </c>
    </row>
    <row r="2627" spans="51:53">
      <c r="AY2627" s="627">
        <v>8561</v>
      </c>
      <c r="AZ2627" s="628" t="s">
        <v>4960</v>
      </c>
      <c r="BA2627" s="629" t="s">
        <v>419</v>
      </c>
    </row>
    <row r="2628" spans="51:53">
      <c r="AY2628" s="627">
        <v>8562</v>
      </c>
      <c r="AZ2628" s="628" t="s">
        <v>4961</v>
      </c>
      <c r="BA2628" s="629" t="s">
        <v>419</v>
      </c>
    </row>
    <row r="2629" spans="51:53">
      <c r="AY2629" s="627">
        <v>8563</v>
      </c>
      <c r="AZ2629" s="628" t="s">
        <v>4962</v>
      </c>
      <c r="BA2629" s="629" t="s">
        <v>419</v>
      </c>
    </row>
    <row r="2630" spans="51:53">
      <c r="AY2630" s="627">
        <v>8564</v>
      </c>
      <c r="AZ2630" s="628" t="s">
        <v>4963</v>
      </c>
      <c r="BA2630" s="629" t="s">
        <v>419</v>
      </c>
    </row>
    <row r="2631" spans="51:53">
      <c r="AY2631" s="627">
        <v>8565</v>
      </c>
      <c r="AZ2631" s="628" t="s">
        <v>4964</v>
      </c>
      <c r="BA2631" s="629" t="s">
        <v>419</v>
      </c>
    </row>
    <row r="2632" spans="51:53">
      <c r="AY2632" s="692">
        <v>8571</v>
      </c>
      <c r="AZ2632" s="628" t="s">
        <v>4965</v>
      </c>
      <c r="BA2632" s="629" t="s">
        <v>419</v>
      </c>
    </row>
    <row r="2633" spans="51:53">
      <c r="AY2633" s="627">
        <v>8572</v>
      </c>
      <c r="AZ2633" s="628" t="s">
        <v>4966</v>
      </c>
      <c r="BA2633" s="629" t="s">
        <v>419</v>
      </c>
    </row>
    <row r="2634" spans="51:53">
      <c r="AY2634" s="627">
        <v>8581</v>
      </c>
      <c r="AZ2634" s="628" t="s">
        <v>1696</v>
      </c>
      <c r="BA2634" s="629" t="s">
        <v>419</v>
      </c>
    </row>
    <row r="2635" spans="51:53">
      <c r="AY2635" s="627">
        <v>8581</v>
      </c>
      <c r="AZ2635" s="628" t="s">
        <v>4967</v>
      </c>
      <c r="BA2635" s="629" t="s">
        <v>419</v>
      </c>
    </row>
    <row r="2636" spans="51:53">
      <c r="AY2636" s="627">
        <v>8582</v>
      </c>
      <c r="AZ2636" s="628" t="s">
        <v>4968</v>
      </c>
      <c r="BA2636" s="629" t="s">
        <v>419</v>
      </c>
    </row>
    <row r="2637" spans="51:53">
      <c r="AY2637" s="627">
        <v>8591</v>
      </c>
      <c r="AZ2637" s="628" t="s">
        <v>1697</v>
      </c>
      <c r="BA2637" s="629" t="s">
        <v>419</v>
      </c>
    </row>
    <row r="2638" spans="51:53">
      <c r="AY2638" s="627">
        <v>8591</v>
      </c>
      <c r="AZ2638" s="628" t="s">
        <v>2757</v>
      </c>
      <c r="BA2638" s="629" t="s">
        <v>419</v>
      </c>
    </row>
    <row r="2639" spans="51:53">
      <c r="AY2639" s="627">
        <v>8592</v>
      </c>
      <c r="AZ2639" s="628" t="s">
        <v>4970</v>
      </c>
      <c r="BA2639" s="629" t="s">
        <v>419</v>
      </c>
    </row>
    <row r="2640" spans="51:53">
      <c r="AY2640" s="627">
        <v>8593</v>
      </c>
      <c r="AZ2640" s="628" t="s">
        <v>4971</v>
      </c>
      <c r="BA2640" s="629" t="s">
        <v>419</v>
      </c>
    </row>
    <row r="2641" spans="51:53">
      <c r="AY2641" s="627">
        <v>8594</v>
      </c>
      <c r="AZ2641" s="628" t="s">
        <v>4972</v>
      </c>
      <c r="BA2641" s="629" t="s">
        <v>419</v>
      </c>
    </row>
    <row r="2642" spans="51:53">
      <c r="AY2642" s="627">
        <v>8595</v>
      </c>
      <c r="AZ2642" s="628" t="s">
        <v>4973</v>
      </c>
      <c r="BA2642" s="629" t="s">
        <v>419</v>
      </c>
    </row>
    <row r="2643" spans="51:53">
      <c r="AY2643" s="627">
        <v>8596</v>
      </c>
      <c r="AZ2643" s="628" t="s">
        <v>4974</v>
      </c>
      <c r="BA2643" s="629" t="s">
        <v>419</v>
      </c>
    </row>
    <row r="2644" spans="51:53">
      <c r="AY2644" s="627">
        <v>8597</v>
      </c>
      <c r="AZ2644" s="628" t="s">
        <v>1698</v>
      </c>
      <c r="BA2644" s="629" t="s">
        <v>419</v>
      </c>
    </row>
    <row r="2645" spans="51:53">
      <c r="AY2645" s="627">
        <v>8597</v>
      </c>
      <c r="AZ2645" s="628" t="s">
        <v>4975</v>
      </c>
      <c r="BA2645" s="629" t="s">
        <v>419</v>
      </c>
    </row>
    <row r="2646" spans="51:53">
      <c r="AY2646" s="627">
        <v>8598</v>
      </c>
      <c r="AZ2646" s="628" t="s">
        <v>2757</v>
      </c>
      <c r="BA2646" s="629" t="s">
        <v>419</v>
      </c>
    </row>
    <row r="2647" spans="51:53">
      <c r="AY2647" s="627">
        <v>8600</v>
      </c>
      <c r="AZ2647" s="628" t="s">
        <v>2157</v>
      </c>
      <c r="BA2647" s="629" t="s">
        <v>423</v>
      </c>
    </row>
    <row r="2648" spans="51:53">
      <c r="AY2648" s="627">
        <v>8609</v>
      </c>
      <c r="AZ2648" s="628" t="s">
        <v>2157</v>
      </c>
      <c r="BA2648" s="629" t="s">
        <v>423</v>
      </c>
    </row>
    <row r="2649" spans="51:53">
      <c r="AY2649" s="627">
        <v>8611</v>
      </c>
      <c r="AZ2649" s="628" t="s">
        <v>2157</v>
      </c>
      <c r="BA2649" s="629" t="s">
        <v>423</v>
      </c>
    </row>
    <row r="2650" spans="51:53">
      <c r="AY2650" s="627">
        <v>8612</v>
      </c>
      <c r="AZ2650" s="628" t="s">
        <v>2161</v>
      </c>
      <c r="BA2650" s="629" t="s">
        <v>423</v>
      </c>
    </row>
    <row r="2651" spans="51:53">
      <c r="AY2651" s="627">
        <v>8613</v>
      </c>
      <c r="AZ2651" s="628" t="s">
        <v>2162</v>
      </c>
      <c r="BA2651" s="629" t="s">
        <v>423</v>
      </c>
    </row>
    <row r="2652" spans="51:53">
      <c r="AY2652" s="627">
        <v>8614</v>
      </c>
      <c r="AZ2652" s="628" t="s">
        <v>2163</v>
      </c>
      <c r="BA2652" s="629" t="s">
        <v>423</v>
      </c>
    </row>
    <row r="2653" spans="51:53">
      <c r="AY2653" s="627">
        <v>8617</v>
      </c>
      <c r="AZ2653" s="628" t="s">
        <v>2164</v>
      </c>
      <c r="BA2653" s="629" t="s">
        <v>423</v>
      </c>
    </row>
    <row r="2654" spans="51:53">
      <c r="AY2654" s="627">
        <v>8618</v>
      </c>
      <c r="AZ2654" s="628" t="s">
        <v>2999</v>
      </c>
      <c r="BA2654" s="629" t="s">
        <v>410</v>
      </c>
    </row>
    <row r="2655" spans="51:53">
      <c r="AY2655" s="627">
        <v>8619</v>
      </c>
      <c r="AZ2655" s="628" t="s">
        <v>2166</v>
      </c>
      <c r="BA2655" s="629" t="s">
        <v>423</v>
      </c>
    </row>
    <row r="2656" spans="51:53">
      <c r="AY2656" s="627">
        <v>8621</v>
      </c>
      <c r="AZ2656" s="628" t="s">
        <v>2167</v>
      </c>
      <c r="BA2656" s="629" t="s">
        <v>423</v>
      </c>
    </row>
    <row r="2657" spans="51:53">
      <c r="AY2657" s="627">
        <v>8622</v>
      </c>
      <c r="AZ2657" s="628" t="s">
        <v>2168</v>
      </c>
      <c r="BA2657" s="629" t="s">
        <v>423</v>
      </c>
    </row>
    <row r="2658" spans="51:53">
      <c r="AY2658" s="627">
        <v>8623</v>
      </c>
      <c r="AZ2658" s="628" t="s">
        <v>2169</v>
      </c>
      <c r="BA2658" s="629" t="s">
        <v>423</v>
      </c>
    </row>
    <row r="2659" spans="51:53">
      <c r="AY2659" s="627">
        <v>8624</v>
      </c>
      <c r="AZ2659" s="628" t="s">
        <v>2170</v>
      </c>
      <c r="BA2659" s="629" t="s">
        <v>423</v>
      </c>
    </row>
    <row r="2660" spans="51:53">
      <c r="AY2660" s="627">
        <v>8625</v>
      </c>
      <c r="AZ2660" s="628" t="s">
        <v>2171</v>
      </c>
      <c r="BA2660" s="629" t="s">
        <v>423</v>
      </c>
    </row>
    <row r="2661" spans="51:53">
      <c r="AY2661" s="627">
        <v>8626</v>
      </c>
      <c r="AZ2661" s="628" t="s">
        <v>2172</v>
      </c>
      <c r="BA2661" s="629" t="s">
        <v>423</v>
      </c>
    </row>
    <row r="2662" spans="51:53">
      <c r="AY2662" s="627">
        <v>8627</v>
      </c>
      <c r="AZ2662" s="628" t="s">
        <v>2173</v>
      </c>
      <c r="BA2662" s="629" t="s">
        <v>423</v>
      </c>
    </row>
    <row r="2663" spans="51:53">
      <c r="AY2663" s="627">
        <v>8628</v>
      </c>
      <c r="AZ2663" s="628" t="s">
        <v>2174</v>
      </c>
      <c r="BA2663" s="629" t="s">
        <v>423</v>
      </c>
    </row>
    <row r="2664" spans="51:53">
      <c r="AY2664" s="627">
        <v>8630</v>
      </c>
      <c r="AZ2664" s="628" t="s">
        <v>235</v>
      </c>
      <c r="BA2664" s="629" t="s">
        <v>423</v>
      </c>
    </row>
    <row r="2665" spans="51:53">
      <c r="AY2665" s="627">
        <v>8635</v>
      </c>
      <c r="AZ2665" s="628" t="s">
        <v>2176</v>
      </c>
      <c r="BA2665" s="629" t="s">
        <v>423</v>
      </c>
    </row>
    <row r="2666" spans="51:53">
      <c r="AY2666" s="627">
        <v>8636</v>
      </c>
      <c r="AZ2666" s="628" t="s">
        <v>2177</v>
      </c>
      <c r="BA2666" s="629" t="s">
        <v>423</v>
      </c>
    </row>
    <row r="2667" spans="51:53">
      <c r="AY2667" s="627">
        <v>8637</v>
      </c>
      <c r="AZ2667" s="628" t="s">
        <v>2178</v>
      </c>
      <c r="BA2667" s="629" t="s">
        <v>423</v>
      </c>
    </row>
    <row r="2668" spans="51:53">
      <c r="AY2668" s="627">
        <v>8638</v>
      </c>
      <c r="AZ2668" s="628" t="s">
        <v>2179</v>
      </c>
      <c r="BA2668" s="629" t="s">
        <v>423</v>
      </c>
    </row>
    <row r="2669" spans="51:53">
      <c r="AY2669" s="627">
        <v>8640</v>
      </c>
      <c r="AZ2669" s="628" t="s">
        <v>2180</v>
      </c>
      <c r="BA2669" s="629" t="s">
        <v>423</v>
      </c>
    </row>
    <row r="2670" spans="51:53">
      <c r="AY2670" s="627">
        <v>8644</v>
      </c>
      <c r="AZ2670" s="628" t="s">
        <v>2180</v>
      </c>
      <c r="BA2670" s="629" t="s">
        <v>423</v>
      </c>
    </row>
    <row r="2671" spans="51:53">
      <c r="AY2671" s="627">
        <v>8646</v>
      </c>
      <c r="AZ2671" s="628" t="s">
        <v>2184</v>
      </c>
      <c r="BA2671" s="629" t="s">
        <v>423</v>
      </c>
    </row>
    <row r="2672" spans="51:53">
      <c r="AY2672" s="627">
        <v>8647</v>
      </c>
      <c r="AZ2672" s="628" t="s">
        <v>2185</v>
      </c>
      <c r="BA2672" s="629" t="s">
        <v>423</v>
      </c>
    </row>
    <row r="2673" spans="51:53">
      <c r="AY2673" s="627">
        <v>8648</v>
      </c>
      <c r="AZ2673" s="628" t="s">
        <v>2186</v>
      </c>
      <c r="BA2673" s="629" t="s">
        <v>423</v>
      </c>
    </row>
    <row r="2674" spans="51:53">
      <c r="AY2674" s="627">
        <v>8649</v>
      </c>
      <c r="AZ2674" s="628" t="s">
        <v>2187</v>
      </c>
      <c r="BA2674" s="629" t="s">
        <v>423</v>
      </c>
    </row>
    <row r="2675" spans="51:53">
      <c r="AY2675" s="627">
        <v>8651</v>
      </c>
      <c r="AZ2675" s="630" t="s">
        <v>2188</v>
      </c>
      <c r="BA2675" s="629" t="s">
        <v>423</v>
      </c>
    </row>
    <row r="2676" spans="51:53">
      <c r="AY2676" s="627">
        <v>8652</v>
      </c>
      <c r="AZ2676" s="630" t="s">
        <v>2189</v>
      </c>
      <c r="BA2676" s="629" t="s">
        <v>423</v>
      </c>
    </row>
    <row r="2677" spans="51:53">
      <c r="AY2677" s="627">
        <v>8653</v>
      </c>
      <c r="AZ2677" s="630" t="s">
        <v>2190</v>
      </c>
      <c r="BA2677" s="629" t="s">
        <v>423</v>
      </c>
    </row>
    <row r="2678" spans="51:53">
      <c r="AY2678" s="627">
        <v>8654</v>
      </c>
      <c r="AZ2678" s="628" t="s">
        <v>2191</v>
      </c>
      <c r="BA2678" s="629" t="s">
        <v>423</v>
      </c>
    </row>
    <row r="2679" spans="51:53">
      <c r="AY2679" s="627">
        <v>8655</v>
      </c>
      <c r="AZ2679" s="628" t="s">
        <v>2192</v>
      </c>
      <c r="BA2679" s="629" t="s">
        <v>423</v>
      </c>
    </row>
    <row r="2680" spans="51:53">
      <c r="AY2680" s="627">
        <v>8656</v>
      </c>
      <c r="AZ2680" s="628" t="s">
        <v>2193</v>
      </c>
      <c r="BA2680" s="629" t="s">
        <v>423</v>
      </c>
    </row>
    <row r="2681" spans="51:53">
      <c r="AY2681" s="627">
        <v>8658</v>
      </c>
      <c r="AZ2681" s="628" t="s">
        <v>2195</v>
      </c>
      <c r="BA2681" s="629" t="s">
        <v>423</v>
      </c>
    </row>
    <row r="2682" spans="51:53">
      <c r="AY2682" s="627">
        <v>8660</v>
      </c>
      <c r="AZ2682" s="628" t="s">
        <v>237</v>
      </c>
      <c r="BA2682" s="629" t="s">
        <v>423</v>
      </c>
    </row>
    <row r="2683" spans="51:53">
      <c r="AY2683" s="627">
        <v>8660</v>
      </c>
      <c r="AZ2683" s="628" t="s">
        <v>238</v>
      </c>
      <c r="BA2683" s="629" t="s">
        <v>423</v>
      </c>
    </row>
    <row r="2684" spans="51:53">
      <c r="AY2684" s="627">
        <v>8660</v>
      </c>
      <c r="AZ2684" s="628" t="s">
        <v>2902</v>
      </c>
      <c r="BA2684" s="629" t="s">
        <v>423</v>
      </c>
    </row>
    <row r="2685" spans="51:53">
      <c r="AY2685" s="627">
        <v>8660</v>
      </c>
      <c r="AZ2685" s="630" t="s">
        <v>2196</v>
      </c>
      <c r="BA2685" s="629" t="s">
        <v>423</v>
      </c>
    </row>
    <row r="2686" spans="51:53">
      <c r="AY2686" s="627">
        <v>8660</v>
      </c>
      <c r="AZ2686" s="628" t="s">
        <v>432</v>
      </c>
      <c r="BA2686" s="629" t="s">
        <v>423</v>
      </c>
    </row>
    <row r="2687" spans="51:53">
      <c r="AY2687" s="627">
        <v>8666</v>
      </c>
      <c r="AZ2687" s="628" t="s">
        <v>2197</v>
      </c>
      <c r="BA2687" s="629" t="s">
        <v>423</v>
      </c>
    </row>
    <row r="2688" spans="51:53">
      <c r="AY2688" s="627">
        <v>8666</v>
      </c>
      <c r="AZ2688" s="628" t="s">
        <v>1733</v>
      </c>
      <c r="BA2688" s="629" t="s">
        <v>423</v>
      </c>
    </row>
    <row r="2689" spans="51:53">
      <c r="AY2689" s="627">
        <v>8667</v>
      </c>
      <c r="AZ2689" s="628" t="s">
        <v>2198</v>
      </c>
      <c r="BA2689" s="629" t="s">
        <v>423</v>
      </c>
    </row>
    <row r="2690" spans="51:53">
      <c r="AY2690" s="627">
        <v>8668</v>
      </c>
      <c r="AZ2690" s="628" t="s">
        <v>2199</v>
      </c>
      <c r="BA2690" s="629" t="s">
        <v>423</v>
      </c>
    </row>
    <row r="2691" spans="51:53">
      <c r="AY2691" s="627">
        <v>8669</v>
      </c>
      <c r="AZ2691" s="628" t="s">
        <v>3927</v>
      </c>
      <c r="BA2691" s="629" t="s">
        <v>423</v>
      </c>
    </row>
    <row r="2692" spans="51:53">
      <c r="AY2692" s="627">
        <v>8671</v>
      </c>
      <c r="AZ2692" s="628" t="s">
        <v>2200</v>
      </c>
      <c r="BA2692" s="629" t="s">
        <v>423</v>
      </c>
    </row>
    <row r="2693" spans="51:53">
      <c r="AY2693" s="627">
        <v>8672</v>
      </c>
      <c r="AZ2693" s="628" t="s">
        <v>2201</v>
      </c>
      <c r="BA2693" s="629" t="s">
        <v>423</v>
      </c>
    </row>
    <row r="2694" spans="51:53">
      <c r="AY2694" s="627">
        <v>8673</v>
      </c>
      <c r="AZ2694" s="628" t="s">
        <v>2202</v>
      </c>
      <c r="BA2694" s="629" t="s">
        <v>423</v>
      </c>
    </row>
    <row r="2695" spans="51:53">
      <c r="AY2695" s="627">
        <v>8674</v>
      </c>
      <c r="AZ2695" s="628" t="s">
        <v>2203</v>
      </c>
      <c r="BA2695" s="629" t="s">
        <v>423</v>
      </c>
    </row>
    <row r="2696" spans="51:53">
      <c r="AY2696" s="627">
        <v>8675</v>
      </c>
      <c r="AZ2696" s="628" t="s">
        <v>2204</v>
      </c>
      <c r="BA2696" s="629" t="s">
        <v>423</v>
      </c>
    </row>
    <row r="2697" spans="51:53">
      <c r="AY2697" s="627">
        <v>8676</v>
      </c>
      <c r="AZ2697" s="628" t="s">
        <v>2205</v>
      </c>
      <c r="BA2697" s="629" t="s">
        <v>423</v>
      </c>
    </row>
    <row r="2698" spans="51:53">
      <c r="AY2698" s="627">
        <v>8681</v>
      </c>
      <c r="AZ2698" s="628" t="s">
        <v>1734</v>
      </c>
      <c r="BA2698" s="629" t="s">
        <v>423</v>
      </c>
    </row>
    <row r="2699" spans="51:53">
      <c r="AY2699" s="627">
        <v>8681</v>
      </c>
      <c r="AZ2699" s="628" t="s">
        <v>2206</v>
      </c>
      <c r="BA2699" s="629" t="s">
        <v>423</v>
      </c>
    </row>
    <row r="2700" spans="51:53">
      <c r="AY2700" s="627">
        <v>8683</v>
      </c>
      <c r="AZ2700" s="628" t="s">
        <v>2207</v>
      </c>
      <c r="BA2700" s="629" t="s">
        <v>423</v>
      </c>
    </row>
    <row r="2701" spans="51:53">
      <c r="AY2701" s="627">
        <v>8684</v>
      </c>
      <c r="AZ2701" s="628" t="s">
        <v>2208</v>
      </c>
      <c r="BA2701" s="629" t="s">
        <v>423</v>
      </c>
    </row>
    <row r="2702" spans="51:53">
      <c r="AY2702" s="627">
        <v>8685</v>
      </c>
      <c r="AZ2702" s="628" t="s">
        <v>2209</v>
      </c>
      <c r="BA2702" s="629" t="s">
        <v>423</v>
      </c>
    </row>
    <row r="2703" spans="51:53">
      <c r="AY2703" s="627">
        <v>8691</v>
      </c>
      <c r="AZ2703" s="628" t="s">
        <v>235</v>
      </c>
      <c r="BA2703" s="629" t="s">
        <v>423</v>
      </c>
    </row>
    <row r="2704" spans="51:53">
      <c r="AY2704" s="627">
        <v>8692</v>
      </c>
      <c r="AZ2704" s="628" t="s">
        <v>1736</v>
      </c>
      <c r="BA2704" s="629" t="s">
        <v>423</v>
      </c>
    </row>
    <row r="2705" spans="51:53">
      <c r="AY2705" s="627">
        <v>8692</v>
      </c>
      <c r="AZ2705" s="628" t="s">
        <v>2211</v>
      </c>
      <c r="BA2705" s="629" t="s">
        <v>423</v>
      </c>
    </row>
    <row r="2706" spans="51:53">
      <c r="AY2706" s="627">
        <v>8693</v>
      </c>
      <c r="AZ2706" s="628" t="s">
        <v>2212</v>
      </c>
      <c r="BA2706" s="629" t="s">
        <v>423</v>
      </c>
    </row>
    <row r="2707" spans="51:53">
      <c r="AY2707" s="627">
        <v>8693</v>
      </c>
      <c r="AZ2707" s="628" t="s">
        <v>2183</v>
      </c>
      <c r="BA2707" s="629" t="s">
        <v>423</v>
      </c>
    </row>
    <row r="2708" spans="51:53">
      <c r="AY2708" s="627">
        <v>8694</v>
      </c>
      <c r="AZ2708" s="628" t="s">
        <v>2213</v>
      </c>
      <c r="BA2708" s="629" t="s">
        <v>423</v>
      </c>
    </row>
    <row r="2709" spans="51:53">
      <c r="AY2709" s="627">
        <v>8695</v>
      </c>
      <c r="AZ2709" s="631" t="s">
        <v>2214</v>
      </c>
      <c r="BA2709" s="629" t="s">
        <v>423</v>
      </c>
    </row>
    <row r="2710" spans="51:53">
      <c r="AY2710" s="627">
        <v>8696</v>
      </c>
      <c r="AZ2710" s="628" t="s">
        <v>2215</v>
      </c>
      <c r="BA2710" s="629" t="s">
        <v>423</v>
      </c>
    </row>
    <row r="2711" spans="51:53">
      <c r="AY2711" s="627">
        <v>8697</v>
      </c>
      <c r="AZ2711" s="628" t="s">
        <v>2216</v>
      </c>
      <c r="BA2711" s="629" t="s">
        <v>423</v>
      </c>
    </row>
    <row r="2712" spans="51:53">
      <c r="AY2712" s="627">
        <v>8698</v>
      </c>
      <c r="AZ2712" s="628" t="s">
        <v>1737</v>
      </c>
      <c r="BA2712" s="629" t="s">
        <v>423</v>
      </c>
    </row>
    <row r="2713" spans="51:53">
      <c r="AY2713" s="627">
        <v>8698</v>
      </c>
      <c r="AZ2713" s="628" t="s">
        <v>2217</v>
      </c>
      <c r="BA2713" s="629" t="s">
        <v>423</v>
      </c>
    </row>
    <row r="2714" spans="51:53">
      <c r="AY2714" s="627">
        <v>8699</v>
      </c>
      <c r="AZ2714" s="628" t="s">
        <v>2218</v>
      </c>
      <c r="BA2714" s="629" t="s">
        <v>423</v>
      </c>
    </row>
    <row r="2715" spans="51:53">
      <c r="AY2715" s="627">
        <v>8700</v>
      </c>
      <c r="AZ2715" s="628" t="s">
        <v>1738</v>
      </c>
      <c r="BA2715" s="629" t="s">
        <v>423</v>
      </c>
    </row>
    <row r="2716" spans="51:53">
      <c r="AY2716" s="627">
        <v>8700</v>
      </c>
      <c r="AZ2716" s="628" t="s">
        <v>2219</v>
      </c>
      <c r="BA2716" s="629" t="s">
        <v>423</v>
      </c>
    </row>
    <row r="2717" spans="51:53">
      <c r="AY2717" s="627">
        <v>8705</v>
      </c>
      <c r="AZ2717" s="628" t="s">
        <v>2220</v>
      </c>
      <c r="BA2717" s="629" t="s">
        <v>423</v>
      </c>
    </row>
    <row r="2718" spans="51:53">
      <c r="AY2718" s="627">
        <v>8706</v>
      </c>
      <c r="AZ2718" s="628" t="s">
        <v>2221</v>
      </c>
      <c r="BA2718" s="629" t="s">
        <v>423</v>
      </c>
    </row>
    <row r="2719" spans="51:53">
      <c r="AY2719" s="627">
        <v>8707</v>
      </c>
      <c r="AZ2719" s="628" t="s">
        <v>1739</v>
      </c>
      <c r="BA2719" s="629" t="s">
        <v>423</v>
      </c>
    </row>
    <row r="2720" spans="51:53">
      <c r="AY2720" s="627">
        <v>8707</v>
      </c>
      <c r="AZ2720" s="628" t="s">
        <v>2222</v>
      </c>
      <c r="BA2720" s="629" t="s">
        <v>423</v>
      </c>
    </row>
    <row r="2721" spans="51:53">
      <c r="AY2721" s="627">
        <v>8708</v>
      </c>
      <c r="AZ2721" s="628" t="s">
        <v>2223</v>
      </c>
      <c r="BA2721" s="629" t="s">
        <v>423</v>
      </c>
    </row>
    <row r="2722" spans="51:53">
      <c r="AY2722" s="627">
        <v>8709</v>
      </c>
      <c r="AZ2722" s="628" t="s">
        <v>2219</v>
      </c>
      <c r="BA2722" s="629" t="s">
        <v>423</v>
      </c>
    </row>
    <row r="2723" spans="51:53">
      <c r="AY2723" s="627">
        <v>8710</v>
      </c>
      <c r="AZ2723" s="628" t="s">
        <v>2225</v>
      </c>
      <c r="BA2723" s="629" t="s">
        <v>423</v>
      </c>
    </row>
    <row r="2724" spans="51:53">
      <c r="AY2724" s="627">
        <v>8711</v>
      </c>
      <c r="AZ2724" s="628" t="s">
        <v>1742</v>
      </c>
      <c r="BA2724" s="629" t="s">
        <v>423</v>
      </c>
    </row>
    <row r="2725" spans="51:53">
      <c r="AY2725" s="627">
        <v>8712</v>
      </c>
      <c r="AZ2725" s="628" t="s">
        <v>2227</v>
      </c>
      <c r="BA2725" s="629" t="s">
        <v>423</v>
      </c>
    </row>
    <row r="2726" spans="51:53">
      <c r="AY2726" s="627">
        <v>8713</v>
      </c>
      <c r="AZ2726" s="628" t="s">
        <v>2228</v>
      </c>
      <c r="BA2726" s="629" t="s">
        <v>423</v>
      </c>
    </row>
    <row r="2727" spans="51:53">
      <c r="AY2727" s="627">
        <v>8714</v>
      </c>
      <c r="AZ2727" s="628" t="s">
        <v>2229</v>
      </c>
      <c r="BA2727" s="629" t="s">
        <v>423</v>
      </c>
    </row>
    <row r="2728" spans="51:53">
      <c r="AY2728" s="627">
        <v>8714</v>
      </c>
      <c r="AZ2728" s="628" t="s">
        <v>2219</v>
      </c>
      <c r="BA2728" s="629" t="s">
        <v>423</v>
      </c>
    </row>
    <row r="2729" spans="51:53">
      <c r="AY2729" s="627">
        <v>8716</v>
      </c>
      <c r="AZ2729" s="628" t="s">
        <v>2230</v>
      </c>
      <c r="BA2729" s="629" t="s">
        <v>423</v>
      </c>
    </row>
    <row r="2730" spans="51:53">
      <c r="AY2730" s="627">
        <v>8716</v>
      </c>
      <c r="AZ2730" s="628" t="s">
        <v>1744</v>
      </c>
      <c r="BA2730" s="629" t="s">
        <v>423</v>
      </c>
    </row>
    <row r="2731" spans="51:53">
      <c r="AY2731" s="627">
        <v>8716</v>
      </c>
      <c r="AZ2731" s="628" t="s">
        <v>2231</v>
      </c>
      <c r="BA2731" s="629" t="s">
        <v>423</v>
      </c>
    </row>
    <row r="2732" spans="51:53">
      <c r="AY2732" s="627">
        <v>8717</v>
      </c>
      <c r="AZ2732" s="628" t="s">
        <v>1745</v>
      </c>
      <c r="BA2732" s="629" t="s">
        <v>423</v>
      </c>
    </row>
    <row r="2733" spans="51:53">
      <c r="AY2733" s="627">
        <v>8717</v>
      </c>
      <c r="AZ2733" s="628" t="s">
        <v>2232</v>
      </c>
      <c r="BA2733" s="629" t="s">
        <v>423</v>
      </c>
    </row>
    <row r="2734" spans="51:53">
      <c r="AY2734" s="627">
        <v>8718</v>
      </c>
      <c r="AZ2734" s="628" t="s">
        <v>2233</v>
      </c>
      <c r="BA2734" s="629" t="s">
        <v>423</v>
      </c>
    </row>
    <row r="2735" spans="51:53">
      <c r="AY2735" s="627">
        <v>8719</v>
      </c>
      <c r="AZ2735" s="628" t="s">
        <v>2234</v>
      </c>
      <c r="BA2735" s="629" t="s">
        <v>423</v>
      </c>
    </row>
    <row r="2736" spans="51:53">
      <c r="AY2736" s="627">
        <v>8721</v>
      </c>
      <c r="AZ2736" s="628" t="s">
        <v>2235</v>
      </c>
      <c r="BA2736" s="629" t="s">
        <v>423</v>
      </c>
    </row>
    <row r="2737" spans="51:53">
      <c r="AY2737" s="627">
        <v>8722</v>
      </c>
      <c r="AZ2737" s="628" t="s">
        <v>2236</v>
      </c>
      <c r="BA2737" s="629" t="s">
        <v>423</v>
      </c>
    </row>
    <row r="2738" spans="51:53">
      <c r="AY2738" s="627">
        <v>8723</v>
      </c>
      <c r="AZ2738" s="628" t="s">
        <v>2237</v>
      </c>
      <c r="BA2738" s="629" t="s">
        <v>423</v>
      </c>
    </row>
    <row r="2739" spans="51:53">
      <c r="AY2739" s="627">
        <v>8724</v>
      </c>
      <c r="AZ2739" s="628" t="s">
        <v>2239</v>
      </c>
      <c r="BA2739" s="629" t="s">
        <v>423</v>
      </c>
    </row>
    <row r="2740" spans="51:53">
      <c r="AY2740" s="627">
        <v>8725</v>
      </c>
      <c r="AZ2740" s="628" t="s">
        <v>2240</v>
      </c>
      <c r="BA2740" s="629" t="s">
        <v>423</v>
      </c>
    </row>
    <row r="2741" spans="51:53">
      <c r="AY2741" s="627">
        <v>8726</v>
      </c>
      <c r="AZ2741" s="630" t="s">
        <v>1746</v>
      </c>
      <c r="BA2741" s="629" t="s">
        <v>423</v>
      </c>
    </row>
    <row r="2742" spans="51:53">
      <c r="AY2742" s="627">
        <v>8726</v>
      </c>
      <c r="AZ2742" s="630" t="s">
        <v>2241</v>
      </c>
      <c r="BA2742" s="629" t="s">
        <v>423</v>
      </c>
    </row>
    <row r="2743" spans="51:53">
      <c r="AY2743" s="627">
        <v>8728</v>
      </c>
      <c r="AZ2743" s="630" t="s">
        <v>2242</v>
      </c>
      <c r="BA2743" s="629" t="s">
        <v>423</v>
      </c>
    </row>
    <row r="2744" spans="51:53">
      <c r="AY2744" s="627">
        <v>8731</v>
      </c>
      <c r="AZ2744" s="628" t="s">
        <v>1747</v>
      </c>
      <c r="BA2744" s="629" t="s">
        <v>423</v>
      </c>
    </row>
    <row r="2745" spans="51:53">
      <c r="AY2745" s="627">
        <v>8731</v>
      </c>
      <c r="AZ2745" s="628" t="s">
        <v>2243</v>
      </c>
      <c r="BA2745" s="629" t="s">
        <v>423</v>
      </c>
    </row>
    <row r="2746" spans="51:53">
      <c r="AY2746" s="627">
        <v>8732</v>
      </c>
      <c r="AZ2746" s="628" t="s">
        <v>1748</v>
      </c>
      <c r="BA2746" s="629" t="s">
        <v>423</v>
      </c>
    </row>
    <row r="2747" spans="51:53">
      <c r="AY2747" s="627">
        <v>8732</v>
      </c>
      <c r="AZ2747" s="628" t="s">
        <v>2244</v>
      </c>
      <c r="BA2747" s="629" t="s">
        <v>423</v>
      </c>
    </row>
    <row r="2748" spans="51:53">
      <c r="AY2748" s="627">
        <v>8732</v>
      </c>
      <c r="AZ2748" s="628" t="s">
        <v>2226</v>
      </c>
      <c r="BA2748" s="629" t="s">
        <v>423</v>
      </c>
    </row>
    <row r="2749" spans="51:53">
      <c r="AY2749" s="627">
        <v>8733</v>
      </c>
      <c r="AZ2749" s="628" t="s">
        <v>2245</v>
      </c>
      <c r="BA2749" s="629" t="s">
        <v>423</v>
      </c>
    </row>
    <row r="2750" spans="51:53">
      <c r="AY2750" s="627">
        <v>8734</v>
      </c>
      <c r="AZ2750" s="628" t="s">
        <v>2246</v>
      </c>
      <c r="BA2750" s="629" t="s">
        <v>423</v>
      </c>
    </row>
    <row r="2751" spans="51:53">
      <c r="AY2751" s="627">
        <v>8735</v>
      </c>
      <c r="AZ2751" s="628" t="s">
        <v>2247</v>
      </c>
      <c r="BA2751" s="629" t="s">
        <v>423</v>
      </c>
    </row>
    <row r="2752" spans="51:53">
      <c r="AY2752" s="627">
        <v>8736</v>
      </c>
      <c r="AZ2752" s="628" t="s">
        <v>2248</v>
      </c>
      <c r="BA2752" s="629" t="s">
        <v>423</v>
      </c>
    </row>
    <row r="2753" spans="51:53">
      <c r="AY2753" s="627">
        <v>8737</v>
      </c>
      <c r="AZ2753" s="628" t="s">
        <v>1749</v>
      </c>
      <c r="BA2753" s="629" t="s">
        <v>423</v>
      </c>
    </row>
    <row r="2754" spans="51:53">
      <c r="AY2754" s="627">
        <v>8738</v>
      </c>
      <c r="AZ2754" s="628" t="s">
        <v>2250</v>
      </c>
      <c r="BA2754" s="629" t="s">
        <v>423</v>
      </c>
    </row>
    <row r="2755" spans="51:53">
      <c r="AY2755" s="627">
        <v>8739</v>
      </c>
      <c r="AZ2755" s="628" t="s">
        <v>2251</v>
      </c>
      <c r="BA2755" s="629" t="s">
        <v>423</v>
      </c>
    </row>
    <row r="2756" spans="51:53">
      <c r="AY2756" s="627">
        <v>8741</v>
      </c>
      <c r="AZ2756" s="628" t="s">
        <v>2280</v>
      </c>
      <c r="BA2756" s="629" t="s">
        <v>432</v>
      </c>
    </row>
    <row r="2757" spans="51:53">
      <c r="AY2757" s="627">
        <v>8741</v>
      </c>
      <c r="AZ2757" s="628" t="s">
        <v>2252</v>
      </c>
      <c r="BA2757" s="629" t="s">
        <v>432</v>
      </c>
    </row>
    <row r="2758" spans="51:53">
      <c r="AY2758" s="627">
        <v>8742</v>
      </c>
      <c r="AZ2758" s="628" t="s">
        <v>2253</v>
      </c>
      <c r="BA2758" s="629" t="s">
        <v>432</v>
      </c>
    </row>
    <row r="2759" spans="51:53">
      <c r="AY2759" s="627">
        <v>8743</v>
      </c>
      <c r="AZ2759" s="628" t="s">
        <v>2254</v>
      </c>
      <c r="BA2759" s="629" t="s">
        <v>432</v>
      </c>
    </row>
    <row r="2760" spans="51:53">
      <c r="AY2760" s="627">
        <v>8744</v>
      </c>
      <c r="AZ2760" s="628" t="s">
        <v>2255</v>
      </c>
      <c r="BA2760" s="629" t="s">
        <v>432</v>
      </c>
    </row>
    <row r="2761" spans="51:53">
      <c r="AY2761" s="627">
        <v>8745</v>
      </c>
      <c r="AZ2761" s="628" t="s">
        <v>2256</v>
      </c>
      <c r="BA2761" s="629" t="s">
        <v>432</v>
      </c>
    </row>
    <row r="2762" spans="51:53">
      <c r="AY2762" s="627">
        <v>8746</v>
      </c>
      <c r="AZ2762" s="628" t="s">
        <v>2257</v>
      </c>
      <c r="BA2762" s="629" t="s">
        <v>432</v>
      </c>
    </row>
    <row r="2763" spans="51:53">
      <c r="AY2763" s="627">
        <v>8747</v>
      </c>
      <c r="AZ2763" s="628" t="s">
        <v>1750</v>
      </c>
      <c r="BA2763" s="629" t="s">
        <v>432</v>
      </c>
    </row>
    <row r="2764" spans="51:53">
      <c r="AY2764" s="627">
        <v>8747</v>
      </c>
      <c r="AZ2764" s="628" t="s">
        <v>2258</v>
      </c>
      <c r="BA2764" s="629" t="s">
        <v>432</v>
      </c>
    </row>
    <row r="2765" spans="51:53">
      <c r="AY2765" s="627">
        <v>8749</v>
      </c>
      <c r="AZ2765" s="628" t="s">
        <v>2259</v>
      </c>
      <c r="BA2765" s="629" t="s">
        <v>432</v>
      </c>
    </row>
    <row r="2766" spans="51:53">
      <c r="AY2766" s="627">
        <v>8751</v>
      </c>
      <c r="AZ2766" s="628" t="s">
        <v>2249</v>
      </c>
      <c r="BA2766" s="629" t="s">
        <v>432</v>
      </c>
    </row>
    <row r="2767" spans="51:53">
      <c r="AY2767" s="627">
        <v>8752</v>
      </c>
      <c r="AZ2767" s="628" t="s">
        <v>2249</v>
      </c>
      <c r="BA2767" s="629" t="s">
        <v>432</v>
      </c>
    </row>
    <row r="2768" spans="51:53">
      <c r="AY2768" s="627">
        <v>8753</v>
      </c>
      <c r="AZ2768" s="628" t="s">
        <v>2262</v>
      </c>
      <c r="BA2768" s="629" t="s">
        <v>432</v>
      </c>
    </row>
    <row r="2769" spans="51:53">
      <c r="AY2769" s="627">
        <v>8754</v>
      </c>
      <c r="AZ2769" s="628" t="s">
        <v>2263</v>
      </c>
      <c r="BA2769" s="629" t="s">
        <v>432</v>
      </c>
    </row>
    <row r="2770" spans="51:53">
      <c r="AY2770" s="627">
        <v>8756</v>
      </c>
      <c r="AZ2770" s="628" t="s">
        <v>1753</v>
      </c>
      <c r="BA2770" s="629" t="s">
        <v>432</v>
      </c>
    </row>
    <row r="2771" spans="51:53">
      <c r="AY2771" s="627">
        <v>8756</v>
      </c>
      <c r="AZ2771" s="628" t="s">
        <v>1754</v>
      </c>
      <c r="BA2771" s="629" t="s">
        <v>432</v>
      </c>
    </row>
    <row r="2772" spans="51:53">
      <c r="AY2772" s="627">
        <v>8756</v>
      </c>
      <c r="AZ2772" s="628" t="s">
        <v>1755</v>
      </c>
      <c r="BA2772" s="629" t="s">
        <v>432</v>
      </c>
    </row>
    <row r="2773" spans="51:53">
      <c r="AY2773" s="627">
        <v>8756</v>
      </c>
      <c r="AZ2773" s="628" t="s">
        <v>2264</v>
      </c>
      <c r="BA2773" s="629" t="s">
        <v>432</v>
      </c>
    </row>
    <row r="2774" spans="51:53">
      <c r="AY2774" s="627">
        <v>8761</v>
      </c>
      <c r="AZ2774" s="628" t="s">
        <v>1756</v>
      </c>
      <c r="BA2774" s="629" t="s">
        <v>432</v>
      </c>
    </row>
    <row r="2775" spans="51:53">
      <c r="AY2775" s="627">
        <v>8761</v>
      </c>
      <c r="AZ2775" s="628" t="s">
        <v>2266</v>
      </c>
      <c r="BA2775" s="629" t="s">
        <v>432</v>
      </c>
    </row>
    <row r="2776" spans="51:53">
      <c r="AY2776" s="627">
        <v>8762</v>
      </c>
      <c r="AZ2776" s="628" t="s">
        <v>1757</v>
      </c>
      <c r="BA2776" s="629" t="s">
        <v>432</v>
      </c>
    </row>
    <row r="2777" spans="51:53">
      <c r="AY2777" s="627">
        <v>8762</v>
      </c>
      <c r="AZ2777" s="628" t="s">
        <v>2267</v>
      </c>
      <c r="BA2777" s="629" t="s">
        <v>432</v>
      </c>
    </row>
    <row r="2778" spans="51:53">
      <c r="AY2778" s="627">
        <v>8764</v>
      </c>
      <c r="AZ2778" s="628" t="s">
        <v>1758</v>
      </c>
      <c r="BA2778" s="629" t="s">
        <v>432</v>
      </c>
    </row>
    <row r="2779" spans="51:53">
      <c r="AY2779" s="627">
        <v>8764</v>
      </c>
      <c r="AZ2779" s="628" t="s">
        <v>2268</v>
      </c>
      <c r="BA2779" s="629" t="s">
        <v>432</v>
      </c>
    </row>
    <row r="2780" spans="51:53">
      <c r="AY2780" s="627">
        <v>8765</v>
      </c>
      <c r="AZ2780" s="628" t="s">
        <v>2269</v>
      </c>
      <c r="BA2780" s="629" t="s">
        <v>432</v>
      </c>
    </row>
    <row r="2781" spans="51:53">
      <c r="AY2781" s="627">
        <v>8767</v>
      </c>
      <c r="AZ2781" s="628" t="s">
        <v>2271</v>
      </c>
      <c r="BA2781" s="629" t="s">
        <v>432</v>
      </c>
    </row>
    <row r="2782" spans="51:53">
      <c r="AY2782" s="627">
        <v>8767</v>
      </c>
      <c r="AZ2782" s="628" t="s">
        <v>2270</v>
      </c>
      <c r="BA2782" s="629" t="s">
        <v>432</v>
      </c>
    </row>
    <row r="2783" spans="51:53">
      <c r="AY2783" s="627">
        <v>8767</v>
      </c>
      <c r="AZ2783" s="628" t="s">
        <v>2272</v>
      </c>
      <c r="BA2783" s="629" t="s">
        <v>432</v>
      </c>
    </row>
    <row r="2784" spans="51:53">
      <c r="AY2784" s="627">
        <v>8771</v>
      </c>
      <c r="AZ2784" s="628" t="s">
        <v>2273</v>
      </c>
      <c r="BA2784" s="629" t="s">
        <v>432</v>
      </c>
    </row>
    <row r="2785" spans="51:53">
      <c r="AY2785" s="627">
        <v>8772</v>
      </c>
      <c r="AZ2785" s="628" t="s">
        <v>1759</v>
      </c>
      <c r="BA2785" s="629" t="s">
        <v>432</v>
      </c>
    </row>
    <row r="2786" spans="51:53">
      <c r="AY2786" s="627">
        <v>8772</v>
      </c>
      <c r="AZ2786" s="628" t="s">
        <v>2274</v>
      </c>
      <c r="BA2786" s="629" t="s">
        <v>432</v>
      </c>
    </row>
    <row r="2787" spans="51:53">
      <c r="AY2787" s="627">
        <v>8773</v>
      </c>
      <c r="AZ2787" s="628" t="s">
        <v>1760</v>
      </c>
      <c r="BA2787" s="629" t="s">
        <v>432</v>
      </c>
    </row>
    <row r="2788" spans="51:53">
      <c r="AY2788" s="627">
        <v>8773</v>
      </c>
      <c r="AZ2788" s="628" t="s">
        <v>2275</v>
      </c>
      <c r="BA2788" s="629" t="s">
        <v>432</v>
      </c>
    </row>
    <row r="2789" spans="51:53">
      <c r="AY2789" s="627">
        <v>8774</v>
      </c>
      <c r="AZ2789" s="628" t="s">
        <v>1761</v>
      </c>
      <c r="BA2789" s="629" t="s">
        <v>432</v>
      </c>
    </row>
    <row r="2790" spans="51:53">
      <c r="AY2790" s="627">
        <v>8774</v>
      </c>
      <c r="AZ2790" s="628" t="s">
        <v>1762</v>
      </c>
      <c r="BA2790" s="629" t="s">
        <v>432</v>
      </c>
    </row>
    <row r="2791" spans="51:53">
      <c r="AY2791" s="627">
        <v>8774</v>
      </c>
      <c r="AZ2791" s="628" t="s">
        <v>2276</v>
      </c>
      <c r="BA2791" s="629" t="s">
        <v>432</v>
      </c>
    </row>
    <row r="2792" spans="51:53">
      <c r="AY2792" s="627">
        <v>8776</v>
      </c>
      <c r="AZ2792" s="628" t="s">
        <v>1763</v>
      </c>
      <c r="BA2792" s="629" t="s">
        <v>432</v>
      </c>
    </row>
    <row r="2793" spans="51:53">
      <c r="AY2793" s="627">
        <v>8776</v>
      </c>
      <c r="AZ2793" s="628" t="s">
        <v>1764</v>
      </c>
      <c r="BA2793" s="629" t="s">
        <v>432</v>
      </c>
    </row>
    <row r="2794" spans="51:53">
      <c r="AY2794" s="627">
        <v>8776</v>
      </c>
      <c r="AZ2794" s="628" t="s">
        <v>2277</v>
      </c>
      <c r="BA2794" s="629" t="s">
        <v>432</v>
      </c>
    </row>
    <row r="2795" spans="51:53">
      <c r="AY2795" s="627">
        <v>8777</v>
      </c>
      <c r="AZ2795" s="628" t="s">
        <v>1765</v>
      </c>
      <c r="BA2795" s="629" t="s">
        <v>432</v>
      </c>
    </row>
    <row r="2796" spans="51:53">
      <c r="AY2796" s="627">
        <v>8777</v>
      </c>
      <c r="AZ2796" s="628" t="s">
        <v>1766</v>
      </c>
      <c r="BA2796" s="629" t="s">
        <v>432</v>
      </c>
    </row>
    <row r="2797" spans="51:53">
      <c r="AY2797" s="627">
        <v>8777</v>
      </c>
      <c r="AZ2797" s="628" t="s">
        <v>2278</v>
      </c>
      <c r="BA2797" s="629" t="s">
        <v>432</v>
      </c>
    </row>
    <row r="2798" spans="51:53">
      <c r="AY2798" s="627">
        <v>8778</v>
      </c>
      <c r="AZ2798" s="628" t="s">
        <v>2279</v>
      </c>
      <c r="BA2798" s="629" t="s">
        <v>432</v>
      </c>
    </row>
    <row r="2799" spans="51:53">
      <c r="AY2799" s="627">
        <v>8782</v>
      </c>
      <c r="AZ2799" s="628" t="s">
        <v>1767</v>
      </c>
      <c r="BA2799" s="629" t="s">
        <v>432</v>
      </c>
    </row>
    <row r="2800" spans="51:53">
      <c r="AY2800" s="627">
        <v>8782</v>
      </c>
      <c r="AZ2800" s="628" t="s">
        <v>2281</v>
      </c>
      <c r="BA2800" s="629" t="s">
        <v>432</v>
      </c>
    </row>
    <row r="2801" spans="51:53">
      <c r="AY2801" s="627">
        <v>8782</v>
      </c>
      <c r="AZ2801" s="628" t="s">
        <v>1768</v>
      </c>
      <c r="BA2801" s="629" t="s">
        <v>432</v>
      </c>
    </row>
    <row r="2802" spans="51:53">
      <c r="AY2802" s="627">
        <v>8784</v>
      </c>
      <c r="AZ2802" s="628" t="s">
        <v>2282</v>
      </c>
      <c r="BA2802" s="629" t="s">
        <v>432</v>
      </c>
    </row>
    <row r="2803" spans="51:53">
      <c r="AY2803" s="627">
        <v>8785</v>
      </c>
      <c r="AZ2803" s="628" t="s">
        <v>1769</v>
      </c>
      <c r="BA2803" s="629" t="s">
        <v>432</v>
      </c>
    </row>
    <row r="2804" spans="51:53">
      <c r="AY2804" s="627">
        <v>8785</v>
      </c>
      <c r="AZ2804" s="628" t="s">
        <v>4399</v>
      </c>
      <c r="BA2804" s="629" t="s">
        <v>432</v>
      </c>
    </row>
    <row r="2805" spans="51:53">
      <c r="AY2805" s="627">
        <v>8788</v>
      </c>
      <c r="AZ2805" s="628" t="s">
        <v>4397</v>
      </c>
      <c r="BA2805" s="629" t="s">
        <v>432</v>
      </c>
    </row>
    <row r="2806" spans="51:53">
      <c r="AY2806" s="627">
        <v>8788</v>
      </c>
      <c r="AZ2806" s="628" t="s">
        <v>4396</v>
      </c>
      <c r="BA2806" s="629" t="s">
        <v>432</v>
      </c>
    </row>
    <row r="2807" spans="51:53">
      <c r="AY2807" s="627">
        <v>8789</v>
      </c>
      <c r="AZ2807" s="628" t="s">
        <v>4399</v>
      </c>
      <c r="BA2807" s="629" t="s">
        <v>432</v>
      </c>
    </row>
    <row r="2808" spans="51:53">
      <c r="AY2808" s="627">
        <v>8790</v>
      </c>
      <c r="AZ2808" s="628" t="s">
        <v>4399</v>
      </c>
      <c r="BA2808" s="629" t="s">
        <v>432</v>
      </c>
    </row>
    <row r="2809" spans="51:53">
      <c r="AY2809" s="627">
        <v>8792</v>
      </c>
      <c r="AZ2809" s="628" t="s">
        <v>4400</v>
      </c>
      <c r="BA2809" s="629" t="s">
        <v>432</v>
      </c>
    </row>
    <row r="2810" spans="51:53">
      <c r="AY2810" s="627">
        <v>8793</v>
      </c>
      <c r="AZ2810" s="628" t="s">
        <v>4399</v>
      </c>
      <c r="BA2810" s="629" t="s">
        <v>432</v>
      </c>
    </row>
    <row r="2811" spans="51:53">
      <c r="AY2811" s="627">
        <v>8795</v>
      </c>
      <c r="AZ2811" s="628" t="s">
        <v>4399</v>
      </c>
      <c r="BA2811" s="629" t="s">
        <v>432</v>
      </c>
    </row>
    <row r="2812" spans="51:53">
      <c r="AY2812" s="627">
        <v>8796</v>
      </c>
      <c r="AZ2812" s="628" t="s">
        <v>4403</v>
      </c>
      <c r="BA2812" s="629" t="s">
        <v>432</v>
      </c>
    </row>
    <row r="2813" spans="51:53">
      <c r="AY2813" s="627">
        <v>8797</v>
      </c>
      <c r="AZ2813" s="628" t="s">
        <v>4404</v>
      </c>
      <c r="BA2813" s="629" t="s">
        <v>432</v>
      </c>
    </row>
    <row r="2814" spans="51:53">
      <c r="AY2814" s="627">
        <v>8798</v>
      </c>
      <c r="AZ2814" s="628" t="s">
        <v>4405</v>
      </c>
      <c r="BA2814" s="629" t="s">
        <v>432</v>
      </c>
    </row>
    <row r="2815" spans="51:53">
      <c r="AY2815" s="627">
        <v>8799</v>
      </c>
      <c r="AZ2815" s="628" t="s">
        <v>1774</v>
      </c>
      <c r="BA2815" s="629" t="s">
        <v>432</v>
      </c>
    </row>
    <row r="2816" spans="51:53">
      <c r="AY2816" s="627">
        <v>8799</v>
      </c>
      <c r="AZ2816" s="628" t="s">
        <v>4406</v>
      </c>
      <c r="BA2816" s="629" t="s">
        <v>432</v>
      </c>
    </row>
    <row r="2817" spans="51:53">
      <c r="AY2817" s="627">
        <v>8800</v>
      </c>
      <c r="AZ2817" s="628" t="s">
        <v>4407</v>
      </c>
      <c r="BA2817" s="629" t="s">
        <v>4407</v>
      </c>
    </row>
    <row r="2818" spans="51:53">
      <c r="AY2818" s="627">
        <v>8808</v>
      </c>
      <c r="AZ2818" s="628" t="s">
        <v>4407</v>
      </c>
      <c r="BA2818" s="629" t="s">
        <v>4407</v>
      </c>
    </row>
    <row r="2819" spans="51:53">
      <c r="AY2819" s="627">
        <v>8809</v>
      </c>
      <c r="AZ2819" s="628" t="s">
        <v>4407</v>
      </c>
      <c r="BA2819" s="629" t="s">
        <v>4407</v>
      </c>
    </row>
    <row r="2820" spans="51:53">
      <c r="AY2820" s="627">
        <v>8821</v>
      </c>
      <c r="AZ2820" s="628" t="s">
        <v>4410</v>
      </c>
      <c r="BA2820" s="629" t="s">
        <v>432</v>
      </c>
    </row>
    <row r="2821" spans="51:53">
      <c r="AY2821" s="627">
        <v>8822</v>
      </c>
      <c r="AZ2821" s="628" t="s">
        <v>4411</v>
      </c>
      <c r="BA2821" s="629" t="s">
        <v>432</v>
      </c>
    </row>
    <row r="2822" spans="51:53">
      <c r="AY2822" s="627">
        <v>8824</v>
      </c>
      <c r="AZ2822" s="628" t="s">
        <v>4412</v>
      </c>
      <c r="BA2822" s="629" t="s">
        <v>432</v>
      </c>
    </row>
    <row r="2823" spans="51:53">
      <c r="AY2823" s="627">
        <v>8825</v>
      </c>
      <c r="AZ2823" s="628" t="s">
        <v>1778</v>
      </c>
      <c r="BA2823" s="629" t="s">
        <v>432</v>
      </c>
    </row>
    <row r="2824" spans="51:53">
      <c r="AY2824" s="627">
        <v>8825</v>
      </c>
      <c r="AZ2824" s="628" t="s">
        <v>4413</v>
      </c>
      <c r="BA2824" s="629" t="s">
        <v>432</v>
      </c>
    </row>
    <row r="2825" spans="51:53">
      <c r="AY2825" s="627">
        <v>8827</v>
      </c>
      <c r="AZ2825" s="628" t="s">
        <v>4414</v>
      </c>
      <c r="BA2825" s="629" t="s">
        <v>432</v>
      </c>
    </row>
    <row r="2826" spans="51:53">
      <c r="AY2826" s="627">
        <v>8831</v>
      </c>
      <c r="AZ2826" s="628" t="s">
        <v>4416</v>
      </c>
      <c r="BA2826" s="629" t="s">
        <v>432</v>
      </c>
    </row>
    <row r="2827" spans="51:53">
      <c r="AY2827" s="627">
        <v>8831</v>
      </c>
      <c r="AZ2827" s="628" t="s">
        <v>4407</v>
      </c>
      <c r="BA2827" s="629" t="s">
        <v>4407</v>
      </c>
    </row>
    <row r="2828" spans="51:53">
      <c r="AY2828" s="627">
        <v>8834</v>
      </c>
      <c r="AZ2828" s="628" t="s">
        <v>4418</v>
      </c>
      <c r="BA2828" s="629" t="s">
        <v>432</v>
      </c>
    </row>
    <row r="2829" spans="51:53">
      <c r="AY2829" s="627">
        <v>8835</v>
      </c>
      <c r="AZ2829" s="628" t="s">
        <v>4417</v>
      </c>
      <c r="BA2829" s="629" t="s">
        <v>432</v>
      </c>
    </row>
    <row r="2830" spans="51:53">
      <c r="AY2830" s="627">
        <v>8840</v>
      </c>
      <c r="AZ2830" s="628" t="s">
        <v>1780</v>
      </c>
      <c r="BA2830" s="629" t="s">
        <v>423</v>
      </c>
    </row>
    <row r="2831" spans="51:53">
      <c r="AY2831" s="627">
        <v>8840</v>
      </c>
      <c r="AZ2831" s="628" t="s">
        <v>4419</v>
      </c>
      <c r="BA2831" s="629" t="s">
        <v>423</v>
      </c>
    </row>
    <row r="2832" spans="51:53">
      <c r="AY2832" s="627">
        <v>8849</v>
      </c>
      <c r="AZ2832" s="628" t="s">
        <v>4420</v>
      </c>
      <c r="BA2832" s="629" t="s">
        <v>423</v>
      </c>
    </row>
    <row r="2833" spans="51:53">
      <c r="AY2833" s="627">
        <v>8851</v>
      </c>
      <c r="AZ2833" s="628" t="s">
        <v>4421</v>
      </c>
      <c r="BA2833" s="629" t="s">
        <v>423</v>
      </c>
    </row>
    <row r="2834" spans="51:53">
      <c r="AY2834" s="627">
        <v>8853</v>
      </c>
      <c r="AZ2834" s="628" t="s">
        <v>4422</v>
      </c>
      <c r="BA2834" s="629" t="s">
        <v>423</v>
      </c>
    </row>
    <row r="2835" spans="51:53">
      <c r="AY2835" s="627">
        <v>8853</v>
      </c>
      <c r="AZ2835" s="628" t="s">
        <v>1781</v>
      </c>
      <c r="BA2835" s="629" t="s">
        <v>423</v>
      </c>
    </row>
    <row r="2836" spans="51:53">
      <c r="AY2836" s="627">
        <v>8854</v>
      </c>
      <c r="AZ2836" s="628" t="s">
        <v>4423</v>
      </c>
      <c r="BA2836" s="629" t="s">
        <v>423</v>
      </c>
    </row>
    <row r="2837" spans="51:53">
      <c r="AY2837" s="627">
        <v>8855</v>
      </c>
      <c r="AZ2837" s="628" t="s">
        <v>4424</v>
      </c>
      <c r="BA2837" s="629" t="s">
        <v>432</v>
      </c>
    </row>
    <row r="2838" spans="51:53">
      <c r="AY2838" s="627">
        <v>8856</v>
      </c>
      <c r="AZ2838" s="628" t="s">
        <v>1782</v>
      </c>
      <c r="BA2838" s="629" t="s">
        <v>432</v>
      </c>
    </row>
    <row r="2839" spans="51:53">
      <c r="AY2839" s="627">
        <v>8856</v>
      </c>
      <c r="AZ2839" s="628" t="s">
        <v>4425</v>
      </c>
      <c r="BA2839" s="629" t="s">
        <v>432</v>
      </c>
    </row>
    <row r="2840" spans="51:53">
      <c r="AY2840" s="627">
        <v>8858</v>
      </c>
      <c r="AZ2840" s="628" t="s">
        <v>1783</v>
      </c>
      <c r="BA2840" s="629" t="s">
        <v>423</v>
      </c>
    </row>
    <row r="2841" spans="51:53">
      <c r="AY2841" s="627">
        <v>8858</v>
      </c>
      <c r="AZ2841" s="628" t="s">
        <v>1784</v>
      </c>
      <c r="BA2841" s="629" t="s">
        <v>423</v>
      </c>
    </row>
    <row r="2842" spans="51:53">
      <c r="AY2842" s="627">
        <v>8858</v>
      </c>
      <c r="AZ2842" s="628" t="s">
        <v>1785</v>
      </c>
      <c r="BA2842" s="629" t="s">
        <v>423</v>
      </c>
    </row>
    <row r="2843" spans="51:53">
      <c r="AY2843" s="627">
        <v>8858</v>
      </c>
      <c r="AZ2843" s="628" t="s">
        <v>4427</v>
      </c>
      <c r="BA2843" s="629" t="s">
        <v>423</v>
      </c>
    </row>
    <row r="2844" spans="51:53">
      <c r="AY2844" s="627">
        <v>8861</v>
      </c>
      <c r="AZ2844" s="628" t="s">
        <v>4428</v>
      </c>
      <c r="BA2844" s="629" t="s">
        <v>432</v>
      </c>
    </row>
    <row r="2845" spans="51:53">
      <c r="AY2845" s="627">
        <v>8862</v>
      </c>
      <c r="AZ2845" s="628" t="s">
        <v>4429</v>
      </c>
      <c r="BA2845" s="629" t="s">
        <v>432</v>
      </c>
    </row>
    <row r="2846" spans="51:53">
      <c r="AY2846" s="627">
        <v>8863</v>
      </c>
      <c r="AZ2846" s="628" t="s">
        <v>4430</v>
      </c>
      <c r="BA2846" s="629" t="s">
        <v>432</v>
      </c>
    </row>
    <row r="2847" spans="51:53">
      <c r="AY2847" s="627">
        <v>8864</v>
      </c>
      <c r="AZ2847" s="628" t="s">
        <v>4431</v>
      </c>
      <c r="BA2847" s="629" t="s">
        <v>432</v>
      </c>
    </row>
    <row r="2848" spans="51:53">
      <c r="AY2848" s="627">
        <v>8865</v>
      </c>
      <c r="AZ2848" s="628" t="s">
        <v>4432</v>
      </c>
      <c r="BA2848" s="629" t="s">
        <v>432</v>
      </c>
    </row>
    <row r="2849" spans="51:53">
      <c r="AY2849" s="627">
        <v>8866</v>
      </c>
      <c r="AZ2849" s="628" t="s">
        <v>4433</v>
      </c>
      <c r="BA2849" s="629" t="s">
        <v>432</v>
      </c>
    </row>
    <row r="2850" spans="51:53">
      <c r="AY2850" s="627">
        <v>8866</v>
      </c>
      <c r="AZ2850" s="628" t="s">
        <v>4446</v>
      </c>
      <c r="BA2850" s="629" t="s">
        <v>432</v>
      </c>
    </row>
    <row r="2851" spans="51:53">
      <c r="AY2851" s="627">
        <v>8868</v>
      </c>
      <c r="AZ2851" s="628" t="s">
        <v>1786</v>
      </c>
      <c r="BA2851" s="629" t="s">
        <v>432</v>
      </c>
    </row>
    <row r="2852" spans="51:53">
      <c r="AY2852" s="627">
        <v>8868</v>
      </c>
      <c r="AZ2852" s="628" t="s">
        <v>1787</v>
      </c>
      <c r="BA2852" s="629" t="s">
        <v>432</v>
      </c>
    </row>
    <row r="2853" spans="51:53">
      <c r="AY2853" s="627">
        <v>8868</v>
      </c>
      <c r="AZ2853" s="628" t="s">
        <v>4435</v>
      </c>
      <c r="BA2853" s="629" t="s">
        <v>432</v>
      </c>
    </row>
    <row r="2854" spans="51:53">
      <c r="AY2854" s="627">
        <v>8868</v>
      </c>
      <c r="AZ2854" s="628" t="s">
        <v>4434</v>
      </c>
      <c r="BA2854" s="629" t="s">
        <v>432</v>
      </c>
    </row>
    <row r="2855" spans="51:53">
      <c r="AY2855" s="627">
        <v>8872</v>
      </c>
      <c r="AZ2855" s="628" t="s">
        <v>1788</v>
      </c>
      <c r="BA2855" s="629" t="s">
        <v>432</v>
      </c>
    </row>
    <row r="2856" spans="51:53">
      <c r="AY2856" s="627">
        <v>8872</v>
      </c>
      <c r="AZ2856" s="628" t="s">
        <v>1789</v>
      </c>
      <c r="BA2856" s="629" t="s">
        <v>432</v>
      </c>
    </row>
    <row r="2857" spans="51:53">
      <c r="AY2857" s="627">
        <v>8873</v>
      </c>
      <c r="AZ2857" s="628" t="s">
        <v>4437</v>
      </c>
      <c r="BA2857" s="629" t="s">
        <v>432</v>
      </c>
    </row>
    <row r="2858" spans="51:53">
      <c r="AY2858" s="627">
        <v>8874</v>
      </c>
      <c r="AZ2858" s="628" t="s">
        <v>1790</v>
      </c>
      <c r="BA2858" s="629" t="s">
        <v>432</v>
      </c>
    </row>
    <row r="2859" spans="51:53">
      <c r="AY2859" s="627">
        <v>8874</v>
      </c>
      <c r="AZ2859" s="628" t="s">
        <v>4438</v>
      </c>
      <c r="BA2859" s="629" t="s">
        <v>432</v>
      </c>
    </row>
    <row r="2860" spans="51:53">
      <c r="AY2860" s="627">
        <v>8876</v>
      </c>
      <c r="AZ2860" s="628" t="s">
        <v>4439</v>
      </c>
      <c r="BA2860" s="629" t="s">
        <v>432</v>
      </c>
    </row>
    <row r="2861" spans="51:53">
      <c r="AY2861" s="627">
        <v>8877</v>
      </c>
      <c r="AZ2861" s="628" t="s">
        <v>4440</v>
      </c>
      <c r="BA2861" s="629" t="s">
        <v>432</v>
      </c>
    </row>
    <row r="2862" spans="51:53">
      <c r="AY2862" s="627">
        <v>8878</v>
      </c>
      <c r="AZ2862" s="628" t="s">
        <v>4441</v>
      </c>
      <c r="BA2862" s="629" t="s">
        <v>432</v>
      </c>
    </row>
    <row r="2863" spans="51:53">
      <c r="AY2863" s="627">
        <v>8879</v>
      </c>
      <c r="AZ2863" s="628" t="s">
        <v>1791</v>
      </c>
      <c r="BA2863" s="629" t="s">
        <v>432</v>
      </c>
    </row>
    <row r="2864" spans="51:53">
      <c r="AY2864" s="627">
        <v>8879</v>
      </c>
      <c r="AZ2864" s="630" t="s">
        <v>4442</v>
      </c>
      <c r="BA2864" s="629" t="s">
        <v>432</v>
      </c>
    </row>
    <row r="2865" spans="51:53">
      <c r="AY2865" s="627">
        <v>8881</v>
      </c>
      <c r="AZ2865" s="630" t="s">
        <v>4443</v>
      </c>
      <c r="BA2865" s="629" t="s">
        <v>432</v>
      </c>
    </row>
    <row r="2866" spans="51:53">
      <c r="AY2866" s="627">
        <v>8882</v>
      </c>
      <c r="AZ2866" s="630" t="s">
        <v>4444</v>
      </c>
      <c r="BA2866" s="629" t="s">
        <v>432</v>
      </c>
    </row>
    <row r="2867" spans="51:53">
      <c r="AY2867" s="692">
        <v>8883</v>
      </c>
      <c r="AZ2867" s="630" t="s">
        <v>4445</v>
      </c>
      <c r="BA2867" s="629" t="s">
        <v>432</v>
      </c>
    </row>
    <row r="2868" spans="51:53">
      <c r="AY2868" s="627">
        <v>8885</v>
      </c>
      <c r="AZ2868" s="630" t="s">
        <v>1792</v>
      </c>
      <c r="BA2868" s="629" t="s">
        <v>432</v>
      </c>
    </row>
    <row r="2869" spans="51:53">
      <c r="AY2869" s="627">
        <v>8885</v>
      </c>
      <c r="AZ2869" s="630" t="s">
        <v>4447</v>
      </c>
      <c r="BA2869" s="629" t="s">
        <v>432</v>
      </c>
    </row>
    <row r="2870" spans="51:53">
      <c r="AY2870" s="627">
        <v>8886</v>
      </c>
      <c r="AZ2870" s="630" t="s">
        <v>4448</v>
      </c>
      <c r="BA2870" s="629" t="s">
        <v>432</v>
      </c>
    </row>
    <row r="2871" spans="51:53">
      <c r="AY2871" s="627">
        <v>8887</v>
      </c>
      <c r="AZ2871" s="630" t="s">
        <v>1793</v>
      </c>
      <c r="BA2871" s="629" t="s">
        <v>432</v>
      </c>
    </row>
    <row r="2872" spans="51:53">
      <c r="AY2872" s="627">
        <v>8887</v>
      </c>
      <c r="AZ2872" s="630" t="s">
        <v>4449</v>
      </c>
      <c r="BA2872" s="629" t="s">
        <v>432</v>
      </c>
    </row>
    <row r="2873" spans="51:53">
      <c r="AY2873" s="627">
        <v>8888</v>
      </c>
      <c r="AZ2873" s="630" t="s">
        <v>1794</v>
      </c>
      <c r="BA2873" s="629" t="s">
        <v>432</v>
      </c>
    </row>
    <row r="2874" spans="51:53">
      <c r="AY2874" s="627">
        <v>8888</v>
      </c>
      <c r="AZ2874" s="630" t="s">
        <v>1795</v>
      </c>
      <c r="BA2874" s="629" t="s">
        <v>432</v>
      </c>
    </row>
    <row r="2875" spans="51:53">
      <c r="AY2875" s="627">
        <v>8888</v>
      </c>
      <c r="AZ2875" s="630" t="s">
        <v>4450</v>
      </c>
      <c r="BA2875" s="629" t="s">
        <v>432</v>
      </c>
    </row>
    <row r="2876" spans="51:53">
      <c r="AY2876" s="627">
        <v>8891</v>
      </c>
      <c r="AZ2876" s="630" t="s">
        <v>1796</v>
      </c>
      <c r="BA2876" s="629" t="s">
        <v>432</v>
      </c>
    </row>
    <row r="2877" spans="51:53">
      <c r="AY2877" s="627">
        <v>8891</v>
      </c>
      <c r="AZ2877" s="630" t="s">
        <v>4451</v>
      </c>
      <c r="BA2877" s="629" t="s">
        <v>432</v>
      </c>
    </row>
    <row r="2878" spans="51:53">
      <c r="AY2878" s="627">
        <v>8893</v>
      </c>
      <c r="AZ2878" s="630" t="s">
        <v>1797</v>
      </c>
      <c r="BA2878" s="629" t="s">
        <v>432</v>
      </c>
    </row>
    <row r="2879" spans="51:53">
      <c r="AY2879" s="627">
        <v>8893</v>
      </c>
      <c r="AZ2879" s="630" t="s">
        <v>4452</v>
      </c>
      <c r="BA2879" s="629" t="s">
        <v>432</v>
      </c>
    </row>
    <row r="2880" spans="51:53">
      <c r="AY2880" s="627">
        <v>8895</v>
      </c>
      <c r="AZ2880" s="628" t="s">
        <v>4453</v>
      </c>
      <c r="BA2880" s="629" t="s">
        <v>432</v>
      </c>
    </row>
    <row r="2881" spans="51:53">
      <c r="AY2881" s="627">
        <v>8896</v>
      </c>
      <c r="AZ2881" s="628" t="s">
        <v>4454</v>
      </c>
      <c r="BA2881" s="629" t="s">
        <v>432</v>
      </c>
    </row>
    <row r="2882" spans="51:53">
      <c r="AY2882" s="627">
        <v>8897</v>
      </c>
      <c r="AZ2882" s="628" t="s">
        <v>4455</v>
      </c>
      <c r="BA2882" s="629" t="s">
        <v>432</v>
      </c>
    </row>
    <row r="2883" spans="51:53">
      <c r="AY2883" s="627">
        <v>8900</v>
      </c>
      <c r="AZ2883" s="628" t="s">
        <v>4456</v>
      </c>
      <c r="BA2883" s="629" t="s">
        <v>4456</v>
      </c>
    </row>
    <row r="2884" spans="51:53">
      <c r="AY2884" s="61">
        <v>8904</v>
      </c>
      <c r="AZ2884" s="628" t="s">
        <v>4456</v>
      </c>
      <c r="BA2884" s="629" t="s">
        <v>4456</v>
      </c>
    </row>
    <row r="2885" spans="51:53">
      <c r="AY2885" s="61">
        <v>8908</v>
      </c>
      <c r="AZ2885" s="628" t="s">
        <v>4456</v>
      </c>
      <c r="BA2885" s="629" t="s">
        <v>4456</v>
      </c>
    </row>
    <row r="2886" spans="51:53">
      <c r="AY2886" s="627">
        <v>8911</v>
      </c>
      <c r="AZ2886" s="628" t="s">
        <v>1800</v>
      </c>
      <c r="BA2886" s="629" t="s">
        <v>432</v>
      </c>
    </row>
    <row r="2887" spans="51:53">
      <c r="AY2887" s="627">
        <v>8911</v>
      </c>
      <c r="AZ2887" s="628" t="s">
        <v>4459</v>
      </c>
      <c r="BA2887" s="629" t="s">
        <v>432</v>
      </c>
    </row>
    <row r="2888" spans="51:53">
      <c r="AY2888" s="627">
        <v>8912</v>
      </c>
      <c r="AZ2888" s="628" t="s">
        <v>107</v>
      </c>
      <c r="BA2888" s="629" t="s">
        <v>432</v>
      </c>
    </row>
    <row r="2889" spans="51:53">
      <c r="AY2889" s="627">
        <v>8912</v>
      </c>
      <c r="AZ2889" s="628" t="s">
        <v>4460</v>
      </c>
      <c r="BA2889" s="629" t="s">
        <v>432</v>
      </c>
    </row>
    <row r="2890" spans="51:53">
      <c r="AY2890" s="627">
        <v>8913</v>
      </c>
      <c r="AZ2890" s="628" t="s">
        <v>108</v>
      </c>
      <c r="BA2890" s="629" t="s">
        <v>432</v>
      </c>
    </row>
    <row r="2891" spans="51:53">
      <c r="AY2891" s="627">
        <v>8913</v>
      </c>
      <c r="AZ2891" s="628" t="s">
        <v>109</v>
      </c>
      <c r="BA2891" s="629" t="s">
        <v>432</v>
      </c>
    </row>
    <row r="2892" spans="51:53">
      <c r="AY2892" s="627">
        <v>8913</v>
      </c>
      <c r="AZ2892" s="628" t="s">
        <v>4461</v>
      </c>
      <c r="BA2892" s="629" t="s">
        <v>432</v>
      </c>
    </row>
    <row r="2893" spans="51:53">
      <c r="AY2893" s="627">
        <v>8914</v>
      </c>
      <c r="AZ2893" s="628" t="s">
        <v>4462</v>
      </c>
      <c r="BA2893" s="629" t="s">
        <v>432</v>
      </c>
    </row>
    <row r="2894" spans="51:53">
      <c r="AY2894" s="627">
        <v>8915</v>
      </c>
      <c r="AZ2894" s="628" t="s">
        <v>4463</v>
      </c>
      <c r="BA2894" s="629" t="s">
        <v>432</v>
      </c>
    </row>
    <row r="2895" spans="51:53">
      <c r="AY2895" s="627">
        <v>8917</v>
      </c>
      <c r="AZ2895" s="628" t="s">
        <v>110</v>
      </c>
      <c r="BA2895" s="629" t="s">
        <v>432</v>
      </c>
    </row>
    <row r="2896" spans="51:53">
      <c r="AY2896" s="627">
        <v>8918</v>
      </c>
      <c r="AZ2896" s="628" t="s">
        <v>111</v>
      </c>
      <c r="BA2896" s="629" t="s">
        <v>432</v>
      </c>
    </row>
    <row r="2897" spans="51:53">
      <c r="AY2897" s="627">
        <v>8918</v>
      </c>
      <c r="AZ2897" s="628" t="s">
        <v>4466</v>
      </c>
      <c r="BA2897" s="629" t="s">
        <v>432</v>
      </c>
    </row>
    <row r="2898" spans="51:53">
      <c r="AY2898" s="627">
        <v>8919</v>
      </c>
      <c r="AZ2898" s="628" t="s">
        <v>4467</v>
      </c>
      <c r="BA2898" s="629" t="s">
        <v>432</v>
      </c>
    </row>
    <row r="2899" spans="51:53">
      <c r="AY2899" s="627">
        <v>8921</v>
      </c>
      <c r="AZ2899" s="628" t="s">
        <v>112</v>
      </c>
      <c r="BA2899" s="629" t="s">
        <v>432</v>
      </c>
    </row>
    <row r="2900" spans="51:53">
      <c r="AY2900" s="627">
        <v>8921</v>
      </c>
      <c r="AZ2900" s="628" t="s">
        <v>113</v>
      </c>
      <c r="BA2900" s="629" t="s">
        <v>432</v>
      </c>
    </row>
    <row r="2901" spans="51:53">
      <c r="AY2901" s="627">
        <v>8921</v>
      </c>
      <c r="AZ2901" s="628" t="s">
        <v>114</v>
      </c>
      <c r="BA2901" s="629" t="s">
        <v>432</v>
      </c>
    </row>
    <row r="2902" spans="51:53">
      <c r="AY2902" s="627">
        <v>8921</v>
      </c>
      <c r="AZ2902" s="628" t="s">
        <v>115</v>
      </c>
      <c r="BA2902" s="629" t="s">
        <v>432</v>
      </c>
    </row>
    <row r="2903" spans="51:53">
      <c r="AY2903" s="627">
        <v>8923</v>
      </c>
      <c r="AZ2903" s="628" t="s">
        <v>4469</v>
      </c>
      <c r="BA2903" s="629" t="s">
        <v>432</v>
      </c>
    </row>
    <row r="2904" spans="51:53">
      <c r="AY2904" s="627">
        <v>8924</v>
      </c>
      <c r="AZ2904" s="628" t="s">
        <v>4470</v>
      </c>
      <c r="BA2904" s="629" t="s">
        <v>432</v>
      </c>
    </row>
    <row r="2905" spans="51:53">
      <c r="AY2905" s="627">
        <v>8925</v>
      </c>
      <c r="AZ2905" s="628" t="s">
        <v>116</v>
      </c>
      <c r="BA2905" s="629" t="s">
        <v>432</v>
      </c>
    </row>
    <row r="2906" spans="51:53">
      <c r="AY2906" s="627">
        <v>8925</v>
      </c>
      <c r="AZ2906" s="628" t="s">
        <v>4472</v>
      </c>
      <c r="BA2906" s="629" t="s">
        <v>432</v>
      </c>
    </row>
    <row r="2907" spans="51:53">
      <c r="AY2907" s="627">
        <v>8925</v>
      </c>
      <c r="AZ2907" s="628" t="s">
        <v>4473</v>
      </c>
      <c r="BA2907" s="629" t="s">
        <v>432</v>
      </c>
    </row>
    <row r="2908" spans="51:53">
      <c r="AY2908" s="627">
        <v>8925</v>
      </c>
      <c r="AZ2908" s="628" t="s">
        <v>117</v>
      </c>
      <c r="BA2908" s="629" t="s">
        <v>432</v>
      </c>
    </row>
    <row r="2909" spans="51:53">
      <c r="AY2909" s="627">
        <v>8925</v>
      </c>
      <c r="AZ2909" s="628" t="s">
        <v>4471</v>
      </c>
      <c r="BA2909" s="629" t="s">
        <v>432</v>
      </c>
    </row>
    <row r="2910" spans="51:53">
      <c r="AY2910" s="627">
        <v>8929</v>
      </c>
      <c r="AZ2910" s="628" t="s">
        <v>4474</v>
      </c>
      <c r="BA2910" s="629" t="s">
        <v>432</v>
      </c>
    </row>
    <row r="2911" spans="51:53">
      <c r="AY2911" s="627">
        <v>8931</v>
      </c>
      <c r="AZ2911" s="628" t="s">
        <v>118</v>
      </c>
      <c r="BA2911" s="629" t="s">
        <v>432</v>
      </c>
    </row>
    <row r="2912" spans="51:53">
      <c r="AY2912" s="627">
        <v>8931</v>
      </c>
      <c r="AZ2912" s="628" t="s">
        <v>4475</v>
      </c>
      <c r="BA2912" s="629" t="s">
        <v>432</v>
      </c>
    </row>
    <row r="2913" spans="51:53">
      <c r="AY2913" s="627">
        <v>8932</v>
      </c>
      <c r="AZ2913" s="628" t="s">
        <v>119</v>
      </c>
      <c r="BA2913" s="629" t="s">
        <v>432</v>
      </c>
    </row>
    <row r="2914" spans="51:53">
      <c r="AY2914" s="627">
        <v>8932</v>
      </c>
      <c r="AZ2914" s="628" t="s">
        <v>4476</v>
      </c>
      <c r="BA2914" s="629" t="s">
        <v>432</v>
      </c>
    </row>
    <row r="2915" spans="51:53">
      <c r="AY2915" s="627">
        <v>8932</v>
      </c>
      <c r="AZ2915" s="628" t="s">
        <v>4477</v>
      </c>
      <c r="BA2915" s="629" t="s">
        <v>432</v>
      </c>
    </row>
    <row r="2916" spans="51:53">
      <c r="AY2916" s="627">
        <v>8934</v>
      </c>
      <c r="AZ2916" s="628" t="s">
        <v>4478</v>
      </c>
      <c r="BA2916" s="629" t="s">
        <v>432</v>
      </c>
    </row>
    <row r="2917" spans="51:53">
      <c r="AY2917" s="627">
        <v>8935</v>
      </c>
      <c r="AZ2917" s="628" t="s">
        <v>120</v>
      </c>
      <c r="BA2917" s="629" t="s">
        <v>432</v>
      </c>
    </row>
    <row r="2918" spans="51:53">
      <c r="AY2918" s="627">
        <v>8935</v>
      </c>
      <c r="AZ2918" s="628" t="s">
        <v>121</v>
      </c>
      <c r="BA2918" s="629" t="s">
        <v>432</v>
      </c>
    </row>
    <row r="2919" spans="51:53">
      <c r="AY2919" s="627">
        <v>8935</v>
      </c>
      <c r="AZ2919" s="628" t="s">
        <v>122</v>
      </c>
      <c r="BA2919" s="629" t="s">
        <v>432</v>
      </c>
    </row>
    <row r="2920" spans="51:53">
      <c r="AY2920" s="627">
        <v>8935</v>
      </c>
      <c r="AZ2920" s="628" t="s">
        <v>123</v>
      </c>
      <c r="BA2920" s="629" t="s">
        <v>432</v>
      </c>
    </row>
    <row r="2921" spans="51:53">
      <c r="AY2921" s="627">
        <v>8935</v>
      </c>
      <c r="AZ2921" s="628" t="s">
        <v>4479</v>
      </c>
      <c r="BA2921" s="629" t="s">
        <v>432</v>
      </c>
    </row>
    <row r="2922" spans="51:53">
      <c r="AY2922" s="627">
        <v>8936</v>
      </c>
      <c r="AZ2922" s="628" t="s">
        <v>4480</v>
      </c>
      <c r="BA2922" s="629" t="s">
        <v>432</v>
      </c>
    </row>
    <row r="2923" spans="51:53">
      <c r="AY2923" s="627">
        <v>8943</v>
      </c>
      <c r="AZ2923" s="628" t="s">
        <v>4482</v>
      </c>
      <c r="BA2923" s="629" t="s">
        <v>432</v>
      </c>
    </row>
    <row r="2924" spans="51:53">
      <c r="AY2924" s="627">
        <v>8943</v>
      </c>
      <c r="AZ2924" s="628" t="s">
        <v>4481</v>
      </c>
      <c r="BA2924" s="629" t="s">
        <v>432</v>
      </c>
    </row>
    <row r="2925" spans="51:53">
      <c r="AY2925" s="627">
        <v>8944</v>
      </c>
      <c r="AZ2925" s="628" t="s">
        <v>4483</v>
      </c>
      <c r="BA2925" s="629" t="s">
        <v>432</v>
      </c>
    </row>
    <row r="2926" spans="51:53">
      <c r="AY2926" s="627">
        <v>8945</v>
      </c>
      <c r="AZ2926" s="628" t="s">
        <v>4484</v>
      </c>
      <c r="BA2926" s="629" t="s">
        <v>432</v>
      </c>
    </row>
    <row r="2927" spans="51:53">
      <c r="AY2927" s="627">
        <v>8946</v>
      </c>
      <c r="AZ2927" s="628" t="s">
        <v>124</v>
      </c>
      <c r="BA2927" s="629" t="s">
        <v>432</v>
      </c>
    </row>
    <row r="2928" spans="51:53">
      <c r="AY2928" s="627">
        <v>8946</v>
      </c>
      <c r="AZ2928" s="628" t="s">
        <v>125</v>
      </c>
      <c r="BA2928" s="629" t="s">
        <v>432</v>
      </c>
    </row>
    <row r="2929" spans="51:53">
      <c r="AY2929" s="627">
        <v>8946</v>
      </c>
      <c r="AZ2929" s="628" t="s">
        <v>4485</v>
      </c>
      <c r="BA2929" s="629" t="s">
        <v>432</v>
      </c>
    </row>
    <row r="2930" spans="51:53">
      <c r="AY2930" s="627">
        <v>8947</v>
      </c>
      <c r="AZ2930" s="628" t="s">
        <v>126</v>
      </c>
      <c r="BA2930" s="629" t="s">
        <v>432</v>
      </c>
    </row>
    <row r="2931" spans="51:53">
      <c r="AY2931" s="627">
        <v>8947</v>
      </c>
      <c r="AZ2931" s="628" t="s">
        <v>4486</v>
      </c>
      <c r="BA2931" s="629" t="s">
        <v>432</v>
      </c>
    </row>
    <row r="2932" spans="51:53">
      <c r="AY2932" s="627">
        <v>8948</v>
      </c>
      <c r="AZ2932" s="628" t="s">
        <v>1044</v>
      </c>
      <c r="BA2932" s="629" t="s">
        <v>410</v>
      </c>
    </row>
    <row r="2933" spans="51:53">
      <c r="AY2933" s="627">
        <v>8948</v>
      </c>
      <c r="AZ2933" s="628" t="s">
        <v>127</v>
      </c>
      <c r="BA2933" s="629" t="s">
        <v>432</v>
      </c>
    </row>
    <row r="2934" spans="51:53">
      <c r="AY2934" s="627">
        <v>8949</v>
      </c>
      <c r="AZ2934" s="628" t="s">
        <v>4488</v>
      </c>
      <c r="BA2934" s="629" t="s">
        <v>432</v>
      </c>
    </row>
    <row r="2935" spans="51:53">
      <c r="AY2935" s="627">
        <v>8951</v>
      </c>
      <c r="AZ2935" s="628" t="s">
        <v>128</v>
      </c>
      <c r="BA2935" s="629" t="s">
        <v>432</v>
      </c>
    </row>
    <row r="2936" spans="51:53">
      <c r="AY2936" s="627">
        <v>8951</v>
      </c>
      <c r="AZ2936" s="628" t="s">
        <v>4489</v>
      </c>
      <c r="BA2936" s="629" t="s">
        <v>432</v>
      </c>
    </row>
    <row r="2937" spans="51:53">
      <c r="AY2937" s="627">
        <v>8953</v>
      </c>
      <c r="AZ2937" s="628" t="s">
        <v>4490</v>
      </c>
      <c r="BA2937" s="629" t="s">
        <v>432</v>
      </c>
    </row>
    <row r="2938" spans="51:53">
      <c r="AY2938" s="627">
        <v>8954</v>
      </c>
      <c r="AZ2938" s="628" t="s">
        <v>4491</v>
      </c>
      <c r="BA2938" s="629" t="s">
        <v>432</v>
      </c>
    </row>
    <row r="2939" spans="51:53">
      <c r="AY2939" s="627">
        <v>8956</v>
      </c>
      <c r="AZ2939" s="628" t="s">
        <v>129</v>
      </c>
      <c r="BA2939" s="629" t="s">
        <v>432</v>
      </c>
    </row>
    <row r="2940" spans="51:53">
      <c r="AY2940" s="627">
        <v>8956</v>
      </c>
      <c r="AZ2940" s="628" t="s">
        <v>130</v>
      </c>
      <c r="BA2940" s="629" t="s">
        <v>432</v>
      </c>
    </row>
    <row r="2941" spans="51:53">
      <c r="AY2941" s="627">
        <v>8956</v>
      </c>
      <c r="AZ2941" s="628" t="s">
        <v>4492</v>
      </c>
      <c r="BA2941" s="629" t="s">
        <v>432</v>
      </c>
    </row>
    <row r="2942" spans="51:53">
      <c r="AY2942" s="627">
        <v>8957</v>
      </c>
      <c r="AZ2942" s="628" t="s">
        <v>131</v>
      </c>
      <c r="BA2942" s="629" t="s">
        <v>432</v>
      </c>
    </row>
    <row r="2943" spans="51:53">
      <c r="AY2943" s="627">
        <v>8957</v>
      </c>
      <c r="AZ2943" s="628" t="s">
        <v>132</v>
      </c>
      <c r="BA2943" s="629" t="s">
        <v>432</v>
      </c>
    </row>
    <row r="2944" spans="51:53">
      <c r="AY2944" s="627">
        <v>8957</v>
      </c>
      <c r="AZ2944" s="628" t="s">
        <v>133</v>
      </c>
      <c r="BA2944" s="629" t="s">
        <v>432</v>
      </c>
    </row>
    <row r="2945" spans="51:53">
      <c r="AY2945" s="627">
        <v>8957</v>
      </c>
      <c r="AZ2945" s="628" t="s">
        <v>4493</v>
      </c>
      <c r="BA2945" s="629" t="s">
        <v>432</v>
      </c>
    </row>
    <row r="2946" spans="51:53">
      <c r="AY2946" s="627">
        <v>8958</v>
      </c>
      <c r="AZ2946" s="628" t="s">
        <v>4494</v>
      </c>
      <c r="BA2946" s="629" t="s">
        <v>432</v>
      </c>
    </row>
    <row r="2947" spans="51:53">
      <c r="AY2947" s="627">
        <v>8960</v>
      </c>
      <c r="AZ2947" s="628" t="s">
        <v>4495</v>
      </c>
      <c r="BA2947" s="629" t="s">
        <v>432</v>
      </c>
    </row>
    <row r="2948" spans="51:53">
      <c r="AY2948" s="627">
        <v>8966</v>
      </c>
      <c r="AZ2948" s="628" t="s">
        <v>4495</v>
      </c>
      <c r="BA2948" s="629" t="s">
        <v>432</v>
      </c>
    </row>
    <row r="2949" spans="51:53">
      <c r="AY2949" s="627">
        <v>8969</v>
      </c>
      <c r="AZ2949" s="628" t="s">
        <v>135</v>
      </c>
      <c r="BA2949" s="629" t="s">
        <v>432</v>
      </c>
    </row>
    <row r="2950" spans="51:53">
      <c r="AY2950" s="627">
        <v>8969</v>
      </c>
      <c r="AZ2950" s="628" t="s">
        <v>136</v>
      </c>
      <c r="BA2950" s="629" t="s">
        <v>432</v>
      </c>
    </row>
    <row r="2951" spans="51:53">
      <c r="AY2951" s="627">
        <v>8969</v>
      </c>
      <c r="AZ2951" s="628" t="s">
        <v>137</v>
      </c>
      <c r="BA2951" s="629" t="s">
        <v>432</v>
      </c>
    </row>
    <row r="2952" spans="51:53">
      <c r="AY2952" s="627">
        <v>8969</v>
      </c>
      <c r="AZ2952" s="628" t="s">
        <v>4497</v>
      </c>
      <c r="BA2952" s="629" t="s">
        <v>432</v>
      </c>
    </row>
    <row r="2953" spans="51:53">
      <c r="AY2953" s="627">
        <v>8971</v>
      </c>
      <c r="AZ2953" s="628" t="s">
        <v>138</v>
      </c>
      <c r="BA2953" s="629" t="s">
        <v>432</v>
      </c>
    </row>
    <row r="2954" spans="51:53">
      <c r="AY2954" s="627">
        <v>8971</v>
      </c>
      <c r="AZ2954" s="628" t="s">
        <v>4498</v>
      </c>
      <c r="BA2954" s="629" t="s">
        <v>432</v>
      </c>
    </row>
    <row r="2955" spans="51:53">
      <c r="AY2955" s="627">
        <v>8973</v>
      </c>
      <c r="AZ2955" s="628" t="s">
        <v>4499</v>
      </c>
      <c r="BA2955" s="629" t="s">
        <v>432</v>
      </c>
    </row>
    <row r="2956" spans="51:53">
      <c r="AY2956" s="627">
        <v>8973</v>
      </c>
      <c r="AZ2956" s="628" t="s">
        <v>139</v>
      </c>
      <c r="BA2956" s="629" t="s">
        <v>432</v>
      </c>
    </row>
    <row r="2957" spans="51:53">
      <c r="AY2957" s="627">
        <v>8973</v>
      </c>
      <c r="AZ2957" s="628" t="s">
        <v>140</v>
      </c>
      <c r="BA2957" s="629" t="s">
        <v>432</v>
      </c>
    </row>
    <row r="2958" spans="51:53">
      <c r="AY2958" s="627">
        <v>8973</v>
      </c>
      <c r="AZ2958" s="628" t="s">
        <v>141</v>
      </c>
      <c r="BA2958" s="629" t="s">
        <v>432</v>
      </c>
    </row>
    <row r="2959" spans="51:53">
      <c r="AY2959" s="627">
        <v>8973</v>
      </c>
      <c r="AZ2959" s="628" t="s">
        <v>142</v>
      </c>
      <c r="BA2959" s="629" t="s">
        <v>432</v>
      </c>
    </row>
    <row r="2960" spans="51:53">
      <c r="AY2960" s="627">
        <v>8973</v>
      </c>
      <c r="AZ2960" s="628" t="s">
        <v>143</v>
      </c>
      <c r="BA2960" s="629" t="s">
        <v>432</v>
      </c>
    </row>
    <row r="2961" spans="51:53">
      <c r="AY2961" s="627">
        <v>8973</v>
      </c>
      <c r="AZ2961" s="628" t="s">
        <v>4500</v>
      </c>
      <c r="BA2961" s="629" t="s">
        <v>432</v>
      </c>
    </row>
    <row r="2962" spans="51:53">
      <c r="AY2962" s="627">
        <v>8975</v>
      </c>
      <c r="AZ2962" s="628" t="s">
        <v>4501</v>
      </c>
      <c r="BA2962" s="629" t="s">
        <v>432</v>
      </c>
    </row>
    <row r="2963" spans="51:53">
      <c r="AY2963" s="627">
        <v>8976</v>
      </c>
      <c r="AZ2963" s="628" t="s">
        <v>144</v>
      </c>
      <c r="BA2963" s="629" t="s">
        <v>432</v>
      </c>
    </row>
    <row r="2964" spans="51:53">
      <c r="AY2964" s="627">
        <v>8976</v>
      </c>
      <c r="AZ2964" s="628" t="s">
        <v>4502</v>
      </c>
      <c r="BA2964" s="629" t="s">
        <v>432</v>
      </c>
    </row>
    <row r="2965" spans="51:53">
      <c r="AY2965" s="627">
        <v>8977</v>
      </c>
      <c r="AZ2965" s="628" t="s">
        <v>3291</v>
      </c>
      <c r="BA2965" s="629" t="s">
        <v>432</v>
      </c>
    </row>
    <row r="2966" spans="51:53">
      <c r="AY2966" s="627">
        <v>8977</v>
      </c>
      <c r="AZ2966" s="628" t="s">
        <v>3292</v>
      </c>
      <c r="BA2966" s="629" t="s">
        <v>432</v>
      </c>
    </row>
    <row r="2967" spans="51:53">
      <c r="AY2967" s="627">
        <v>8977</v>
      </c>
      <c r="AZ2967" s="628" t="s">
        <v>4503</v>
      </c>
      <c r="BA2967" s="629" t="s">
        <v>432</v>
      </c>
    </row>
    <row r="2968" spans="51:53">
      <c r="AY2968" s="627">
        <v>8978</v>
      </c>
      <c r="AZ2968" s="628" t="s">
        <v>3293</v>
      </c>
      <c r="BA2968" s="629" t="s">
        <v>432</v>
      </c>
    </row>
    <row r="2969" spans="51:53">
      <c r="AY2969" s="627">
        <v>8978</v>
      </c>
      <c r="AZ2969" s="628" t="s">
        <v>2903</v>
      </c>
      <c r="BA2969" s="629" t="s">
        <v>432</v>
      </c>
    </row>
    <row r="2970" spans="51:53">
      <c r="AY2970" s="627">
        <v>8978</v>
      </c>
      <c r="AZ2970" s="628" t="s">
        <v>2904</v>
      </c>
      <c r="BA2970" s="629" t="s">
        <v>432</v>
      </c>
    </row>
    <row r="2971" spans="51:53">
      <c r="AY2971" s="627">
        <v>8978</v>
      </c>
      <c r="AZ2971" s="628" t="s">
        <v>2905</v>
      </c>
      <c r="BA2971" s="629" t="s">
        <v>432</v>
      </c>
    </row>
    <row r="2972" spans="51:53">
      <c r="AY2972" s="627">
        <v>8978</v>
      </c>
      <c r="AZ2972" s="628" t="s">
        <v>4504</v>
      </c>
      <c r="BA2972" s="629" t="s">
        <v>432</v>
      </c>
    </row>
    <row r="2973" spans="51:53">
      <c r="AY2973" s="627">
        <v>8981</v>
      </c>
      <c r="AZ2973" s="628" t="s">
        <v>2906</v>
      </c>
      <c r="BA2973" s="629" t="s">
        <v>432</v>
      </c>
    </row>
    <row r="2974" spans="51:53">
      <c r="AY2974" s="627">
        <v>8981</v>
      </c>
      <c r="AZ2974" s="628" t="s">
        <v>4505</v>
      </c>
      <c r="BA2974" s="629" t="s">
        <v>432</v>
      </c>
    </row>
    <row r="2975" spans="51:53">
      <c r="AY2975" s="627">
        <v>8983</v>
      </c>
      <c r="AZ2975" s="628" t="s">
        <v>4464</v>
      </c>
      <c r="BA2975" s="629" t="s">
        <v>432</v>
      </c>
    </row>
    <row r="2976" spans="51:53">
      <c r="AY2976" s="627">
        <v>8983</v>
      </c>
      <c r="AZ2976" s="628" t="s">
        <v>2907</v>
      </c>
      <c r="BA2976" s="629" t="s">
        <v>432</v>
      </c>
    </row>
    <row r="2977" spans="51:53">
      <c r="AY2977" s="627">
        <v>8983</v>
      </c>
      <c r="AZ2977" s="628" t="s">
        <v>4506</v>
      </c>
      <c r="BA2977" s="629" t="s">
        <v>432</v>
      </c>
    </row>
    <row r="2978" spans="51:53">
      <c r="AY2978" s="627">
        <v>8984</v>
      </c>
      <c r="AZ2978" s="628" t="s">
        <v>2908</v>
      </c>
      <c r="BA2978" s="629" t="s">
        <v>432</v>
      </c>
    </row>
    <row r="2979" spans="51:53">
      <c r="AY2979" s="627">
        <v>8984</v>
      </c>
      <c r="AZ2979" s="628" t="s">
        <v>2909</v>
      </c>
      <c r="BA2979" s="629" t="s">
        <v>432</v>
      </c>
    </row>
    <row r="2980" spans="51:53">
      <c r="AY2980" s="627">
        <v>8984</v>
      </c>
      <c r="AZ2980" s="630" t="s">
        <v>4507</v>
      </c>
      <c r="BA2980" s="629" t="s">
        <v>432</v>
      </c>
    </row>
    <row r="2981" spans="51:53">
      <c r="AY2981" s="627">
        <v>8985</v>
      </c>
      <c r="AZ2981" s="628" t="s">
        <v>799</v>
      </c>
      <c r="BA2981" s="629" t="s">
        <v>432</v>
      </c>
    </row>
    <row r="2982" spans="51:53">
      <c r="AY2982" s="627">
        <v>8986</v>
      </c>
      <c r="AZ2982" s="628" t="s">
        <v>2910</v>
      </c>
      <c r="BA2982" s="629" t="s">
        <v>432</v>
      </c>
    </row>
    <row r="2983" spans="51:53">
      <c r="AY2983" s="627">
        <v>8986</v>
      </c>
      <c r="AZ2983" s="628" t="s">
        <v>2911</v>
      </c>
      <c r="BA2983" s="629" t="s">
        <v>432</v>
      </c>
    </row>
    <row r="2984" spans="51:53">
      <c r="AY2984" s="627">
        <v>8986</v>
      </c>
      <c r="AZ2984" s="628" t="s">
        <v>800</v>
      </c>
      <c r="BA2984" s="629" t="s">
        <v>432</v>
      </c>
    </row>
    <row r="2985" spans="51:53">
      <c r="AY2985" s="627">
        <v>8988</v>
      </c>
      <c r="AZ2985" s="628" t="s">
        <v>2912</v>
      </c>
      <c r="BA2985" s="629" t="s">
        <v>432</v>
      </c>
    </row>
    <row r="2986" spans="51:53">
      <c r="AY2986" s="627">
        <v>8988</v>
      </c>
      <c r="AZ2986" s="628" t="s">
        <v>801</v>
      </c>
      <c r="BA2986" s="629" t="s">
        <v>432</v>
      </c>
    </row>
    <row r="2987" spans="51:53">
      <c r="AY2987" s="627">
        <v>8989</v>
      </c>
      <c r="AZ2987" s="628" t="s">
        <v>802</v>
      </c>
      <c r="BA2987" s="629" t="s">
        <v>432</v>
      </c>
    </row>
    <row r="2988" spans="51:53">
      <c r="AY2988" s="627">
        <v>8990</v>
      </c>
      <c r="AZ2988" s="628" t="s">
        <v>4465</v>
      </c>
      <c r="BA2988" s="629" t="s">
        <v>432</v>
      </c>
    </row>
    <row r="2989" spans="51:53">
      <c r="AY2989" s="627">
        <v>8991</v>
      </c>
      <c r="AZ2989" s="628" t="s">
        <v>2913</v>
      </c>
      <c r="BA2989" s="629" t="s">
        <v>432</v>
      </c>
    </row>
    <row r="2990" spans="51:53">
      <c r="AY2990" s="627">
        <v>8991</v>
      </c>
      <c r="AZ2990" s="628" t="s">
        <v>2914</v>
      </c>
      <c r="BA2990" s="629" t="s">
        <v>432</v>
      </c>
    </row>
    <row r="2991" spans="51:53">
      <c r="AY2991" s="627">
        <v>8991</v>
      </c>
      <c r="AZ2991" s="628" t="s">
        <v>803</v>
      </c>
      <c r="BA2991" s="629" t="s">
        <v>432</v>
      </c>
    </row>
    <row r="2992" spans="51:53">
      <c r="AY2992" s="627">
        <v>8992</v>
      </c>
      <c r="AZ2992" s="628" t="s">
        <v>2915</v>
      </c>
      <c r="BA2992" s="629" t="s">
        <v>432</v>
      </c>
    </row>
    <row r="2993" spans="51:53">
      <c r="AY2993" s="627">
        <v>8992</v>
      </c>
      <c r="AZ2993" s="628" t="s">
        <v>2916</v>
      </c>
      <c r="BA2993" s="629" t="s">
        <v>432</v>
      </c>
    </row>
    <row r="2994" spans="51:53">
      <c r="AY2994" s="627">
        <v>8992</v>
      </c>
      <c r="AZ2994" s="628" t="s">
        <v>3127</v>
      </c>
      <c r="BA2994" s="629" t="s">
        <v>432</v>
      </c>
    </row>
    <row r="2995" spans="51:53">
      <c r="AY2995" s="627">
        <v>8992</v>
      </c>
      <c r="AZ2995" s="628" t="s">
        <v>804</v>
      </c>
      <c r="BA2995" s="629" t="s">
        <v>432</v>
      </c>
    </row>
    <row r="2996" spans="51:53">
      <c r="AY2996" s="627">
        <v>8994</v>
      </c>
      <c r="AZ2996" s="628" t="s">
        <v>3128</v>
      </c>
      <c r="BA2996" s="629" t="s">
        <v>432</v>
      </c>
    </row>
    <row r="2997" spans="51:53">
      <c r="AY2997" s="627">
        <v>8994</v>
      </c>
      <c r="AZ2997" s="628" t="s">
        <v>805</v>
      </c>
      <c r="BA2997" s="629" t="s">
        <v>432</v>
      </c>
    </row>
    <row r="2998" spans="51:53">
      <c r="AY2998" s="627">
        <v>8995</v>
      </c>
      <c r="AZ2998" s="628" t="s">
        <v>3129</v>
      </c>
      <c r="BA2998" s="629" t="s">
        <v>432</v>
      </c>
    </row>
    <row r="2999" spans="51:53">
      <c r="AY2999" s="627">
        <v>8995</v>
      </c>
      <c r="AZ2999" s="628" t="s">
        <v>806</v>
      </c>
      <c r="BA2999" s="629" t="s">
        <v>432</v>
      </c>
    </row>
    <row r="3000" spans="51:53">
      <c r="AY3000" s="627">
        <v>8996</v>
      </c>
      <c r="AZ3000" s="628" t="s">
        <v>807</v>
      </c>
      <c r="BA3000" s="629" t="s">
        <v>432</v>
      </c>
    </row>
    <row r="3001" spans="51:53">
      <c r="AY3001" s="627">
        <v>8997</v>
      </c>
      <c r="AZ3001" s="628" t="s">
        <v>808</v>
      </c>
      <c r="BA3001" s="629" t="s">
        <v>432</v>
      </c>
    </row>
    <row r="3002" spans="51:53">
      <c r="AY3002" s="627">
        <v>8998</v>
      </c>
      <c r="AZ3002" s="628" t="s">
        <v>3130</v>
      </c>
      <c r="BA3002" s="629" t="s">
        <v>432</v>
      </c>
    </row>
    <row r="3003" spans="51:53">
      <c r="AY3003" s="627">
        <v>8998</v>
      </c>
      <c r="AZ3003" s="628" t="s">
        <v>809</v>
      </c>
      <c r="BA3003" s="629" t="s">
        <v>432</v>
      </c>
    </row>
    <row r="3004" spans="51:53">
      <c r="AY3004" s="627">
        <v>8999</v>
      </c>
      <c r="AZ3004" s="628" t="s">
        <v>3131</v>
      </c>
      <c r="BA3004" s="629" t="s">
        <v>432</v>
      </c>
    </row>
    <row r="3005" spans="51:53">
      <c r="AY3005" s="627">
        <v>8999</v>
      </c>
      <c r="AZ3005" s="628" t="s">
        <v>810</v>
      </c>
      <c r="BA3005" s="629" t="s">
        <v>432</v>
      </c>
    </row>
    <row r="3006" spans="51:53">
      <c r="AY3006" s="627">
        <v>9000</v>
      </c>
      <c r="AZ3006" s="628" t="s">
        <v>811</v>
      </c>
      <c r="BA3006" s="629" t="s">
        <v>811</v>
      </c>
    </row>
    <row r="3007" spans="51:53">
      <c r="AY3007" s="627">
        <v>9011</v>
      </c>
      <c r="AZ3007" s="628" t="s">
        <v>811</v>
      </c>
      <c r="BA3007" s="629" t="s">
        <v>811</v>
      </c>
    </row>
    <row r="3008" spans="51:53">
      <c r="AY3008" s="627">
        <v>9012</v>
      </c>
      <c r="AZ3008" s="628" t="s">
        <v>811</v>
      </c>
      <c r="BA3008" s="629" t="s">
        <v>811</v>
      </c>
    </row>
    <row r="3009" spans="51:53">
      <c r="AY3009" s="627">
        <v>9019</v>
      </c>
      <c r="AZ3009" s="628" t="s">
        <v>811</v>
      </c>
      <c r="BA3009" s="629" t="s">
        <v>811</v>
      </c>
    </row>
    <row r="3010" spans="51:53">
      <c r="AY3010" s="627">
        <v>9021</v>
      </c>
      <c r="AZ3010" s="628" t="s">
        <v>811</v>
      </c>
      <c r="BA3010" s="629" t="s">
        <v>811</v>
      </c>
    </row>
    <row r="3011" spans="51:53">
      <c r="AY3011" s="627">
        <v>9022</v>
      </c>
      <c r="AZ3011" s="628" t="s">
        <v>811</v>
      </c>
      <c r="BA3011" s="629" t="s">
        <v>811</v>
      </c>
    </row>
    <row r="3012" spans="51:53">
      <c r="AY3012" s="627">
        <v>9023</v>
      </c>
      <c r="AZ3012" s="628" t="s">
        <v>811</v>
      </c>
      <c r="BA3012" s="629" t="s">
        <v>811</v>
      </c>
    </row>
    <row r="3013" spans="51:53">
      <c r="AY3013" s="627">
        <v>9024</v>
      </c>
      <c r="AZ3013" s="628" t="s">
        <v>811</v>
      </c>
      <c r="BA3013" s="629" t="s">
        <v>811</v>
      </c>
    </row>
    <row r="3014" spans="51:53">
      <c r="AY3014" s="627">
        <v>9025</v>
      </c>
      <c r="AZ3014" s="628" t="s">
        <v>811</v>
      </c>
      <c r="BA3014" s="629" t="s">
        <v>811</v>
      </c>
    </row>
    <row r="3015" spans="51:53">
      <c r="AY3015" s="627">
        <v>9026</v>
      </c>
      <c r="AZ3015" s="628" t="s">
        <v>811</v>
      </c>
      <c r="BA3015" s="629" t="s">
        <v>811</v>
      </c>
    </row>
    <row r="3016" spans="51:53">
      <c r="AY3016" s="627">
        <v>9027</v>
      </c>
      <c r="AZ3016" s="628" t="s">
        <v>811</v>
      </c>
      <c r="BA3016" s="629" t="s">
        <v>811</v>
      </c>
    </row>
    <row r="3017" spans="51:53">
      <c r="AY3017" s="627">
        <v>9028</v>
      </c>
      <c r="AZ3017" s="628" t="s">
        <v>811</v>
      </c>
      <c r="BA3017" s="629" t="s">
        <v>811</v>
      </c>
    </row>
    <row r="3018" spans="51:53">
      <c r="AY3018" s="627">
        <v>9029</v>
      </c>
      <c r="AZ3018" s="628" t="s">
        <v>811</v>
      </c>
      <c r="BA3018" s="629" t="s">
        <v>811</v>
      </c>
    </row>
    <row r="3019" spans="51:53">
      <c r="AY3019" s="627">
        <v>9030</v>
      </c>
      <c r="AZ3019" s="628" t="s">
        <v>811</v>
      </c>
      <c r="BA3019" s="629" t="s">
        <v>811</v>
      </c>
    </row>
    <row r="3020" spans="51:53">
      <c r="AY3020" s="627">
        <v>9061</v>
      </c>
      <c r="AZ3020" s="628" t="s">
        <v>817</v>
      </c>
      <c r="BA3020" s="629" t="s">
        <v>3180</v>
      </c>
    </row>
    <row r="3021" spans="51:53">
      <c r="AY3021" s="627">
        <v>9062</v>
      </c>
      <c r="AZ3021" s="628" t="s">
        <v>3136</v>
      </c>
      <c r="BA3021" s="629" t="s">
        <v>3180</v>
      </c>
    </row>
    <row r="3022" spans="51:53">
      <c r="AY3022" s="627">
        <v>9062</v>
      </c>
      <c r="AZ3022" s="628" t="s">
        <v>818</v>
      </c>
      <c r="BA3022" s="629" t="s">
        <v>3180</v>
      </c>
    </row>
    <row r="3023" spans="51:53">
      <c r="AY3023" s="627">
        <v>9063</v>
      </c>
      <c r="AZ3023" s="628" t="s">
        <v>819</v>
      </c>
      <c r="BA3023" s="629" t="s">
        <v>3180</v>
      </c>
    </row>
    <row r="3024" spans="51:53">
      <c r="AY3024" s="627">
        <v>9071</v>
      </c>
      <c r="AZ3024" s="628" t="s">
        <v>2858</v>
      </c>
      <c r="BA3024" s="629" t="s">
        <v>3180</v>
      </c>
    </row>
    <row r="3025" spans="51:53">
      <c r="AY3025" s="627">
        <v>9072</v>
      </c>
      <c r="AZ3025" s="628" t="s">
        <v>2859</v>
      </c>
      <c r="BA3025" s="629" t="s">
        <v>3180</v>
      </c>
    </row>
    <row r="3026" spans="51:53">
      <c r="AY3026" s="627">
        <v>9073</v>
      </c>
      <c r="AZ3026" s="628" t="s">
        <v>3137</v>
      </c>
      <c r="BA3026" s="629" t="s">
        <v>3180</v>
      </c>
    </row>
    <row r="3027" spans="51:53">
      <c r="AY3027" s="627">
        <v>9074</v>
      </c>
      <c r="AZ3027" s="630" t="s">
        <v>2861</v>
      </c>
      <c r="BA3027" s="629" t="s">
        <v>3180</v>
      </c>
    </row>
    <row r="3028" spans="51:53">
      <c r="AY3028" s="627">
        <v>9081</v>
      </c>
      <c r="AZ3028" s="630" t="s">
        <v>2862</v>
      </c>
      <c r="BA3028" s="629" t="s">
        <v>3180</v>
      </c>
    </row>
    <row r="3029" spans="51:53">
      <c r="AY3029" s="627">
        <v>9082</v>
      </c>
      <c r="AZ3029" s="630" t="s">
        <v>2863</v>
      </c>
      <c r="BA3029" s="629" t="s">
        <v>3180</v>
      </c>
    </row>
    <row r="3030" spans="51:53">
      <c r="AY3030" s="627">
        <v>9083</v>
      </c>
      <c r="AZ3030" s="628" t="s">
        <v>2864</v>
      </c>
      <c r="BA3030" s="629" t="s">
        <v>3180</v>
      </c>
    </row>
    <row r="3031" spans="51:53">
      <c r="AY3031" s="627">
        <v>9084</v>
      </c>
      <c r="AZ3031" s="628" t="s">
        <v>2865</v>
      </c>
      <c r="BA3031" s="629" t="s">
        <v>3180</v>
      </c>
    </row>
    <row r="3032" spans="51:53">
      <c r="AY3032" s="627">
        <v>9085</v>
      </c>
      <c r="AZ3032" s="628" t="s">
        <v>2866</v>
      </c>
      <c r="BA3032" s="629" t="s">
        <v>3180</v>
      </c>
    </row>
    <row r="3033" spans="51:53">
      <c r="AY3033" s="627">
        <v>9086</v>
      </c>
      <c r="AZ3033" s="628" t="s">
        <v>2867</v>
      </c>
      <c r="BA3033" s="629" t="s">
        <v>3180</v>
      </c>
    </row>
    <row r="3034" spans="51:53">
      <c r="AY3034" s="627">
        <v>9088</v>
      </c>
      <c r="AZ3034" s="628" t="s">
        <v>1318</v>
      </c>
      <c r="BA3034" s="629" t="s">
        <v>3180</v>
      </c>
    </row>
    <row r="3035" spans="51:53">
      <c r="AY3035" s="627">
        <v>9089</v>
      </c>
      <c r="AZ3035" s="628" t="s">
        <v>1319</v>
      </c>
      <c r="BA3035" s="629" t="s">
        <v>3180</v>
      </c>
    </row>
    <row r="3036" spans="51:53">
      <c r="AY3036" s="627">
        <v>9090</v>
      </c>
      <c r="AZ3036" s="628" t="s">
        <v>2868</v>
      </c>
      <c r="BA3036" s="629" t="s">
        <v>3180</v>
      </c>
    </row>
    <row r="3037" spans="51:53">
      <c r="AY3037" s="627">
        <v>9091</v>
      </c>
      <c r="AZ3037" s="628" t="s">
        <v>2869</v>
      </c>
      <c r="BA3037" s="629" t="s">
        <v>3180</v>
      </c>
    </row>
    <row r="3038" spans="51:53">
      <c r="AY3038" s="627">
        <v>9092</v>
      </c>
      <c r="AZ3038" s="628" t="s">
        <v>2870</v>
      </c>
      <c r="BA3038" s="629" t="s">
        <v>3180</v>
      </c>
    </row>
    <row r="3039" spans="51:53">
      <c r="AY3039" s="627">
        <v>9093</v>
      </c>
      <c r="AZ3039" s="628" t="s">
        <v>2871</v>
      </c>
      <c r="BA3039" s="629" t="s">
        <v>3180</v>
      </c>
    </row>
    <row r="3040" spans="51:53">
      <c r="AY3040" s="627">
        <v>9094</v>
      </c>
      <c r="AZ3040" s="628" t="s">
        <v>2872</v>
      </c>
      <c r="BA3040" s="629" t="s">
        <v>3180</v>
      </c>
    </row>
    <row r="3041" spans="51:53">
      <c r="AY3041" s="627">
        <v>9095</v>
      </c>
      <c r="AZ3041" s="628" t="s">
        <v>2873</v>
      </c>
      <c r="BA3041" s="629" t="s">
        <v>3180</v>
      </c>
    </row>
    <row r="3042" spans="51:53">
      <c r="AY3042" s="627">
        <v>9096</v>
      </c>
      <c r="AZ3042" s="628" t="s">
        <v>2874</v>
      </c>
      <c r="BA3042" s="629" t="s">
        <v>3180</v>
      </c>
    </row>
    <row r="3043" spans="51:53">
      <c r="AY3043" s="627">
        <v>9097</v>
      </c>
      <c r="AZ3043" s="628" t="s">
        <v>2875</v>
      </c>
      <c r="BA3043" s="629" t="s">
        <v>3180</v>
      </c>
    </row>
    <row r="3044" spans="51:53">
      <c r="AY3044" s="627">
        <v>9098</v>
      </c>
      <c r="AZ3044" s="628" t="s">
        <v>2875</v>
      </c>
      <c r="BA3044" s="629" t="s">
        <v>3180</v>
      </c>
    </row>
    <row r="3045" spans="51:53">
      <c r="AY3045" s="627">
        <v>9099</v>
      </c>
      <c r="AZ3045" s="628" t="s">
        <v>2877</v>
      </c>
      <c r="BA3045" s="629" t="s">
        <v>3180</v>
      </c>
    </row>
    <row r="3046" spans="51:53">
      <c r="AY3046" s="627">
        <v>9100</v>
      </c>
      <c r="AZ3046" s="628" t="s">
        <v>2878</v>
      </c>
      <c r="BA3046" s="629" t="s">
        <v>3180</v>
      </c>
    </row>
    <row r="3047" spans="51:53">
      <c r="AY3047" s="627">
        <v>9111</v>
      </c>
      <c r="AZ3047" s="628" t="s">
        <v>2879</v>
      </c>
      <c r="BA3047" s="629" t="s">
        <v>3180</v>
      </c>
    </row>
    <row r="3048" spans="51:53">
      <c r="AY3048" s="627">
        <v>9112</v>
      </c>
      <c r="AZ3048" s="628" t="s">
        <v>2880</v>
      </c>
      <c r="BA3048" s="629" t="s">
        <v>3180</v>
      </c>
    </row>
    <row r="3049" spans="51:53">
      <c r="AY3049" s="627">
        <v>9113</v>
      </c>
      <c r="AZ3049" s="628" t="s">
        <v>2881</v>
      </c>
      <c r="BA3049" s="629" t="s">
        <v>3180</v>
      </c>
    </row>
    <row r="3050" spans="51:53">
      <c r="AY3050" s="627">
        <v>9121</v>
      </c>
      <c r="AZ3050" s="628" t="s">
        <v>2882</v>
      </c>
      <c r="BA3050" s="629" t="s">
        <v>3180</v>
      </c>
    </row>
    <row r="3051" spans="51:53">
      <c r="AY3051" s="627">
        <v>9122</v>
      </c>
      <c r="AZ3051" s="628" t="s">
        <v>2883</v>
      </c>
      <c r="BA3051" s="629" t="s">
        <v>3180</v>
      </c>
    </row>
    <row r="3052" spans="51:53">
      <c r="AY3052" s="627">
        <v>9123</v>
      </c>
      <c r="AZ3052" s="628" t="s">
        <v>2884</v>
      </c>
      <c r="BA3052" s="629" t="s">
        <v>3180</v>
      </c>
    </row>
    <row r="3053" spans="51:53">
      <c r="AY3053" s="627">
        <v>9124</v>
      </c>
      <c r="AZ3053" s="628" t="s">
        <v>2885</v>
      </c>
      <c r="BA3053" s="629" t="s">
        <v>3180</v>
      </c>
    </row>
    <row r="3054" spans="51:53">
      <c r="AY3054" s="627">
        <v>9125</v>
      </c>
      <c r="AZ3054" s="628" t="s">
        <v>2777</v>
      </c>
      <c r="BA3054" s="629" t="s">
        <v>3180</v>
      </c>
    </row>
    <row r="3055" spans="51:53">
      <c r="AY3055" s="627">
        <v>9126</v>
      </c>
      <c r="AZ3055" s="628" t="s">
        <v>2778</v>
      </c>
      <c r="BA3055" s="629" t="s">
        <v>3180</v>
      </c>
    </row>
    <row r="3056" spans="51:53">
      <c r="AY3056" s="627">
        <v>9127</v>
      </c>
      <c r="AZ3056" s="628" t="s">
        <v>2773</v>
      </c>
      <c r="BA3056" s="629" t="s">
        <v>3180</v>
      </c>
    </row>
    <row r="3057" spans="51:53">
      <c r="AY3057" s="627">
        <v>9131</v>
      </c>
      <c r="AZ3057" s="628" t="s">
        <v>2886</v>
      </c>
      <c r="BA3057" s="629" t="s">
        <v>3180</v>
      </c>
    </row>
    <row r="3058" spans="51:53">
      <c r="AY3058" s="627">
        <v>9132</v>
      </c>
      <c r="AZ3058" s="628" t="s">
        <v>2887</v>
      </c>
      <c r="BA3058" s="629" t="s">
        <v>3180</v>
      </c>
    </row>
    <row r="3059" spans="51:53">
      <c r="AY3059" s="627">
        <v>9133</v>
      </c>
      <c r="AZ3059" s="628" t="s">
        <v>3139</v>
      </c>
      <c r="BA3059" s="629" t="s">
        <v>3180</v>
      </c>
    </row>
    <row r="3060" spans="51:53">
      <c r="AY3060" s="627">
        <v>9133</v>
      </c>
      <c r="AZ3060" s="628" t="s">
        <v>2888</v>
      </c>
      <c r="BA3060" s="629" t="s">
        <v>3180</v>
      </c>
    </row>
    <row r="3061" spans="51:53">
      <c r="AY3061" s="627">
        <v>9134</v>
      </c>
      <c r="AZ3061" s="628" t="s">
        <v>2889</v>
      </c>
      <c r="BA3061" s="629" t="s">
        <v>3180</v>
      </c>
    </row>
    <row r="3062" spans="51:53">
      <c r="AY3062" s="627">
        <v>9135</v>
      </c>
      <c r="AZ3062" s="628" t="s">
        <v>2890</v>
      </c>
      <c r="BA3062" s="629" t="s">
        <v>3180</v>
      </c>
    </row>
    <row r="3063" spans="51:53">
      <c r="AY3063" s="627">
        <v>9136</v>
      </c>
      <c r="AZ3063" s="628" t="s">
        <v>3140</v>
      </c>
      <c r="BA3063" s="629" t="s">
        <v>3180</v>
      </c>
    </row>
    <row r="3064" spans="51:53">
      <c r="AY3064" s="627">
        <v>9136</v>
      </c>
      <c r="AZ3064" s="628" t="s">
        <v>2891</v>
      </c>
      <c r="BA3064" s="629" t="s">
        <v>3180</v>
      </c>
    </row>
    <row r="3065" spans="51:53">
      <c r="AY3065" s="627">
        <v>9141</v>
      </c>
      <c r="AZ3065" s="628" t="s">
        <v>2892</v>
      </c>
      <c r="BA3065" s="629" t="s">
        <v>3180</v>
      </c>
    </row>
    <row r="3066" spans="51:53">
      <c r="AY3066" s="627">
        <v>9142</v>
      </c>
      <c r="AZ3066" s="628" t="s">
        <v>2893</v>
      </c>
      <c r="BA3066" s="629" t="s">
        <v>3180</v>
      </c>
    </row>
    <row r="3067" spans="51:53">
      <c r="AY3067" s="627">
        <v>9143</v>
      </c>
      <c r="AZ3067" s="628" t="s">
        <v>2894</v>
      </c>
      <c r="BA3067" s="629" t="s">
        <v>3180</v>
      </c>
    </row>
    <row r="3068" spans="51:53">
      <c r="AY3068" s="627">
        <v>9144</v>
      </c>
      <c r="AZ3068" s="628" t="s">
        <v>2895</v>
      </c>
      <c r="BA3068" s="629" t="s">
        <v>3180</v>
      </c>
    </row>
    <row r="3069" spans="51:53">
      <c r="AY3069" s="627">
        <v>9145</v>
      </c>
      <c r="AZ3069" s="628" t="s">
        <v>2896</v>
      </c>
      <c r="BA3069" s="629" t="s">
        <v>3180</v>
      </c>
    </row>
    <row r="3070" spans="51:53">
      <c r="AY3070" s="627">
        <v>9146</v>
      </c>
      <c r="AZ3070" s="628" t="s">
        <v>2897</v>
      </c>
      <c r="BA3070" s="629" t="s">
        <v>3180</v>
      </c>
    </row>
    <row r="3071" spans="51:53">
      <c r="AY3071" s="627">
        <v>9147</v>
      </c>
      <c r="AZ3071" s="628" t="s">
        <v>2898</v>
      </c>
      <c r="BA3071" s="629" t="s">
        <v>3180</v>
      </c>
    </row>
    <row r="3072" spans="51:53">
      <c r="AY3072" s="627">
        <v>9151</v>
      </c>
      <c r="AZ3072" s="628" t="s">
        <v>2899</v>
      </c>
      <c r="BA3072" s="629" t="s">
        <v>3180</v>
      </c>
    </row>
    <row r="3073" spans="51:53">
      <c r="AY3073" s="627">
        <v>9152</v>
      </c>
      <c r="AZ3073" s="628" t="s">
        <v>2900</v>
      </c>
      <c r="BA3073" s="629" t="s">
        <v>3180</v>
      </c>
    </row>
    <row r="3074" spans="51:53">
      <c r="AY3074" s="627">
        <v>9153</v>
      </c>
      <c r="AZ3074" s="628" t="s">
        <v>2901</v>
      </c>
      <c r="BA3074" s="629" t="s">
        <v>3180</v>
      </c>
    </row>
    <row r="3075" spans="51:53">
      <c r="AY3075" s="627">
        <v>9154</v>
      </c>
      <c r="AZ3075" s="628" t="s">
        <v>919</v>
      </c>
      <c r="BA3075" s="629" t="s">
        <v>3180</v>
      </c>
    </row>
    <row r="3076" spans="51:53">
      <c r="AY3076" s="627">
        <v>9155</v>
      </c>
      <c r="AZ3076" s="628" t="s">
        <v>920</v>
      </c>
      <c r="BA3076" s="629" t="s">
        <v>3180</v>
      </c>
    </row>
    <row r="3077" spans="51:53">
      <c r="AY3077" s="627">
        <v>9161</v>
      </c>
      <c r="AZ3077" s="628" t="s">
        <v>921</v>
      </c>
      <c r="BA3077" s="629" t="s">
        <v>3180</v>
      </c>
    </row>
    <row r="3078" spans="51:53">
      <c r="AY3078" s="627">
        <v>9162</v>
      </c>
      <c r="AZ3078" s="628" t="s">
        <v>922</v>
      </c>
      <c r="BA3078" s="629" t="s">
        <v>3180</v>
      </c>
    </row>
    <row r="3079" spans="51:53">
      <c r="AY3079" s="627">
        <v>9163</v>
      </c>
      <c r="AZ3079" s="628" t="s">
        <v>923</v>
      </c>
      <c r="BA3079" s="629" t="s">
        <v>3180</v>
      </c>
    </row>
    <row r="3080" spans="51:53">
      <c r="AY3080" s="627">
        <v>9164</v>
      </c>
      <c r="AZ3080" s="628" t="s">
        <v>924</v>
      </c>
      <c r="BA3080" s="629" t="s">
        <v>3180</v>
      </c>
    </row>
    <row r="3081" spans="51:53">
      <c r="AY3081" s="627">
        <v>9165</v>
      </c>
      <c r="AZ3081" s="628" t="s">
        <v>3142</v>
      </c>
      <c r="BA3081" s="629" t="s">
        <v>3180</v>
      </c>
    </row>
    <row r="3082" spans="51:53">
      <c r="AY3082" s="627">
        <v>9165</v>
      </c>
      <c r="AZ3082" s="628" t="s">
        <v>2145</v>
      </c>
      <c r="BA3082" s="629" t="s">
        <v>3180</v>
      </c>
    </row>
    <row r="3083" spans="51:53">
      <c r="AY3083" s="627">
        <v>9165</v>
      </c>
      <c r="AZ3083" s="628" t="s">
        <v>3238</v>
      </c>
      <c r="BA3083" s="629" t="s">
        <v>3180</v>
      </c>
    </row>
    <row r="3084" spans="51:53">
      <c r="AY3084" s="627">
        <v>9167</v>
      </c>
      <c r="AZ3084" s="628" t="s">
        <v>3239</v>
      </c>
      <c r="BA3084" s="629" t="s">
        <v>3180</v>
      </c>
    </row>
    <row r="3085" spans="51:53">
      <c r="AY3085" s="627">
        <v>9168</v>
      </c>
      <c r="AZ3085" s="628" t="s">
        <v>3240</v>
      </c>
      <c r="BA3085" s="629" t="s">
        <v>3180</v>
      </c>
    </row>
    <row r="3086" spans="51:53">
      <c r="AY3086" s="627">
        <v>9169</v>
      </c>
      <c r="AZ3086" s="628" t="s">
        <v>2146</v>
      </c>
      <c r="BA3086" s="629" t="s">
        <v>3180</v>
      </c>
    </row>
    <row r="3087" spans="51:53">
      <c r="AY3087" s="627">
        <v>9169</v>
      </c>
      <c r="AZ3087" s="628" t="s">
        <v>3241</v>
      </c>
      <c r="BA3087" s="629" t="s">
        <v>3180</v>
      </c>
    </row>
    <row r="3088" spans="51:53">
      <c r="AY3088" s="627">
        <v>9171</v>
      </c>
      <c r="AZ3088" s="628" t="s">
        <v>3242</v>
      </c>
      <c r="BA3088" s="629" t="s">
        <v>3180</v>
      </c>
    </row>
    <row r="3089" spans="51:53">
      <c r="AY3089" s="627">
        <v>9172</v>
      </c>
      <c r="AZ3089" s="628" t="s">
        <v>3243</v>
      </c>
      <c r="BA3089" s="629" t="s">
        <v>3180</v>
      </c>
    </row>
    <row r="3090" spans="51:53">
      <c r="AY3090" s="627">
        <v>9173</v>
      </c>
      <c r="AZ3090" s="628" t="s">
        <v>3244</v>
      </c>
      <c r="BA3090" s="629" t="s">
        <v>3180</v>
      </c>
    </row>
    <row r="3091" spans="51:53">
      <c r="AY3091" s="627">
        <v>9174</v>
      </c>
      <c r="AZ3091" s="628" t="s">
        <v>3245</v>
      </c>
      <c r="BA3091" s="629" t="s">
        <v>3180</v>
      </c>
    </row>
    <row r="3092" spans="51:53">
      <c r="AY3092" s="627">
        <v>9175</v>
      </c>
      <c r="AZ3092" s="628" t="s">
        <v>3246</v>
      </c>
      <c r="BA3092" s="629" t="s">
        <v>3180</v>
      </c>
    </row>
    <row r="3093" spans="51:53">
      <c r="AY3093" s="627">
        <v>9176</v>
      </c>
      <c r="AZ3093" s="628" t="s">
        <v>3247</v>
      </c>
      <c r="BA3093" s="629" t="s">
        <v>3180</v>
      </c>
    </row>
    <row r="3094" spans="51:53">
      <c r="AY3094" s="627">
        <v>9177</v>
      </c>
      <c r="AZ3094" s="628" t="s">
        <v>3248</v>
      </c>
      <c r="BA3094" s="629" t="s">
        <v>3180</v>
      </c>
    </row>
    <row r="3095" spans="51:53">
      <c r="AY3095" s="627">
        <v>9178</v>
      </c>
      <c r="AZ3095" s="628" t="s">
        <v>3249</v>
      </c>
      <c r="BA3095" s="629" t="s">
        <v>3180</v>
      </c>
    </row>
    <row r="3096" spans="51:53">
      <c r="AY3096" s="627">
        <v>9181</v>
      </c>
      <c r="AZ3096" s="628" t="s">
        <v>2147</v>
      </c>
      <c r="BA3096" s="629" t="s">
        <v>3180</v>
      </c>
    </row>
    <row r="3097" spans="51:53">
      <c r="AY3097" s="627">
        <v>9182</v>
      </c>
      <c r="AZ3097" s="628" t="s">
        <v>3251</v>
      </c>
      <c r="BA3097" s="629" t="s">
        <v>3180</v>
      </c>
    </row>
    <row r="3098" spans="51:53">
      <c r="AY3098" s="627">
        <v>9183</v>
      </c>
      <c r="AZ3098" s="628" t="s">
        <v>919</v>
      </c>
      <c r="BA3098" s="629" t="s">
        <v>3180</v>
      </c>
    </row>
    <row r="3099" spans="51:53">
      <c r="AY3099" s="627">
        <v>9184</v>
      </c>
      <c r="AZ3099" s="628" t="s">
        <v>3253</v>
      </c>
      <c r="BA3099" s="629" t="s">
        <v>3180</v>
      </c>
    </row>
    <row r="3100" spans="51:53">
      <c r="AY3100" s="627">
        <v>9200</v>
      </c>
      <c r="AZ3100" s="628" t="s">
        <v>3254</v>
      </c>
      <c r="BA3100" s="629" t="s">
        <v>3180</v>
      </c>
    </row>
    <row r="3101" spans="51:53">
      <c r="AY3101" s="627">
        <v>9211</v>
      </c>
      <c r="AZ3101" s="628" t="s">
        <v>3255</v>
      </c>
      <c r="BA3101" s="629" t="s">
        <v>3180</v>
      </c>
    </row>
    <row r="3102" spans="51:53">
      <c r="AY3102" s="627">
        <v>9221</v>
      </c>
      <c r="AZ3102" s="628" t="s">
        <v>3256</v>
      </c>
      <c r="BA3102" s="629" t="s">
        <v>3180</v>
      </c>
    </row>
    <row r="3103" spans="51:53">
      <c r="AY3103" s="627">
        <v>9222</v>
      </c>
      <c r="AZ3103" s="628" t="s">
        <v>3257</v>
      </c>
      <c r="BA3103" s="629" t="s">
        <v>3180</v>
      </c>
    </row>
    <row r="3104" spans="51:53">
      <c r="AY3104" s="627">
        <v>9223</v>
      </c>
      <c r="AZ3104" s="628" t="s">
        <v>3258</v>
      </c>
      <c r="BA3104" s="629" t="s">
        <v>3180</v>
      </c>
    </row>
    <row r="3105" spans="51:53">
      <c r="AY3105" s="627">
        <v>9224</v>
      </c>
      <c r="AZ3105" s="628" t="s">
        <v>3259</v>
      </c>
      <c r="BA3105" s="629" t="s">
        <v>3180</v>
      </c>
    </row>
    <row r="3106" spans="51:53">
      <c r="AY3106" s="627">
        <v>9225</v>
      </c>
      <c r="AZ3106" s="628" t="s">
        <v>3260</v>
      </c>
      <c r="BA3106" s="629" t="s">
        <v>3180</v>
      </c>
    </row>
    <row r="3107" spans="51:53">
      <c r="AY3107" s="627">
        <v>9226</v>
      </c>
      <c r="AZ3107" s="628" t="s">
        <v>3261</v>
      </c>
      <c r="BA3107" s="629" t="s">
        <v>3180</v>
      </c>
    </row>
    <row r="3108" spans="51:53">
      <c r="AY3108" s="627">
        <v>9228</v>
      </c>
      <c r="AZ3108" s="628" t="s">
        <v>3262</v>
      </c>
      <c r="BA3108" s="629" t="s">
        <v>3180</v>
      </c>
    </row>
    <row r="3109" spans="51:53">
      <c r="AY3109" s="627">
        <v>9231</v>
      </c>
      <c r="AZ3109" s="628" t="s">
        <v>3263</v>
      </c>
      <c r="BA3109" s="629" t="s">
        <v>3180</v>
      </c>
    </row>
    <row r="3110" spans="51:53">
      <c r="AY3110" s="627">
        <v>9232</v>
      </c>
      <c r="AZ3110" s="628" t="s">
        <v>3264</v>
      </c>
      <c r="BA3110" s="629" t="s">
        <v>3180</v>
      </c>
    </row>
    <row r="3111" spans="51:53">
      <c r="AY3111" s="627">
        <v>9233</v>
      </c>
      <c r="AZ3111" s="628" t="s">
        <v>3265</v>
      </c>
      <c r="BA3111" s="629" t="s">
        <v>3180</v>
      </c>
    </row>
    <row r="3112" spans="51:53">
      <c r="AY3112" s="627">
        <v>9234</v>
      </c>
      <c r="AZ3112" s="628" t="s">
        <v>3266</v>
      </c>
      <c r="BA3112" s="629" t="s">
        <v>3180</v>
      </c>
    </row>
    <row r="3113" spans="51:53">
      <c r="AY3113" s="627">
        <v>9235</v>
      </c>
      <c r="AZ3113" s="628" t="s">
        <v>6</v>
      </c>
      <c r="BA3113" s="629" t="s">
        <v>3180</v>
      </c>
    </row>
    <row r="3114" spans="51:53">
      <c r="AY3114" s="627">
        <v>9235</v>
      </c>
      <c r="AZ3114" s="628" t="s">
        <v>3267</v>
      </c>
      <c r="BA3114" s="629" t="s">
        <v>3180</v>
      </c>
    </row>
    <row r="3115" spans="51:53">
      <c r="AY3115" s="627">
        <v>9241</v>
      </c>
      <c r="AZ3115" s="628" t="s">
        <v>3268</v>
      </c>
      <c r="BA3115" s="629" t="s">
        <v>3180</v>
      </c>
    </row>
    <row r="3116" spans="51:53">
      <c r="AY3116" s="627">
        <v>9242</v>
      </c>
      <c r="AZ3116" s="628" t="s">
        <v>3268</v>
      </c>
      <c r="BA3116" s="629" t="s">
        <v>3180</v>
      </c>
    </row>
    <row r="3117" spans="51:53">
      <c r="AY3117" s="627">
        <v>9243</v>
      </c>
      <c r="AZ3117" s="628" t="s">
        <v>3269</v>
      </c>
      <c r="BA3117" s="629" t="s">
        <v>3180</v>
      </c>
    </row>
    <row r="3118" spans="51:53">
      <c r="AY3118" s="627">
        <v>9244</v>
      </c>
      <c r="AZ3118" s="628" t="s">
        <v>3270</v>
      </c>
      <c r="BA3118" s="629" t="s">
        <v>3180</v>
      </c>
    </row>
    <row r="3119" spans="51:53">
      <c r="AY3119" s="627">
        <v>9245</v>
      </c>
      <c r="AZ3119" s="628" t="s">
        <v>3271</v>
      </c>
      <c r="BA3119" s="629" t="s">
        <v>3180</v>
      </c>
    </row>
    <row r="3120" spans="51:53">
      <c r="AY3120" s="61">
        <v>9246</v>
      </c>
      <c r="AZ3120" s="638" t="s">
        <v>3660</v>
      </c>
      <c r="BA3120" s="629" t="s">
        <v>3180</v>
      </c>
    </row>
    <row r="3121" spans="51:53">
      <c r="AY3121" s="627">
        <v>9300</v>
      </c>
      <c r="AZ3121" s="628" t="s">
        <v>9</v>
      </c>
      <c r="BA3121" s="629" t="s">
        <v>3180</v>
      </c>
    </row>
    <row r="3122" spans="51:53">
      <c r="AY3122" s="627">
        <v>9311</v>
      </c>
      <c r="AZ3122" s="628" t="s">
        <v>3273</v>
      </c>
      <c r="BA3122" s="629" t="s">
        <v>3180</v>
      </c>
    </row>
    <row r="3123" spans="51:53">
      <c r="AY3123" s="627">
        <v>9312</v>
      </c>
      <c r="AZ3123" s="628" t="s">
        <v>3274</v>
      </c>
      <c r="BA3123" s="629" t="s">
        <v>3180</v>
      </c>
    </row>
    <row r="3124" spans="51:53">
      <c r="AY3124" s="627">
        <v>9313</v>
      </c>
      <c r="AZ3124" s="628" t="s">
        <v>3275</v>
      </c>
      <c r="BA3124" s="629" t="s">
        <v>3180</v>
      </c>
    </row>
    <row r="3125" spans="51:53">
      <c r="AY3125" s="627">
        <v>9314</v>
      </c>
      <c r="AZ3125" s="628" t="s">
        <v>3276</v>
      </c>
      <c r="BA3125" s="629" t="s">
        <v>3180</v>
      </c>
    </row>
    <row r="3126" spans="51:53">
      <c r="AY3126" s="627">
        <v>9315</v>
      </c>
      <c r="AZ3126" s="628" t="s">
        <v>3277</v>
      </c>
      <c r="BA3126" s="629" t="s">
        <v>3180</v>
      </c>
    </row>
    <row r="3127" spans="51:53">
      <c r="AY3127" s="627">
        <v>9316</v>
      </c>
      <c r="AZ3127" s="628" t="s">
        <v>3278</v>
      </c>
      <c r="BA3127" s="629" t="s">
        <v>3180</v>
      </c>
    </row>
    <row r="3128" spans="51:53">
      <c r="AY3128" s="627">
        <v>9317</v>
      </c>
      <c r="AZ3128" s="628" t="s">
        <v>3279</v>
      </c>
      <c r="BA3128" s="629" t="s">
        <v>3180</v>
      </c>
    </row>
    <row r="3129" spans="51:53">
      <c r="AY3129" s="627">
        <v>9321</v>
      </c>
      <c r="AZ3129" s="628" t="s">
        <v>3830</v>
      </c>
      <c r="BA3129" s="628" t="s">
        <v>3180</v>
      </c>
    </row>
    <row r="3130" spans="51:53">
      <c r="AY3130" s="627">
        <v>9322</v>
      </c>
      <c r="AZ3130" s="628" t="s">
        <v>3831</v>
      </c>
      <c r="BA3130" s="628" t="s">
        <v>3180</v>
      </c>
    </row>
    <row r="3131" spans="51:53">
      <c r="AY3131" s="627">
        <v>9323</v>
      </c>
      <c r="AZ3131" s="628" t="s">
        <v>3832</v>
      </c>
      <c r="BA3131" s="628" t="s">
        <v>3180</v>
      </c>
    </row>
    <row r="3132" spans="51:53">
      <c r="AY3132" s="627">
        <v>9324</v>
      </c>
      <c r="AZ3132" s="630" t="s">
        <v>10</v>
      </c>
      <c r="BA3132" s="630" t="s">
        <v>3180</v>
      </c>
    </row>
    <row r="3133" spans="51:53">
      <c r="AY3133" s="627">
        <v>9324</v>
      </c>
      <c r="AZ3133" s="628" t="s">
        <v>3833</v>
      </c>
      <c r="BA3133" s="628" t="s">
        <v>3180</v>
      </c>
    </row>
    <row r="3134" spans="51:53">
      <c r="AY3134" s="627">
        <v>9325</v>
      </c>
      <c r="AZ3134" s="628" t="s">
        <v>3834</v>
      </c>
      <c r="BA3134" s="628" t="s">
        <v>3180</v>
      </c>
    </row>
    <row r="3135" spans="51:53">
      <c r="AY3135" s="627">
        <v>9326</v>
      </c>
      <c r="AZ3135" s="628" t="s">
        <v>3839</v>
      </c>
      <c r="BA3135" s="628" t="s">
        <v>3180</v>
      </c>
    </row>
    <row r="3136" spans="51:53">
      <c r="AY3136" s="627">
        <v>9327</v>
      </c>
      <c r="AZ3136" s="628" t="s">
        <v>11</v>
      </c>
      <c r="BA3136" s="628" t="s">
        <v>3180</v>
      </c>
    </row>
    <row r="3137" spans="51:53">
      <c r="AY3137" s="627">
        <v>9327</v>
      </c>
      <c r="AZ3137" s="628" t="s">
        <v>3840</v>
      </c>
      <c r="BA3137" s="628" t="s">
        <v>3180</v>
      </c>
    </row>
    <row r="3138" spans="51:53">
      <c r="AY3138" s="627">
        <v>9330</v>
      </c>
      <c r="AZ3138" s="628" t="s">
        <v>3841</v>
      </c>
      <c r="BA3138" s="628" t="s">
        <v>3180</v>
      </c>
    </row>
    <row r="3139" spans="51:53">
      <c r="AY3139" s="627">
        <v>9339</v>
      </c>
      <c r="AZ3139" s="628" t="s">
        <v>3841</v>
      </c>
      <c r="BA3139" s="628" t="s">
        <v>3180</v>
      </c>
    </row>
    <row r="3140" spans="51:53">
      <c r="AY3140" s="627">
        <v>9341</v>
      </c>
      <c r="AZ3140" s="628" t="s">
        <v>3843</v>
      </c>
      <c r="BA3140" s="628" t="s">
        <v>3180</v>
      </c>
    </row>
    <row r="3141" spans="51:53">
      <c r="AY3141" s="627">
        <v>9342</v>
      </c>
      <c r="AZ3141" s="628" t="s">
        <v>3844</v>
      </c>
      <c r="BA3141" s="628" t="s">
        <v>3180</v>
      </c>
    </row>
    <row r="3142" spans="51:53">
      <c r="AY3142" s="627">
        <v>9343</v>
      </c>
      <c r="AZ3142" s="628" t="s">
        <v>13</v>
      </c>
      <c r="BA3142" s="628" t="s">
        <v>3180</v>
      </c>
    </row>
    <row r="3143" spans="51:53">
      <c r="AY3143" s="627">
        <v>9343</v>
      </c>
      <c r="AZ3143" s="628" t="s">
        <v>14</v>
      </c>
      <c r="BA3143" s="628" t="s">
        <v>3180</v>
      </c>
    </row>
    <row r="3144" spans="51:53">
      <c r="AY3144" s="627">
        <v>9343</v>
      </c>
      <c r="AZ3144" s="628" t="s">
        <v>15</v>
      </c>
      <c r="BA3144" s="628" t="s">
        <v>3180</v>
      </c>
    </row>
    <row r="3145" spans="51:53">
      <c r="AY3145" s="627">
        <v>9344</v>
      </c>
      <c r="AZ3145" s="628" t="s">
        <v>3846</v>
      </c>
      <c r="BA3145" s="628" t="s">
        <v>3180</v>
      </c>
    </row>
    <row r="3146" spans="51:53">
      <c r="AY3146" s="627">
        <v>9345</v>
      </c>
      <c r="AZ3146" s="628" t="s">
        <v>3847</v>
      </c>
      <c r="BA3146" s="628" t="s">
        <v>3180</v>
      </c>
    </row>
    <row r="3147" spans="51:53">
      <c r="AY3147" s="627">
        <v>9346</v>
      </c>
      <c r="AZ3147" s="628" t="s">
        <v>16</v>
      </c>
      <c r="BA3147" s="628" t="s">
        <v>3180</v>
      </c>
    </row>
    <row r="3148" spans="51:53">
      <c r="AY3148" s="627">
        <v>9346</v>
      </c>
      <c r="AZ3148" s="628" t="s">
        <v>17</v>
      </c>
      <c r="BA3148" s="628" t="s">
        <v>3180</v>
      </c>
    </row>
    <row r="3149" spans="51:53">
      <c r="AY3149" s="627">
        <v>9346</v>
      </c>
      <c r="AZ3149" s="628" t="s">
        <v>3848</v>
      </c>
      <c r="BA3149" s="628" t="s">
        <v>3180</v>
      </c>
    </row>
    <row r="3150" spans="51:53">
      <c r="AY3150" s="627">
        <v>9351</v>
      </c>
      <c r="AZ3150" s="628" t="s">
        <v>3849</v>
      </c>
      <c r="BA3150" s="628" t="s">
        <v>3180</v>
      </c>
    </row>
    <row r="3151" spans="51:53">
      <c r="AY3151" s="627">
        <v>9352</v>
      </c>
      <c r="AZ3151" s="628" t="s">
        <v>3850</v>
      </c>
      <c r="BA3151" s="628" t="s">
        <v>3180</v>
      </c>
    </row>
    <row r="3152" spans="51:53">
      <c r="AY3152" s="627">
        <v>9353</v>
      </c>
      <c r="AZ3152" s="630" t="s">
        <v>3851</v>
      </c>
      <c r="BA3152" s="630" t="s">
        <v>3180</v>
      </c>
    </row>
    <row r="3153" spans="51:53">
      <c r="AY3153" s="627">
        <v>9354</v>
      </c>
      <c r="AZ3153" s="628" t="s">
        <v>3852</v>
      </c>
      <c r="BA3153" s="628" t="s">
        <v>3180</v>
      </c>
    </row>
    <row r="3154" spans="51:53">
      <c r="AY3154" s="627">
        <v>9361</v>
      </c>
      <c r="AZ3154" s="628" t="s">
        <v>3853</v>
      </c>
      <c r="BA3154" s="628" t="s">
        <v>3180</v>
      </c>
    </row>
    <row r="3155" spans="51:53">
      <c r="AY3155" s="627">
        <v>9362</v>
      </c>
      <c r="AZ3155" s="628" t="s">
        <v>3854</v>
      </c>
      <c r="BA3155" s="628" t="s">
        <v>3180</v>
      </c>
    </row>
    <row r="3156" spans="51:53">
      <c r="AY3156" s="627">
        <v>9363</v>
      </c>
      <c r="AZ3156" s="630" t="s">
        <v>3855</v>
      </c>
      <c r="BA3156" s="630" t="s">
        <v>3180</v>
      </c>
    </row>
    <row r="3157" spans="51:53">
      <c r="AY3157" s="627">
        <v>9363</v>
      </c>
      <c r="AZ3157" s="631" t="s">
        <v>3855</v>
      </c>
      <c r="BA3157" s="695" t="s">
        <v>423</v>
      </c>
    </row>
    <row r="3158" spans="51:53">
      <c r="AY3158" s="627">
        <v>9364</v>
      </c>
      <c r="AZ3158" s="628" t="s">
        <v>3666</v>
      </c>
      <c r="BA3158" s="628" t="s">
        <v>406</v>
      </c>
    </row>
    <row r="3159" spans="51:53">
      <c r="AY3159" s="627">
        <v>9365</v>
      </c>
      <c r="AZ3159" s="628" t="s">
        <v>3857</v>
      </c>
      <c r="BA3159" s="628" t="s">
        <v>3180</v>
      </c>
    </row>
    <row r="3160" spans="51:53">
      <c r="AY3160" s="627">
        <v>9371</v>
      </c>
      <c r="AZ3160" s="628" t="s">
        <v>3858</v>
      </c>
      <c r="BA3160" s="628" t="s">
        <v>3180</v>
      </c>
    </row>
    <row r="3161" spans="51:53">
      <c r="AY3161" s="627">
        <v>9372</v>
      </c>
      <c r="AZ3161" s="628" t="s">
        <v>3859</v>
      </c>
      <c r="BA3161" s="628" t="s">
        <v>3180</v>
      </c>
    </row>
    <row r="3162" spans="51:53">
      <c r="AY3162" s="627">
        <v>9373</v>
      </c>
      <c r="AZ3162" s="628" t="s">
        <v>3860</v>
      </c>
      <c r="BA3162" s="628" t="s">
        <v>3180</v>
      </c>
    </row>
    <row r="3163" spans="51:53">
      <c r="AY3163" s="627">
        <v>9374</v>
      </c>
      <c r="AZ3163" s="628" t="s">
        <v>3861</v>
      </c>
      <c r="BA3163" s="628" t="s">
        <v>3180</v>
      </c>
    </row>
    <row r="3164" spans="51:53">
      <c r="AY3164" s="627">
        <v>9375</v>
      </c>
      <c r="AZ3164" s="628" t="s">
        <v>4679</v>
      </c>
      <c r="BA3164" s="628" t="s">
        <v>3180</v>
      </c>
    </row>
    <row r="3165" spans="51:53">
      <c r="AY3165" s="627">
        <v>9375</v>
      </c>
      <c r="AZ3165" s="628" t="s">
        <v>4680</v>
      </c>
      <c r="BA3165" s="628" t="s">
        <v>3180</v>
      </c>
    </row>
    <row r="3166" spans="51:53">
      <c r="AY3166" s="627">
        <v>9375</v>
      </c>
      <c r="AZ3166" s="628" t="s">
        <v>3862</v>
      </c>
      <c r="BA3166" s="628" t="s">
        <v>3180</v>
      </c>
    </row>
    <row r="3167" spans="51:53">
      <c r="AY3167" s="627">
        <v>9400</v>
      </c>
      <c r="AZ3167" s="628" t="s">
        <v>3863</v>
      </c>
      <c r="BA3167" s="628" t="s">
        <v>3863</v>
      </c>
    </row>
    <row r="3168" spans="51:53">
      <c r="AY3168" s="627">
        <v>9407</v>
      </c>
      <c r="AZ3168" s="628" t="s">
        <v>3863</v>
      </c>
      <c r="BA3168" s="628" t="s">
        <v>3863</v>
      </c>
    </row>
    <row r="3169" spans="51:53">
      <c r="AY3169" s="627">
        <v>9408</v>
      </c>
      <c r="AZ3169" s="628" t="s">
        <v>3863</v>
      </c>
      <c r="BA3169" s="628" t="s">
        <v>3863</v>
      </c>
    </row>
    <row r="3170" spans="51:53">
      <c r="AY3170" s="627">
        <v>9421</v>
      </c>
      <c r="AZ3170" s="628" t="s">
        <v>3866</v>
      </c>
      <c r="BA3170" s="628" t="s">
        <v>3180</v>
      </c>
    </row>
    <row r="3171" spans="51:53">
      <c r="AY3171" s="627">
        <v>9422</v>
      </c>
      <c r="AZ3171" s="628" t="s">
        <v>3867</v>
      </c>
      <c r="BA3171" s="628" t="s">
        <v>3180</v>
      </c>
    </row>
    <row r="3172" spans="51:53">
      <c r="AY3172" s="627">
        <v>9423</v>
      </c>
      <c r="AZ3172" s="628" t="s">
        <v>3868</v>
      </c>
      <c r="BA3172" s="628" t="s">
        <v>3180</v>
      </c>
    </row>
    <row r="3173" spans="51:53">
      <c r="AY3173" s="627">
        <v>9431</v>
      </c>
      <c r="AZ3173" s="628" t="s">
        <v>4683</v>
      </c>
      <c r="BA3173" s="628" t="s">
        <v>3180</v>
      </c>
    </row>
    <row r="3174" spans="51:53">
      <c r="AY3174" s="627">
        <v>9433</v>
      </c>
      <c r="AZ3174" s="628" t="s">
        <v>4683</v>
      </c>
      <c r="BA3174" s="628" t="s">
        <v>3180</v>
      </c>
    </row>
    <row r="3175" spans="51:53">
      <c r="AY3175" s="627">
        <v>9434</v>
      </c>
      <c r="AZ3175" s="628" t="s">
        <v>4769</v>
      </c>
      <c r="BA3175" s="628" t="s">
        <v>3180</v>
      </c>
    </row>
    <row r="3176" spans="51:53">
      <c r="AY3176" s="627">
        <v>9435</v>
      </c>
      <c r="AZ3176" s="628" t="s">
        <v>4769</v>
      </c>
      <c r="BA3176" s="628" t="s">
        <v>3180</v>
      </c>
    </row>
    <row r="3177" spans="51:53">
      <c r="AY3177" s="627">
        <v>9436</v>
      </c>
      <c r="AZ3177" s="628" t="s">
        <v>4770</v>
      </c>
      <c r="BA3177" s="628" t="s">
        <v>3180</v>
      </c>
    </row>
    <row r="3178" spans="51:53">
      <c r="AY3178" s="627">
        <v>9437</v>
      </c>
      <c r="AZ3178" s="628" t="s">
        <v>4771</v>
      </c>
      <c r="BA3178" s="628" t="s">
        <v>3180</v>
      </c>
    </row>
    <row r="3179" spans="51:53">
      <c r="AY3179" s="627">
        <v>9441</v>
      </c>
      <c r="AZ3179" s="628" t="s">
        <v>4772</v>
      </c>
      <c r="BA3179" s="628" t="s">
        <v>3180</v>
      </c>
    </row>
    <row r="3180" spans="51:53">
      <c r="AY3180" s="627">
        <v>9442</v>
      </c>
      <c r="AZ3180" s="630" t="s">
        <v>4773</v>
      </c>
      <c r="BA3180" s="630" t="s">
        <v>3180</v>
      </c>
    </row>
    <row r="3181" spans="51:53">
      <c r="AY3181" s="627">
        <v>9443</v>
      </c>
      <c r="AZ3181" s="628" t="s">
        <v>4774</v>
      </c>
      <c r="BA3181" s="628" t="s">
        <v>3180</v>
      </c>
    </row>
    <row r="3182" spans="51:53">
      <c r="AY3182" s="627">
        <v>9444</v>
      </c>
      <c r="AZ3182" s="628" t="s">
        <v>4775</v>
      </c>
      <c r="BA3182" s="628" t="s">
        <v>3180</v>
      </c>
    </row>
    <row r="3183" spans="51:53">
      <c r="AY3183" s="627">
        <v>9451</v>
      </c>
      <c r="AZ3183" s="628" t="s">
        <v>4687</v>
      </c>
      <c r="BA3183" s="628" t="s">
        <v>3180</v>
      </c>
    </row>
    <row r="3184" spans="51:53">
      <c r="AY3184" s="627">
        <v>9451</v>
      </c>
      <c r="AZ3184" s="628" t="s">
        <v>4776</v>
      </c>
      <c r="BA3184" s="630" t="s">
        <v>3180</v>
      </c>
    </row>
    <row r="3185" spans="51:53">
      <c r="AY3185" s="627">
        <v>9461</v>
      </c>
      <c r="AZ3185" s="628" t="s">
        <v>4777</v>
      </c>
      <c r="BA3185" s="630" t="s">
        <v>3180</v>
      </c>
    </row>
    <row r="3186" spans="51:53">
      <c r="AY3186" s="627">
        <v>9462</v>
      </c>
      <c r="AZ3186" s="628" t="s">
        <v>4778</v>
      </c>
      <c r="BA3186" s="630" t="s">
        <v>3180</v>
      </c>
    </row>
    <row r="3187" spans="51:53">
      <c r="AY3187" s="627">
        <v>9463</v>
      </c>
      <c r="AZ3187" s="628" t="s">
        <v>4779</v>
      </c>
      <c r="BA3187" s="630" t="s">
        <v>3180</v>
      </c>
    </row>
    <row r="3188" spans="51:53">
      <c r="AY3188" s="627">
        <v>9464</v>
      </c>
      <c r="AZ3188" s="628" t="s">
        <v>4780</v>
      </c>
      <c r="BA3188" s="630" t="s">
        <v>3180</v>
      </c>
    </row>
    <row r="3189" spans="51:53">
      <c r="AY3189" s="627">
        <v>9471</v>
      </c>
      <c r="AZ3189" s="628" t="s">
        <v>4781</v>
      </c>
      <c r="BA3189" s="630" t="s">
        <v>3180</v>
      </c>
    </row>
    <row r="3190" spans="51:53">
      <c r="AY3190" s="627">
        <v>9472</v>
      </c>
      <c r="AZ3190" s="628" t="s">
        <v>4782</v>
      </c>
      <c r="BA3190" s="630" t="s">
        <v>3180</v>
      </c>
    </row>
    <row r="3191" spans="51:53">
      <c r="AY3191" s="627">
        <v>9473</v>
      </c>
      <c r="AZ3191" s="628" t="s">
        <v>4783</v>
      </c>
      <c r="BA3191" s="630" t="s">
        <v>3180</v>
      </c>
    </row>
    <row r="3192" spans="51:53">
      <c r="AY3192" s="627">
        <v>9474</v>
      </c>
      <c r="AZ3192" s="628" t="s">
        <v>4688</v>
      </c>
      <c r="BA3192" s="630" t="s">
        <v>3180</v>
      </c>
    </row>
    <row r="3193" spans="51:53">
      <c r="AY3193" s="627">
        <v>9474</v>
      </c>
      <c r="AZ3193" s="628" t="s">
        <v>4784</v>
      </c>
      <c r="BA3193" s="630" t="s">
        <v>3180</v>
      </c>
    </row>
    <row r="3194" spans="51:53">
      <c r="AY3194" s="627">
        <v>9475</v>
      </c>
      <c r="AZ3194" s="628" t="s">
        <v>4785</v>
      </c>
      <c r="BA3194" s="630" t="s">
        <v>3180</v>
      </c>
    </row>
    <row r="3195" spans="51:53">
      <c r="AY3195" s="627">
        <v>9476</v>
      </c>
      <c r="AZ3195" s="628" t="s">
        <v>4786</v>
      </c>
      <c r="BA3195" s="630" t="s">
        <v>3180</v>
      </c>
    </row>
    <row r="3196" spans="51:53">
      <c r="AY3196" s="627">
        <v>9481</v>
      </c>
      <c r="AZ3196" s="628" t="s">
        <v>4787</v>
      </c>
      <c r="BA3196" s="630" t="s">
        <v>3180</v>
      </c>
    </row>
    <row r="3197" spans="51:53">
      <c r="AY3197" s="627">
        <v>9482</v>
      </c>
      <c r="AZ3197" s="628" t="s">
        <v>4788</v>
      </c>
      <c r="BA3197" s="630" t="s">
        <v>3180</v>
      </c>
    </row>
    <row r="3198" spans="51:53">
      <c r="AY3198" s="627">
        <v>9483</v>
      </c>
      <c r="AZ3198" s="628" t="s">
        <v>4789</v>
      </c>
      <c r="BA3198" s="630" t="s">
        <v>3180</v>
      </c>
    </row>
    <row r="3199" spans="51:53">
      <c r="AY3199" s="627">
        <v>9484</v>
      </c>
      <c r="AZ3199" s="628" t="s">
        <v>4790</v>
      </c>
      <c r="BA3199" s="630" t="s">
        <v>3180</v>
      </c>
    </row>
    <row r="3200" spans="51:53">
      <c r="AY3200" s="627">
        <v>9485</v>
      </c>
      <c r="AZ3200" s="628" t="s">
        <v>4791</v>
      </c>
      <c r="BA3200" s="630" t="s">
        <v>3180</v>
      </c>
    </row>
    <row r="3201" spans="51:53">
      <c r="AY3201" s="627">
        <v>9491</v>
      </c>
      <c r="AZ3201" s="628" t="s">
        <v>4792</v>
      </c>
      <c r="BA3201" s="630" t="s">
        <v>3180</v>
      </c>
    </row>
    <row r="3202" spans="51:53">
      <c r="AY3202" s="627">
        <v>9492</v>
      </c>
      <c r="AZ3202" s="628" t="s">
        <v>4793</v>
      </c>
      <c r="BA3202" s="630" t="s">
        <v>3180</v>
      </c>
    </row>
    <row r="3203" spans="51:53">
      <c r="AY3203" s="627">
        <v>9493</v>
      </c>
      <c r="AZ3203" s="628" t="s">
        <v>4794</v>
      </c>
      <c r="BA3203" s="630" t="s">
        <v>3180</v>
      </c>
    </row>
    <row r="3204" spans="51:53">
      <c r="AY3204" s="627">
        <v>9494</v>
      </c>
      <c r="AZ3204" s="628" t="s">
        <v>3863</v>
      </c>
      <c r="BA3204" s="630" t="s">
        <v>3180</v>
      </c>
    </row>
    <row r="3205" spans="51:53">
      <c r="AY3205" s="627">
        <v>9495</v>
      </c>
      <c r="AZ3205" s="630" t="s">
        <v>4796</v>
      </c>
      <c r="BA3205" s="630" t="s">
        <v>3180</v>
      </c>
    </row>
    <row r="3206" spans="51:53">
      <c r="AY3206" s="627">
        <v>9500</v>
      </c>
      <c r="AZ3206" s="628" t="s">
        <v>3350</v>
      </c>
      <c r="BA3206" s="630" t="s">
        <v>2808</v>
      </c>
    </row>
    <row r="3207" spans="51:53">
      <c r="AY3207" s="627">
        <v>9511</v>
      </c>
      <c r="AZ3207" s="628" t="s">
        <v>4689</v>
      </c>
      <c r="BA3207" s="630" t="s">
        <v>421</v>
      </c>
    </row>
    <row r="3208" spans="51:53">
      <c r="AY3208" s="627">
        <v>9512</v>
      </c>
      <c r="AZ3208" s="628" t="s">
        <v>4833</v>
      </c>
      <c r="BA3208" s="630" t="s">
        <v>421</v>
      </c>
    </row>
    <row r="3209" spans="51:53">
      <c r="AY3209" s="627">
        <v>9513</v>
      </c>
      <c r="AZ3209" s="630" t="s">
        <v>4834</v>
      </c>
      <c r="BA3209" s="630" t="s">
        <v>421</v>
      </c>
    </row>
    <row r="3210" spans="51:53">
      <c r="AY3210" s="627">
        <v>9514</v>
      </c>
      <c r="AZ3210" s="628" t="s">
        <v>4835</v>
      </c>
      <c r="BA3210" s="630" t="s">
        <v>421</v>
      </c>
    </row>
    <row r="3211" spans="51:53">
      <c r="AY3211" s="627">
        <v>9515</v>
      </c>
      <c r="AZ3211" s="628" t="s">
        <v>4836</v>
      </c>
      <c r="BA3211" s="630" t="s">
        <v>421</v>
      </c>
    </row>
    <row r="3212" spans="51:53">
      <c r="AY3212" s="627">
        <v>9516</v>
      </c>
      <c r="AZ3212" s="628" t="s">
        <v>4837</v>
      </c>
      <c r="BA3212" s="630" t="s">
        <v>421</v>
      </c>
    </row>
    <row r="3213" spans="51:53">
      <c r="AY3213" s="627">
        <v>9517</v>
      </c>
      <c r="AZ3213" s="628" t="s">
        <v>4838</v>
      </c>
      <c r="BA3213" s="630" t="s">
        <v>421</v>
      </c>
    </row>
    <row r="3214" spans="51:53">
      <c r="AY3214" s="627">
        <v>9521</v>
      </c>
      <c r="AZ3214" s="628" t="s">
        <v>4839</v>
      </c>
      <c r="BA3214" s="630" t="s">
        <v>421</v>
      </c>
    </row>
    <row r="3215" spans="51:53">
      <c r="AY3215" s="627">
        <v>9522</v>
      </c>
      <c r="AZ3215" s="630" t="s">
        <v>4840</v>
      </c>
      <c r="BA3215" s="630" t="s">
        <v>421</v>
      </c>
    </row>
    <row r="3216" spans="51:53">
      <c r="AY3216" s="627">
        <v>9523</v>
      </c>
      <c r="AZ3216" s="628" t="s">
        <v>4841</v>
      </c>
      <c r="BA3216" s="630" t="s">
        <v>421</v>
      </c>
    </row>
    <row r="3217" spans="51:53">
      <c r="AY3217" s="627">
        <v>9531</v>
      </c>
      <c r="AZ3217" s="628" t="s">
        <v>4842</v>
      </c>
      <c r="BA3217" s="630" t="s">
        <v>421</v>
      </c>
    </row>
    <row r="3218" spans="51:53">
      <c r="AY3218" s="627">
        <v>9532</v>
      </c>
      <c r="AZ3218" s="628" t="s">
        <v>4843</v>
      </c>
      <c r="BA3218" s="630" t="s">
        <v>419</v>
      </c>
    </row>
    <row r="3219" spans="51:53">
      <c r="AY3219" s="627">
        <v>9533</v>
      </c>
      <c r="AZ3219" s="628" t="s">
        <v>4844</v>
      </c>
      <c r="BA3219" s="630" t="s">
        <v>419</v>
      </c>
    </row>
    <row r="3220" spans="51:53">
      <c r="AY3220" s="627">
        <v>9534</v>
      </c>
      <c r="AZ3220" s="628" t="s">
        <v>4690</v>
      </c>
      <c r="BA3220" s="630" t="s">
        <v>419</v>
      </c>
    </row>
    <row r="3221" spans="51:53">
      <c r="AY3221" s="627">
        <v>9535</v>
      </c>
      <c r="AZ3221" s="628" t="s">
        <v>4845</v>
      </c>
      <c r="BA3221" s="630" t="s">
        <v>419</v>
      </c>
    </row>
    <row r="3222" spans="51:53">
      <c r="AY3222" s="627">
        <v>9541</v>
      </c>
      <c r="AZ3222" s="628" t="s">
        <v>4797</v>
      </c>
      <c r="BA3222" s="630" t="s">
        <v>421</v>
      </c>
    </row>
    <row r="3223" spans="51:53">
      <c r="AY3223" s="627">
        <v>9542</v>
      </c>
      <c r="AZ3223" s="628" t="s">
        <v>4692</v>
      </c>
      <c r="BA3223" s="630" t="s">
        <v>421</v>
      </c>
    </row>
    <row r="3224" spans="51:53">
      <c r="AY3224" s="627">
        <v>9542</v>
      </c>
      <c r="AZ3224" s="628" t="s">
        <v>2744</v>
      </c>
      <c r="BA3224" s="630" t="s">
        <v>421</v>
      </c>
    </row>
    <row r="3225" spans="51:53">
      <c r="AY3225" s="627">
        <v>9544</v>
      </c>
      <c r="AZ3225" s="628" t="s">
        <v>2745</v>
      </c>
      <c r="BA3225" s="630" t="s">
        <v>421</v>
      </c>
    </row>
    <row r="3226" spans="51:53">
      <c r="AY3226" s="627">
        <v>9545</v>
      </c>
      <c r="AZ3226" s="628" t="s">
        <v>2746</v>
      </c>
      <c r="BA3226" s="630" t="s">
        <v>421</v>
      </c>
    </row>
    <row r="3227" spans="51:53">
      <c r="AY3227" s="627">
        <v>9547</v>
      </c>
      <c r="AZ3227" s="628" t="s">
        <v>2747</v>
      </c>
      <c r="BA3227" s="630" t="s">
        <v>421</v>
      </c>
    </row>
    <row r="3228" spans="51:53">
      <c r="AY3228" s="627">
        <v>9548</v>
      </c>
      <c r="AZ3228" s="628" t="s">
        <v>2748</v>
      </c>
      <c r="BA3228" s="630" t="s">
        <v>421</v>
      </c>
    </row>
    <row r="3229" spans="51:53">
      <c r="AY3229" s="627">
        <v>9549</v>
      </c>
      <c r="AZ3229" s="628" t="s">
        <v>4858</v>
      </c>
      <c r="BA3229" s="630" t="s">
        <v>421</v>
      </c>
    </row>
    <row r="3230" spans="51:53">
      <c r="AY3230" s="627">
        <v>9551</v>
      </c>
      <c r="AZ3230" s="628" t="s">
        <v>4859</v>
      </c>
      <c r="BA3230" s="630" t="s">
        <v>421</v>
      </c>
    </row>
    <row r="3231" spans="51:53">
      <c r="AY3231" s="627">
        <v>9552</v>
      </c>
      <c r="AZ3231" s="628" t="s">
        <v>4860</v>
      </c>
      <c r="BA3231" s="630" t="s">
        <v>421</v>
      </c>
    </row>
    <row r="3232" spans="51:53">
      <c r="AY3232" s="627">
        <v>9553</v>
      </c>
      <c r="AZ3232" s="628" t="s">
        <v>4693</v>
      </c>
      <c r="BA3232" s="630" t="s">
        <v>421</v>
      </c>
    </row>
    <row r="3233" spans="51:53">
      <c r="AY3233" s="627">
        <v>9553</v>
      </c>
      <c r="AZ3233" s="628" t="s">
        <v>4861</v>
      </c>
      <c r="BA3233" s="630" t="s">
        <v>421</v>
      </c>
    </row>
    <row r="3234" spans="51:53">
      <c r="AY3234" s="627">
        <v>9554</v>
      </c>
      <c r="AZ3234" s="628" t="s">
        <v>4694</v>
      </c>
      <c r="BA3234" s="630" t="s">
        <v>421</v>
      </c>
    </row>
    <row r="3235" spans="51:53">
      <c r="AY3235" s="627">
        <v>9554</v>
      </c>
      <c r="AZ3235" s="628" t="s">
        <v>4862</v>
      </c>
      <c r="BA3235" s="630" t="s">
        <v>421</v>
      </c>
    </row>
    <row r="3236" spans="51:53">
      <c r="AY3236" s="627">
        <v>9555</v>
      </c>
      <c r="AZ3236" s="628" t="s">
        <v>4863</v>
      </c>
      <c r="BA3236" s="630" t="s">
        <v>421</v>
      </c>
    </row>
    <row r="3237" spans="51:53">
      <c r="AY3237" s="627">
        <v>9556</v>
      </c>
      <c r="AZ3237" s="628" t="s">
        <v>4864</v>
      </c>
      <c r="BA3237" s="630" t="s">
        <v>421</v>
      </c>
    </row>
    <row r="3238" spans="51:53">
      <c r="AY3238" s="627">
        <v>9561</v>
      </c>
      <c r="AZ3238" s="628" t="s">
        <v>4695</v>
      </c>
      <c r="BA3238" s="630" t="s">
        <v>421</v>
      </c>
    </row>
    <row r="3239" spans="51:53">
      <c r="AY3239" s="627">
        <v>9561</v>
      </c>
      <c r="AZ3239" s="628" t="s">
        <v>4865</v>
      </c>
      <c r="BA3239" s="630" t="s">
        <v>421</v>
      </c>
    </row>
    <row r="3240" spans="51:53">
      <c r="AY3240" s="627">
        <v>9600</v>
      </c>
      <c r="AZ3240" s="628" t="s">
        <v>3378</v>
      </c>
      <c r="BA3240" s="630" t="s">
        <v>421</v>
      </c>
    </row>
    <row r="3241" spans="51:53">
      <c r="AY3241" s="627">
        <v>9608</v>
      </c>
      <c r="AZ3241" s="628" t="s">
        <v>3378</v>
      </c>
      <c r="BA3241" s="630" t="s">
        <v>421</v>
      </c>
    </row>
    <row r="3242" spans="51:53">
      <c r="AY3242" s="627">
        <v>9609</v>
      </c>
      <c r="AZ3242" s="628" t="s">
        <v>3378</v>
      </c>
      <c r="BA3242" s="630" t="s">
        <v>421</v>
      </c>
    </row>
    <row r="3243" spans="51:53">
      <c r="AY3243" s="627">
        <v>9611</v>
      </c>
      <c r="AZ3243" s="628" t="s">
        <v>3381</v>
      </c>
      <c r="BA3243" s="630" t="s">
        <v>421</v>
      </c>
    </row>
    <row r="3244" spans="51:53">
      <c r="AY3244" s="627">
        <v>9612</v>
      </c>
      <c r="AZ3244" s="628" t="s">
        <v>4698</v>
      </c>
      <c r="BA3244" s="630" t="s">
        <v>421</v>
      </c>
    </row>
    <row r="3245" spans="51:53">
      <c r="AY3245" s="627">
        <v>9612</v>
      </c>
      <c r="AZ3245" s="628" t="s">
        <v>3382</v>
      </c>
      <c r="BA3245" s="630" t="s">
        <v>421</v>
      </c>
    </row>
    <row r="3246" spans="51:53">
      <c r="AY3246" s="627">
        <v>9621</v>
      </c>
      <c r="AZ3246" s="628" t="s">
        <v>3383</v>
      </c>
      <c r="BA3246" s="630" t="s">
        <v>421</v>
      </c>
    </row>
    <row r="3247" spans="51:53">
      <c r="AY3247" s="627">
        <v>9622</v>
      </c>
      <c r="AZ3247" s="628" t="s">
        <v>3384</v>
      </c>
      <c r="BA3247" s="630" t="s">
        <v>421</v>
      </c>
    </row>
    <row r="3248" spans="51:53">
      <c r="AY3248" s="627">
        <v>9623</v>
      </c>
      <c r="AZ3248" s="628" t="s">
        <v>3385</v>
      </c>
      <c r="BA3248" s="630" t="s">
        <v>421</v>
      </c>
    </row>
    <row r="3249" spans="51:53">
      <c r="AY3249" s="627">
        <v>9624</v>
      </c>
      <c r="AZ3249" s="628" t="s">
        <v>683</v>
      </c>
      <c r="BA3249" s="630" t="s">
        <v>404</v>
      </c>
    </row>
    <row r="3250" spans="51:53">
      <c r="AY3250" s="627">
        <v>9625</v>
      </c>
      <c r="AZ3250" s="628" t="s">
        <v>4699</v>
      </c>
      <c r="BA3250" s="630" t="s">
        <v>421</v>
      </c>
    </row>
    <row r="3251" spans="51:53">
      <c r="AY3251" s="627">
        <v>9625</v>
      </c>
      <c r="AZ3251" s="628" t="s">
        <v>3387</v>
      </c>
      <c r="BA3251" s="630" t="s">
        <v>421</v>
      </c>
    </row>
    <row r="3252" spans="51:53">
      <c r="AY3252" s="627">
        <v>9631</v>
      </c>
      <c r="AZ3252" s="628" t="s">
        <v>4700</v>
      </c>
      <c r="BA3252" s="630" t="s">
        <v>421</v>
      </c>
    </row>
    <row r="3253" spans="51:53">
      <c r="AY3253" s="627">
        <v>9632</v>
      </c>
      <c r="AZ3253" s="628" t="s">
        <v>3389</v>
      </c>
      <c r="BA3253" s="630" t="s">
        <v>421</v>
      </c>
    </row>
    <row r="3254" spans="51:53">
      <c r="AY3254" s="627">
        <v>9633</v>
      </c>
      <c r="AZ3254" s="628" t="s">
        <v>3390</v>
      </c>
      <c r="BA3254" s="630" t="s">
        <v>421</v>
      </c>
    </row>
    <row r="3255" spans="51:53">
      <c r="AY3255" s="627">
        <v>9634</v>
      </c>
      <c r="AZ3255" s="628" t="s">
        <v>4701</v>
      </c>
      <c r="BA3255" s="630" t="s">
        <v>421</v>
      </c>
    </row>
    <row r="3256" spans="51:53">
      <c r="AY3256" s="627">
        <v>9634</v>
      </c>
      <c r="AZ3256" s="628" t="s">
        <v>3391</v>
      </c>
      <c r="BA3256" s="630" t="s">
        <v>421</v>
      </c>
    </row>
    <row r="3257" spans="51:53">
      <c r="AY3257" s="627">
        <v>9635</v>
      </c>
      <c r="AZ3257" s="628" t="s">
        <v>3388</v>
      </c>
      <c r="BA3257" s="630" t="s">
        <v>421</v>
      </c>
    </row>
    <row r="3258" spans="51:53">
      <c r="AY3258" s="627">
        <v>9636</v>
      </c>
      <c r="AZ3258" s="628" t="s">
        <v>3392</v>
      </c>
      <c r="BA3258" s="630" t="s">
        <v>421</v>
      </c>
    </row>
    <row r="3259" spans="51:53">
      <c r="AY3259" s="627">
        <v>9641</v>
      </c>
      <c r="AZ3259" s="628" t="s">
        <v>3393</v>
      </c>
      <c r="BA3259" s="630" t="s">
        <v>421</v>
      </c>
    </row>
    <row r="3260" spans="51:53">
      <c r="AY3260" s="627">
        <v>9643</v>
      </c>
      <c r="AZ3260" s="628" t="s">
        <v>3394</v>
      </c>
      <c r="BA3260" s="630" t="s">
        <v>421</v>
      </c>
    </row>
    <row r="3261" spans="51:53">
      <c r="AY3261" s="627">
        <v>9651</v>
      </c>
      <c r="AZ3261" s="628" t="s">
        <v>3395</v>
      </c>
      <c r="BA3261" s="630" t="s">
        <v>421</v>
      </c>
    </row>
    <row r="3262" spans="51:53">
      <c r="AY3262" s="627">
        <v>9652</v>
      </c>
      <c r="AZ3262" s="628" t="s">
        <v>3396</v>
      </c>
      <c r="BA3262" s="630" t="s">
        <v>421</v>
      </c>
    </row>
    <row r="3263" spans="51:53">
      <c r="AY3263" s="627">
        <v>9653</v>
      </c>
      <c r="AZ3263" s="628" t="s">
        <v>3397</v>
      </c>
      <c r="BA3263" s="630" t="s">
        <v>421</v>
      </c>
    </row>
    <row r="3264" spans="51:53">
      <c r="AY3264" s="627">
        <v>9654</v>
      </c>
      <c r="AZ3264" s="628" t="s">
        <v>3398</v>
      </c>
      <c r="BA3264" s="630" t="s">
        <v>421</v>
      </c>
    </row>
    <row r="3265" spans="51:53">
      <c r="AY3265" s="627">
        <v>9661</v>
      </c>
      <c r="AZ3265" s="628" t="s">
        <v>3399</v>
      </c>
      <c r="BA3265" s="630" t="s">
        <v>421</v>
      </c>
    </row>
    <row r="3266" spans="51:53">
      <c r="AY3266" s="627">
        <v>9662</v>
      </c>
      <c r="AZ3266" s="628" t="s">
        <v>4702</v>
      </c>
      <c r="BA3266" s="630" t="s">
        <v>421</v>
      </c>
    </row>
    <row r="3267" spans="51:53">
      <c r="AY3267" s="627">
        <v>9662</v>
      </c>
      <c r="AZ3267" s="628" t="s">
        <v>3400</v>
      </c>
      <c r="BA3267" s="630" t="s">
        <v>421</v>
      </c>
    </row>
    <row r="3268" spans="51:53">
      <c r="AY3268" s="627">
        <v>9663</v>
      </c>
      <c r="AZ3268" s="628" t="s">
        <v>3401</v>
      </c>
      <c r="BA3268" s="630" t="s">
        <v>421</v>
      </c>
    </row>
    <row r="3269" spans="51:53">
      <c r="AY3269" s="627">
        <v>9664</v>
      </c>
      <c r="AZ3269" s="628" t="s">
        <v>3402</v>
      </c>
      <c r="BA3269" s="630" t="s">
        <v>421</v>
      </c>
    </row>
    <row r="3270" spans="51:53">
      <c r="AY3270" s="627">
        <v>9665</v>
      </c>
      <c r="AZ3270" s="628" t="s">
        <v>3403</v>
      </c>
      <c r="BA3270" s="630" t="s">
        <v>421</v>
      </c>
    </row>
    <row r="3271" spans="51:53">
      <c r="AY3271" s="627">
        <v>9671</v>
      </c>
      <c r="AZ3271" s="628" t="s">
        <v>3404</v>
      </c>
      <c r="BA3271" s="630" t="s">
        <v>421</v>
      </c>
    </row>
    <row r="3272" spans="51:53">
      <c r="AY3272" s="627">
        <v>9672</v>
      </c>
      <c r="AZ3272" s="628" t="s">
        <v>3405</v>
      </c>
      <c r="BA3272" s="630" t="s">
        <v>421</v>
      </c>
    </row>
    <row r="3273" spans="51:53">
      <c r="AY3273" s="627">
        <v>9673</v>
      </c>
      <c r="AZ3273" s="628" t="s">
        <v>4136</v>
      </c>
      <c r="BA3273" s="630" t="s">
        <v>421</v>
      </c>
    </row>
    <row r="3274" spans="51:53">
      <c r="AY3274" s="627">
        <v>9674</v>
      </c>
      <c r="AZ3274" s="628" t="s">
        <v>4137</v>
      </c>
      <c r="BA3274" s="630" t="s">
        <v>421</v>
      </c>
    </row>
    <row r="3275" spans="51:53">
      <c r="AY3275" s="627">
        <v>9675</v>
      </c>
      <c r="AZ3275" s="628" t="s">
        <v>4138</v>
      </c>
      <c r="BA3275" s="630" t="s">
        <v>421</v>
      </c>
    </row>
    <row r="3276" spans="51:53">
      <c r="AY3276" s="627">
        <v>9676</v>
      </c>
      <c r="AZ3276" s="628" t="s">
        <v>4139</v>
      </c>
      <c r="BA3276" s="630" t="s">
        <v>421</v>
      </c>
    </row>
    <row r="3277" spans="51:53">
      <c r="AY3277" s="627">
        <v>9681</v>
      </c>
      <c r="AZ3277" s="628" t="s">
        <v>4140</v>
      </c>
      <c r="BA3277" s="630" t="s">
        <v>421</v>
      </c>
    </row>
    <row r="3278" spans="51:53">
      <c r="AY3278" s="627">
        <v>9682</v>
      </c>
      <c r="AZ3278" s="628" t="s">
        <v>199</v>
      </c>
      <c r="BA3278" s="630" t="s">
        <v>412</v>
      </c>
    </row>
    <row r="3279" spans="51:53">
      <c r="AY3279" s="627">
        <v>9683</v>
      </c>
      <c r="AZ3279" s="628" t="s">
        <v>4142</v>
      </c>
      <c r="BA3279" s="630" t="s">
        <v>421</v>
      </c>
    </row>
    <row r="3280" spans="51:53">
      <c r="AY3280" s="627">
        <v>9684</v>
      </c>
      <c r="AZ3280" s="628" t="s">
        <v>4143</v>
      </c>
      <c r="BA3280" s="630" t="s">
        <v>421</v>
      </c>
    </row>
    <row r="3281" spans="51:53">
      <c r="AY3281" s="627">
        <v>9685</v>
      </c>
      <c r="AZ3281" s="628" t="s">
        <v>4144</v>
      </c>
      <c r="BA3281" s="630" t="s">
        <v>421</v>
      </c>
    </row>
    <row r="3282" spans="51:53">
      <c r="AY3282" s="627">
        <v>9700</v>
      </c>
      <c r="AZ3282" s="628" t="s">
        <v>4145</v>
      </c>
      <c r="BA3282" s="630" t="s">
        <v>4145</v>
      </c>
    </row>
    <row r="3283" spans="51:53">
      <c r="AY3283" s="627">
        <v>9707</v>
      </c>
      <c r="AZ3283" s="628" t="s">
        <v>4145</v>
      </c>
      <c r="BA3283" s="630" t="s">
        <v>4145</v>
      </c>
    </row>
    <row r="3284" spans="51:53">
      <c r="AY3284" s="627">
        <v>9719</v>
      </c>
      <c r="AZ3284" s="628" t="s">
        <v>4145</v>
      </c>
      <c r="BA3284" s="630" t="s">
        <v>4145</v>
      </c>
    </row>
    <row r="3285" spans="51:53">
      <c r="AY3285" s="627">
        <v>9721</v>
      </c>
      <c r="AZ3285" s="628" t="s">
        <v>4148</v>
      </c>
      <c r="BA3285" s="630" t="s">
        <v>421</v>
      </c>
    </row>
    <row r="3286" spans="51:53">
      <c r="AY3286" s="627">
        <v>9722</v>
      </c>
      <c r="AZ3286" s="628" t="s">
        <v>4149</v>
      </c>
      <c r="BA3286" s="630" t="s">
        <v>421</v>
      </c>
    </row>
    <row r="3287" spans="51:53">
      <c r="AY3287" s="627">
        <v>9723</v>
      </c>
      <c r="AZ3287" s="628" t="s">
        <v>4150</v>
      </c>
      <c r="BA3287" s="630" t="s">
        <v>421</v>
      </c>
    </row>
    <row r="3288" spans="51:53">
      <c r="AY3288" s="627">
        <v>9724</v>
      </c>
      <c r="AZ3288" s="628" t="s">
        <v>4151</v>
      </c>
      <c r="BA3288" s="630" t="s">
        <v>421</v>
      </c>
    </row>
    <row r="3289" spans="51:53">
      <c r="AY3289" s="627">
        <v>9725</v>
      </c>
      <c r="AZ3289" s="628" t="s">
        <v>4706</v>
      </c>
      <c r="BA3289" s="630" t="s">
        <v>421</v>
      </c>
    </row>
    <row r="3290" spans="51:53">
      <c r="AY3290" s="627">
        <v>9725</v>
      </c>
      <c r="AZ3290" s="628" t="s">
        <v>4707</v>
      </c>
      <c r="BA3290" s="630" t="s">
        <v>421</v>
      </c>
    </row>
    <row r="3291" spans="51:53">
      <c r="AY3291" s="627">
        <v>9725</v>
      </c>
      <c r="AZ3291" s="628" t="s">
        <v>4152</v>
      </c>
      <c r="BA3291" s="630" t="s">
        <v>421</v>
      </c>
    </row>
    <row r="3292" spans="51:53">
      <c r="AY3292" s="627">
        <v>9726</v>
      </c>
      <c r="AZ3292" s="628" t="s">
        <v>4153</v>
      </c>
      <c r="BA3292" s="630" t="s">
        <v>421</v>
      </c>
    </row>
    <row r="3293" spans="51:53">
      <c r="AY3293" s="627">
        <v>9727</v>
      </c>
      <c r="AZ3293" s="628" t="s">
        <v>4154</v>
      </c>
      <c r="BA3293" s="630" t="s">
        <v>421</v>
      </c>
    </row>
    <row r="3294" spans="51:53">
      <c r="AY3294" s="627">
        <v>9730</v>
      </c>
      <c r="AZ3294" s="628" t="s">
        <v>4155</v>
      </c>
      <c r="BA3294" s="630" t="s">
        <v>421</v>
      </c>
    </row>
    <row r="3295" spans="51:53">
      <c r="AY3295" s="627">
        <v>9733</v>
      </c>
      <c r="AZ3295" s="628" t="s">
        <v>4708</v>
      </c>
      <c r="BA3295" s="630" t="s">
        <v>421</v>
      </c>
    </row>
    <row r="3296" spans="51:53">
      <c r="AY3296" s="627">
        <v>9733</v>
      </c>
      <c r="AZ3296" s="628" t="s">
        <v>4709</v>
      </c>
      <c r="BA3296" s="630" t="s">
        <v>421</v>
      </c>
    </row>
    <row r="3297" spans="51:53">
      <c r="AY3297" s="627">
        <v>9733</v>
      </c>
      <c r="AZ3297" s="628" t="s">
        <v>4157</v>
      </c>
      <c r="BA3297" s="630" t="s">
        <v>421</v>
      </c>
    </row>
    <row r="3298" spans="51:53">
      <c r="AY3298" s="627">
        <v>9734</v>
      </c>
      <c r="AZ3298" s="628" t="s">
        <v>4158</v>
      </c>
      <c r="BA3298" s="630" t="s">
        <v>421</v>
      </c>
    </row>
    <row r="3299" spans="51:53">
      <c r="AY3299" s="627">
        <v>9735</v>
      </c>
      <c r="AZ3299" s="630" t="s">
        <v>4159</v>
      </c>
      <c r="BA3299" s="630" t="s">
        <v>421</v>
      </c>
    </row>
    <row r="3300" spans="51:53">
      <c r="AY3300" s="627">
        <v>9736</v>
      </c>
      <c r="AZ3300" s="628" t="s">
        <v>4160</v>
      </c>
      <c r="BA3300" s="630" t="s">
        <v>421</v>
      </c>
    </row>
    <row r="3301" spans="51:53">
      <c r="AY3301" s="627">
        <v>9737</v>
      </c>
      <c r="AZ3301" s="628" t="s">
        <v>4161</v>
      </c>
      <c r="BA3301" s="630" t="s">
        <v>421</v>
      </c>
    </row>
    <row r="3302" spans="51:53">
      <c r="AY3302" s="627">
        <v>9738</v>
      </c>
      <c r="AZ3302" s="628" t="s">
        <v>4162</v>
      </c>
      <c r="BA3302" s="630" t="s">
        <v>421</v>
      </c>
    </row>
    <row r="3303" spans="51:53">
      <c r="AY3303" s="627">
        <v>9739</v>
      </c>
      <c r="AZ3303" s="628" t="s">
        <v>4710</v>
      </c>
      <c r="BA3303" s="630" t="s">
        <v>421</v>
      </c>
    </row>
    <row r="3304" spans="51:53">
      <c r="AY3304" s="627">
        <v>9739</v>
      </c>
      <c r="AZ3304" s="628" t="s">
        <v>4711</v>
      </c>
      <c r="BA3304" s="630" t="s">
        <v>421</v>
      </c>
    </row>
    <row r="3305" spans="51:53">
      <c r="AY3305" s="627">
        <v>9739</v>
      </c>
      <c r="AZ3305" s="628" t="s">
        <v>4163</v>
      </c>
      <c r="BA3305" s="630" t="s">
        <v>421</v>
      </c>
    </row>
    <row r="3306" spans="51:53">
      <c r="AY3306" s="627">
        <v>9740</v>
      </c>
      <c r="AZ3306" s="628" t="s">
        <v>2214</v>
      </c>
      <c r="BA3306" s="630" t="s">
        <v>423</v>
      </c>
    </row>
    <row r="3307" spans="51:53">
      <c r="AY3307" s="627">
        <v>9741</v>
      </c>
      <c r="AZ3307" s="628" t="s">
        <v>4165</v>
      </c>
      <c r="BA3307" s="630" t="s">
        <v>421</v>
      </c>
    </row>
    <row r="3308" spans="51:53">
      <c r="AY3308" s="627">
        <v>9742</v>
      </c>
      <c r="AZ3308" s="628" t="s">
        <v>4170</v>
      </c>
      <c r="BA3308" s="630" t="s">
        <v>421</v>
      </c>
    </row>
    <row r="3309" spans="51:53">
      <c r="AY3309" s="627">
        <v>9743</v>
      </c>
      <c r="AZ3309" s="628" t="s">
        <v>4171</v>
      </c>
      <c r="BA3309" s="630" t="s">
        <v>421</v>
      </c>
    </row>
    <row r="3310" spans="51:53">
      <c r="AY3310" s="627">
        <v>9744</v>
      </c>
      <c r="AZ3310" s="628" t="s">
        <v>4172</v>
      </c>
      <c r="BA3310" s="630" t="s">
        <v>421</v>
      </c>
    </row>
    <row r="3311" spans="51:53">
      <c r="AY3311" s="627">
        <v>9745</v>
      </c>
      <c r="AZ3311" s="628" t="s">
        <v>4173</v>
      </c>
      <c r="BA3311" s="630" t="s">
        <v>421</v>
      </c>
    </row>
    <row r="3312" spans="51:53">
      <c r="AY3312" s="627">
        <v>9746</v>
      </c>
      <c r="AZ3312" s="628" t="s">
        <v>4174</v>
      </c>
      <c r="BA3312" s="630" t="s">
        <v>421</v>
      </c>
    </row>
    <row r="3313" spans="51:53">
      <c r="AY3313" s="627">
        <v>9747</v>
      </c>
      <c r="AZ3313" s="628" t="s">
        <v>4175</v>
      </c>
      <c r="BA3313" s="630" t="s">
        <v>421</v>
      </c>
    </row>
    <row r="3314" spans="51:53">
      <c r="AY3314" s="627">
        <v>9748</v>
      </c>
      <c r="AZ3314" s="628" t="s">
        <v>4176</v>
      </c>
      <c r="BA3314" s="630" t="s">
        <v>421</v>
      </c>
    </row>
    <row r="3315" spans="51:53">
      <c r="AY3315" s="627">
        <v>9749</v>
      </c>
      <c r="AZ3315" s="638" t="s">
        <v>4177</v>
      </c>
      <c r="BA3315" s="630" t="s">
        <v>421</v>
      </c>
    </row>
    <row r="3316" spans="51:53">
      <c r="AY3316" s="627">
        <v>9751</v>
      </c>
      <c r="AZ3316" s="628" t="s">
        <v>4178</v>
      </c>
      <c r="BA3316" s="630" t="s">
        <v>421</v>
      </c>
    </row>
    <row r="3317" spans="51:53">
      <c r="AY3317" s="627">
        <v>9752</v>
      </c>
      <c r="AZ3317" s="628" t="s">
        <v>4713</v>
      </c>
      <c r="BA3317" s="630" t="s">
        <v>421</v>
      </c>
    </row>
    <row r="3318" spans="51:53">
      <c r="AY3318" s="627">
        <v>9752</v>
      </c>
      <c r="AZ3318" s="628" t="s">
        <v>4179</v>
      </c>
      <c r="BA3318" s="630" t="s">
        <v>421</v>
      </c>
    </row>
    <row r="3319" spans="51:53">
      <c r="AY3319" s="627">
        <v>9754</v>
      </c>
      <c r="AZ3319" s="628" t="s">
        <v>4714</v>
      </c>
      <c r="BA3319" s="630" t="s">
        <v>421</v>
      </c>
    </row>
    <row r="3320" spans="51:53">
      <c r="AY3320" s="627">
        <v>9754</v>
      </c>
      <c r="AZ3320" s="628" t="s">
        <v>4180</v>
      </c>
      <c r="BA3320" s="630" t="s">
        <v>421</v>
      </c>
    </row>
    <row r="3321" spans="51:53">
      <c r="AY3321" s="627">
        <v>9756</v>
      </c>
      <c r="AZ3321" s="628" t="s">
        <v>4181</v>
      </c>
      <c r="BA3321" s="630" t="s">
        <v>421</v>
      </c>
    </row>
    <row r="3322" spans="51:53">
      <c r="AY3322" s="627">
        <v>9757</v>
      </c>
      <c r="AZ3322" s="628" t="s">
        <v>4182</v>
      </c>
      <c r="BA3322" s="630" t="s">
        <v>421</v>
      </c>
    </row>
    <row r="3323" spans="51:53">
      <c r="AY3323" s="627">
        <v>9761</v>
      </c>
      <c r="AZ3323" s="628" t="s">
        <v>4183</v>
      </c>
      <c r="BA3323" s="630" t="s">
        <v>421</v>
      </c>
    </row>
    <row r="3324" spans="51:53">
      <c r="AY3324" s="627">
        <v>9762</v>
      </c>
      <c r="AZ3324" s="628" t="s">
        <v>4184</v>
      </c>
      <c r="BA3324" s="630" t="s">
        <v>421</v>
      </c>
    </row>
    <row r="3325" spans="51:53">
      <c r="AY3325" s="627">
        <v>9763</v>
      </c>
      <c r="AZ3325" s="628" t="s">
        <v>4185</v>
      </c>
      <c r="BA3325" s="630" t="s">
        <v>421</v>
      </c>
    </row>
    <row r="3326" spans="51:53">
      <c r="AY3326" s="627">
        <v>9764</v>
      </c>
      <c r="AZ3326" s="628" t="s">
        <v>4186</v>
      </c>
      <c r="BA3326" s="630" t="s">
        <v>421</v>
      </c>
    </row>
    <row r="3327" spans="51:53">
      <c r="AY3327" s="627">
        <v>9766</v>
      </c>
      <c r="AZ3327" s="628" t="s">
        <v>4187</v>
      </c>
      <c r="BA3327" s="630" t="s">
        <v>421</v>
      </c>
    </row>
    <row r="3328" spans="51:53">
      <c r="AY3328" s="627">
        <v>9766</v>
      </c>
      <c r="AZ3328" s="628" t="s">
        <v>4715</v>
      </c>
      <c r="BA3328" s="630" t="s">
        <v>421</v>
      </c>
    </row>
    <row r="3329" spans="51:53">
      <c r="AY3329" s="627">
        <v>9766</v>
      </c>
      <c r="AZ3329" s="628" t="s">
        <v>4188</v>
      </c>
      <c r="BA3329" s="630" t="s">
        <v>421</v>
      </c>
    </row>
    <row r="3330" spans="51:53">
      <c r="AY3330" s="627">
        <v>9771</v>
      </c>
      <c r="AZ3330" s="628" t="s">
        <v>4189</v>
      </c>
      <c r="BA3330" s="630" t="s">
        <v>421</v>
      </c>
    </row>
    <row r="3331" spans="51:53">
      <c r="AY3331" s="627">
        <v>9772</v>
      </c>
      <c r="AZ3331" s="628" t="s">
        <v>4190</v>
      </c>
      <c r="BA3331" s="630" t="s">
        <v>421</v>
      </c>
    </row>
    <row r="3332" spans="51:53">
      <c r="AY3332" s="627">
        <v>9773</v>
      </c>
      <c r="AZ3332" s="628" t="s">
        <v>3203</v>
      </c>
      <c r="BA3332" s="630" t="s">
        <v>421</v>
      </c>
    </row>
    <row r="3333" spans="51:53">
      <c r="AY3333" s="627">
        <v>9774</v>
      </c>
      <c r="AZ3333" s="628" t="s">
        <v>4716</v>
      </c>
      <c r="BA3333" s="630" t="s">
        <v>421</v>
      </c>
    </row>
    <row r="3334" spans="51:53">
      <c r="AY3334" s="627">
        <v>9774</v>
      </c>
      <c r="AZ3334" s="628" t="s">
        <v>4717</v>
      </c>
      <c r="BA3334" s="630" t="s">
        <v>421</v>
      </c>
    </row>
    <row r="3335" spans="51:53">
      <c r="AY3335" s="627">
        <v>9774</v>
      </c>
      <c r="AZ3335" s="628" t="s">
        <v>2478</v>
      </c>
      <c r="BA3335" s="630" t="s">
        <v>421</v>
      </c>
    </row>
    <row r="3336" spans="51:53">
      <c r="AY3336" s="627">
        <v>9775</v>
      </c>
      <c r="AZ3336" s="628" t="s">
        <v>2479</v>
      </c>
      <c r="BA3336" s="630" t="s">
        <v>421</v>
      </c>
    </row>
    <row r="3337" spans="51:53">
      <c r="AY3337" s="627">
        <v>9776</v>
      </c>
      <c r="AZ3337" s="628" t="s">
        <v>2480</v>
      </c>
      <c r="BA3337" s="630" t="s">
        <v>421</v>
      </c>
    </row>
    <row r="3338" spans="51:53">
      <c r="AY3338" s="627">
        <v>9777</v>
      </c>
      <c r="AZ3338" s="628" t="s">
        <v>4718</v>
      </c>
      <c r="BA3338" s="630" t="s">
        <v>421</v>
      </c>
    </row>
    <row r="3339" spans="51:53">
      <c r="AY3339" s="627">
        <v>9781</v>
      </c>
      <c r="AZ3339" s="628" t="s">
        <v>4719</v>
      </c>
      <c r="BA3339" s="630" t="s">
        <v>421</v>
      </c>
    </row>
    <row r="3340" spans="51:53">
      <c r="AY3340" s="627">
        <v>9782</v>
      </c>
      <c r="AZ3340" s="628" t="s">
        <v>2483</v>
      </c>
      <c r="BA3340" s="630" t="s">
        <v>421</v>
      </c>
    </row>
    <row r="3341" spans="51:53">
      <c r="AY3341" s="627">
        <v>9783</v>
      </c>
      <c r="AZ3341" s="628" t="s">
        <v>2484</v>
      </c>
      <c r="BA3341" s="630" t="s">
        <v>421</v>
      </c>
    </row>
    <row r="3342" spans="51:53">
      <c r="AY3342" s="627">
        <v>9784</v>
      </c>
      <c r="AZ3342" s="628" t="s">
        <v>4720</v>
      </c>
      <c r="BA3342" s="630" t="s">
        <v>421</v>
      </c>
    </row>
    <row r="3343" spans="51:53">
      <c r="AY3343" s="627">
        <v>9784</v>
      </c>
      <c r="AZ3343" s="628" t="s">
        <v>4721</v>
      </c>
      <c r="BA3343" s="630" t="s">
        <v>421</v>
      </c>
    </row>
    <row r="3344" spans="51:53">
      <c r="AY3344" s="627">
        <v>9784</v>
      </c>
      <c r="AZ3344" s="628" t="s">
        <v>2485</v>
      </c>
      <c r="BA3344" s="630" t="s">
        <v>421</v>
      </c>
    </row>
    <row r="3345" spans="51:53">
      <c r="AY3345" s="627">
        <v>9789</v>
      </c>
      <c r="AZ3345" s="628" t="s">
        <v>2486</v>
      </c>
      <c r="BA3345" s="630" t="s">
        <v>421</v>
      </c>
    </row>
    <row r="3346" spans="51:53">
      <c r="AY3346" s="627">
        <v>9791</v>
      </c>
      <c r="AZ3346" s="628" t="s">
        <v>4722</v>
      </c>
      <c r="BA3346" s="630" t="s">
        <v>421</v>
      </c>
    </row>
    <row r="3347" spans="51:53">
      <c r="AY3347" s="627">
        <v>9791</v>
      </c>
      <c r="AZ3347" s="628" t="s">
        <v>2487</v>
      </c>
      <c r="BA3347" s="630" t="s">
        <v>421</v>
      </c>
    </row>
    <row r="3348" spans="51:53">
      <c r="AY3348" s="627">
        <v>9792</v>
      </c>
      <c r="AZ3348" s="628" t="s">
        <v>2488</v>
      </c>
      <c r="BA3348" s="630" t="s">
        <v>421</v>
      </c>
    </row>
    <row r="3349" spans="51:53">
      <c r="AY3349" s="627">
        <v>9793</v>
      </c>
      <c r="AZ3349" s="628" t="s">
        <v>2489</v>
      </c>
      <c r="BA3349" s="630" t="s">
        <v>421</v>
      </c>
    </row>
    <row r="3350" spans="51:53">
      <c r="AY3350" s="627">
        <v>9794</v>
      </c>
      <c r="AZ3350" s="628" t="s">
        <v>2490</v>
      </c>
      <c r="BA3350" s="630" t="s">
        <v>421</v>
      </c>
    </row>
    <row r="3351" spans="51:53">
      <c r="AY3351" s="627">
        <v>9795</v>
      </c>
      <c r="AZ3351" s="628" t="s">
        <v>2491</v>
      </c>
      <c r="BA3351" s="630" t="s">
        <v>421</v>
      </c>
    </row>
    <row r="3352" spans="51:53">
      <c r="AY3352" s="627">
        <v>9796</v>
      </c>
      <c r="AZ3352" s="628" t="s">
        <v>4723</v>
      </c>
      <c r="BA3352" s="630" t="s">
        <v>421</v>
      </c>
    </row>
    <row r="3353" spans="51:53">
      <c r="AY3353" s="627">
        <v>9796</v>
      </c>
      <c r="AZ3353" s="628" t="s">
        <v>2492</v>
      </c>
      <c r="BA3353" s="630" t="s">
        <v>421</v>
      </c>
    </row>
    <row r="3354" spans="51:53">
      <c r="AY3354" s="627">
        <v>9797</v>
      </c>
      <c r="AZ3354" s="628" t="s">
        <v>2493</v>
      </c>
      <c r="BA3354" s="630" t="s">
        <v>421</v>
      </c>
    </row>
    <row r="3355" spans="51:53">
      <c r="AY3355" s="627">
        <v>9798</v>
      </c>
      <c r="AZ3355" s="630" t="s">
        <v>2494</v>
      </c>
      <c r="BA3355" s="630" t="s">
        <v>421</v>
      </c>
    </row>
    <row r="3356" spans="51:53">
      <c r="AY3356" s="627">
        <v>9799</v>
      </c>
      <c r="AZ3356" s="628" t="s">
        <v>2495</v>
      </c>
      <c r="BA3356" s="630" t="s">
        <v>421</v>
      </c>
    </row>
    <row r="3357" spans="51:53">
      <c r="AY3357" s="627">
        <v>9800</v>
      </c>
      <c r="AZ3357" s="628" t="s">
        <v>2496</v>
      </c>
      <c r="BA3357" s="630" t="s">
        <v>421</v>
      </c>
    </row>
    <row r="3358" spans="51:53">
      <c r="AY3358" s="627">
        <v>9811</v>
      </c>
      <c r="AZ3358" s="628" t="s">
        <v>2497</v>
      </c>
      <c r="BA3358" s="630" t="s">
        <v>421</v>
      </c>
    </row>
    <row r="3359" spans="51:53">
      <c r="AY3359" s="627">
        <v>9812</v>
      </c>
      <c r="AZ3359" s="628" t="s">
        <v>2498</v>
      </c>
      <c r="BA3359" s="630" t="s">
        <v>421</v>
      </c>
    </row>
    <row r="3360" spans="51:53">
      <c r="AY3360" s="627">
        <v>9813</v>
      </c>
      <c r="AZ3360" s="628" t="s">
        <v>4724</v>
      </c>
      <c r="BA3360" s="630" t="s">
        <v>421</v>
      </c>
    </row>
    <row r="3361" spans="51:53">
      <c r="AY3361" s="627">
        <v>9813</v>
      </c>
      <c r="AZ3361" s="628" t="s">
        <v>2499</v>
      </c>
      <c r="BA3361" s="630" t="s">
        <v>421</v>
      </c>
    </row>
    <row r="3362" spans="51:53">
      <c r="AY3362" s="627">
        <v>9814</v>
      </c>
      <c r="AZ3362" s="628" t="s">
        <v>2500</v>
      </c>
      <c r="BA3362" s="630" t="s">
        <v>421</v>
      </c>
    </row>
    <row r="3363" spans="51:53">
      <c r="AY3363" s="627">
        <v>9821</v>
      </c>
      <c r="AZ3363" s="628" t="s">
        <v>4725</v>
      </c>
      <c r="BA3363" s="630" t="s">
        <v>421</v>
      </c>
    </row>
    <row r="3364" spans="51:53">
      <c r="AY3364" s="627">
        <v>9823</v>
      </c>
      <c r="AZ3364" s="628" t="s">
        <v>2502</v>
      </c>
      <c r="BA3364" s="630" t="s">
        <v>421</v>
      </c>
    </row>
    <row r="3365" spans="51:53">
      <c r="AY3365" s="627">
        <v>9824</v>
      </c>
      <c r="AZ3365" s="628" t="s">
        <v>2503</v>
      </c>
      <c r="BA3365" s="630" t="s">
        <v>421</v>
      </c>
    </row>
    <row r="3366" spans="51:53">
      <c r="AY3366" s="627">
        <v>9825</v>
      </c>
      <c r="AZ3366" s="628" t="s">
        <v>2504</v>
      </c>
      <c r="BA3366" s="630" t="s">
        <v>421</v>
      </c>
    </row>
    <row r="3367" spans="51:53">
      <c r="AY3367" s="627">
        <v>9826</v>
      </c>
      <c r="AZ3367" s="628" t="s">
        <v>2501</v>
      </c>
      <c r="BA3367" s="630" t="s">
        <v>421</v>
      </c>
    </row>
    <row r="3368" spans="51:53">
      <c r="AY3368" s="627">
        <v>9826</v>
      </c>
      <c r="AZ3368" s="628" t="s">
        <v>2505</v>
      </c>
      <c r="BA3368" s="630" t="s">
        <v>421</v>
      </c>
    </row>
    <row r="3369" spans="51:53">
      <c r="AY3369" s="627">
        <v>9831</v>
      </c>
      <c r="AZ3369" s="628" t="s">
        <v>2506</v>
      </c>
      <c r="BA3369" s="630" t="s">
        <v>421</v>
      </c>
    </row>
    <row r="3370" spans="51:53">
      <c r="AY3370" s="627">
        <v>9832</v>
      </c>
      <c r="AZ3370" s="628" t="s">
        <v>2507</v>
      </c>
      <c r="BA3370" s="630" t="s">
        <v>421</v>
      </c>
    </row>
    <row r="3371" spans="51:53">
      <c r="AY3371" s="627">
        <v>9833</v>
      </c>
      <c r="AZ3371" s="630" t="s">
        <v>2508</v>
      </c>
      <c r="BA3371" s="630" t="s">
        <v>421</v>
      </c>
    </row>
    <row r="3372" spans="51:53">
      <c r="AY3372" s="627">
        <v>9834</v>
      </c>
      <c r="AZ3372" s="628" t="s">
        <v>2509</v>
      </c>
      <c r="BA3372" s="630" t="s">
        <v>421</v>
      </c>
    </row>
    <row r="3373" spans="51:53">
      <c r="AY3373" s="627">
        <v>9835</v>
      </c>
      <c r="AZ3373" s="628" t="s">
        <v>2510</v>
      </c>
      <c r="BA3373" s="630" t="s">
        <v>421</v>
      </c>
    </row>
    <row r="3374" spans="51:53">
      <c r="AY3374" s="627">
        <v>9836</v>
      </c>
      <c r="AZ3374" s="628" t="s">
        <v>2511</v>
      </c>
      <c r="BA3374" s="630" t="s">
        <v>421</v>
      </c>
    </row>
    <row r="3375" spans="51:53">
      <c r="AY3375" s="627">
        <v>9841</v>
      </c>
      <c r="AZ3375" s="628" t="s">
        <v>2512</v>
      </c>
      <c r="BA3375" s="630" t="s">
        <v>421</v>
      </c>
    </row>
    <row r="3376" spans="51:53">
      <c r="AY3376" s="627">
        <v>9842</v>
      </c>
      <c r="AZ3376" s="628" t="s">
        <v>2513</v>
      </c>
      <c r="BA3376" s="630" t="s">
        <v>421</v>
      </c>
    </row>
    <row r="3377" spans="51:53">
      <c r="AY3377" s="627">
        <v>9900</v>
      </c>
      <c r="AZ3377" s="628" t="s">
        <v>2514</v>
      </c>
      <c r="BA3377" s="630" t="s">
        <v>421</v>
      </c>
    </row>
    <row r="3378" spans="51:53">
      <c r="AY3378" s="627">
        <v>9909</v>
      </c>
      <c r="AZ3378" s="628" t="s">
        <v>2514</v>
      </c>
      <c r="BA3378" s="630" t="s">
        <v>421</v>
      </c>
    </row>
    <row r="3379" spans="51:53">
      <c r="AY3379" s="627">
        <v>9909</v>
      </c>
      <c r="AZ3379" s="630" t="s">
        <v>2515</v>
      </c>
      <c r="BA3379" s="630" t="s">
        <v>421</v>
      </c>
    </row>
    <row r="3380" spans="51:53">
      <c r="AY3380" s="627">
        <v>9912</v>
      </c>
      <c r="AZ3380" s="628" t="s">
        <v>2516</v>
      </c>
      <c r="BA3380" s="630" t="s">
        <v>421</v>
      </c>
    </row>
    <row r="3381" spans="51:53">
      <c r="AY3381" s="627">
        <v>9912</v>
      </c>
      <c r="AZ3381" s="628" t="s">
        <v>2517</v>
      </c>
      <c r="BA3381" s="630" t="s">
        <v>421</v>
      </c>
    </row>
    <row r="3382" spans="51:53">
      <c r="AY3382" s="627">
        <v>9913</v>
      </c>
      <c r="AZ3382" s="628" t="s">
        <v>4727</v>
      </c>
      <c r="BA3382" s="630" t="s">
        <v>421</v>
      </c>
    </row>
    <row r="3383" spans="51:53">
      <c r="AY3383" s="627">
        <v>9913</v>
      </c>
      <c r="AZ3383" s="628" t="s">
        <v>4728</v>
      </c>
      <c r="BA3383" s="630" t="s">
        <v>421</v>
      </c>
    </row>
    <row r="3384" spans="51:53">
      <c r="AY3384" s="627">
        <v>9913</v>
      </c>
      <c r="AZ3384" s="628" t="s">
        <v>2518</v>
      </c>
      <c r="BA3384" s="630" t="s">
        <v>421</v>
      </c>
    </row>
    <row r="3385" spans="51:53">
      <c r="AY3385" s="627">
        <v>9914</v>
      </c>
      <c r="AZ3385" s="628" t="s">
        <v>2519</v>
      </c>
      <c r="BA3385" s="628" t="s">
        <v>421</v>
      </c>
    </row>
    <row r="3386" spans="51:53">
      <c r="AY3386" s="627">
        <v>9915</v>
      </c>
      <c r="AZ3386" s="628" t="s">
        <v>4729</v>
      </c>
      <c r="BA3386" s="628" t="s">
        <v>421</v>
      </c>
    </row>
    <row r="3387" spans="51:53">
      <c r="AY3387" s="627">
        <v>9915</v>
      </c>
      <c r="AZ3387" s="628" t="s">
        <v>4730</v>
      </c>
      <c r="BA3387" s="628" t="s">
        <v>421</v>
      </c>
    </row>
    <row r="3388" spans="51:53">
      <c r="AY3388" s="627">
        <v>9915</v>
      </c>
      <c r="AZ3388" s="628" t="s">
        <v>4731</v>
      </c>
      <c r="BA3388" s="628" t="s">
        <v>421</v>
      </c>
    </row>
    <row r="3389" spans="51:53">
      <c r="AY3389" s="627">
        <v>9915</v>
      </c>
      <c r="AZ3389" s="628" t="s">
        <v>2520</v>
      </c>
      <c r="BA3389" s="628" t="s">
        <v>421</v>
      </c>
    </row>
    <row r="3390" spans="51:53">
      <c r="AY3390" s="627">
        <v>9917</v>
      </c>
      <c r="AZ3390" s="628" t="s">
        <v>4732</v>
      </c>
      <c r="BA3390" s="628" t="s">
        <v>421</v>
      </c>
    </row>
    <row r="3391" spans="51:53">
      <c r="AY3391" s="627">
        <v>9917</v>
      </c>
      <c r="AZ3391" s="628" t="s">
        <v>2521</v>
      </c>
      <c r="BA3391" s="628" t="s">
        <v>421</v>
      </c>
    </row>
    <row r="3392" spans="51:53">
      <c r="AY3392" s="627">
        <v>9918</v>
      </c>
      <c r="AZ3392" s="628" t="s">
        <v>2522</v>
      </c>
      <c r="BA3392" s="628" t="s">
        <v>421</v>
      </c>
    </row>
    <row r="3393" spans="51:53">
      <c r="AY3393" s="627">
        <v>9919</v>
      </c>
      <c r="AZ3393" s="628" t="s">
        <v>2523</v>
      </c>
      <c r="BA3393" s="628" t="s">
        <v>421</v>
      </c>
    </row>
    <row r="3394" spans="51:53">
      <c r="AY3394" s="627">
        <v>9921</v>
      </c>
      <c r="AZ3394" s="628" t="s">
        <v>2524</v>
      </c>
      <c r="BA3394" s="628" t="s">
        <v>421</v>
      </c>
    </row>
    <row r="3395" spans="51:53">
      <c r="AY3395" s="627">
        <v>9922</v>
      </c>
      <c r="AZ3395" s="628" t="s">
        <v>2525</v>
      </c>
      <c r="BA3395" s="628" t="s">
        <v>421</v>
      </c>
    </row>
    <row r="3396" spans="51:53">
      <c r="AY3396" s="627">
        <v>9923</v>
      </c>
      <c r="AZ3396" s="628" t="s">
        <v>2526</v>
      </c>
      <c r="BA3396" s="628" t="s">
        <v>421</v>
      </c>
    </row>
    <row r="3397" spans="51:53">
      <c r="AY3397" s="627">
        <v>9931</v>
      </c>
      <c r="AZ3397" s="628" t="s">
        <v>4733</v>
      </c>
      <c r="BA3397" s="628" t="s">
        <v>421</v>
      </c>
    </row>
    <row r="3398" spans="51:53">
      <c r="AY3398" s="627">
        <v>9931</v>
      </c>
      <c r="AZ3398" s="628" t="s">
        <v>2527</v>
      </c>
      <c r="BA3398" s="628" t="s">
        <v>421</v>
      </c>
    </row>
    <row r="3399" spans="51:53">
      <c r="AY3399" s="627">
        <v>9932</v>
      </c>
      <c r="AZ3399" s="628" t="s">
        <v>4866</v>
      </c>
      <c r="BA3399" s="628" t="s">
        <v>421</v>
      </c>
    </row>
    <row r="3400" spans="51:53">
      <c r="AY3400" s="627">
        <v>9933</v>
      </c>
      <c r="AZ3400" s="628" t="s">
        <v>4734</v>
      </c>
      <c r="BA3400" s="628" t="s">
        <v>421</v>
      </c>
    </row>
    <row r="3401" spans="51:53">
      <c r="AY3401" s="627">
        <v>9934</v>
      </c>
      <c r="AZ3401" s="630" t="s">
        <v>4336</v>
      </c>
      <c r="BA3401" s="630" t="s">
        <v>421</v>
      </c>
    </row>
    <row r="3402" spans="51:53">
      <c r="AY3402" s="627">
        <v>9934</v>
      </c>
      <c r="AZ3402" s="628" t="s">
        <v>4735</v>
      </c>
      <c r="BA3402" s="628" t="s">
        <v>421</v>
      </c>
    </row>
    <row r="3403" spans="51:53">
      <c r="AY3403" s="627">
        <v>9934</v>
      </c>
      <c r="AZ3403" s="628" t="s">
        <v>4736</v>
      </c>
      <c r="BA3403" s="628" t="s">
        <v>421</v>
      </c>
    </row>
    <row r="3404" spans="51:53">
      <c r="AY3404" s="627">
        <v>9935</v>
      </c>
      <c r="AZ3404" s="630" t="s">
        <v>4337</v>
      </c>
      <c r="BA3404" s="630" t="s">
        <v>421</v>
      </c>
    </row>
    <row r="3405" spans="51:53">
      <c r="AY3405" s="627">
        <v>9936</v>
      </c>
      <c r="AZ3405" s="628" t="s">
        <v>4338</v>
      </c>
      <c r="BA3405" s="628" t="s">
        <v>421</v>
      </c>
    </row>
    <row r="3406" spans="51:53">
      <c r="AY3406" s="627">
        <v>9937</v>
      </c>
      <c r="AZ3406" s="628" t="s">
        <v>4339</v>
      </c>
      <c r="BA3406" s="628" t="s">
        <v>421</v>
      </c>
    </row>
    <row r="3407" spans="51:53">
      <c r="AY3407" s="627">
        <v>9938</v>
      </c>
      <c r="AZ3407" s="630" t="s">
        <v>4737</v>
      </c>
      <c r="BA3407" s="630" t="s">
        <v>421</v>
      </c>
    </row>
    <row r="3408" spans="51:53">
      <c r="AY3408" s="627">
        <v>9938</v>
      </c>
      <c r="AZ3408" s="628" t="s">
        <v>4340</v>
      </c>
      <c r="BA3408" s="628" t="s">
        <v>421</v>
      </c>
    </row>
    <row r="3409" spans="51:53">
      <c r="AY3409" s="627">
        <v>9941</v>
      </c>
      <c r="AZ3409" s="628" t="s">
        <v>4738</v>
      </c>
      <c r="BA3409" s="628" t="s">
        <v>421</v>
      </c>
    </row>
    <row r="3410" spans="51:53">
      <c r="AY3410" s="627">
        <v>9941</v>
      </c>
      <c r="AZ3410" s="628" t="s">
        <v>4341</v>
      </c>
      <c r="BA3410" s="628" t="s">
        <v>421</v>
      </c>
    </row>
    <row r="3411" spans="51:53">
      <c r="AY3411" s="627">
        <v>9942</v>
      </c>
      <c r="AZ3411" s="628" t="s">
        <v>4342</v>
      </c>
      <c r="BA3411" s="628" t="s">
        <v>421</v>
      </c>
    </row>
    <row r="3412" spans="51:53">
      <c r="AY3412" s="627">
        <v>9943</v>
      </c>
      <c r="AZ3412" s="628" t="s">
        <v>4343</v>
      </c>
      <c r="BA3412" s="628" t="s">
        <v>421</v>
      </c>
    </row>
    <row r="3413" spans="51:53">
      <c r="AY3413" s="627">
        <v>9944</v>
      </c>
      <c r="AZ3413" s="628" t="s">
        <v>4739</v>
      </c>
      <c r="BA3413" s="628" t="s">
        <v>421</v>
      </c>
    </row>
    <row r="3414" spans="51:53">
      <c r="AY3414" s="627">
        <v>9944</v>
      </c>
      <c r="AZ3414" s="628" t="s">
        <v>4344</v>
      </c>
      <c r="BA3414" s="628" t="s">
        <v>421</v>
      </c>
    </row>
    <row r="3415" spans="51:53">
      <c r="AY3415" s="627">
        <v>9945</v>
      </c>
      <c r="AZ3415" s="628" t="s">
        <v>3510</v>
      </c>
      <c r="BA3415" s="628" t="s">
        <v>421</v>
      </c>
    </row>
    <row r="3416" spans="51:53">
      <c r="AY3416" s="627">
        <v>9946</v>
      </c>
      <c r="AZ3416" s="628" t="s">
        <v>4740</v>
      </c>
      <c r="BA3416" s="628" t="s">
        <v>421</v>
      </c>
    </row>
    <row r="3417" spans="51:53">
      <c r="AY3417" s="627">
        <v>9946</v>
      </c>
      <c r="AZ3417" s="628" t="s">
        <v>3511</v>
      </c>
      <c r="BA3417" s="628" t="s">
        <v>421</v>
      </c>
    </row>
    <row r="3418" spans="51:53">
      <c r="AY3418" s="627">
        <v>9951</v>
      </c>
      <c r="AZ3418" s="628" t="s">
        <v>3512</v>
      </c>
      <c r="BA3418" s="628" t="s">
        <v>421</v>
      </c>
    </row>
    <row r="3419" spans="51:53">
      <c r="AY3419" s="627">
        <v>9952</v>
      </c>
      <c r="AZ3419" s="628" t="s">
        <v>3513</v>
      </c>
      <c r="BA3419" s="628" t="s">
        <v>421</v>
      </c>
    </row>
    <row r="3420" spans="51:53">
      <c r="AY3420" s="627">
        <v>9953</v>
      </c>
      <c r="AZ3420" s="628" t="s">
        <v>4741</v>
      </c>
      <c r="BA3420" s="628" t="s">
        <v>421</v>
      </c>
    </row>
    <row r="3421" spans="51:53">
      <c r="AY3421" s="627">
        <v>9953</v>
      </c>
      <c r="AZ3421" s="628" t="s">
        <v>3514</v>
      </c>
      <c r="BA3421" s="628" t="s">
        <v>421</v>
      </c>
    </row>
    <row r="3422" spans="51:53">
      <c r="AY3422" s="627">
        <v>9954</v>
      </c>
      <c r="AZ3422" s="630" t="s">
        <v>3515</v>
      </c>
      <c r="BA3422" s="630" t="s">
        <v>421</v>
      </c>
    </row>
    <row r="3423" spans="51:53">
      <c r="AY3423" s="627">
        <v>9955</v>
      </c>
      <c r="AZ3423" s="628" t="s">
        <v>1135</v>
      </c>
      <c r="BA3423" s="628" t="s">
        <v>421</v>
      </c>
    </row>
    <row r="3424" spans="51:53">
      <c r="AY3424" s="627">
        <v>9961</v>
      </c>
      <c r="AZ3424" s="628" t="s">
        <v>1133</v>
      </c>
      <c r="BA3424" s="628" t="s">
        <v>421</v>
      </c>
    </row>
    <row r="3425" spans="51:53">
      <c r="AY3425" s="627">
        <v>9962</v>
      </c>
      <c r="AZ3425" s="628" t="s">
        <v>4743</v>
      </c>
      <c r="BA3425" s="628" t="s">
        <v>421</v>
      </c>
    </row>
    <row r="3426" spans="51:53">
      <c r="AY3426" s="627">
        <v>9962</v>
      </c>
      <c r="AZ3426" s="630" t="s">
        <v>1134</v>
      </c>
      <c r="BA3426" s="630" t="s">
        <v>421</v>
      </c>
    </row>
    <row r="3427" spans="51:53">
      <c r="AY3427" s="627">
        <v>9970</v>
      </c>
      <c r="AZ3427" s="628" t="s">
        <v>1135</v>
      </c>
      <c r="BA3427" s="628" t="s">
        <v>421</v>
      </c>
    </row>
    <row r="3428" spans="51:53">
      <c r="AY3428" s="627">
        <v>9981</v>
      </c>
      <c r="AZ3428" s="630" t="s">
        <v>1135</v>
      </c>
      <c r="BA3428" s="630" t="s">
        <v>421</v>
      </c>
    </row>
    <row r="3429" spans="51:53">
      <c r="AY3429" s="627">
        <v>9982</v>
      </c>
      <c r="AZ3429" s="628" t="s">
        <v>4745</v>
      </c>
      <c r="BA3429" s="628" t="s">
        <v>421</v>
      </c>
    </row>
    <row r="3430" spans="51:53">
      <c r="AY3430" s="627">
        <v>9982</v>
      </c>
      <c r="AZ3430" s="628" t="s">
        <v>4746</v>
      </c>
      <c r="BA3430" s="628" t="s">
        <v>421</v>
      </c>
    </row>
    <row r="3431" spans="51:53">
      <c r="AY3431" s="627">
        <v>9982</v>
      </c>
      <c r="AZ3431" s="628" t="s">
        <v>1137</v>
      </c>
      <c r="BA3431" s="628" t="s">
        <v>421</v>
      </c>
    </row>
    <row r="3432" spans="51:53">
      <c r="AY3432" s="627">
        <v>9983</v>
      </c>
      <c r="AZ3432" s="630" t="s">
        <v>4747</v>
      </c>
      <c r="BA3432" s="630" t="s">
        <v>421</v>
      </c>
    </row>
    <row r="3433" spans="51:53">
      <c r="AY3433" s="627">
        <v>9983</v>
      </c>
      <c r="AZ3433" s="628" t="s">
        <v>1138</v>
      </c>
      <c r="BA3433" s="628" t="s">
        <v>421</v>
      </c>
    </row>
    <row r="3434" spans="51:53">
      <c r="AY3434" s="627">
        <v>9985</v>
      </c>
      <c r="AZ3434" s="628" t="s">
        <v>1139</v>
      </c>
      <c r="BA3434" s="628" t="s">
        <v>421</v>
      </c>
    </row>
  </sheetData>
  <sheetProtection password="D2A1" sheet="1" objects="1" scenarios="1" selectLockedCells="1" selectUnlockedCells="1"/>
  <mergeCells count="23">
    <mergeCell ref="AR127:AT127"/>
    <mergeCell ref="B1:G1"/>
    <mergeCell ref="X127:AA127"/>
    <mergeCell ref="AD127:AG127"/>
    <mergeCell ref="AI127:AK127"/>
    <mergeCell ref="AM127:AO127"/>
    <mergeCell ref="H127:K127"/>
    <mergeCell ref="M127:Q127"/>
    <mergeCell ref="S127:V127"/>
    <mergeCell ref="AI15:AK15"/>
    <mergeCell ref="AR15:AT15"/>
    <mergeCell ref="H57:I57"/>
    <mergeCell ref="S15:V15"/>
    <mergeCell ref="X15:AA15"/>
    <mergeCell ref="AD15:AG15"/>
    <mergeCell ref="H15:K15"/>
    <mergeCell ref="M15:Q15"/>
    <mergeCell ref="L57:N57"/>
    <mergeCell ref="L77:M77"/>
    <mergeCell ref="X57:Y57"/>
    <mergeCell ref="AB58:AD58"/>
    <mergeCell ref="AB69:AC69"/>
    <mergeCell ref="AM15:AO15"/>
  </mergeCells>
  <phoneticPr fontId="7" type="noConversion"/>
  <dataValidations count="1">
    <dataValidation type="whole" operator="greaterThanOrEqual" allowBlank="1" showInputMessage="1" showErrorMessage="1" sqref="B8:G8" xr:uid="{00000000-0002-0000-0000-000000000000}">
      <formula1>0</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F77"/>
  <sheetViews>
    <sheetView workbookViewId="0">
      <selection activeCell="F69" sqref="F69"/>
    </sheetView>
  </sheetViews>
  <sheetFormatPr defaultRowHeight="12.75"/>
  <cols>
    <col min="1" max="1" width="25.28515625" customWidth="1"/>
    <col min="3" max="3" width="11.7109375" customWidth="1"/>
    <col min="5" max="5" width="10.28515625" customWidth="1"/>
    <col min="6" max="6" width="11" customWidth="1"/>
    <col min="9" max="9" width="10.140625" bestFit="1" customWidth="1"/>
    <col min="20" max="20" width="30.140625" customWidth="1"/>
    <col min="21" max="21" width="14.7109375" customWidth="1"/>
    <col min="22" max="22" width="12.28515625" customWidth="1"/>
    <col min="23" max="23" width="16.5703125" customWidth="1"/>
    <col min="24" max="24" width="11.42578125" customWidth="1"/>
    <col min="25" max="25" width="12.5703125" bestFit="1" customWidth="1"/>
    <col min="26" max="26" width="14.28515625" customWidth="1"/>
    <col min="27" max="27" width="13.7109375" bestFit="1" customWidth="1"/>
    <col min="28" max="28" width="13.42578125" customWidth="1"/>
    <col min="29" max="29" width="13.5703125" customWidth="1"/>
    <col min="31" max="31" width="24.5703125" customWidth="1"/>
  </cols>
  <sheetData>
    <row r="1" spans="1:29" ht="55.5" customHeight="1" thickBot="1">
      <c r="A1" s="621" t="s">
        <v>154</v>
      </c>
      <c r="B1" s="621">
        <f>$B$62</f>
        <v>1114</v>
      </c>
      <c r="D1" s="1514" t="s">
        <v>1514</v>
      </c>
      <c r="E1" s="435"/>
      <c r="F1" s="1515">
        <f>NDK!B51</f>
        <v>7410</v>
      </c>
      <c r="U1" s="3155" t="s">
        <v>5464</v>
      </c>
      <c r="V1" s="3155" t="s">
        <v>5350</v>
      </c>
      <c r="W1" s="2764" t="s">
        <v>5468</v>
      </c>
      <c r="X1" s="3332" t="s">
        <v>5470</v>
      </c>
      <c r="Y1" s="3333" t="s">
        <v>5469</v>
      </c>
      <c r="Z1" s="3337" t="s">
        <v>5471</v>
      </c>
      <c r="AA1" s="3332" t="s">
        <v>5472</v>
      </c>
      <c r="AB1" s="3343" t="s">
        <v>5473</v>
      </c>
      <c r="AC1" s="2243" t="s">
        <v>5474</v>
      </c>
    </row>
    <row r="2" spans="1:29" ht="16.5" thickTop="1">
      <c r="A2" s="1510" t="s">
        <v>4327</v>
      </c>
      <c r="B2" s="757"/>
      <c r="C2" s="784" t="s">
        <v>5128</v>
      </c>
      <c r="D2" s="785">
        <v>2</v>
      </c>
      <c r="E2" s="785">
        <v>3</v>
      </c>
      <c r="F2" s="785">
        <v>4</v>
      </c>
      <c r="G2" s="785">
        <v>5</v>
      </c>
      <c r="H2" s="785">
        <v>6</v>
      </c>
      <c r="I2" s="785">
        <v>7</v>
      </c>
      <c r="J2" s="785">
        <v>8</v>
      </c>
      <c r="K2" s="785">
        <v>9</v>
      </c>
      <c r="L2" s="785">
        <v>10</v>
      </c>
      <c r="M2" s="2591">
        <v>11</v>
      </c>
      <c r="N2" s="2591">
        <v>12</v>
      </c>
      <c r="O2" s="2591">
        <v>13</v>
      </c>
      <c r="P2" s="2591">
        <v>14</v>
      </c>
      <c r="Q2" s="2592">
        <v>15</v>
      </c>
      <c r="T2" s="106" t="s">
        <v>2451</v>
      </c>
      <c r="U2" s="3156">
        <v>38000</v>
      </c>
      <c r="V2" s="2807">
        <v>1</v>
      </c>
      <c r="W2" s="2269">
        <f>$U2*$V2</f>
        <v>38000</v>
      </c>
      <c r="X2">
        <f>NDK!$B4</f>
        <v>0</v>
      </c>
      <c r="Y2" s="3335"/>
      <c r="Z2" s="3339"/>
      <c r="AA2" s="3334">
        <f>$W2*$C$58</f>
        <v>47652</v>
      </c>
      <c r="AB2" s="3344">
        <f>MAX($Y2,$AA2)</f>
        <v>47652</v>
      </c>
      <c r="AC2" s="3345">
        <f>$X2*$AB2</f>
        <v>0</v>
      </c>
    </row>
    <row r="3" spans="1:29" ht="51.75">
      <c r="A3" s="759" t="s">
        <v>3049</v>
      </c>
      <c r="B3" s="3134" t="b">
        <f>OR(AND($B$52&gt;=1000,$B$52&lt;=1039),AND($B$52&gt;=1050,$B$52&lt;=1069),AND($B$52&gt;=1080,$B$52&lt;=1098),AND($B$52&gt;=1120,$B$52&lt;=1139),AND($B$52&gt;=1150,$B$52&lt;=1159),AND($B$52&gt;=1161,$B$52&lt;=1165),AND($B$52&gt;=1180,$B$52&lt;=1219),AND($B$52&gt;=1250,$B$52&lt;=1250),AND($B$52&gt;=1253,$B$52&lt;=1999),AND($B$52&gt;=9400,$B$52&lt;=9409),AND($B$52&gt;=9494,$B$52&lt;=9494))</f>
        <v>0</v>
      </c>
      <c r="C3" s="2832"/>
      <c r="D3" s="2833"/>
      <c r="E3" s="2834"/>
      <c r="F3" s="3143" t="s">
        <v>5248</v>
      </c>
      <c r="G3" s="3143"/>
      <c r="H3" s="3143"/>
      <c r="I3" s="3143"/>
      <c r="J3" s="3143" t="b">
        <f>OR(B3:B12)</f>
        <v>1</v>
      </c>
      <c r="K3" s="2835"/>
      <c r="L3" s="2835"/>
      <c r="M3" s="2836"/>
      <c r="N3" s="2836"/>
      <c r="O3" s="2836"/>
      <c r="P3" s="2836"/>
      <c r="Q3" s="2593"/>
      <c r="T3" s="111" t="s">
        <v>201</v>
      </c>
      <c r="U3" s="2763"/>
      <c r="V3" s="2807"/>
      <c r="W3" s="2269"/>
      <c r="Y3" s="3335"/>
      <c r="Z3" s="3339"/>
      <c r="AA3" s="3334"/>
      <c r="AB3" s="3338"/>
    </row>
    <row r="4" spans="1:29" ht="15.75">
      <c r="A4" s="759" t="s">
        <v>3055</v>
      </c>
      <c r="B4" s="3135" t="b">
        <f>OR(C4,D4)</f>
        <v>1</v>
      </c>
      <c r="C4" s="3134" t="b">
        <f>OR(AND($B$52&gt;=1040,$B$52&lt;=1048),AND($B$52&gt;=1071,$B$52&lt;=1078),AND($B$52&gt;=1100,$B$52&lt;=1119),AND($B$52&gt;=1140,$B$52&lt;=1149),AND($B$52&gt;=1160,$B$52&lt;=1160),AND($B$52&gt;=1166,$B$52&lt;=1179),AND($B$52&gt;=1220,$B$52&lt;=1245),AND($B$52&gt;=1251,$B$52&lt;=1251),AND($B$52&gt;=2000,$B$52&lt;=2003),AND($B$52&gt;=2010,$B$52&lt;=2015),AND($B$52&gt;=2017,$B$52&lt;=2019),AND($B$52&gt;=2030,$B$52&lt;=2036),AND($B$52&gt;=2040,$B$52&lt;=2044),AND($B$52&gt;=2049,$B$52&lt;=2052),AND($B$52&gt;=2071,$B$52&lt;=2071),AND($B$52&gt;=2081,$B$52&lt;=2085),AND($B$52&gt;=2087,$B$52&lt;=2089),AND($B$52&gt;=2092,$B$52&lt;=2092))</f>
        <v>1</v>
      </c>
      <c r="D4" s="3134" t="b">
        <f>OR(AND($B$52&gt;=2094,$B$52&lt;=2094),AND($B$52&gt;=2096,$B$52&lt;=2096),AND($B$52&gt;=2100,$B$52&lt;=2112),AND($B$52&gt;=2117,$B$52&lt;=2117),AND($B$52&gt;=2119,$B$52&lt;=2119),AND($B$52&gt;=2131,$B$52&lt;=2132),AND($B$52&gt;=2141,$B$52&lt;=2161),AND($B$52&gt;=2220,$B$52&lt;=2222),AND($B$52&gt;=2233,$B$52&lt;=2235),AND($B$52&gt;=2310,$B$52&lt;=2316),AND($B$52&gt;=2330,$B$52&lt;=2335),AND($B$52&gt;=2360,$B$52&lt;=2360),AND($B$52&gt;=2440,$B$52&lt;=2443),AND($B$52&gt;=2461,$B$52&lt;=2461),AND($B$52&gt;=7400,$B$52&lt;=7409),AND($B$52&gt;=7451,$B$52&lt;=7451),AND($B$52&gt;=7461,$B$52&lt;=7463))</f>
        <v>0</v>
      </c>
      <c r="E4" s="3134"/>
      <c r="F4" s="3137"/>
      <c r="G4" s="3137"/>
      <c r="H4" s="3137"/>
      <c r="I4" s="3137"/>
      <c r="J4" s="3138"/>
      <c r="K4" s="2835"/>
      <c r="L4" s="2835"/>
      <c r="M4" s="2836"/>
      <c r="N4" s="2836"/>
      <c r="O4" s="2836"/>
      <c r="P4" s="2836"/>
      <c r="Q4" s="2593"/>
      <c r="T4" s="106" t="s">
        <v>2452</v>
      </c>
      <c r="U4" s="3156">
        <v>44875</v>
      </c>
      <c r="V4" s="2807">
        <v>1</v>
      </c>
      <c r="W4" s="2269">
        <f>$U4*$V4</f>
        <v>44875</v>
      </c>
      <c r="X4">
        <f>NDK!B6</f>
        <v>0</v>
      </c>
      <c r="Y4" s="3335"/>
      <c r="Z4" s="3339"/>
      <c r="AA4" s="3334">
        <f>$W4*$C$58</f>
        <v>56273.25</v>
      </c>
      <c r="AB4" s="3344">
        <f>MAX($Y4,$AA4)</f>
        <v>56273.25</v>
      </c>
      <c r="AC4" s="3345">
        <f>$X4*$AB4</f>
        <v>0</v>
      </c>
    </row>
    <row r="5" spans="1:29" ht="39">
      <c r="A5" s="759" t="s">
        <v>3058</v>
      </c>
      <c r="B5" s="3134" t="b">
        <f>OR(C5,D5,E5,F5)</f>
        <v>0</v>
      </c>
      <c r="C5" s="3139" t="b">
        <f>OR(AND($B$52&gt;=2074,$B$52&lt;=2080),AND($B$52&gt;=2090,$B$52&lt;=2090),AND($B$52&gt;=2093,$B$52&lt;=2093),AND($B$52&gt;=2095,$B$52&lt;=2095),AND($B$52&gt;=2097,$B$52&lt;=2099),AND($B$52&gt;=2113,$B$52&lt;=2113),AND($B$52&gt;=2120,$B$52&lt;=2123),AND($B$52&gt;=2600,$B$52&lt;=2603),AND($B$52&gt;=2628,$B$52&lt;=2636),AND($B$52&gt;=2638,$B$52&lt;=2638),AND($B$52&gt;=7261,$B$52&lt;=7271),AND($B$52&gt;=7300,$B$52&lt;=7301),AND($B$52&gt;=7305,$B$52&lt;=7305),AND($B$52&gt;=7332,$B$52&lt;=7333),AND($B$52&gt;=7370,$B$52&lt;=7370),AND($B$52&gt;=7383,$B$52&lt;=7384),AND($B$52&gt;=7391,$B$52&lt;=7393),AND($B$52&gt;=7471,$B$52&lt;=7474),AND($B$52&gt;=7476,$B$52&lt;=7477),AND($B$52&gt;=7522,$B$52&lt;=7522))</f>
        <v>0</v>
      </c>
      <c r="D5" s="3140" t="b">
        <f>OR(AND($B$52&gt;=7639,$B$52&lt;=7639),AND($B$52&gt;=7661,$B$52&lt;=7675),AND($B$52&gt;=7681,$B$52&lt;=7683),AND($B$52&gt;=7694,$B$52&lt;=7694),AND($B$52&gt;=7720,$B$52&lt;=7720),AND($B$52&gt;=7731,$B$52&lt;=7732),AND($B$52&gt;=7741,$B$52&lt;=7751),AND($B$52&gt;=7756,$B$52&lt;=7756),AND($B$52&gt;=7761,$B$52&lt;=7761),AND($B$52&gt;=7763,$B$52&lt;=7775),AND($B$52&gt;=7800,$B$52&lt;=7800),AND($B$52&gt;=7811,$B$52&lt;=7817),AND($B$52&gt;=7822,$B$52&lt;=7824),AND($B$52&gt;=7826,$B$52&lt;=7834),AND($B$52&gt;=7836,$B$52&lt;=7847),AND($B$52&gt;=7851,$B$52&lt;=7900),AND($B$52&gt;=7912,$B$52&lt;=7915),AND($B$52&gt;=7921,$B$52&lt;=7926),AND($B$52&gt;=7932,$B$52&lt;=7937),AND($B$52&gt;=7940,$B$52&lt;=7956))</f>
        <v>0</v>
      </c>
      <c r="E5" s="3137" t="b">
        <f>OR(AND($B$52&gt;=7960,$B$52&lt;=7964),AND($B$52&gt;=7966,$B$52&lt;=7976),AND($B$52&gt;=7980,$B$52&lt;=7985),AND($B$52&gt;=8500,$B$52&lt;=8511),AND($B$52&gt;=8551,$B$52&lt;=8552),AND($B$52&gt;=8561,$B$52&lt;=8562),AND($B$52&gt;=8591,$B$52&lt;=8591),AND($B$52&gt;=8596,$B$52&lt;=8596),AND($B$52&gt;=8598,$B$52&lt;=8598),AND($B$52&gt;=8973,$B$52&lt;=8973),AND($B$52&gt;=8988,$B$52&lt;=8988),AND($B$52&gt;=8999,$B$52&lt;=8999),AND($B$52&gt;=9064,$B$52&lt;=9064),AND($B$52&gt;=9372,$B$52&lt;=9375),AND($B$52&gt;=9421,$B$52&lt;=9493),AND($B$52&gt;=9495,$B$52&lt;=9513),AND($B$52&gt;=9516,$B$52&lt;=9521),AND($B$52&gt;=9551,$B$52&lt;=9553),AND($B$52&gt;=9556,$B$52&lt;=9561),AND($B$52&gt;=9623,$B$52&lt;=9635))</f>
        <v>0</v>
      </c>
      <c r="F5" s="3137" t="b">
        <f>OR(AND($B$52&gt;=9643,$B$52&lt;=9651),AND($B$52&gt;=9661,$B$52&lt;=9672),AND($B$52&gt;=9724,$B$52&lt;=9725),AND($B$52&gt;=9730,$B$52&lt;=9739),AND($B$52&gt;=9791,$B$52&lt;=9791),AND($B$52&gt;=9793,$B$52&lt;=9793),AND($B$52&gt;=9795,$B$52&lt;=9795),AND($B$52&gt;=9797,$B$52&lt;=9797),AND($B$52&gt;=9918,$B$52&lt;=9918),AND($B$52&gt;=9931,$B$52&lt;=9934),AND($B$52&gt;=9936,$B$52&lt;=9941),AND($B$52&gt;=9943,$B$52&lt;=9944))</f>
        <v>0</v>
      </c>
      <c r="G5" s="3137"/>
      <c r="H5" s="3137"/>
      <c r="I5" s="3137"/>
      <c r="J5" s="3138"/>
      <c r="K5" s="2835"/>
      <c r="L5" s="2835"/>
      <c r="M5" s="2836"/>
      <c r="N5" s="2836"/>
      <c r="O5" s="2836"/>
      <c r="P5" s="2836"/>
      <c r="Q5" s="2593"/>
      <c r="T5" s="110" t="s">
        <v>3319</v>
      </c>
      <c r="U5" s="3156">
        <v>52125</v>
      </c>
      <c r="V5" s="2807">
        <v>1</v>
      </c>
      <c r="W5" s="2269">
        <f>$U5*$V5</f>
        <v>52125</v>
      </c>
      <c r="X5">
        <f>NDK!B7</f>
        <v>0</v>
      </c>
      <c r="Y5" s="3335"/>
      <c r="Z5" s="3339"/>
      <c r="AA5" s="3334">
        <f>$W5*$C$58</f>
        <v>65364.75</v>
      </c>
      <c r="AB5" s="3344">
        <f>MAX($Y5,$AA5)</f>
        <v>65364.75</v>
      </c>
      <c r="AC5" s="3345">
        <f>$X5*$AB5</f>
        <v>0</v>
      </c>
    </row>
    <row r="6" spans="1:29" ht="15.75">
      <c r="A6" s="758" t="s">
        <v>3059</v>
      </c>
      <c r="B6" s="3135" t="b">
        <f>OR(C6:E6)</f>
        <v>0</v>
      </c>
      <c r="C6" s="3134" t="b">
        <f>OR(AND($B$52&gt;=2008,$B$52&lt;=2009),AND($B$52&gt;=2016,$B$52&lt;=2016),AND($B$52&gt;=2021,$B$52&lt;=2028),AND($B$52&gt;=2045,$B$52&lt;=2046),AND($B$52&gt;=2072,$B$52&lt;=2073),AND($B$52&gt;=2086,$B$52&lt;=2086),AND($B$52&gt;=2133,$B$52&lt;=2135),AND($B$52&gt;=2162,$B$52&lt;=2170),AND($B$52&gt;=2181,$B$52&lt;=2191),AND($B$52&gt;=2200,$B$52&lt;=2202),AND($B$52&gt;=2225,$B$52&lt;=2230),AND($B$52&gt;=2351,$B$52&lt;=2351),AND($B$52&gt;=2363,$B$52&lt;=2364),AND($B$52&gt;=2500,$B$52&lt;=2523),AND($B$52&gt;=2527,$B$52&lt;=2532),AND($B$52&gt;=2534,$B$52&lt;=2535),AND($B$52&gt;=2612,$B$52&lt;=2615),AND($B$52&gt;=2621,$B$52&lt;=2627),AND($B$52&gt;=2637,$B$52&lt;=2637),AND($B$52&gt;=2639,$B$52&lt;=2639),AND($B$52&gt;=2681,$B$52&lt;=2683),AND($B$52&gt;=4000,$B$52&lt;=4051),AND($B$52&gt;=4063,$B$52&lt;=4063),AND($B$52&gt;=4077,$B$52&lt;=4079))</f>
        <v>0</v>
      </c>
      <c r="D6" s="3134" t="b">
        <f>OR(AND($B$52&gt;=4225,$B$52&lt;=4225),AND($B$52&gt;=4246,$B$52&lt;=4246),AND($B$52&gt;=4400,$B$52&lt;=4433),AND($B$52&gt;=4435,$B$52&lt;=4435),AND($B$52&gt;=4481,$B$52&lt;=4481),AND($B$52&gt;=4551,$B$52&lt;=4551),AND($B$52&gt;=7251,$B$52&lt;=7255),AND($B$52&gt;=7257,$B$52&lt;=7259),AND($B$52&gt;=7272,$B$52&lt;=7272),AND($B$52&gt;=7279,$B$52&lt;=7279),AND($B$52&gt;=7431,$B$52&lt;=7432),AND($B$52&gt;=7439,$B$52&lt;=7442),AND($B$52&gt;=7452,$B$52&lt;=7452),AND($B$52&gt;=7454,$B$52&lt;=7454),AND($B$52&gt;=7475,$B$52&lt;=7475),AND($B$52&gt;=7478,$B$52&lt;=7479),AND($B$52&gt;=7521,$B$52&lt;=7521),AND($B$52&gt;=7524,$B$52&lt;=7524),AND($B$52&gt;=7532,$B$52&lt;=7533),AND($B$52&gt;=7536,$B$52&lt;=7539),AND($B$52&gt;=7600,$B$52&lt;=7636),AND($B$52&gt;=7646,$B$52&lt;=7646),AND($B$52&gt;=7691,$B$52&lt;=7693),AND($B$52&gt;=7762,$B$52&lt;=7762))</f>
        <v>0</v>
      </c>
      <c r="E6" s="3134" t="b">
        <f>OR(AND($B$52&gt;=7821,$B$52&lt;=7821),AND($B$52&gt;=7835,$B$52&lt;=7835),AND($B$52&gt;=7849,$B$52&lt;=7850),AND($B$52&gt;=7911,$B$52&lt;=7911),AND($B$52&gt;=7918,$B$52&lt;=7918),AND($B$52&gt;=7931,$B$52&lt;=7931),AND($B$52&gt;=7965,$B$52&lt;=7965),AND($B$52&gt;=7977,$B$52&lt;=7979),AND($B$52&gt;=7986,$B$52&lt;=7988),AND($B$52&gt;=8831,$B$52&lt;=8831),AND($B$52&gt;=8995,$B$52&lt;=8998),AND($B$52&gt;=9700,$B$52&lt;=9719),AND($B$52&gt;=9915,$B$52&lt;=9917),AND($B$52&gt;=9919,$B$52&lt;=9923),AND($B$52&gt;=9935,$B$52&lt;=9935),AND($B$52&gt;=9942,$B$52&lt;=9942),AND($B$52&gt;=9951,$B$52&lt;=9953),AND($B$52&gt;=9961,$B$52&lt;=9961))</f>
        <v>0</v>
      </c>
      <c r="F6" s="3134"/>
      <c r="G6" s="3134"/>
      <c r="H6" s="3134"/>
      <c r="I6" s="3141"/>
      <c r="J6" s="3141"/>
      <c r="K6" s="2837"/>
      <c r="L6" s="2837"/>
      <c r="M6" s="2837"/>
      <c r="N6" s="2837"/>
      <c r="O6" s="2837"/>
      <c r="P6" s="2837"/>
      <c r="Q6" s="2593"/>
      <c r="T6" s="1972" t="s">
        <v>1491</v>
      </c>
      <c r="U6" s="2763"/>
      <c r="V6" s="2807"/>
      <c r="W6" s="2269"/>
      <c r="Y6" s="3335"/>
      <c r="Z6" s="3339"/>
      <c r="AA6" s="3334"/>
      <c r="AB6" s="3338"/>
    </row>
    <row r="7" spans="1:29" ht="15.75">
      <c r="A7" s="758" t="s">
        <v>3062</v>
      </c>
      <c r="B7" s="3135" t="b">
        <f>OR(C7:G7)</f>
        <v>0</v>
      </c>
      <c r="C7" s="3134" t="b">
        <f>OR(AND($B$52&gt;=2038,$B$52&lt;=2038),AND($B$52&gt;=2053,$B$52&lt;=2064),AND($B$52&gt;=2091,$B$52&lt;=2091),AND($B$52&gt;=2336,$B$52&lt;=2337),AND($B$52&gt;=2641,$B$52&lt;=2641),AND($B$52&gt;=2643,$B$52&lt;=2644),AND($B$52&gt;=2646,$B$52&lt;=2647),AND($B$52&gt;=2653,$B$52&lt;=2653),AND($B$52&gt;=2655,$B$52&lt;=2655),AND($B$52&gt;=2800,$B$52&lt;=2809),AND($B$52&gt;=3043,$B$52&lt;=3043),AND($B$52&gt;=3358,$B$52&lt;=3359),AND($B$52&gt;=3371,$B$52&lt;=3371),AND($B$52&gt;=3425,$B$52&lt;=3425),AND($B$52&gt;=3500,$B$52&lt;=3535),AND($B$52&gt;=3543,$B$52&lt;=3548),AND($B$52&gt;=3558,$B$52&lt;=3558),AND($B$52&gt;=4221,$B$52&lt;=4221),AND($B$52&gt;=5310,$B$52&lt;=5310),AND($B$52&gt;=5462,$B$52&lt;=5462),AND($B$52&gt;=5530,$B$52&lt;=5536),AND($B$52&gt;=5600,$B$52&lt;=5609),AND($B$52&gt;=5623,$B$52&lt;=5623),AND($B$52&gt;=5630,$B$52&lt;=5631))</f>
        <v>0</v>
      </c>
      <c r="D7" s="3134" t="b">
        <f>OR(AND($B$52&gt;=5661,$B$52&lt;=5661),AND($B$52&gt;=5671,$B$52&lt;=5672),AND($B$52&gt;=5675,$B$52&lt;=5675),AND($B$52&gt;=5712,$B$52&lt;=5712),AND($B$52&gt;=5743,$B$52&lt;=5746),AND($B$52&gt;=5751,$B$52&lt;=5751),AND($B$52&gt;=5830,$B$52&lt;=5838),AND($B$52&gt;=6000,$B$52&lt;=6010),AND($B$52&gt;=6044,$B$52&lt;=6044),AND($B$52&gt;=6700,$B$52&lt;=6753),AND($B$52&gt;=6757,$B$52&lt;=6757),AND($B$52&gt;=6771,$B$52&lt;=6771),AND($B$52&gt;=6791,$B$52&lt;=6791),AND($B$52&gt;=7165,$B$52&lt;=7165),AND($B$52&gt;=7182,$B$52&lt;=7182),AND($B$52&gt;=7184,$B$52&lt;=7184),AND($B$52&gt;=7304,$B$52&lt;=7304),AND($B$52&gt;=7308,$B$52&lt;=7308),AND($B$52&gt;=7331,$B$52&lt;=7331),AND($B$52&gt;=7334,$B$52&lt;=7334),AND($B$52&gt;=7342,$B$52&lt;=7351),AND($B$52&gt;=7362,$B$52&lt;=7362),AND($B$52&gt;=7381,$B$52&lt;=7381),AND($B$52&gt;=7385,$B$52&lt;=7386))</f>
        <v>0</v>
      </c>
      <c r="E7" s="3134" t="b">
        <f>OR(AND($B$52&gt;=7394,$B$52&lt;=7396),AND($B$52&gt;=7444,$B$52&lt;=7444),AND($B$52&gt;=7453,$B$52&lt;=7453),AND($B$52&gt;=7455,$B$52&lt;=7455),AND($B$52&gt;=7457,$B$52&lt;=7457),AND($B$52&gt;=7526,$B$52&lt;=7526),AND($B$52&gt;=7530,$B$52&lt;=7531),AND($B$52&gt;=7534,$B$52&lt;=7535),AND($B$52&gt;=7677,$B$52&lt;=7678),AND($B$52&gt;=7695,$B$52&lt;=7696),AND($B$52&gt;=7711,$B$52&lt;=7711),AND($B$52&gt;=7718,$B$52&lt;=7718),AND($B$52&gt;=7723,$B$52&lt;=7727),AND($B$52&gt;=7733,$B$52&lt;=7737),AND($B$52&gt;=7752,$B$52&lt;=7755),AND($B$52&gt;=7757,$B$52&lt;=7759),AND($B$52&gt;=7781,$B$52&lt;=7785),AND($B$52&gt;=7801,$B$52&lt;=7801),AND($B$52&gt;=7818,$B$52&lt;=7818),AND($B$52&gt;=7825,$B$52&lt;=7825),AND($B$52&gt;=7957,$B$52&lt;=7958),AND($B$52&gt;=8100,$B$52&lt;=8104),AND($B$52&gt;=8153,$B$52&lt;=8153),AND($B$52&gt;=8469,$B$52&lt;=8469))</f>
        <v>0</v>
      </c>
      <c r="F7" s="3134" t="b">
        <f>OR(AND($B$52&gt;=8484,$B$52&lt;=8485),AND($B$52&gt;=8492,$B$52&lt;=8492),AND($B$52&gt;=8494,$B$52&lt;=8497),AND($B$52&gt;=8512,$B$52&lt;=8517),AND($B$52&gt;=8521,$B$52&lt;=8522),AND($B$52&gt;=8541,$B$52&lt;=8542),AND($B$52&gt;=8556,$B$52&lt;=8558),AND($B$52&gt;=8563,$B$52&lt;=8581),AND($B$52&gt;=8592,$B$52&lt;=8595),AND($B$52&gt;=8597,$B$52&lt;=8597),AND($B$52&gt;=8725,$B$52&lt;=8725),AND($B$52&gt;=8776,$B$52&lt;=8778),AND($B$52&gt;=8821,$B$52&lt;=8822),AND($B$52&gt;=8824,$B$52&lt;=8824),AND($B$52&gt;=8827,$B$52&lt;=8827),AND($B$52&gt;=8861,$B$52&lt;=8861),AND($B$52&gt;=8881,$B$52&lt;=8883),AND($B$52&gt;=8969,$B$52&lt;=8969),AND($B$52&gt;=8975,$B$52&lt;=8976),AND($B$52&gt;=8986,$B$52&lt;=8986),AND($B$52&gt;=9241,$B$52&lt;=9242),AND($B$52&gt;=9330,$B$52&lt;=9344))</f>
        <v>0</v>
      </c>
      <c r="G7" s="3140" t="b">
        <f>OR(AND($B$52&gt;=9351,$B$52&lt;=9371),AND($B$52&gt;=9514,$B$52&lt;=9515),AND($B$52&gt;=9522,$B$52&lt;=9544),AND($B$52&gt;=9554,$B$52&lt;=9555),AND($B$52&gt;=9600,$B$52&lt;=9622),AND($B$52&gt;=9636,$B$52&lt;=9641),AND($B$52&gt;=9652,$B$52&lt;=9654),AND($B$52&gt;=9673,$B$52&lt;=9675),AND($B$52&gt;=9681,$B$52&lt;=9683),AND($B$52&gt;=9721,$B$52&lt;=9723),AND($B$52&gt;=9726,$B$52&lt;=9727),AND($B$52&gt;=9740,$B$52&lt;=9763),AND($B$52&gt;=9771,$B$52&lt;=9775),AND($B$52&gt;=9783,$B$52&lt;=9789),AND($B$52&gt;=9792,$B$52&lt;=9792),AND($B$52&gt;=9794,$B$52&lt;=9794),AND($B$52&gt;=9796,$B$52&lt;=9796),AND($B$52&gt;=9798,$B$52&lt;=9799),AND($B$52&gt;=9899,$B$52&lt;=9899),AND($B$52&gt;=9909,$B$52&lt;=9909),AND($B$52&gt;=9945,$B$52&lt;=9946),AND($B$52&gt;=9954,$B$52&lt;=9955),AND($B$52&gt;=9962,$B$52&lt;=9982))</f>
        <v>0</v>
      </c>
      <c r="H7" s="3141"/>
      <c r="I7" s="3141"/>
      <c r="J7" s="3141"/>
      <c r="K7" s="2837"/>
      <c r="L7" s="2837"/>
      <c r="M7" s="2837"/>
      <c r="N7" s="2837"/>
      <c r="O7" s="2837"/>
      <c r="P7" s="2837"/>
      <c r="Q7" s="2593"/>
      <c r="T7" s="1972"/>
      <c r="U7" s="2763"/>
      <c r="V7" s="2807"/>
      <c r="W7" s="2269"/>
      <c r="Y7" s="3335"/>
      <c r="Z7" s="3339"/>
      <c r="AA7" s="3334"/>
      <c r="AB7" s="3338"/>
    </row>
    <row r="8" spans="1:29" ht="15.75">
      <c r="A8" s="758" t="s">
        <v>1099</v>
      </c>
      <c r="B8" s="3135" t="b">
        <f>OR(C8:F8)</f>
        <v>0</v>
      </c>
      <c r="C8" s="3134" t="b">
        <f>OR(AND($B$52&gt;=2039,$B$52&lt;=2039),AND($B$52&gt;=2115,$B$52&lt;=2115),AND($B$52&gt;=2118,$B$52&lt;=2118),AND($B$52&gt;=2173,$B$52&lt;=2173),AND($B$52&gt;=2192,$B$52&lt;=2194),AND($B$52&gt;=2209,$B$52&lt;=2213),AND($B$52&gt;=2217,$B$52&lt;=2217),AND($B$52&gt;=2243,$B$52&lt;=2244),AND($B$52&gt;=2254,$B$52&lt;=2254),AND($B$52&gt;=2300,$B$52&lt;=2301),AND($B$52&gt;=2338,$B$52&lt;=2338),AND($B$52&gt;=2340,$B$52&lt;=2344),AND($B$52&gt;=2347,$B$52&lt;=2347),AND($B$52&gt;=2365,$B$52&lt;=2366),AND($B$52&gt;=2370,$B$52&lt;=2373),AND($B$52&gt;=2377,$B$52&lt;=2377),AND($B$52&gt;=2840,$B$52&lt;=2842),AND($B$52&gt;=2890,$B$52&lt;=2894),AND($B$52&gt;=3012,$B$52&lt;=3012),AND($B$52&gt;=3284,$B$52&lt;=3284),AND($B$52&gt;=3350,$B$52&lt;=3350),AND($B$52&gt;=3354,$B$52&lt;=3356),AND($B$52&gt;=3360,$B$52&lt;=3369),AND($B$52&gt;=3372,$B$52&lt;=3375))</f>
        <v>0</v>
      </c>
      <c r="D8" s="3134" t="b">
        <f>OR(AND($B$52&gt;=3378,$B$52&lt;=3378),AND($B$52&gt;=3382,$B$52&lt;=3383),AND($B$52&gt;=3385,$B$52&lt;=3390),AND($B$52&gt;=4065,$B$52&lt;=4065),AND($B$52&gt;=4069,$B$52&lt;=4069),AND($B$52&gt;=4074,$B$52&lt;=4075),AND($B$52&gt;=4086,$B$52&lt;=4086),AND($B$52&gt;=4146,$B$52&lt;=4146),AND($B$52&gt;=4220,$B$52&lt;=4220),AND($B$52&gt;=4224,$B$52&lt;=4224),AND($B$52&gt;=4242,$B$52&lt;=4242),AND($B$52&gt;=4451,$B$52&lt;=4451),AND($B$52&gt;=4488,$B$52&lt;=4488),AND($B$52&gt;=4523,$B$52&lt;=4523),AND($B$52&gt;=5430,$B$52&lt;=5435),AND($B$52&gt;=5453,$B$52&lt;=5453),AND($B$52&gt;=6781,$B$52&lt;=6781),AND($B$52&gt;=7256,$B$52&lt;=7256),AND($B$52&gt;=7273,$B$52&lt;=7275),AND($B$52&gt;=7434,$B$52&lt;=7436),AND($B$52&gt;=7443,$B$52&lt;=7443),AND($B$52&gt;=7458,$B$52&lt;=7458),AND($B$52&gt;=7464,$B$52&lt;=7465),AND($B$52&gt;=7512,$B$52&lt;=7512))</f>
        <v>0</v>
      </c>
      <c r="E8" s="3134" t="b">
        <f>OR(AND($B$52&gt;=7523,$B$52&lt;=7523),AND($B$52&gt;=7525,$B$52&lt;=7525),AND($B$52&gt;=7527,$B$52&lt;=7527),AND($B$52&gt;=7541,$B$52&lt;=7552),AND($B$52&gt;=7555,$B$52&lt;=7562),AND($B$52&gt;=7564,$B$52&lt;=7584),AND($B$52&gt;=8000,$B$52&lt;=8019),AND($B$52&gt;=8200,$B$52&lt;=8220),AND($B$52&gt;=8222,$B$52&lt;=8222),AND($B$52&gt;=8411,$B$52&lt;=8412),AND($B$52&gt;=8544,$B$52&lt;=8544),AND($B$52&gt;=8699,$B$52&lt;=8699),AND($B$52&gt;=8707,$B$52&lt;=8708),AND($B$52&gt;=8719,$B$52&lt;=8719),AND($B$52&gt;=8755,$B$52&lt;=8756),AND($B$52&gt;=8781,$B$52&lt;=8784),AND($B$52&gt;=8790,$B$52&lt;=8793),AND($B$52&gt;=8796,$B$52&lt;=8798),AND($B$52&gt;=8800,$B$52&lt;=8809),AND($B$52&gt;=8823,$B$52&lt;=8823),AND($B$52&gt;=8832,$B$52&lt;=8832),AND($B$52&gt;=8909,$B$52&lt;=8909))</f>
        <v>0</v>
      </c>
      <c r="F8" s="3134" t="b">
        <f>OR(AND($B$52&gt;=8919,$B$52&lt;=8919),AND($B$52&gt;=8946,$B$52&lt;=8947),AND($B$52&gt;=8992,$B$52&lt;=8992),AND($B$52&gt;=9000,$B$52&lt;=9040),AND($B$52&gt;=9082,$B$52&lt;=9082),AND($B$52&gt;=9125,$B$52&lt;=9125),AND($B$52&gt;=9163,$B$52&lt;=9163),AND($B$52&gt;=9200,$B$52&lt;=9200),AND($B$52&gt;=9781,$B$52&lt;=9782),AND($B$52&gt;=9800,$B$52&lt;=9800),AND($B$52&gt;=9813,$B$52&lt;=9824),AND($B$52&gt;=9826,$B$52&lt;=9835),AND($B$52&gt;=9842,$B$52&lt;=9842),AND($B$52&gt;=9900,$B$52&lt;=9901),AND($B$52&gt;=9911,$B$52&lt;=9914),AND($B$52&gt;=9983,$B$52&lt;=9985))</f>
        <v>0</v>
      </c>
      <c r="G8" s="3134"/>
      <c r="H8" s="3134"/>
      <c r="I8" s="3134"/>
      <c r="J8" s="3141"/>
      <c r="K8" s="2837"/>
      <c r="L8" s="2837"/>
      <c r="M8" s="2837"/>
      <c r="N8" s="2837"/>
      <c r="O8" s="2837"/>
      <c r="P8" s="2837"/>
      <c r="Q8" s="2593"/>
      <c r="T8" s="1972"/>
      <c r="U8" s="2763"/>
      <c r="V8" s="2807"/>
      <c r="W8" s="2269"/>
      <c r="Y8" s="3335"/>
      <c r="Z8" s="3339"/>
      <c r="AA8" s="3334"/>
      <c r="AB8" s="3338"/>
    </row>
    <row r="9" spans="1:29" ht="15.75">
      <c r="A9" s="758" t="s">
        <v>5223</v>
      </c>
      <c r="B9" s="3135" t="b">
        <f>OR(C9:D9)</f>
        <v>0</v>
      </c>
      <c r="C9" s="3134" t="b">
        <f>OR(AND($B$52&gt;=2116,$B$52&lt;=2116),AND($B$52&gt;=2241,$B$52&lt;=2242),AND($B$52&gt;=2255,$B$52&lt;=2255),AND($B$52&gt;=2317,$B$52&lt;=2318),AND($B$52&gt;=2339,$B$52&lt;=2339),AND($B$52&gt;=2367,$B$52&lt;=2367),AND($B$52&gt;=2376,$B$52&lt;=2376),AND($B$52&gt;=2381,$B$52&lt;=2408),AND($B$52&gt;=2524,$B$52&lt;=2526),AND($B$52&gt;=2533,$B$52&lt;=2533),AND($B$52&gt;=2536,$B$52&lt;=2545),AND($B$52&gt;=2723,$B$52&lt;=2723),AND($B$52&gt;=2730,$B$52&lt;=2730),AND($B$52&gt;=2821,$B$52&lt;=2837),AND($B$52&gt;=2851,$B$52&lt;=2881),AND($B$52&gt;=2884,$B$52&lt;=2889),AND($B$52&gt;=2896,$B$52&lt;=2897),AND($B$52&gt;=2899,$B$52&lt;=2943),AND($B$52&gt;=2945,$B$52&lt;=2949),AND($B$52&gt;=3300,$B$52&lt;=3304),AND($B$52&gt;=7051,$B$52&lt;=7052),AND($B$52&gt;=7057,$B$52&lt;=7057),AND($B$52&gt;=7068,$B$52&lt;=7068),AND($B$52&gt;=7100,$B$52&lt;=7122))</f>
        <v>0</v>
      </c>
      <c r="D9" s="3134" t="b">
        <f>OR(AND($B$52&gt;=7140,$B$52&lt;=7140),AND($B$52&gt;=7146,$B$52&lt;=7148),AND($B$52&gt;=7150,$B$52&lt;=7164),AND($B$52&gt;=7171,$B$52&lt;=7181),AND($B$52&gt;=7183,$B$52&lt;=7183),AND($B$52&gt;=7185,$B$52&lt;=7188),AND($B$52&gt;=7195,$B$52&lt;=7228),AND($B$52&gt;=7341,$B$52&lt;=7341),AND($B$52&gt;=7352,$B$52&lt;=7361),AND($B$52&gt;=7700,$B$52&lt;=7701),AND($B$52&gt;=7712,$B$52&lt;=7714),AND($B$52&gt;=7716,$B$52&lt;=7717),AND($B$52&gt;=7722,$B$52&lt;=7722),AND($B$52&gt;=7728,$B$52&lt;=7729),AND($B$52&gt;=7938,$B$52&lt;=7938),AND($B$52&gt;=8196,$B$52&lt;=8196),AND($B$52&gt;=8900,$B$52&lt;=8907),AND($B$52&gt;=8941,$B$52&lt;=8941),AND($B$52&gt;=9071,$B$52&lt;=9071),AND($B$52&gt;=9086,$B$52&lt;=9086),AND($B$52&gt;=9111,$B$52&lt;=9111),AND($B$52&gt;=9171,$B$52&lt;=9173))</f>
        <v>0</v>
      </c>
      <c r="E9" s="3134"/>
      <c r="F9" s="3134"/>
      <c r="G9" s="3134"/>
      <c r="H9" s="3134"/>
      <c r="I9" s="3141"/>
      <c r="J9" s="3141"/>
      <c r="K9" s="2837"/>
      <c r="L9" s="2837"/>
      <c r="M9" s="2837"/>
      <c r="N9" s="2837"/>
      <c r="O9" s="2837"/>
      <c r="P9" s="2837"/>
      <c r="Q9" s="2593"/>
      <c r="T9" s="1972"/>
      <c r="U9" s="2763"/>
      <c r="V9" s="2807"/>
      <c r="W9" s="2269"/>
      <c r="Y9" s="3335"/>
      <c r="Z9" s="3339"/>
      <c r="AA9" s="3334"/>
      <c r="AB9" s="3338"/>
    </row>
    <row r="10" spans="1:29" ht="15.75">
      <c r="A10" s="2774" t="s">
        <v>5224</v>
      </c>
      <c r="B10" s="3135" t="b">
        <f>OR(C10:J10)</f>
        <v>0</v>
      </c>
      <c r="C10" s="3134" t="b">
        <f>OR(AND($B$52&gt;=2065,$B$52&lt;=2066),AND($B$52&gt;=2114,$B$52&lt;=2114),AND($B$52&gt;=2174,$B$52&lt;=2177),AND($B$52&gt;=2214,$B$52&lt;=2216),AND($B$52&gt;=2251,$B$52&lt;=2253),AND($B$52&gt;=2319,$B$52&lt;=2322),AND($B$52&gt;=2345,$B$52&lt;=2345),AND($B$52&gt;=2374,$B$52&lt;=2375),AND($B$52&gt;=2378,$B$52&lt;=2378),AND($B$52&gt;=2423,$B$52&lt;=2423),AND($B$52&gt;=2426,$B$52&lt;=2427),AND($B$52&gt;=2451,$B$52&lt;=2453),AND($B$52&gt;=2459,$B$52&lt;=2459),AND($B$52&gt;=2462,$B$52&lt;=2464),AND($B$52&gt;=2472,$B$52&lt;=2473),AND($B$52&gt;=2476,$B$52&lt;=2485),AND($B$52&gt;=2610,$B$52&lt;=2611),AND($B$52&gt;=2616,$B$52&lt;=2619),AND($B$52&gt;=2640,$B$52&lt;=2640),AND($B$52&gt;=2642,$B$52&lt;=2642),AND($B$52&gt;=2645,$B$52&lt;=2645),AND($B$52&gt;=2648,$B$52&lt;=2648),AND($B$52&gt;=2651,$B$52&lt;=2652),AND($B$52&gt;=2654,$B$52&lt;=2654))</f>
        <v>0</v>
      </c>
      <c r="D10" s="3134" t="b">
        <f>OR(AND($B$52&gt;=2656,$B$52&lt;=2658),AND($B$52&gt;=2669,$B$52&lt;=2669),AND($B$52&gt;=2685,$B$52&lt;=2693),AND($B$52&gt;=2700,$B$52&lt;=2700),AND($B$52&gt;=2712,$B$52&lt;=2712),AND($B$52&gt;=2721,$B$52&lt;=2721),AND($B$52&gt;=2724,$B$52&lt;=2724),AND($B$52&gt;=2735,$B$52&lt;=2735),AND($B$52&gt;=2737,$B$52&lt;=2740),AND($B$52&gt;=2750,$B$52&lt;=2752),AND($B$52&gt;=2760,$B$52&lt;=2765),AND($B$52&gt;=2768,$B$52&lt;=2769),AND($B$52&gt;=2882,$B$52&lt;=2883),AND($B$52&gt;=2898,$B$52&lt;=2898),AND($B$52&gt;=2944,$B$52&lt;=2944),AND($B$52&gt;=3000,$B$52&lt;=3008),AND($B$52&gt;=3016,$B$52&lt;=3016),AND($B$52&gt;=3041,$B$52&lt;=3042),AND($B$52&gt;=3044,$B$52&lt;=3047),AND($B$52&gt;=3100,$B$52&lt;=3123),AND($B$52&gt;=3126,$B$52&lt;=3127),AND($B$52&gt;=3141,$B$52&lt;=3147),AND($B$52&gt;=3458,$B$52&lt;=3458),AND($B$52&gt;=3462,$B$52&lt;=3466))</f>
        <v>0</v>
      </c>
      <c r="E10" s="3134" t="b">
        <f>OR(AND($B$52&gt;=3557,$B$52&lt;=3557),AND($B$52&gt;=3561,$B$52&lt;=3561),AND($B$52&gt;=3600,$B$52&lt;=3621),AND($B$52&gt;=3625,$B$52&lt;=3625),AND($B$52&gt;=3651,$B$52&lt;=3651),AND($B$52&gt;=3661,$B$52&lt;=3662),AND($B$52&gt;=3710,$B$52&lt;=3711),AND($B$52&gt;=3751,$B$52&lt;=3753),AND($B$52&gt;=3770,$B$52&lt;=3770),AND($B$52&gt;=3779,$B$52&lt;=3780),AND($B$52&gt;=3786,$B$52&lt;=3787),AND($B$52&gt;=3792,$B$52&lt;=3792),AND($B$52&gt;=3795,$B$52&lt;=3796),AND($B$52&gt;=3809,$B$52&lt;=3815),AND($B$52&gt;=3923,$B$52&lt;=3923),AND($B$52&gt;=3973,$B$52&lt;=3973),AND($B$52&gt;=4212,$B$52&lt;=4212),AND($B$52&gt;=4241,$B$52&lt;=4241),AND($B$52&gt;=4251,$B$52&lt;=4251),AND($B$52&gt;=4271,$B$52&lt;=4271),AND($B$52&gt;=4338,$B$52&lt;=4338),AND($B$52&gt;=4372,$B$52&lt;=4372),AND($B$52&gt;=4484,$B$52&lt;=4485),AND($B$52&gt;=4487,$B$52&lt;=4487))</f>
        <v>0</v>
      </c>
      <c r="F10" s="3134" t="b">
        <f>OR(AND($B$52&gt;=4491,$B$52&lt;=4494),AND($B$52&gt;=4496,$B$52&lt;=4517),AND($B$52&gt;=4524,$B$52&lt;=4531),AND($B$52&gt;=4537,$B$52&lt;=4537),AND($B$52&gt;=4600,$B$52&lt;=4600),AND($B$52&gt;=4700,$B$52&lt;=4702),AND($B$52&gt;=5000,$B$52&lt;=5009),AND($B$52&gt;=5083,$B$52&lt;=5084),AND($B$52&gt;=5093,$B$52&lt;=5094),AND($B$52&gt;=5243,$B$52&lt;=5244),AND($B$52&gt;=5322,$B$52&lt;=5323),AND($B$52&gt;=5331,$B$52&lt;=5331),AND($B$52&gt;=5349,$B$52&lt;=5362),AND($B$52&gt;=5420,$B$52&lt;=5421),AND($B$52&gt;=5440,$B$52&lt;=5452),AND($B$52&gt;=5461,$B$52&lt;=5461),AND($B$52&gt;=5463,$B$52&lt;=5473),AND($B$52&gt;=5476,$B$52&lt;=5476),AND($B$52&gt;=5703,$B$52&lt;=5703),AND($B$52&gt;=5949,$B$52&lt;=5949),AND($B$52&gt;=6032,$B$52&lt;=6032),AND($B$52&gt;=6060,$B$52&lt;=6064),AND($B$52&gt;=6090,$B$52&lt;=6096),AND($B$52&gt;=6098,$B$52&lt;=6098))</f>
        <v>0</v>
      </c>
      <c r="G10" s="3134" t="b">
        <f>OR(AND($B$52&gt;=6111,$B$52&lt;=6111),AND($B$52&gt;=6346,$B$52&lt;=6346),AND($B$52&gt;=6424,$B$52&lt;=6425),AND($B$52&gt;=6435,$B$52&lt;=6435),AND($B$52&gt;=6512,$B$52&lt;=6512),AND($B$52&gt;=6754,$B$52&lt;=6754),AND($B$52&gt;=6756,$B$52&lt;=6756),AND($B$52&gt;=6758,$B$52&lt;=6758),AND($B$52&gt;=6762,$B$52&lt;=6764),AND($B$52&gt;=6766,$B$52&lt;=6766),AND($B$52&gt;=6782,$B$52&lt;=6782),AND($B$52&gt;=6787,$B$52&lt;=6787),AND($B$52&gt;=6792,$B$52&lt;=6793),AND($B$52&gt;=6795,$B$52&lt;=6795),AND($B$52&gt;=6913,$B$52&lt;=6917),AND($B$52&gt;=7020,$B$52&lt;=7020),AND($B$52&gt;=7276,$B$52&lt;=7277),AND($B$52&gt;=7319,$B$52&lt;=7319),AND($B$52&gt;=8042,$B$52&lt;=8042),AND($B$52&gt;=8055,$B$52&lt;=8055),AND($B$52&gt;=8060,$B$52&lt;=8061),AND($B$52&gt;=8071,$B$52&lt;=8071),AND($B$52&gt;=8085,$B$52&lt;=8085),AND($B$52&gt;=8087,$B$52&lt;=8087))</f>
        <v>0</v>
      </c>
      <c r="H10" s="3134" t="b">
        <f>OR(AND($B$52&gt;=8089,$B$52&lt;=8089),AND($B$52&gt;=8095,$B$52&lt;=8096),AND($B$52&gt;=8105,$B$52&lt;=8109),AND($B$52&gt;=8161,$B$52&lt;=8195),AND($B$52&gt;=8221,$B$52&lt;=8221),AND($B$52&gt;=8223,$B$52&lt;=8223),AND($B$52&gt;=8226,$B$52&lt;=8229),AND($B$52&gt;=8258,$B$52&lt;=8261),AND($B$52&gt;=8264,$B$52&lt;=8264),AND($B$52&gt;=8311,$B$52&lt;=8318),AND($B$52&gt;=8330,$B$52&lt;=8409),AND($B$52&gt;=8413,$B$52&lt;=8442),AND($B$52&gt;=8444,$B$52&lt;=8468),AND($B$52&gt;=8471,$B$52&lt;=8483),AND($B$52&gt;=8491,$B$52&lt;=8491),AND($B$52&gt;=8493,$B$52&lt;=8493),AND($B$52&gt;=8518,$B$52&lt;=8518),AND($B$52&gt;=8523,$B$52&lt;=8533),AND($B$52&gt;=8543,$B$52&lt;=8543),AND($B$52&gt;=8553,$B$52&lt;=8555),AND($B$52&gt;=8582,$B$52&lt;=8582),AND($B$52&gt;=8600,$B$52&lt;=8601),AND($B$52&gt;=8611,$B$52&lt;=8611),AND($B$52&gt;=8638,$B$52&lt;=8638))</f>
        <v>0</v>
      </c>
      <c r="I10" s="3134" t="b">
        <f>OR(AND($B$52&gt;=8741,$B$52&lt;=8752),AND($B$52&gt;=8754,$B$52&lt;=8754),AND($B$52&gt;=8761,$B$52&lt;=8774),AND($B$52&gt;=8785,$B$52&lt;=8788),AND($B$52&gt;=8795,$B$52&lt;=8795),AND($B$52&gt;=8799,$B$52&lt;=8799),AND($B$52&gt;=8825,$B$52&lt;=8825),AND($B$52&gt;=8834,$B$52&lt;=8835),AND($B$52&gt;=8855,$B$52&lt;=8857),AND($B$52&gt;=8862,$B$52&lt;=8879),AND($B$52&gt;=8884,$B$52&lt;=8897),AND($B$52&gt;=8911,$B$52&lt;=8918),AND($B$52&gt;=8921,$B$52&lt;=8921),AND($B$52&gt;=8923,$B$52&lt;=8924),AND($B$52&gt;=8929,$B$52&lt;=8936),AND($B$52&gt;=8943,$B$52&lt;=8943),AND($B$52&gt;=8945,$B$52&lt;=8945),AND($B$52&gt;=8948,$B$52&lt;=8966),AND($B$52&gt;=8971,$B$52&lt;=8971),AND($B$52&gt;=8977,$B$52&lt;=8981),AND($B$52&gt;=8984,$B$52&lt;=8985),AND($B$52&gt;=8989,$B$52&lt;=8991),AND($B$52&gt;=8994,$B$52&lt;=8994),AND($B$52&gt;=9061,$B$52&lt;=9063))</f>
        <v>0</v>
      </c>
      <c r="J10" s="3134" t="b">
        <f>OR(AND($B$52&gt;=9072,$B$52&lt;=9073),AND($B$52&gt;=9081,$B$52&lt;=9081),AND($B$52&gt;=9083,$B$52&lt;=9084),AND($B$52&gt;=9088,$B$52&lt;=9093),AND($B$52&gt;=9098,$B$52&lt;=9098),AND($B$52&gt;=9100,$B$52&lt;=9100),AND($B$52&gt;=9112,$B$52&lt;=9124),AND($B$52&gt;=9126,$B$52&lt;=9134),AND($B$52&gt;=9141,$B$52&lt;=9142),AND($B$52&gt;=9145,$B$52&lt;=9162),AND($B$52&gt;=9164,$B$52&lt;=9169),AND($B$52&gt;=9174,$B$52&lt;=9182),AND($B$52&gt;=9184,$B$52&lt;=9184),AND($B$52&gt;=9211,$B$52&lt;=9235),AND($B$52&gt;=9243,$B$52&lt;=9327),AND($B$52&gt;=9345,$B$52&lt;=9346),AND($B$52&gt;=9545,$B$52&lt;=9549),AND($B$52&gt;=9676,$B$52&lt;=9676),AND($B$52&gt;=9684,$B$52&lt;=9685),AND($B$52&gt;=9764,$B$52&lt;=9766),AND($B$52&gt;=9776,$B$52&lt;=9777),AND($B$52&gt;=9811,$B$52&lt;=9812),AND($B$52&gt;=9825,$B$52&lt;=9825),AND($B$52&gt;=9836,$B$52&lt;=9841))</f>
        <v>0</v>
      </c>
      <c r="K10" s="2831"/>
      <c r="L10" s="2831"/>
      <c r="M10" s="2831"/>
      <c r="N10" s="2831"/>
      <c r="O10" s="2831"/>
      <c r="P10" s="2831"/>
      <c r="Q10" s="2593"/>
      <c r="T10" s="1972"/>
      <c r="U10" s="2763"/>
      <c r="V10" s="2807"/>
      <c r="W10" s="2269"/>
      <c r="Y10" s="3335"/>
      <c r="Z10" s="3339"/>
      <c r="AA10" s="3334"/>
      <c r="AB10" s="3338"/>
    </row>
    <row r="11" spans="1:29" ht="15.75">
      <c r="A11" s="758" t="s">
        <v>5225</v>
      </c>
      <c r="B11" s="3136" t="b">
        <f>OR(C11:I11)</f>
        <v>0</v>
      </c>
      <c r="C11" s="3134" t="b">
        <f>OR(AND($B$52&gt;=2067,$B$52&lt;=2067),AND($B$52&gt;=2309,$B$52&lt;=2309),AND($B$52&gt;=2421,$B$52&lt;=2421),AND($B$52&gt;=2428,$B$52&lt;=2431),AND($B$52&gt;=2433,$B$52&lt;=2433),AND($B$52&gt;=2454,$B$52&lt;=2454),AND($B$52&gt;=2458,$B$52&lt;=2458),AND($B$52&gt;=2465,$B$52&lt;=2471),AND($B$52&gt;=2475,$B$52&lt;=2475),AND($B$52&gt;=2490,$B$52&lt;=2490),AND($B$52&gt;=2649,$B$52&lt;=2649),AND($B$52&gt;=2659,$B$52&lt;=2668),AND($B$52&gt;=2671,$B$52&lt;=2678),AND($B$52&gt;=2694,$B$52&lt;=2699),AND($B$52&gt;=2701,$B$52&lt;=2711),AND($B$52&gt;=2713,$B$52&lt;=2713),AND($B$52&gt;=2736,$B$52&lt;=2736),AND($B$52&gt;=2745,$B$52&lt;=2747),AND($B$52&gt;=2755,$B$52&lt;=2755),AND($B$52&gt;=2766,$B$52&lt;=2767),AND($B$52&gt;=3009,$B$52&lt;=3011),AND($B$52&gt;=3013,$B$52&lt;=3015),AND($B$52&gt;=3021,$B$52&lt;=3036),AND($B$52&gt;=3051,$B$52&lt;=3082))</f>
        <v>0</v>
      </c>
      <c r="D11" s="3134" t="b">
        <f>OR(AND($B$52&gt;=3124,$B$52&lt;=3125),AND($B$52&gt;=3128,$B$52&lt;=3138),AND($B$52&gt;=3151,$B$52&lt;=3283),AND($B$52&gt;=3291,$B$52&lt;=3296),AND($B$52&gt;=3321,$B$52&lt;=3337),AND($B$52&gt;=3343,$B$52&lt;=3349),AND($B$52&gt;=3351,$B$52&lt;=3353),AND($B$52&gt;=3357,$B$52&lt;=3357),AND($B$52&gt;=3377,$B$52&lt;=3377),AND($B$52&gt;=3379,$B$52&lt;=3381),AND($B$52&gt;=3384,$B$52&lt;=3384),AND($B$52&gt;=3394,$B$52&lt;=3399),AND($B$52&gt;=4231,$B$52&lt;=4235),AND($B$52&gt;=4244,$B$52&lt;=4245),AND($B$52&gt;=4267,$B$52&lt;=4267),AND($B$52&gt;=4300,$B$52&lt;=4337),AND($B$52&gt;=4341,$B$52&lt;=4371),AND($B$52&gt;=4373,$B$52&lt;=4376),AND($B$52&gt;=4434,$B$52&lt;=4434),AND($B$52&gt;=4440,$B$52&lt;=4450),AND($B$52&gt;=4455,$B$52&lt;=4475),AND($B$52&gt;=4482,$B$52&lt;=4483),AND($B$52&gt;=4486,$B$52&lt;=4486),AND($B$52&gt;=4495,$B$52&lt;=4495))</f>
        <v>0</v>
      </c>
      <c r="E11" s="3134" t="b">
        <f>OR(AND($B$52&gt;=4521,$B$52&lt;=4522),AND($B$52&gt;=4532,$B$52&lt;=4536),AND($B$52&gt;=4541,$B$52&lt;=4547),AND($B$52&gt;=4552,$B$52&lt;=4567),AND($B$52&gt;=4611,$B$52&lt;=4646),AND($B$52&gt;=4721,$B$52&lt;=4752),AND($B$52&gt;=4755,$B$52&lt;=4945),AND($B$52&gt;=4961,$B$52&lt;=4963),AND($B$52&gt;=4971,$B$52&lt;=4974),AND($B$52&gt;=4977,$B$52&lt;=4977),AND($B$52&gt;=5091,$B$52&lt;=5091),AND($B$52&gt;=5300,$B$52&lt;=5308),AND($B$52&gt;=5500,$B$52&lt;=5527),AND($B$52&gt;=5537,$B$52&lt;=5561),AND($B$52&gt;=5621,$B$52&lt;=5622),AND($B$52&gt;=5624,$B$52&lt;=5624),AND($B$52&gt;=5641,$B$52&lt;=5650),AND($B$52&gt;=5662,$B$52&lt;=5668),AND($B$52&gt;=5673,$B$52&lt;=5674),AND($B$52&gt;=5700,$B$52&lt;=5702),AND($B$52&gt;=5711,$B$52&lt;=5711),AND($B$52&gt;=5720,$B$52&lt;=5742),AND($B$52&gt;=5747,$B$52&lt;=5747),AND($B$52&gt;=5752,$B$52&lt;=5820))</f>
        <v>0</v>
      </c>
      <c r="F11" s="3134" t="b">
        <f>OR(AND($B$52&gt;=5900,$B$52&lt;=5905),AND($B$52&gt;=5919,$B$52&lt;=5948),AND($B$52&gt;=6034,$B$52&lt;=6035),AND($B$52&gt;=6045,$B$52&lt;=6045),AND($B$52&gt;=6077,$B$52&lt;=6078),AND($B$52&gt;=6100,$B$52&lt;=6101),AND($B$52&gt;=6200,$B$52&lt;=6201),AND($B$52&gt;=6301,$B$52&lt;=6301),AND($B$52&gt;=6329,$B$52&lt;=6329),AND($B$52&gt;=6800,$B$52&lt;=6805),AND($B$52&gt;=6808,$B$52&lt;=6808),AND($B$52&gt;=7011,$B$52&lt;=7011),AND($B$52&gt;=7025,$B$52&lt;=7039),AND($B$52&gt;=7042,$B$52&lt;=7047),AND($B$52&gt;=7054,$B$52&lt;=7056),AND($B$52&gt;=7061,$B$52&lt;=7067),AND($B$52&gt;=7071,$B$52&lt;=7099),AND($B$52&gt;=7130,$B$52&lt;=7136),AND($B$52&gt;=7142,$B$52&lt;=7145),AND($B$52&gt;=7149,$B$52&lt;=7149),AND($B$52&gt;=7191,$B$52&lt;=7194),AND($B$52&gt;=7281,$B$52&lt;=7286),AND($B$52&gt;=7456,$B$52&lt;=7456),AND($B$52&gt;=7500,$B$52&lt;=7511))</f>
        <v>0</v>
      </c>
      <c r="G11" s="3134" t="b">
        <f>OR(AND($B$52&gt;=7513,$B$52&lt;=7517),AND($B$52&gt;=7553,$B$52&lt;=7553),AND($B$52&gt;=7563,$B$52&lt;=7563),AND($B$52&gt;=7585,$B$52&lt;=7589),AND($B$52&gt;=7715,$B$52&lt;=7715),AND($B$52&gt;=8041,$B$52&lt;=8041),AND($B$52&gt;=8043,$B$52&lt;=8043),AND($B$52&gt;=8053,$B$52&lt;=8053),AND($B$52&gt;=8075,$B$52&lt;=8075),AND($B$52&gt;=8081,$B$52&lt;=8081),AND($B$52&gt;=8084,$B$52&lt;=8084),AND($B$52&gt;=8092,$B$52&lt;=8093),AND($B$52&gt;=8113,$B$52&lt;=8113),AND($B$52&gt;=8123,$B$52&lt;=8123),AND($B$52&gt;=8125,$B$52&lt;=8125),AND($B$52&gt;=8127,$B$52&lt;=8128),AND($B$52&gt;=8142,$B$52&lt;=8142),AND($B$52&gt;=8151,$B$52&lt;=8152),AND($B$52&gt;=8154,$B$52&lt;=8155),AND($B$52&gt;=8225,$B$52&lt;=8225),AND($B$52&gt;=8230,$B$52&lt;=8232),AND($B$52&gt;=8236,$B$52&lt;=8257),AND($B$52&gt;=8262,$B$52&lt;=8263))</f>
        <v>0</v>
      </c>
      <c r="H11" s="3134" t="b">
        <f>OR(AND($B$52&gt;=8265,$B$52&lt;=8308),AND($B$52&gt;=8319,$B$52&lt;=8321),AND($B$52&gt;=8443,$B$52&lt;=8443),AND($B$52&gt;=8602,$B$52&lt;=8609),AND($B$52&gt;=8612,$B$52&lt;=8637),AND($B$52&gt;=8640,$B$52&lt;=8658),AND($B$52&gt;=8666,$B$52&lt;=8698),AND($B$52&gt;=8700,$B$52&lt;=8706),AND($B$52&gt;=8709,$B$52&lt;=8718),AND($B$52&gt;=8721,$B$52&lt;=8724),AND($B$52&gt;=8726,$B$52&lt;=8739),AND($B$52&gt;=8753,$B$52&lt;=8753),AND($B$52&gt;=8789,$B$52&lt;=8789),AND($B$52&gt;=8840,$B$52&lt;=8854),AND($B$52&gt;=8858,$B$52&lt;=8858),AND($B$52&gt;=8922,$B$52&lt;=8922),AND($B$52&gt;=8925,$B$52&lt;=8928),AND($B$52&gt;=8942,$B$52&lt;=8942),AND($B$52&gt;=8944,$B$52&lt;=8944))</f>
        <v>0</v>
      </c>
      <c r="I11" s="3134" t="b">
        <f>OR(AND($B$52&gt;=8983,$B$52&lt;=8983),AND($B$52&gt;=9074,$B$52&lt;=9074),AND($B$52&gt;=9085,$B$52&lt;=9085),AND($B$52&gt;=9094,$B$52&lt;=9097),AND($B$52&gt;=9099,$B$52&lt;=9099),AND($B$52&gt;=9135,$B$52&lt;=9136),AND($B$52&gt;=9143,$B$52&lt;=9144),AND($B$52&gt;=9183,$B$52&lt;=9183))</f>
        <v>0</v>
      </c>
      <c r="J11" s="3134"/>
      <c r="K11" s="2831"/>
      <c r="L11" s="2833"/>
      <c r="M11" s="2836"/>
      <c r="N11" s="2836"/>
      <c r="O11" s="2836"/>
      <c r="P11" s="2836"/>
      <c r="Q11" s="2593"/>
      <c r="T11" s="111" t="s">
        <v>3826</v>
      </c>
      <c r="U11" s="2763"/>
      <c r="V11" s="2807"/>
      <c r="W11" s="2269"/>
      <c r="Y11" s="3335"/>
      <c r="Z11" s="3339"/>
      <c r="AA11" s="3334"/>
      <c r="AB11" s="3338"/>
    </row>
    <row r="12" spans="1:29" ht="39.75" thickBot="1">
      <c r="A12" s="758" t="s">
        <v>5226</v>
      </c>
      <c r="B12" s="3134" t="b">
        <f>OR(C12:F12)</f>
        <v>0</v>
      </c>
      <c r="C12" s="3134" t="b">
        <f>OR(AND($B$52&gt;=2422,$B$52&lt;=2422),AND($B$52&gt;=2424,$B$52&lt;=2425),AND($B$52&gt;=2432,$B$52&lt;=2432),AND($B$52&gt;=2434,$B$52&lt;=2435),AND($B$52&gt;=2455,$B$52&lt;=2457),AND($B$52&gt;=3338,$B$52&lt;=3342),AND($B$52&gt;=3400,$B$52&lt;=3424),AND($B$52&gt;=3426,$B$52&lt;=3450),AND($B$52&gt;=3459,$B$52&lt;=3461),AND($B$52&gt;=3467,$B$52&lt;=3467),AND($B$52&gt;=3542,$B$52&lt;=3542),AND($B$52&gt;=3551,$B$52&lt;=3556),AND($B$52&gt;=3559,$B$52&lt;=3559),AND($B$52&gt;=3562,$B$52&lt;=3599),AND($B$52&gt;=3622,$B$52&lt;=3623),AND($B$52&gt;=3626,$B$52&lt;=3648),AND($B$52&gt;=3652,$B$52&lt;=3659),AND($B$52&gt;=3663,$B$52&lt;=3704),AND($B$52&gt;=3712,$B$52&lt;=3744),AND($B$52&gt;=3754,$B$52&lt;=3769),AND($B$52&gt;=3773,$B$52&lt;=3778),AND($B$52&gt;=3783,$B$52&lt;=3783),AND($B$52&gt;=3791,$B$52&lt;=3791),AND($B$52&gt;=3793,$B$52&lt;=3794))</f>
        <v>0</v>
      </c>
      <c r="D12" s="3134" t="b">
        <f>OR(AND($B$52&gt;=3800,$B$52&lt;=3800),AND($B$52&gt;=3816,$B$52&lt;=3922),AND($B$52&gt;=3924,$B$52&lt;=3972),AND($B$52&gt;=3974,$B$52&lt;=3999),AND($B$52&gt;=4060,$B$52&lt;=4060),AND($B$52&gt;=4064,$B$52&lt;=4064),AND($B$52&gt;=4066,$B$52&lt;=4067),AND($B$52&gt;=4071,$B$52&lt;=4071),AND($B$52&gt;=4080,$B$52&lt;=4085),AND($B$52&gt;=4087,$B$52&lt;=4145),AND($B$52&gt;=4150,$B$52&lt;=4211),AND($B$52&gt;=4243,$B$52&lt;=4243),AND($B$52&gt;=4252,$B$52&lt;=4266),AND($B$52&gt;=4272,$B$52&lt;=4288),AND($B$52&gt;=4753,$B$52&lt;=4754),AND($B$52&gt;=4946,$B$52&lt;=4956),AND($B$52&gt;=4964,$B$52&lt;=4969),AND($B$52&gt;=4975,$B$52&lt;=4976),AND($B$52&gt;=5051,$B$52&lt;=5082),AND($B$52&gt;=5085,$B$52&lt;=5085),AND($B$52&gt;=5092,$B$52&lt;=5092),AND($B$52&gt;=5095,$B$52&lt;=5241),AND($B$52&gt;=5309,$B$52&lt;=5309),AND($B$52&gt;=5321,$B$52&lt;=5321))</f>
        <v>0</v>
      </c>
      <c r="E12" s="3134" t="b">
        <f>OR(AND($B$52&gt;=5324,$B$52&lt;=5324),AND($B$52&gt;=5340,$B$52&lt;=5340),AND($B$52&gt;=5363,$B$52&lt;=5412),AND($B$52&gt;=5474,$B$52&lt;=5475),AND($B$52&gt;=5908,$B$52&lt;=5909),AND($B$52&gt;=6031,$B$52&lt;=6031),AND($B$52&gt;=6033,$B$52&lt;=6033),AND($B$52&gt;=6041,$B$52&lt;=6043),AND($B$52&gt;=6050,$B$52&lt;=6055),AND($B$52&gt;=6065,$B$52&lt;=6076),AND($B$52&gt;=6080,$B$52&lt;=6088),AND($B$52&gt;=6097,$B$52&lt;=6097),AND($B$52&gt;=6112,$B$52&lt;=6136),AND($B$52&gt;=6211,$B$52&lt;=6300),AND($B$52&gt;=6311,$B$52&lt;=6328),AND($B$52&gt;=6331,$B$52&lt;=6345),AND($B$52&gt;=6347,$B$52&lt;=6423),AND($B$52&gt;=6430,$B$52&lt;=6430),AND($B$52&gt;=6440,$B$52&lt;=6511),AND($B$52&gt;=6513,$B$52&lt;=6648),AND($B$52&gt;=6755,$B$52&lt;=6755),AND($B$52&gt;=6760,$B$52&lt;=6760),AND($B$52&gt;=6765,$B$52&lt;=6765),AND($B$52&gt;=6767,$B$52&lt;=6769))</f>
        <v>0</v>
      </c>
      <c r="F12" s="3134" t="b">
        <f>OR(AND($B$52&gt;=6772,$B$52&lt;=6775),AND($B$52&gt;=6783,$B$52&lt;=6786),AND($B$52&gt;=6794,$B$52&lt;=6794),AND($B$52&gt;=6806,$B$52&lt;=6806),AND($B$52&gt;=6821,$B$52&lt;=6912),AND($B$52&gt;=6921,$B$52&lt;=7003),AND($B$52&gt;=7012,$B$52&lt;=7019),AND($B$52&gt;=7041,$B$52&lt;=7041),AND($B$52&gt;=8044,$B$52&lt;=8052),AND($B$52&gt;=8054,$B$52&lt;=8054),AND($B$52&gt;=8056,$B$52&lt;=8056),AND($B$52&gt;=8065,$B$52&lt;=8066),AND($B$52&gt;=8072,$B$52&lt;=8074),AND($B$52&gt;=8080,$B$52&lt;=8080),AND($B$52&gt;=8082,$B$52&lt;=8083),AND($B$52&gt;=8086,$B$52&lt;=8086),AND($B$52&gt;=8088,$B$52&lt;=8088),AND($B$52&gt;=8097,$B$52&lt;=8097),AND($B$52&gt;=8111,$B$52&lt;=8112),AND($B$52&gt;=8121,$B$52&lt;=8122),AND($B$52&gt;=8124,$B$52&lt;=8124),AND($B$52&gt;=8126,$B$52&lt;=8126),AND($B$52&gt;=8130,$B$52&lt;=8141),AND($B$52&gt;=8143,$B$52&lt;=8146),AND($B$52&gt;=8156,$B$52&lt;=8157),AND($B$52&gt;=8233,$B$52&lt;=8233),AND($B$52&gt;=8660,$B$52&lt;=8665))</f>
        <v>0</v>
      </c>
      <c r="G12" s="3134"/>
      <c r="H12" s="3142"/>
      <c r="I12" s="3142"/>
      <c r="J12" s="3142"/>
      <c r="K12" s="2838"/>
      <c r="L12" s="2838"/>
      <c r="M12" s="2838"/>
      <c r="N12" s="2838"/>
      <c r="O12" s="2838"/>
      <c r="P12" s="2838"/>
      <c r="Q12" s="2594"/>
      <c r="T12" s="110" t="s">
        <v>3320</v>
      </c>
      <c r="U12" s="3156">
        <v>61375</v>
      </c>
      <c r="V12" s="2807">
        <v>1</v>
      </c>
      <c r="W12" s="2269">
        <f>$U12*$V12</f>
        <v>61375</v>
      </c>
      <c r="X12">
        <f>NDK!B10</f>
        <v>0</v>
      </c>
      <c r="Y12" s="3335"/>
      <c r="Z12" s="3339"/>
      <c r="AA12" s="3334">
        <f>$W12*$C$58</f>
        <v>76964.25</v>
      </c>
      <c r="AB12" s="3344">
        <f>MAX($Y12,$AA12)</f>
        <v>76964.25</v>
      </c>
      <c r="AC12" s="3345">
        <f>$X12*$AB12</f>
        <v>0</v>
      </c>
    </row>
    <row r="13" spans="1:29" ht="16.5" thickTop="1">
      <c r="A13" s="1513" t="s">
        <v>1510</v>
      </c>
      <c r="B13" s="757"/>
      <c r="C13" s="2839" t="s">
        <v>1511</v>
      </c>
      <c r="D13" s="2840"/>
      <c r="E13" s="2840"/>
      <c r="F13" s="2840">
        <f>IF($J$3=$D$17,B3*B14+B4*B15+B5*B16+B6*B17+B7*B18+B8*B19+B9*B20+B10*B21+B11*B22+B12*B23,$B$15)</f>
        <v>1</v>
      </c>
      <c r="G13" s="2590"/>
      <c r="T13" s="1972" t="s">
        <v>1493</v>
      </c>
      <c r="U13" s="3156"/>
      <c r="V13" s="2807"/>
      <c r="W13" s="2269"/>
      <c r="Y13" s="3335"/>
      <c r="Z13" s="3339"/>
      <c r="AA13" s="3334"/>
      <c r="AB13" s="3338"/>
    </row>
    <row r="14" spans="1:29" ht="15.75">
      <c r="A14" s="1511" t="s">
        <v>3049</v>
      </c>
      <c r="B14" s="2775">
        <v>1</v>
      </c>
      <c r="C14" s="758" t="s">
        <v>1512</v>
      </c>
      <c r="D14" s="72"/>
      <c r="E14" s="72"/>
      <c r="F14" s="72" t="b">
        <f>KÉRDÉSEK!$C$126</f>
        <v>0</v>
      </c>
      <c r="G14" s="642">
        <v>1</v>
      </c>
      <c r="T14" s="111" t="s">
        <v>160</v>
      </c>
      <c r="U14" s="3156"/>
      <c r="V14" s="2807"/>
      <c r="W14" s="2269"/>
      <c r="Y14" s="3335"/>
      <c r="Z14" s="3339"/>
      <c r="AA14" s="3334"/>
      <c r="AB14" s="3338"/>
    </row>
    <row r="15" spans="1:29" ht="15.75">
      <c r="A15" s="758" t="s">
        <v>3055</v>
      </c>
      <c r="B15" s="2775">
        <v>1</v>
      </c>
      <c r="C15" s="758" t="s">
        <v>1513</v>
      </c>
      <c r="D15" s="72"/>
      <c r="E15" s="72"/>
      <c r="F15" s="72" t="b">
        <f>IF(AND($F$1&gt;=100,$F$1&lt;=399),TRUE,FALSE)</f>
        <v>0</v>
      </c>
      <c r="G15" s="642">
        <v>0.6</v>
      </c>
      <c r="H15" s="1838" t="s">
        <v>3237</v>
      </c>
      <c r="I15" s="1838"/>
      <c r="J15" s="1838"/>
      <c r="K15" s="1838" t="str">
        <f>KÉRDÉSEK!C112</f>
        <v>NEM</v>
      </c>
      <c r="T15" s="114" t="s">
        <v>2453</v>
      </c>
      <c r="U15" s="3156">
        <v>68250</v>
      </c>
      <c r="V15" s="2807">
        <v>1</v>
      </c>
      <c r="W15" s="2269">
        <f>$U15*$V15</f>
        <v>68250</v>
      </c>
      <c r="X15">
        <f>NDK!B13</f>
        <v>0</v>
      </c>
      <c r="Y15" s="3335"/>
      <c r="Z15" s="3339"/>
      <c r="AA15" s="3334">
        <f>$W15*$C$58</f>
        <v>85585.5</v>
      </c>
      <c r="AB15" s="3344">
        <f>MAX($Y15,$AA15)</f>
        <v>85585.5</v>
      </c>
      <c r="AC15" s="3345">
        <f>$X15*$AB15</f>
        <v>0</v>
      </c>
    </row>
    <row r="16" spans="1:29" ht="15.75">
      <c r="A16" s="1511" t="s">
        <v>3058</v>
      </c>
      <c r="B16" s="2775">
        <v>0.85</v>
      </c>
      <c r="C16" s="1516" t="s">
        <v>1515</v>
      </c>
      <c r="D16" s="1517"/>
      <c r="E16" s="1517"/>
      <c r="F16" s="2145">
        <f>IF(K15=E17,1,IF(F15=D17,G15,IF(F14=D17,G14,F13)))</f>
        <v>1</v>
      </c>
      <c r="G16" s="642"/>
      <c r="T16" s="111" t="s">
        <v>161</v>
      </c>
      <c r="U16" s="3156"/>
      <c r="V16" s="2807"/>
      <c r="W16" s="2269"/>
      <c r="Y16" s="3335"/>
      <c r="Z16" s="3339"/>
      <c r="AA16" s="3334"/>
      <c r="AB16" s="3338"/>
    </row>
    <row r="17" spans="1:29" ht="15.75">
      <c r="A17" s="758" t="s">
        <v>3059</v>
      </c>
      <c r="B17" s="2775">
        <v>0.85</v>
      </c>
      <c r="C17" s="758"/>
      <c r="D17" s="72" t="b">
        <v>1</v>
      </c>
      <c r="E17" s="72" t="s">
        <v>4201</v>
      </c>
      <c r="F17" s="72"/>
      <c r="G17" s="642"/>
      <c r="T17" s="111" t="s">
        <v>162</v>
      </c>
      <c r="U17" s="3156"/>
      <c r="V17" s="2807"/>
      <c r="W17" s="2269"/>
      <c r="Y17" s="3335"/>
      <c r="Z17" s="3339"/>
      <c r="AA17" s="3334"/>
      <c r="AB17" s="3338"/>
    </row>
    <row r="18" spans="1:29" ht="15.75">
      <c r="A18" s="1511" t="s">
        <v>3062</v>
      </c>
      <c r="B18" s="2775">
        <v>0.85</v>
      </c>
      <c r="C18" s="758"/>
      <c r="D18" s="72" t="b">
        <v>0</v>
      </c>
      <c r="E18" s="72" t="s">
        <v>4202</v>
      </c>
      <c r="F18" s="72"/>
      <c r="G18" s="642"/>
      <c r="T18" s="114" t="s">
        <v>2454</v>
      </c>
      <c r="U18" s="3156">
        <v>80875</v>
      </c>
      <c r="V18" s="2807">
        <v>1</v>
      </c>
      <c r="W18" s="2269">
        <f>$U18*$V18</f>
        <v>80875</v>
      </c>
      <c r="X18">
        <f>NDK!B16</f>
        <v>0</v>
      </c>
      <c r="Y18" s="3335"/>
      <c r="Z18" s="3339"/>
      <c r="AA18" s="3334">
        <f>$W18*$C$58</f>
        <v>101417.25</v>
      </c>
      <c r="AB18" s="3344">
        <f>MAX($Y18,$AA18)</f>
        <v>101417.25</v>
      </c>
      <c r="AC18" s="3345">
        <f>$X18*$AB18</f>
        <v>0</v>
      </c>
    </row>
    <row r="19" spans="1:29" ht="15.75">
      <c r="A19" s="1511" t="s">
        <v>1099</v>
      </c>
      <c r="B19" s="2776">
        <v>0.85</v>
      </c>
      <c r="C19" s="2770"/>
      <c r="D19" s="2771"/>
      <c r="E19" s="2771"/>
      <c r="F19" s="2771"/>
      <c r="G19" s="2769"/>
      <c r="T19" s="114"/>
      <c r="U19" s="2763"/>
      <c r="V19" s="2807"/>
      <c r="W19" s="2269"/>
      <c r="Y19" s="3335"/>
      <c r="Z19" s="3339"/>
      <c r="AA19" s="3334"/>
      <c r="AB19" s="3338"/>
    </row>
    <row r="20" spans="1:29" ht="15.75">
      <c r="A20" s="1511" t="s">
        <v>5223</v>
      </c>
      <c r="B20" s="2776">
        <v>0.8</v>
      </c>
      <c r="C20" s="2770"/>
      <c r="D20" s="2771"/>
      <c r="E20" s="2771"/>
      <c r="F20" s="2771"/>
      <c r="G20" s="2769"/>
      <c r="T20" s="114"/>
      <c r="U20" s="2763"/>
      <c r="V20" s="2807"/>
      <c r="W20" s="2269"/>
      <c r="Y20" s="3335"/>
      <c r="Z20" s="3339"/>
      <c r="AA20" s="3334"/>
      <c r="AB20" s="3338"/>
    </row>
    <row r="21" spans="1:29" ht="15.75">
      <c r="A21" s="1511" t="s">
        <v>5224</v>
      </c>
      <c r="B21" s="2776">
        <v>0.8</v>
      </c>
      <c r="C21" s="2770"/>
      <c r="D21" s="2771"/>
      <c r="E21" s="2771"/>
      <c r="F21" s="2771"/>
      <c r="G21" s="2769"/>
      <c r="T21" s="114"/>
      <c r="U21" s="2763"/>
      <c r="V21" s="2807"/>
      <c r="W21" s="2269"/>
      <c r="Y21" s="3335"/>
      <c r="Z21" s="3339"/>
      <c r="AA21" s="3334"/>
      <c r="AB21" s="3338"/>
    </row>
    <row r="22" spans="1:29" ht="15.75">
      <c r="A22" s="1511" t="s">
        <v>5225</v>
      </c>
      <c r="B22" s="2776">
        <v>0.8</v>
      </c>
      <c r="C22" s="2770"/>
      <c r="D22" s="2771"/>
      <c r="E22" s="2771"/>
      <c r="F22" s="2771"/>
      <c r="G22" s="2769"/>
      <c r="T22" s="114"/>
      <c r="U22" s="2763"/>
      <c r="V22" s="2807"/>
      <c r="W22" s="2269"/>
      <c r="Y22" s="3335"/>
      <c r="Z22" s="3339"/>
      <c r="AA22" s="3334"/>
      <c r="AB22" s="3338"/>
    </row>
    <row r="23" spans="1:29" ht="16.5" thickBot="1">
      <c r="A23" s="1511" t="s">
        <v>5226</v>
      </c>
      <c r="B23" s="2777">
        <v>0.8</v>
      </c>
      <c r="C23" s="760"/>
      <c r="D23" s="643"/>
      <c r="E23" s="643"/>
      <c r="F23" s="643"/>
      <c r="G23" s="1512"/>
      <c r="T23" s="114" t="s">
        <v>150</v>
      </c>
      <c r="U23" s="2763"/>
      <c r="V23" s="2807"/>
      <c r="W23" s="2269"/>
      <c r="Y23" s="3335"/>
      <c r="Z23" s="3339"/>
      <c r="AA23" s="3334"/>
      <c r="AB23" s="3338"/>
    </row>
    <row r="24" spans="1:29" ht="17.25" thickTop="1" thickBot="1">
      <c r="T24" s="114" t="s">
        <v>2438</v>
      </c>
      <c r="U24" s="3156">
        <v>93360</v>
      </c>
      <c r="V24" s="2807">
        <v>1</v>
      </c>
      <c r="W24" s="2269">
        <f>$U24*$V24</f>
        <v>93360</v>
      </c>
      <c r="X24">
        <f>NDK!B18</f>
        <v>0</v>
      </c>
      <c r="Y24" s="3335"/>
      <c r="Z24" s="3340">
        <f>$W24*$F$52</f>
        <v>93360</v>
      </c>
      <c r="AA24" s="3334">
        <f>$Z24*$C$58</f>
        <v>117073.44</v>
      </c>
      <c r="AB24" s="3344">
        <f>MAX($Y24,$AA24)</f>
        <v>117073.44</v>
      </c>
      <c r="AC24" s="3345">
        <f>$X24*$AB24</f>
        <v>0</v>
      </c>
    </row>
    <row r="25" spans="1:29" ht="27" thickTop="1">
      <c r="A25" s="784" t="s">
        <v>3516</v>
      </c>
      <c r="B25" s="785"/>
      <c r="C25" s="785" t="s">
        <v>146</v>
      </c>
      <c r="D25" s="785"/>
      <c r="E25" s="785"/>
      <c r="F25" s="785" t="str">
        <f>KÉRDÉSEK!$I$115</f>
        <v>5-10 DB</v>
      </c>
      <c r="G25" s="785"/>
      <c r="H25" s="757"/>
      <c r="T25" s="491" t="s">
        <v>2439</v>
      </c>
      <c r="U25" s="2763"/>
      <c r="V25" s="2807"/>
      <c r="W25" s="2269"/>
      <c r="Y25" s="3335"/>
      <c r="Z25" s="3339"/>
      <c r="AA25" s="3334"/>
      <c r="AB25" s="3338"/>
    </row>
    <row r="26" spans="1:29" ht="15.75">
      <c r="A26" s="1527" t="s">
        <v>3517</v>
      </c>
      <c r="B26" s="3144">
        <v>1.1499999999999999</v>
      </c>
      <c r="C26" s="72" t="s">
        <v>3519</v>
      </c>
      <c r="D26" s="72"/>
      <c r="E26" s="72"/>
      <c r="F26" s="72">
        <f>IF(F25=A26,B26,IF(F25=A27,B27,IF(F25=A28,B28,IF(F25=A29,B29,B30))))</f>
        <v>1.1499999999999999</v>
      </c>
      <c r="G26" s="72"/>
      <c r="H26" s="642"/>
      <c r="T26" s="492" t="s">
        <v>4937</v>
      </c>
      <c r="U26" s="2763"/>
      <c r="V26" s="2807"/>
      <c r="W26" s="2269"/>
      <c r="Y26" s="3335"/>
      <c r="Z26" s="3339"/>
      <c r="AA26" s="3334"/>
      <c r="AB26" s="3338"/>
    </row>
    <row r="27" spans="1:29" ht="15.75">
      <c r="A27" s="1528" t="s">
        <v>3518</v>
      </c>
      <c r="B27" s="3144">
        <v>1.1499999999999999</v>
      </c>
      <c r="C27" s="1529" t="s">
        <v>3527</v>
      </c>
      <c r="D27" s="72"/>
      <c r="E27" s="72"/>
      <c r="F27" s="72"/>
      <c r="G27" s="72" t="b">
        <f>OR(AND($F$1&gt;=100,$F$1&lt;=399),AND($F$1&gt;=2000,$F$1&lt;=2099),AND($F$1&gt;=2400,$F$1&lt;=2599),AND($F$1&gt;=2900,$F$1&lt;=3099),AND($F$1&gt;=3500,$F$1&lt;=3999),AND($F$1&gt;=4100,$F$1&lt;=4399),AND($F$1&gt;=7100,$F$1&lt;=7299),AND($F$1&gt;=7400,$F$1&lt;=7599),AND($F$1&gt;=8400,$F$1&lt;=8599),AND($F$1&gt;=8700,$F$1&lt;=8899),AND($F$1&gt;=9300,$F$1&lt;=9499),AND($F$1&gt;=9600,$F$1&lt;=9699))</f>
        <v>1</v>
      </c>
      <c r="H27" s="3244">
        <v>1.1000000000000001</v>
      </c>
      <c r="T27" s="114" t="s">
        <v>2456</v>
      </c>
      <c r="U27" s="3156">
        <v>217800</v>
      </c>
      <c r="V27" s="2807">
        <v>1</v>
      </c>
      <c r="W27" s="2269">
        <f>$U27*$V27</f>
        <v>217800</v>
      </c>
      <c r="X27">
        <f>NDK!B21</f>
        <v>0</v>
      </c>
      <c r="Y27" s="3335"/>
      <c r="Z27" s="3340">
        <f>$W27*$F$52</f>
        <v>217800</v>
      </c>
      <c r="AA27" s="3334">
        <f>$Z27*$C$58</f>
        <v>273121.2</v>
      </c>
      <c r="AB27" s="3344">
        <f>MAX($Y27,$AA27)</f>
        <v>273121.2</v>
      </c>
      <c r="AC27" s="3345">
        <f>$X27*$AB27</f>
        <v>0</v>
      </c>
    </row>
    <row r="28" spans="1:29" ht="39">
      <c r="A28" s="1530" t="s">
        <v>202</v>
      </c>
      <c r="B28" s="3144">
        <v>1.25</v>
      </c>
      <c r="C28" s="2134" t="s">
        <v>3528</v>
      </c>
      <c r="D28" s="1531"/>
      <c r="E28" s="1531"/>
      <c r="F28" s="1531"/>
      <c r="G28" s="2134">
        <f>IF(AND(G27=D17,KÉRDÉSEK!J102=KÉRDÉSEK!F106),H27,F26)</f>
        <v>1.1000000000000001</v>
      </c>
      <c r="H28" s="2135"/>
      <c r="T28" s="258" t="s">
        <v>1863</v>
      </c>
      <c r="U28" s="3156">
        <v>-71060</v>
      </c>
      <c r="V28" s="2807">
        <v>1</v>
      </c>
      <c r="W28" s="2269">
        <f>$U28*$V28</f>
        <v>-71060</v>
      </c>
      <c r="X28">
        <f>NDK!B22</f>
        <v>0</v>
      </c>
      <c r="Y28" s="3335"/>
      <c r="Z28" s="3340">
        <f>$W28*$F$52</f>
        <v>-71060</v>
      </c>
      <c r="AA28" s="3334">
        <f>$Z28*$C$58</f>
        <v>-89109.24</v>
      </c>
      <c r="AB28" s="3344">
        <f>MAX($Y28,$AA28)</f>
        <v>-89109.24</v>
      </c>
      <c r="AC28" s="3345">
        <f>$X28*$AB28</f>
        <v>0</v>
      </c>
    </row>
    <row r="29" spans="1:29" ht="15.75">
      <c r="A29" s="1530" t="s">
        <v>203</v>
      </c>
      <c r="B29" s="3144">
        <v>1.3</v>
      </c>
      <c r="C29" s="72"/>
      <c r="D29" s="72"/>
      <c r="E29" s="72"/>
      <c r="F29" s="72"/>
      <c r="G29" s="72"/>
      <c r="H29" s="642"/>
      <c r="T29" s="458" t="s">
        <v>2440</v>
      </c>
      <c r="U29" s="2763"/>
      <c r="V29" s="2807"/>
      <c r="W29" s="2269"/>
      <c r="Y29" s="3335"/>
      <c r="Z29" s="3339"/>
      <c r="AA29" s="3334"/>
      <c r="AB29" s="3338"/>
    </row>
    <row r="30" spans="1:29" ht="16.5" thickBot="1">
      <c r="A30" s="1532" t="s">
        <v>3064</v>
      </c>
      <c r="B30" s="3145">
        <v>1.3</v>
      </c>
      <c r="C30" s="643"/>
      <c r="D30" s="643"/>
      <c r="E30" s="643"/>
      <c r="F30" s="643"/>
      <c r="G30" s="643"/>
      <c r="H30" s="1512"/>
      <c r="T30" s="106" t="s">
        <v>4134</v>
      </c>
      <c r="U30" s="3156">
        <v>1443000</v>
      </c>
      <c r="V30" s="2807">
        <v>1</v>
      </c>
      <c r="W30" s="2269">
        <f>$U30*$V30</f>
        <v>1443000</v>
      </c>
      <c r="X30">
        <f>NDK!B24</f>
        <v>0</v>
      </c>
      <c r="Y30" s="3335">
        <v>2886000</v>
      </c>
      <c r="Z30" s="3340">
        <f>$W30*$F$52</f>
        <v>1443000</v>
      </c>
      <c r="AA30" s="3334">
        <f>$Z30*$C$58</f>
        <v>1809522</v>
      </c>
      <c r="AB30" s="3344">
        <f>MAX($Y30,$AA30)</f>
        <v>2886000</v>
      </c>
      <c r="AC30" s="3345">
        <f>$X30*$AB30</f>
        <v>0</v>
      </c>
    </row>
    <row r="31" spans="1:29" ht="16.5" thickTop="1">
      <c r="T31" s="106" t="s">
        <v>149</v>
      </c>
      <c r="U31" s="2763"/>
      <c r="V31" s="2807"/>
      <c r="W31" s="2269"/>
      <c r="Y31" s="3335"/>
      <c r="Z31" s="3341"/>
      <c r="AA31" s="3334"/>
      <c r="AB31" s="3338"/>
    </row>
    <row r="32" spans="1:29" ht="16.5" thickBot="1">
      <c r="A32" s="2576">
        <v>2021</v>
      </c>
      <c r="T32" s="114" t="s">
        <v>1494</v>
      </c>
      <c r="U32" s="3156">
        <v>6200</v>
      </c>
      <c r="V32" s="2807">
        <v>1</v>
      </c>
      <c r="W32" s="2269">
        <f>$U32*$V32</f>
        <v>6200</v>
      </c>
      <c r="X32">
        <f>NDK!B26</f>
        <v>0</v>
      </c>
      <c r="Y32" s="3335"/>
      <c r="Z32" s="3340">
        <f>$W32*$F$54</f>
        <v>6200</v>
      </c>
      <c r="AA32" s="3334">
        <f>$Z32*$C$58</f>
        <v>7774.8</v>
      </c>
      <c r="AB32" s="3344">
        <f>MAX($Y32,$AA32)</f>
        <v>7774.8</v>
      </c>
      <c r="AC32" s="3345">
        <f>$X32*$AB32</f>
        <v>0</v>
      </c>
    </row>
    <row r="33" spans="1:32" ht="17.25" thickTop="1" thickBot="1">
      <c r="A33" s="1533" t="s">
        <v>3522</v>
      </c>
      <c r="B33" s="1534"/>
      <c r="C33" s="1534"/>
      <c r="D33" s="1534"/>
      <c r="E33" s="1534"/>
      <c r="F33" s="1535"/>
      <c r="H33" t="s">
        <v>1723</v>
      </c>
      <c r="T33" s="114" t="s">
        <v>3072</v>
      </c>
      <c r="U33" s="3156">
        <v>25000</v>
      </c>
      <c r="V33" s="2807">
        <v>1</v>
      </c>
      <c r="W33" s="2269">
        <f>$U33*$V33</f>
        <v>25000</v>
      </c>
      <c r="X33">
        <f>NDK!B27</f>
        <v>0</v>
      </c>
      <c r="Y33" s="3335"/>
      <c r="Z33" s="3340">
        <f>$W33*$F$54</f>
        <v>25000</v>
      </c>
      <c r="AA33" s="3334">
        <f>$Z33*$C$58</f>
        <v>31350</v>
      </c>
      <c r="AB33" s="3344">
        <f>MAX($Y33,$AA33)</f>
        <v>31350</v>
      </c>
      <c r="AC33" s="3345">
        <f>$X33*$AB33</f>
        <v>0</v>
      </c>
    </row>
    <row r="34" spans="1:32" ht="15.75">
      <c r="A34" s="3325">
        <v>0.75</v>
      </c>
      <c r="B34" s="3147" t="b">
        <f>OR(AND($F$1&gt;=8500,$F$1&lt;=8599))</f>
        <v>0</v>
      </c>
      <c r="C34" s="1537" t="s">
        <v>1100</v>
      </c>
      <c r="D34" s="1537"/>
      <c r="E34" s="1537"/>
      <c r="F34" s="1538"/>
      <c r="H34">
        <f>IF(AND(KÉRDÉSEK!C105=KÉRDÉSEK!F106,KÉRDÉSEK!C102&lt;31,KÉRDÉSEK!C115=KÉRDÉSEK!F105),0.95,1)</f>
        <v>1</v>
      </c>
      <c r="T34" s="257" t="s">
        <v>1862</v>
      </c>
      <c r="U34" s="2763">
        <v>-13300</v>
      </c>
      <c r="V34" s="2807">
        <v>1</v>
      </c>
      <c r="W34" s="2269">
        <f>$U34*$V34</f>
        <v>-13300</v>
      </c>
      <c r="X34" s="2425">
        <f>NDK!B28</f>
        <v>0</v>
      </c>
      <c r="Y34" s="3335"/>
      <c r="Z34" s="3340">
        <f>$W34*$F$54</f>
        <v>-13300</v>
      </c>
      <c r="AA34" s="3334">
        <f>$Z34*$C$58</f>
        <v>-16678.2</v>
      </c>
      <c r="AB34" s="3344">
        <f>MAX($Y34,$AA34)</f>
        <v>-16678.2</v>
      </c>
      <c r="AC34" s="3345">
        <f>$X34*$AB34</f>
        <v>0</v>
      </c>
    </row>
    <row r="35" spans="1:32" ht="15.75">
      <c r="A35" s="3148">
        <v>0.8</v>
      </c>
      <c r="B35" s="3149" t="b">
        <f>OR(AND($F$1&gt;=2500,$F$1&lt;=2599),AND($F$1&gt;=3800,$F$1&lt;=3899),AND($F$1&gt;=5800,$F$1&lt;=5899),AND($F$1&gt;=8700,$F$1&lt;=8899))</f>
        <v>0</v>
      </c>
      <c r="C35" s="2598"/>
      <c r="D35" s="234"/>
      <c r="E35" s="234"/>
      <c r="F35" s="2596"/>
      <c r="T35" s="114" t="s">
        <v>3071</v>
      </c>
      <c r="U35" s="3328">
        <v>347500</v>
      </c>
      <c r="V35" s="2807">
        <v>1</v>
      </c>
      <c r="W35" s="2269">
        <f>$U35*$V35</f>
        <v>347500</v>
      </c>
      <c r="X35">
        <f>NDK!B29</f>
        <v>0</v>
      </c>
      <c r="Y35" s="3335">
        <v>695000</v>
      </c>
      <c r="Z35" s="3340">
        <f>$W35*$F$54</f>
        <v>347500</v>
      </c>
      <c r="AA35" s="3334">
        <f>$Z35*$C$58</f>
        <v>435765</v>
      </c>
      <c r="AB35" s="3344">
        <f>MAX($Y35,$AA35)</f>
        <v>695000</v>
      </c>
      <c r="AC35" s="3345">
        <f>$X35*$AB35</f>
        <v>0</v>
      </c>
    </row>
    <row r="36" spans="1:32" ht="15.75">
      <c r="A36" s="3148">
        <v>0.9</v>
      </c>
      <c r="B36" s="3149" t="b">
        <f>OR(AND($F$1&gt;=100,$F$1&lt;=399),AND($F$1&gt;=4200,$F$1&lt;=4299),AND($F$1&gt;=7200,$F$1&lt;=7299),AND($F$1&gt;=9300,$F$1&lt;=9399))</f>
        <v>0</v>
      </c>
      <c r="C36" s="2598"/>
      <c r="D36" s="234"/>
      <c r="E36" s="234"/>
      <c r="F36" s="2596"/>
      <c r="T36" s="114" t="s">
        <v>148</v>
      </c>
      <c r="U36" s="2763"/>
      <c r="V36" s="2807"/>
      <c r="W36" s="2269"/>
      <c r="Y36" s="3335"/>
      <c r="Z36" s="3339"/>
      <c r="AA36" s="3334"/>
      <c r="AB36" s="3338"/>
    </row>
    <row r="37" spans="1:32" ht="15.75">
      <c r="A37" s="3148">
        <v>1.1000000000000001</v>
      </c>
      <c r="B37" s="3149" t="b">
        <f>OR(AND($F$1&gt;=1600,$F$1&lt;=1799),AND($F$1&gt;=2400,$F$1&lt;=2499),AND($F$1&gt;=2900,$F$1&lt;=2999),AND($F$1&gt;=3500,$F$1&lt;=3699),AND($F$1&gt;=3900,$F$1&lt;=3999),AND($F$1&gt;=4300,$F$1&lt;=4399),AND($F$1&gt;=9000,$F$1&lt;=9099),AND($F$1&gt;=9500,$F$1&lt;=9599))</f>
        <v>0</v>
      </c>
      <c r="C37" s="2599"/>
      <c r="D37" s="2595"/>
      <c r="E37" s="234"/>
      <c r="F37" s="2596"/>
      <c r="T37" s="114" t="s">
        <v>491</v>
      </c>
      <c r="U37" s="3328">
        <v>2080000</v>
      </c>
      <c r="V37" s="2807">
        <v>1</v>
      </c>
      <c r="W37" s="2269">
        <f t="shared" ref="W37:W46" si="0">$U37*$V37</f>
        <v>2080000</v>
      </c>
      <c r="X37">
        <f>NDK!B31</f>
        <v>0</v>
      </c>
      <c r="Y37" s="3335">
        <v>4160000</v>
      </c>
      <c r="Z37" s="3342">
        <f>$W37*$F$53</f>
        <v>2080000</v>
      </c>
      <c r="AA37" s="3334">
        <f>$Z37*$C$58</f>
        <v>2608320</v>
      </c>
      <c r="AB37" s="3344">
        <f t="shared" ref="AB37:AB42" si="1">MAX($Y37,$AA37)</f>
        <v>4160000</v>
      </c>
      <c r="AC37" s="3345">
        <f t="shared" ref="AC37:AC42" si="2">$X37*$AB37</f>
        <v>0</v>
      </c>
    </row>
    <row r="38" spans="1:32" ht="15.75">
      <c r="A38" s="3148">
        <v>1.2</v>
      </c>
      <c r="B38" s="3149" t="b">
        <f>OR(AND($F$1&gt;=500,$F$1&lt;=999),AND($F$1&gt;=1300,$F$1&lt;=1499),AND($F$1&gt;=1800,$F$1&lt;=1899),AND($F$1&gt;=2200,$F$1&lt;=2299),AND($F$1&gt;=2800,$F$1&lt;=2899),AND($F$1&gt;=3100,$F$1&lt;=3199),AND($F$1&gt;=6900,$F$1&lt;=6999),AND($F$1&gt;=7400,$F$1&lt;=7599),AND($F$1&gt;=7800,$F$1&lt;=7899),AND($F$1&gt;=9100,$F$1&lt;=9199))</f>
        <v>1</v>
      </c>
      <c r="C38" s="2598"/>
      <c r="D38" s="2595"/>
      <c r="E38" s="234"/>
      <c r="F38" s="2596"/>
      <c r="T38" s="114" t="s">
        <v>492</v>
      </c>
      <c r="U38" s="3328">
        <v>2080000</v>
      </c>
      <c r="V38" s="2807">
        <v>1</v>
      </c>
      <c r="W38" s="2269">
        <f t="shared" si="0"/>
        <v>2080000</v>
      </c>
      <c r="X38">
        <f>NDK!B32</f>
        <v>0</v>
      </c>
      <c r="Y38" s="3335">
        <v>4160000</v>
      </c>
      <c r="Z38" s="3342">
        <f>$W38*$F$53</f>
        <v>2080000</v>
      </c>
      <c r="AA38" s="3334">
        <f>$Z38*$C$58</f>
        <v>2608320</v>
      </c>
      <c r="AB38" s="3344">
        <f t="shared" si="1"/>
        <v>4160000</v>
      </c>
      <c r="AC38" s="3345">
        <f t="shared" si="2"/>
        <v>0</v>
      </c>
    </row>
    <row r="39" spans="1:32" ht="15.75">
      <c r="A39" s="3148">
        <v>1.4</v>
      </c>
      <c r="B39" s="3149" t="b">
        <f>OR(AND($F$1&gt;=2300,$F$1&lt;=2399),AND($F$1&gt;=2700,$F$1&lt;=2799),AND($F$1&gt;=3000,$F$1&lt;=3099),AND($F$1&gt;=3200,$F$1&lt;=3399),AND($F$1&gt;=3700,$F$1&lt;=3799),AND($F$1&gt;=4100,$F$1&lt;=4199),AND($F$1&gt;=5500,$F$1&lt;=5599),AND($F$1&gt;=6200,$F$1&lt;=6299),AND($F$1&gt;=7100,$F$1&lt;=7199),AND($F$1&gt;=7300,$F$1&lt;=7399),AND($F$1&gt;=8400,$F$1&lt;=8499),AND($F$1&gt;=9200,$F$1&lt;=9299),AND($F$1&gt;=9400,$F$1&lt;=9499),AND($F$1&gt;=9700,$F$1&lt;=9899))</f>
        <v>0</v>
      </c>
      <c r="C39" s="2598"/>
      <c r="D39" s="234"/>
      <c r="E39" s="234"/>
      <c r="F39" s="2596"/>
      <c r="H39" t="s">
        <v>4201</v>
      </c>
      <c r="T39" s="114" t="s">
        <v>1179</v>
      </c>
      <c r="U39" s="3156">
        <v>41860</v>
      </c>
      <c r="V39" s="2807">
        <v>1</v>
      </c>
      <c r="W39" s="2269">
        <f t="shared" si="0"/>
        <v>41860</v>
      </c>
      <c r="X39">
        <f>NDK!B33</f>
        <v>0</v>
      </c>
      <c r="Y39" s="3335"/>
      <c r="Z39" s="3339"/>
      <c r="AA39" s="3334">
        <f>$W39*$C$58</f>
        <v>52492.44</v>
      </c>
      <c r="AB39" s="3344">
        <f t="shared" si="1"/>
        <v>52492.44</v>
      </c>
      <c r="AC39" s="3345">
        <f t="shared" si="2"/>
        <v>0</v>
      </c>
    </row>
    <row r="40" spans="1:32" ht="15.75">
      <c r="A40" s="3148">
        <v>1.7</v>
      </c>
      <c r="B40" s="3149" t="b">
        <f>OR(AND($F$1&gt;=1900,$F$1&lt;=1999),AND($F$1&gt;=4500,$F$1&lt;=4599),AND($F$1&gt;=5600,$F$1&lt;=5699),AND($F$1&gt;=7000,$F$1&lt;=7099),AND($F$1&gt;=9600,$F$1&lt;=9699))</f>
        <v>0</v>
      </c>
      <c r="C40" s="2598"/>
      <c r="D40" s="2595"/>
      <c r="E40" s="234"/>
      <c r="F40" s="2596"/>
      <c r="H40" t="s">
        <v>4202</v>
      </c>
      <c r="T40" s="114" t="s">
        <v>3074</v>
      </c>
      <c r="U40" s="3156">
        <v>8300</v>
      </c>
      <c r="V40" s="2807">
        <v>1</v>
      </c>
      <c r="W40" s="2269">
        <f t="shared" si="0"/>
        <v>8300</v>
      </c>
      <c r="X40">
        <f>NDK!B34</f>
        <v>0</v>
      </c>
      <c r="Y40" s="3335"/>
      <c r="Z40" s="3339"/>
      <c r="AA40" s="3334">
        <f>$W40*$C$58</f>
        <v>10408.200000000001</v>
      </c>
      <c r="AB40" s="3344">
        <f t="shared" si="1"/>
        <v>10408.200000000001</v>
      </c>
      <c r="AC40" s="3345">
        <f t="shared" si="2"/>
        <v>0</v>
      </c>
    </row>
    <row r="41" spans="1:32" ht="15.75">
      <c r="A41" s="3148">
        <v>1.8</v>
      </c>
      <c r="B41" s="3149" t="b">
        <f>OR(AND($F$1&gt;=1200,$F$1&lt;=1299),AND($F$1&gt;=2600,$F$1&lt;=2699),AND($F$1&gt;=6500,$F$1&lt;=6599),AND($F$1&gt;=7900,$F$1&lt;=7999),AND($F$1&gt;=9900,$F$1&lt;=9999),AND($F$1&gt;=2000,$F$1&lt;=2099))</f>
        <v>0</v>
      </c>
      <c r="C41" s="2598"/>
      <c r="D41" s="234"/>
      <c r="E41" s="234"/>
      <c r="F41" s="2596"/>
      <c r="T41" s="114" t="s">
        <v>1234</v>
      </c>
      <c r="U41" s="3156">
        <v>13700</v>
      </c>
      <c r="V41" s="2807">
        <v>1</v>
      </c>
      <c r="W41" s="2269">
        <f t="shared" si="0"/>
        <v>13700</v>
      </c>
      <c r="X41">
        <f>NDK!B35</f>
        <v>0</v>
      </c>
      <c r="Y41" s="3335"/>
      <c r="Z41" s="3339"/>
      <c r="AA41" s="3334">
        <f>$W41*$C$58</f>
        <v>17179.8</v>
      </c>
      <c r="AB41" s="3344">
        <f t="shared" si="1"/>
        <v>17179.8</v>
      </c>
      <c r="AC41" s="3345">
        <f t="shared" si="2"/>
        <v>0</v>
      </c>
    </row>
    <row r="42" spans="1:32" ht="15.75">
      <c r="A42" s="3326">
        <v>2.4</v>
      </c>
      <c r="B42" s="3150" t="b">
        <f>C42</f>
        <v>0</v>
      </c>
      <c r="C42" s="2841" t="b">
        <f>OR(AND($F$1&gt;=1100,$F$1&lt;=1199),AND($F$1&gt;=4900,$F$1&lt;=4999),AND($F$1&gt;=5200,$F$1&lt;=5299),AND($F$1&gt;=6100,$F$1&lt;=6199),AND($F$1&gt;=7700,$F$1&lt;=7799),AND($F$1&gt;=8600,$F$1&lt;=8699),AND($F$1&gt;=1050,$F$1&lt;=1059),AND($F$1&gt;=1060,$F$1&lt;=1069),AND($F$1&gt;=1070,$F$1&lt;=1079),AND($F$1&gt;=8000,$F$1&lt;=8099))</f>
        <v>0</v>
      </c>
      <c r="D42" s="2208"/>
      <c r="E42" s="2208"/>
      <c r="F42" s="2597"/>
      <c r="G42" t="s">
        <v>5240</v>
      </c>
      <c r="T42" s="114" t="s">
        <v>1235</v>
      </c>
      <c r="U42" s="3156">
        <v>16800</v>
      </c>
      <c r="V42" s="2807">
        <v>1</v>
      </c>
      <c r="W42" s="2269">
        <f t="shared" si="0"/>
        <v>16800</v>
      </c>
      <c r="X42">
        <f>NDK!B36</f>
        <v>0</v>
      </c>
      <c r="Y42" s="3335"/>
      <c r="Z42" s="3339"/>
      <c r="AA42" s="3334">
        <f>$W42*$C$58</f>
        <v>21067.200000000001</v>
      </c>
      <c r="AB42" s="3344">
        <f t="shared" si="1"/>
        <v>21067.200000000001</v>
      </c>
      <c r="AC42" s="3345">
        <f t="shared" si="2"/>
        <v>0</v>
      </c>
      <c r="AE42" s="2240" t="s">
        <v>5263</v>
      </c>
      <c r="AF42" s="2240" t="s">
        <v>5264</v>
      </c>
    </row>
    <row r="43" spans="1:32" ht="15.75">
      <c r="A43" s="3148">
        <v>2</v>
      </c>
      <c r="B43" s="3149" t="b">
        <f>OR(AND($F$1&gt;=4600,$F$1&lt;=4699),AND($F$1&gt;=2100,$F$1&lt;=2199))</f>
        <v>0</v>
      </c>
      <c r="C43" s="2598" t="s">
        <v>5238</v>
      </c>
      <c r="D43" s="2208"/>
      <c r="E43" s="2208">
        <f>IF(B34=D17,A34,IF(B35=D17,A35,IF(B36=D17,A36,IF(B37=D17,A37,IF(B38=D17,A38,IF(B39=D17,A39,D18))))))</f>
        <v>1.2</v>
      </c>
      <c r="F43" s="2597"/>
      <c r="G43">
        <f>(E43*1+E44*1)</f>
        <v>1.2</v>
      </c>
      <c r="T43" s="106"/>
      <c r="U43" s="2763"/>
      <c r="V43" s="2807"/>
      <c r="W43" s="2269"/>
      <c r="Y43" s="3335"/>
      <c r="Z43" s="3339"/>
      <c r="AA43" s="3334"/>
      <c r="AB43" s="3338"/>
    </row>
    <row r="44" spans="1:32" ht="16.5" thickBot="1">
      <c r="A44" s="3151">
        <v>2.2999999999999998</v>
      </c>
      <c r="B44" s="3152" t="b">
        <f>OR(AND($F$1&gt;=4700,$F$1&lt;=4799),AND($F$1&gt;=5000,$F$1&lt;=5199),AND($F$1&gt;=5300,$F$1&lt;=5399),AND($F$1&gt;=6800,$F$1&lt;=6899))</f>
        <v>0</v>
      </c>
      <c r="C44" s="2598" t="s">
        <v>5239</v>
      </c>
      <c r="D44" s="2208"/>
      <c r="E44" s="2208" t="b">
        <f>IF(B40=D17,A40,IF(B41=D17,A41,IF(B42=D17,A42,IF(B43=D17,A43,IF(B44=D17,A44,D18)))))</f>
        <v>0</v>
      </c>
      <c r="F44" s="2597"/>
      <c r="T44" s="114"/>
      <c r="U44" s="2763"/>
      <c r="V44" s="2807"/>
      <c r="W44" s="2269"/>
      <c r="Y44" s="3335"/>
      <c r="Z44" s="3339"/>
      <c r="AA44" s="3334"/>
      <c r="AB44" s="3338"/>
    </row>
    <row r="45" spans="1:32" ht="15.75">
      <c r="A45" s="3153" t="s">
        <v>5349</v>
      </c>
      <c r="B45" s="3154" t="b">
        <f>IF($E$45=$D$17,FALSE,TRUE)</f>
        <v>0</v>
      </c>
      <c r="C45" s="296" t="s">
        <v>3523</v>
      </c>
      <c r="D45" s="296"/>
      <c r="E45" s="2768" t="b">
        <f>OR(B34:B44)</f>
        <v>1</v>
      </c>
      <c r="F45" s="1539"/>
      <c r="T45" s="114" t="s">
        <v>1236</v>
      </c>
      <c r="U45" s="3156">
        <v>19500</v>
      </c>
      <c r="V45" s="2807">
        <v>1</v>
      </c>
      <c r="W45" s="2269">
        <f t="shared" si="0"/>
        <v>19500</v>
      </c>
      <c r="X45">
        <f>NDK!B37</f>
        <v>0</v>
      </c>
      <c r="Y45" s="3335"/>
      <c r="Z45" s="3339"/>
      <c r="AA45" s="3334">
        <f>$W45*$C$58</f>
        <v>24453</v>
      </c>
      <c r="AB45" s="3344">
        <f>MAX($Y45,$AA45)</f>
        <v>24453</v>
      </c>
      <c r="AC45" s="3345">
        <f>$X45*$AB45</f>
        <v>0</v>
      </c>
      <c r="AE45" s="2240" t="s">
        <v>5263</v>
      </c>
      <c r="AF45" s="2240" t="s">
        <v>5264</v>
      </c>
    </row>
    <row r="46" spans="1:32" ht="26.25">
      <c r="A46" s="3146">
        <v>1.3</v>
      </c>
      <c r="B46" s="296"/>
      <c r="C46" s="1261" t="s">
        <v>3526</v>
      </c>
      <c r="D46" s="1261"/>
      <c r="E46" s="1261"/>
      <c r="F46" s="1504">
        <f>IF(E45=D18,1.5,G43)</f>
        <v>1.2</v>
      </c>
      <c r="G46" s="2243" t="s">
        <v>5348</v>
      </c>
      <c r="T46" s="258" t="s">
        <v>2710</v>
      </c>
      <c r="U46" s="2763">
        <v>-1900</v>
      </c>
      <c r="V46" s="2807">
        <v>1</v>
      </c>
      <c r="W46" s="2269">
        <f t="shared" si="0"/>
        <v>-1900</v>
      </c>
      <c r="Y46" s="3335"/>
      <c r="Z46" s="3339"/>
      <c r="AA46" s="3334">
        <f>$W46*$C$58</f>
        <v>-2382.6</v>
      </c>
      <c r="AB46" s="3344">
        <f>MAX($Y46,$AA46)</f>
        <v>-2382.6</v>
      </c>
      <c r="AC46" s="3345">
        <f>$X46*$AB46</f>
        <v>0</v>
      </c>
      <c r="AE46" s="2240" t="s">
        <v>5263</v>
      </c>
      <c r="AF46" s="2240" t="s">
        <v>5264</v>
      </c>
    </row>
    <row r="47" spans="1:32" ht="15.75">
      <c r="A47" s="1536" t="s">
        <v>3525</v>
      </c>
      <c r="B47" s="296" t="str">
        <f>KÉRDÉSEK!C114</f>
        <v>NEM</v>
      </c>
      <c r="C47" s="296"/>
      <c r="D47" s="296"/>
      <c r="E47" s="296"/>
      <c r="F47" s="1539"/>
      <c r="T47" s="114" t="s">
        <v>1393</v>
      </c>
      <c r="U47" s="2763"/>
      <c r="V47" s="2807"/>
      <c r="W47" s="2269"/>
      <c r="Y47" s="3335"/>
      <c r="Z47" s="3339"/>
      <c r="AA47" s="3334"/>
      <c r="AB47" s="3338"/>
    </row>
    <row r="48" spans="1:32" ht="31.5" customHeight="1" thickBot="1">
      <c r="A48" s="3617" t="s">
        <v>5462</v>
      </c>
      <c r="B48" s="3618"/>
      <c r="C48" s="3618"/>
      <c r="D48" s="3618"/>
      <c r="E48" s="3618"/>
      <c r="F48" s="3327">
        <f>IF(B56=H39,2.4,IF(B47=E17,A46,F46))</f>
        <v>1.2</v>
      </c>
      <c r="G48" s="2240" t="s">
        <v>5463</v>
      </c>
      <c r="T48" s="114" t="s">
        <v>2531</v>
      </c>
      <c r="U48" s="3156">
        <v>20470</v>
      </c>
      <c r="V48" s="2807">
        <v>1</v>
      </c>
      <c r="W48" s="2269">
        <f t="shared" ref="W48:W57" si="3">$U48*$V48</f>
        <v>20470</v>
      </c>
      <c r="X48">
        <f>NDK!B40</f>
        <v>0</v>
      </c>
      <c r="Y48" s="3335"/>
      <c r="Z48" s="3339"/>
      <c r="AA48" s="3334">
        <f>$W48*$C$58</f>
        <v>25669.38</v>
      </c>
      <c r="AB48" s="3344">
        <f t="shared" ref="AB48:AB55" si="4">MAX($Y48,$AA48)</f>
        <v>25669.38</v>
      </c>
      <c r="AC48" s="3345">
        <f t="shared" ref="AC48:AC55" si="5">$X48*$AB48</f>
        <v>0</v>
      </c>
    </row>
    <row r="49" spans="1:31" ht="17.25" thickTop="1" thickBot="1">
      <c r="T49" s="115" t="s">
        <v>497</v>
      </c>
      <c r="U49" s="3156">
        <v>23230</v>
      </c>
      <c r="V49" s="2807">
        <v>1</v>
      </c>
      <c r="W49" s="2269">
        <f t="shared" si="3"/>
        <v>23230</v>
      </c>
      <c r="X49">
        <f>NDK!B41</f>
        <v>0</v>
      </c>
      <c r="Y49" s="3335"/>
      <c r="Z49" s="3339"/>
      <c r="AA49" s="3334">
        <f>$W49*$C$58</f>
        <v>29130.420000000002</v>
      </c>
      <c r="AB49" s="3344">
        <f t="shared" si="4"/>
        <v>29130.420000000002</v>
      </c>
      <c r="AC49" s="3345">
        <f t="shared" si="5"/>
        <v>0</v>
      </c>
    </row>
    <row r="50" spans="1:31" ht="17.25" thickTop="1" thickBot="1">
      <c r="A50" s="2138"/>
      <c r="B50" s="2139"/>
      <c r="C50" s="2576">
        <v>2021</v>
      </c>
      <c r="D50" s="2068" t="s">
        <v>4531</v>
      </c>
      <c r="G50" s="1910" t="s">
        <v>4538</v>
      </c>
      <c r="T50" s="106" t="s">
        <v>493</v>
      </c>
      <c r="U50" s="3156">
        <v>35880</v>
      </c>
      <c r="V50" s="2807">
        <v>1</v>
      </c>
      <c r="W50" s="2269">
        <f t="shared" si="3"/>
        <v>35880</v>
      </c>
      <c r="X50">
        <f>NDK!B42</f>
        <v>0</v>
      </c>
      <c r="Y50" s="3335"/>
      <c r="Z50" s="3339"/>
      <c r="AA50" s="3334">
        <f>$W50*$C$58</f>
        <v>44993.52</v>
      </c>
      <c r="AB50" s="3344">
        <f t="shared" si="4"/>
        <v>44993.52</v>
      </c>
      <c r="AC50" s="3345">
        <f t="shared" si="5"/>
        <v>0</v>
      </c>
    </row>
    <row r="51" spans="1:31" ht="16.5" thickTop="1">
      <c r="A51" s="2140"/>
      <c r="B51" s="2141"/>
      <c r="C51" s="1534"/>
      <c r="D51" s="1534" t="s">
        <v>1715</v>
      </c>
      <c r="E51" s="1534"/>
      <c r="F51" s="3336" t="s">
        <v>1720</v>
      </c>
      <c r="G51" s="1534"/>
      <c r="H51" s="1534"/>
      <c r="I51" s="1534"/>
      <c r="J51" s="1534"/>
      <c r="K51" s="1535"/>
      <c r="T51" s="106" t="s">
        <v>494</v>
      </c>
      <c r="U51" s="3156">
        <v>35880</v>
      </c>
      <c r="V51" s="2807">
        <v>1</v>
      </c>
      <c r="W51" s="2269">
        <f t="shared" si="3"/>
        <v>35880</v>
      </c>
      <c r="X51">
        <f>NDK!B43</f>
        <v>0</v>
      </c>
      <c r="Y51" s="3335"/>
      <c r="Z51" s="3339"/>
      <c r="AA51" s="3334">
        <f>$W51*$C$58</f>
        <v>44993.52</v>
      </c>
      <c r="AB51" s="3344">
        <f t="shared" si="4"/>
        <v>44993.52</v>
      </c>
      <c r="AC51" s="3345">
        <f t="shared" si="5"/>
        <v>0</v>
      </c>
    </row>
    <row r="52" spans="1:31" ht="15.75">
      <c r="A52" s="2772" t="s">
        <v>5227</v>
      </c>
      <c r="B52" s="2773">
        <f>B1</f>
        <v>1114</v>
      </c>
      <c r="C52" s="296"/>
      <c r="D52" s="296" t="s">
        <v>1716</v>
      </c>
      <c r="E52" s="3331">
        <v>1.5</v>
      </c>
      <c r="F52" s="296">
        <f>IF($B$56=$E$17,$E52,$E$56)</f>
        <v>1</v>
      </c>
      <c r="G52" s="296" t="s">
        <v>1721</v>
      </c>
      <c r="H52" s="296"/>
      <c r="I52" s="296"/>
      <c r="J52" s="296"/>
      <c r="K52" s="1539"/>
      <c r="T52" s="114" t="s">
        <v>1178</v>
      </c>
      <c r="U52" s="3156">
        <v>416000</v>
      </c>
      <c r="V52" s="2807">
        <v>1</v>
      </c>
      <c r="W52" s="2269">
        <f t="shared" si="3"/>
        <v>416000</v>
      </c>
      <c r="X52">
        <f>NDK!B44</f>
        <v>0</v>
      </c>
      <c r="Y52" s="3335">
        <v>832000</v>
      </c>
      <c r="Z52" s="3340">
        <f>$W52*$F$55</f>
        <v>416000</v>
      </c>
      <c r="AA52" s="3334">
        <f>$Z52*$C$58</f>
        <v>521664</v>
      </c>
      <c r="AB52" s="3344">
        <f t="shared" si="4"/>
        <v>832000</v>
      </c>
      <c r="AC52" s="3345">
        <f t="shared" si="5"/>
        <v>0</v>
      </c>
    </row>
    <row r="53" spans="1:31" ht="15.75">
      <c r="A53" s="2142"/>
      <c r="B53" s="234"/>
      <c r="C53" s="296"/>
      <c r="D53" s="296" t="s">
        <v>1717</v>
      </c>
      <c r="E53" s="3331">
        <v>1.5</v>
      </c>
      <c r="F53" s="296">
        <f>IF($B$56=$E$17,$E53,$E$56)</f>
        <v>1</v>
      </c>
      <c r="G53" s="296"/>
      <c r="H53" s="2540" t="s">
        <v>5467</v>
      </c>
      <c r="I53" s="3330">
        <f>NDK!BA53</f>
        <v>0</v>
      </c>
      <c r="J53" s="296"/>
      <c r="K53" s="1539"/>
      <c r="T53" s="114" t="s">
        <v>1239</v>
      </c>
      <c r="U53" s="3156">
        <v>624000</v>
      </c>
      <c r="V53" s="2807">
        <v>1</v>
      </c>
      <c r="W53" s="2269">
        <f t="shared" si="3"/>
        <v>624000</v>
      </c>
      <c r="X53">
        <f>NDK!B45</f>
        <v>0</v>
      </c>
      <c r="Y53" s="3335">
        <v>1248000</v>
      </c>
      <c r="Z53" s="3340">
        <f>$W53*$F$55</f>
        <v>624000</v>
      </c>
      <c r="AA53" s="3334">
        <f>$Z53*$C$58</f>
        <v>782496</v>
      </c>
      <c r="AB53" s="3344">
        <f t="shared" si="4"/>
        <v>1248000</v>
      </c>
      <c r="AC53" s="3345">
        <f t="shared" si="5"/>
        <v>0</v>
      </c>
    </row>
    <row r="54" spans="1:31" ht="15.75">
      <c r="A54" s="2143"/>
      <c r="B54" s="2144"/>
      <c r="C54" s="296"/>
      <c r="D54" s="296" t="s">
        <v>1718</v>
      </c>
      <c r="E54" s="3331">
        <v>1.5</v>
      </c>
      <c r="F54" s="296">
        <f>IF($B$56=$E$17,$E54,$E$56)</f>
        <v>1</v>
      </c>
      <c r="G54" s="296"/>
      <c r="H54" s="296"/>
      <c r="I54" s="296"/>
      <c r="J54" s="296"/>
      <c r="K54" s="1539"/>
      <c r="T54" s="114" t="s">
        <v>1240</v>
      </c>
      <c r="U54" s="3156">
        <v>1118000</v>
      </c>
      <c r="V54" s="2807">
        <v>1</v>
      </c>
      <c r="W54" s="2269">
        <f t="shared" si="3"/>
        <v>1118000</v>
      </c>
      <c r="X54">
        <f>NDK!B46</f>
        <v>0</v>
      </c>
      <c r="Y54" s="3335">
        <v>3354000</v>
      </c>
      <c r="Z54" s="3340">
        <f>$W54*$F$55</f>
        <v>1118000</v>
      </c>
      <c r="AA54" s="3334">
        <f>$Z54*$C$58</f>
        <v>1401972</v>
      </c>
      <c r="AB54" s="3344">
        <f t="shared" si="4"/>
        <v>3354000</v>
      </c>
      <c r="AC54" s="3345">
        <f t="shared" si="5"/>
        <v>0</v>
      </c>
    </row>
    <row r="55" spans="1:31" ht="15.75">
      <c r="A55" s="1536"/>
      <c r="B55" s="296"/>
      <c r="C55" s="296"/>
      <c r="D55" s="296" t="s">
        <v>1719</v>
      </c>
      <c r="E55" s="3331">
        <v>3</v>
      </c>
      <c r="F55" s="296">
        <f>IF($B$56=$E$17,$E55,$E$56)</f>
        <v>1</v>
      </c>
      <c r="G55" s="296"/>
      <c r="H55" s="296"/>
      <c r="I55" s="296"/>
      <c r="J55" s="296"/>
      <c r="K55" s="1539"/>
      <c r="T55" s="114" t="s">
        <v>4873</v>
      </c>
      <c r="U55" s="3156">
        <v>1326000</v>
      </c>
      <c r="V55" s="2807">
        <v>1</v>
      </c>
      <c r="W55" s="2269">
        <f t="shared" si="3"/>
        <v>1326000</v>
      </c>
      <c r="X55">
        <f>NDK!B47</f>
        <v>0</v>
      </c>
      <c r="Y55" s="3335">
        <v>3978000</v>
      </c>
      <c r="Z55" s="3340">
        <f>$W55*$F$55</f>
        <v>1326000</v>
      </c>
      <c r="AA55" s="3334">
        <f>$Z55*$C$58</f>
        <v>1662804</v>
      </c>
      <c r="AB55" s="3344">
        <f t="shared" si="4"/>
        <v>3978000</v>
      </c>
      <c r="AC55" s="3345">
        <f t="shared" si="5"/>
        <v>0</v>
      </c>
    </row>
    <row r="56" spans="1:31" ht="16.5" thickBot="1">
      <c r="A56" s="1541" t="s">
        <v>4537</v>
      </c>
      <c r="B56" s="1542" t="str">
        <f>KÉRDÉSEK!C111</f>
        <v>NEM</v>
      </c>
      <c r="C56" s="1542"/>
      <c r="D56" s="1542"/>
      <c r="E56" s="1542">
        <v>1</v>
      </c>
      <c r="F56" s="1542"/>
      <c r="G56" s="1542"/>
      <c r="H56" s="1542"/>
      <c r="I56" s="1542"/>
      <c r="J56" s="1542"/>
      <c r="K56" s="1543"/>
      <c r="T56" s="114" t="s">
        <v>1394</v>
      </c>
      <c r="U56" s="2763"/>
      <c r="V56" s="2240"/>
      <c r="W56" s="2269"/>
      <c r="Y56" s="3335"/>
      <c r="Z56" s="3339"/>
      <c r="AA56" s="3334"/>
      <c r="AB56" s="3338"/>
    </row>
    <row r="57" spans="1:31" ht="16.5" thickTop="1">
      <c r="T57" s="114" t="s">
        <v>4874</v>
      </c>
      <c r="U57" s="2763">
        <v>0</v>
      </c>
      <c r="V57" s="2240">
        <v>1</v>
      </c>
      <c r="W57" s="2269">
        <f t="shared" si="3"/>
        <v>0</v>
      </c>
      <c r="X57">
        <f>NDK!B49</f>
        <v>0</v>
      </c>
      <c r="Y57" s="3335"/>
      <c r="Z57" s="3339"/>
      <c r="AA57" s="3334">
        <f>$W57*$C$58</f>
        <v>0</v>
      </c>
      <c r="AB57" s="3344">
        <f>MAX($Y57,$AA57)</f>
        <v>0</v>
      </c>
      <c r="AC57" s="3345">
        <f>$X57*$AB57</f>
        <v>0</v>
      </c>
    </row>
    <row r="58" spans="1:31">
      <c r="A58" s="1545" t="s">
        <v>1724</v>
      </c>
      <c r="B58" s="1545"/>
      <c r="C58" s="1545">
        <f>G28*F16*F48*E77*KÉRDÉSEK!D117</f>
        <v>1.254</v>
      </c>
      <c r="D58" t="s">
        <v>3236</v>
      </c>
      <c r="AE58" s="2243" t="s">
        <v>5477</v>
      </c>
    </row>
    <row r="59" spans="1:31">
      <c r="Z59" s="2588" t="s">
        <v>5475</v>
      </c>
      <c r="AA59" s="2588"/>
      <c r="AB59" s="2588"/>
      <c r="AC59" s="3346">
        <f>SUM(AC2:AC58)</f>
        <v>0</v>
      </c>
      <c r="AE59" s="2243" t="s">
        <v>5476</v>
      </c>
    </row>
    <row r="62" spans="1:31">
      <c r="A62" s="621" t="s">
        <v>1509</v>
      </c>
      <c r="B62" s="621">
        <f>NDK!$B$52</f>
        <v>1114</v>
      </c>
    </row>
    <row r="65" spans="1:7">
      <c r="A65" t="s">
        <v>1726</v>
      </c>
      <c r="C65" s="73">
        <f>NDK!BA54</f>
        <v>0</v>
      </c>
    </row>
    <row r="66" spans="1:7">
      <c r="A66" s="1545" t="s">
        <v>1727</v>
      </c>
      <c r="B66" s="1545"/>
      <c r="C66" s="1545">
        <f>ROUND(C65*KÉRDÉSEK!C106*KÉRDÉSEK!D117*KÉRDÉSEK!D115,0)</f>
        <v>0</v>
      </c>
    </row>
    <row r="68" spans="1:7">
      <c r="A68" t="s">
        <v>1728</v>
      </c>
      <c r="C68">
        <f>ROUND(IF(KÉRDÉSEK!C131=KÉRDÉSEK!F105,UNION!C66,NDK!BB54),0)</f>
        <v>0</v>
      </c>
    </row>
    <row r="69" spans="1:7">
      <c r="A69" t="s">
        <v>1729</v>
      </c>
      <c r="D69">
        <f>IF(KÉRDÉSEK!C131=KÉRDÉSEK!F105,KÉRDÉSEK!C106,KÉRDÉSEK!C124)</f>
        <v>1.254</v>
      </c>
    </row>
    <row r="72" spans="1:7" ht="13.5" thickBot="1">
      <c r="A72" s="2243" t="s">
        <v>5351</v>
      </c>
      <c r="D72" t="s">
        <v>3231</v>
      </c>
      <c r="E72" t="s">
        <v>3232</v>
      </c>
    </row>
    <row r="73" spans="1:7" ht="14.25" thickTop="1" thickBot="1">
      <c r="A73" s="2136" t="s">
        <v>3068</v>
      </c>
      <c r="B73" t="s">
        <v>3230</v>
      </c>
      <c r="C73" t="s">
        <v>3234</v>
      </c>
      <c r="D73" s="388" t="s">
        <v>3233</v>
      </c>
      <c r="E73" s="388">
        <v>1</v>
      </c>
    </row>
    <row r="74" spans="1:7" ht="13.5" thickTop="1">
      <c r="A74" s="2137" t="s">
        <v>3229</v>
      </c>
      <c r="B74" t="b">
        <v>0</v>
      </c>
      <c r="D74" s="2600">
        <v>5</v>
      </c>
      <c r="E74">
        <f>B74*D74</f>
        <v>0</v>
      </c>
      <c r="G74" s="2576" t="s">
        <v>5465</v>
      </c>
    </row>
    <row r="75" spans="1:7">
      <c r="A75" s="1540" t="s">
        <v>3066</v>
      </c>
      <c r="B75" t="str">
        <f>KÉRDÉSEK!C109</f>
        <v>NEM</v>
      </c>
      <c r="C75">
        <f>IF(B75=$H$39,1,0)</f>
        <v>0</v>
      </c>
      <c r="D75" s="2601">
        <v>5</v>
      </c>
      <c r="E75">
        <f>C75*D75</f>
        <v>0</v>
      </c>
    </row>
    <row r="76" spans="1:7">
      <c r="A76" s="1540" t="s">
        <v>3067</v>
      </c>
      <c r="B76" t="str">
        <f>KÉRDÉSEK!C110</f>
        <v>NEM</v>
      </c>
      <c r="C76">
        <f>IF(B76=$H$39,1,0)</f>
        <v>0</v>
      </c>
      <c r="D76" s="2601">
        <v>5</v>
      </c>
      <c r="E76">
        <f>C76*D76</f>
        <v>0</v>
      </c>
    </row>
    <row r="77" spans="1:7" ht="15.75">
      <c r="A77" s="1910" t="s">
        <v>3235</v>
      </c>
      <c r="E77" s="2068">
        <f>MAX(E73:E76)</f>
        <v>1</v>
      </c>
    </row>
  </sheetData>
  <sheetProtection algorithmName="SHA-512" hashValue="lHpg9fpfI4BpTVtMN9tSkHPAjObrXdmHuZvgPwRKqpCdM/2oxukJR3z8YsGgK5BcQvjRKxhdYR8uRbtBX2OmfA==" saltValue="uYNNIHNGS+xi9AvNZrmwng==" spinCount="100000" sheet="1"/>
  <mergeCells count="1">
    <mergeCell ref="A48:E48"/>
  </mergeCells>
  <phoneticPr fontId="7" type="noConversion"/>
  <pageMargins left="0.75" right="0.75" top="1" bottom="1" header="0.5" footer="0.5"/>
  <pageSetup paperSize="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D48"/>
  <sheetViews>
    <sheetView workbookViewId="0">
      <selection activeCell="A9" sqref="A9"/>
    </sheetView>
  </sheetViews>
  <sheetFormatPr defaultRowHeight="12.75"/>
  <cols>
    <col min="1" max="1" width="28.28515625" customWidth="1"/>
    <col min="2" max="2" width="14.85546875" customWidth="1"/>
    <col min="3" max="3" width="18" customWidth="1"/>
    <col min="4" max="4" width="19" customWidth="1"/>
  </cols>
  <sheetData>
    <row r="2" spans="1:4">
      <c r="B2" s="2807" t="s">
        <v>5244</v>
      </c>
      <c r="C2" t="s">
        <v>2845</v>
      </c>
      <c r="D2" t="s">
        <v>2846</v>
      </c>
    </row>
    <row r="3" spans="1:4">
      <c r="B3" s="2807" t="s">
        <v>2844</v>
      </c>
    </row>
    <row r="4" spans="1:4">
      <c r="A4" s="106" t="s">
        <v>2451</v>
      </c>
      <c r="B4" s="2811">
        <v>51948</v>
      </c>
      <c r="C4" s="73">
        <f>NDK!$B4</f>
        <v>0</v>
      </c>
      <c r="D4" s="73">
        <f>(C4-C5)*B4+C5*B5</f>
        <v>0</v>
      </c>
    </row>
    <row r="5" spans="1:4" ht="51">
      <c r="A5" s="111" t="s">
        <v>201</v>
      </c>
      <c r="B5" s="2811">
        <v>86597</v>
      </c>
      <c r="C5" s="73">
        <f>NDK!$B5</f>
        <v>0</v>
      </c>
      <c r="D5" s="1478"/>
    </row>
    <row r="6" spans="1:4">
      <c r="A6" s="106" t="s">
        <v>2452</v>
      </c>
      <c r="B6" s="2811">
        <v>57714</v>
      </c>
      <c r="C6" s="73">
        <f>NDK!$B6</f>
        <v>0</v>
      </c>
      <c r="D6" s="73">
        <f t="shared" ref="D6:D44" si="0">$B6*$C6</f>
        <v>0</v>
      </c>
    </row>
    <row r="7" spans="1:4" ht="38.25">
      <c r="A7" s="110" t="s">
        <v>3319</v>
      </c>
      <c r="B7" s="2811">
        <v>64649</v>
      </c>
      <c r="C7" s="73">
        <f>NDK!$B7</f>
        <v>0</v>
      </c>
      <c r="D7" s="73">
        <f>(C7-C9)*B7+C9*B9</f>
        <v>0</v>
      </c>
    </row>
    <row r="8" spans="1:4">
      <c r="A8" s="111" t="s">
        <v>1491</v>
      </c>
      <c r="B8" s="2811"/>
      <c r="C8" s="73"/>
      <c r="D8" s="73"/>
    </row>
    <row r="9" spans="1:4">
      <c r="A9" s="111" t="s">
        <v>3826</v>
      </c>
      <c r="B9" s="2811">
        <v>61195</v>
      </c>
      <c r="C9" s="73">
        <f>NDK!$B9</f>
        <v>0</v>
      </c>
      <c r="D9" s="1478"/>
    </row>
    <row r="10" spans="1:4" ht="38.25">
      <c r="A10" s="110" t="s">
        <v>3320</v>
      </c>
      <c r="B10" s="2811">
        <v>75039</v>
      </c>
      <c r="C10" s="73">
        <f>NDK!$B10</f>
        <v>0</v>
      </c>
      <c r="D10" s="73">
        <f t="shared" si="0"/>
        <v>0</v>
      </c>
    </row>
    <row r="11" spans="1:4">
      <c r="A11" s="111" t="s">
        <v>1493</v>
      </c>
      <c r="B11" s="73"/>
      <c r="C11" s="73"/>
      <c r="D11" s="73"/>
    </row>
    <row r="12" spans="1:4">
      <c r="A12" s="111" t="s">
        <v>160</v>
      </c>
      <c r="B12" s="73"/>
      <c r="C12" s="73"/>
      <c r="D12" s="73"/>
    </row>
    <row r="13" spans="1:4">
      <c r="A13" s="114" t="s">
        <v>2453</v>
      </c>
      <c r="B13" s="2811">
        <v>103896</v>
      </c>
      <c r="C13" s="73">
        <f>NDK!$B13</f>
        <v>0</v>
      </c>
      <c r="D13" s="73">
        <f t="shared" si="0"/>
        <v>0</v>
      </c>
    </row>
    <row r="14" spans="1:4">
      <c r="A14" s="111" t="s">
        <v>161</v>
      </c>
      <c r="B14" s="73"/>
      <c r="C14" s="73"/>
      <c r="D14" s="73"/>
    </row>
    <row r="15" spans="1:4">
      <c r="A15" s="111" t="s">
        <v>162</v>
      </c>
      <c r="B15" s="73"/>
      <c r="C15" s="73"/>
      <c r="D15" s="73"/>
    </row>
    <row r="16" spans="1:4">
      <c r="A16" s="114" t="s">
        <v>2454</v>
      </c>
      <c r="B16" s="2811">
        <v>115455</v>
      </c>
      <c r="C16" s="73">
        <f>NDK!$B16</f>
        <v>0</v>
      </c>
      <c r="D16" s="73">
        <f t="shared" si="0"/>
        <v>0</v>
      </c>
    </row>
    <row r="17" spans="1:4">
      <c r="A17" s="114" t="s">
        <v>150</v>
      </c>
      <c r="B17" s="73"/>
      <c r="C17" s="73">
        <f>NDK!$B17</f>
        <v>0</v>
      </c>
      <c r="D17" s="73">
        <f t="shared" si="0"/>
        <v>0</v>
      </c>
    </row>
    <row r="18" spans="1:4">
      <c r="A18" s="114" t="s">
        <v>2438</v>
      </c>
      <c r="B18" s="2811">
        <v>128701</v>
      </c>
      <c r="C18" s="73">
        <f>NDK!$B18</f>
        <v>0</v>
      </c>
      <c r="D18" s="73">
        <f t="shared" si="0"/>
        <v>0</v>
      </c>
    </row>
    <row r="19" spans="1:4">
      <c r="A19" s="114" t="s">
        <v>2456</v>
      </c>
      <c r="B19" s="2811">
        <v>519481</v>
      </c>
      <c r="C19" s="73">
        <f>NDK!B21</f>
        <v>0</v>
      </c>
      <c r="D19" s="73">
        <f t="shared" si="0"/>
        <v>0</v>
      </c>
    </row>
    <row r="20" spans="1:4" ht="38.25">
      <c r="A20" s="258" t="s">
        <v>1863</v>
      </c>
      <c r="B20" s="2811"/>
      <c r="C20" s="73"/>
      <c r="D20" s="73"/>
    </row>
    <row r="21" spans="1:4">
      <c r="A21" s="106" t="s">
        <v>4134</v>
      </c>
      <c r="B21" s="2811">
        <v>1227273</v>
      </c>
      <c r="C21" s="73">
        <f>NDK!B24</f>
        <v>0</v>
      </c>
      <c r="D21" s="73">
        <f t="shared" si="0"/>
        <v>0</v>
      </c>
    </row>
    <row r="22" spans="1:4">
      <c r="A22" s="106" t="s">
        <v>149</v>
      </c>
      <c r="B22" s="73"/>
      <c r="C22" s="73"/>
      <c r="D22" s="73"/>
    </row>
    <row r="23" spans="1:4">
      <c r="A23" s="114" t="s">
        <v>1494</v>
      </c>
      <c r="B23" s="2811">
        <v>5299</v>
      </c>
      <c r="C23" s="73">
        <f>NDK!B26</f>
        <v>0</v>
      </c>
      <c r="D23" s="73">
        <f t="shared" si="0"/>
        <v>0</v>
      </c>
    </row>
    <row r="24" spans="1:4">
      <c r="A24" s="114" t="s">
        <v>3072</v>
      </c>
      <c r="B24" s="2811">
        <v>12805</v>
      </c>
      <c r="C24" s="73">
        <f>NDK!B27</f>
        <v>0</v>
      </c>
      <c r="D24" s="73">
        <f t="shared" si="0"/>
        <v>0</v>
      </c>
    </row>
    <row r="25" spans="1:4">
      <c r="A25" s="257" t="s">
        <v>1862</v>
      </c>
      <c r="B25" s="2811"/>
      <c r="C25" s="73"/>
      <c r="D25" s="73"/>
    </row>
    <row r="26" spans="1:4">
      <c r="A26" s="114" t="s">
        <v>3071</v>
      </c>
      <c r="B26" s="2811">
        <v>324675</v>
      </c>
      <c r="C26" s="73">
        <f>NDK!B29</f>
        <v>0</v>
      </c>
      <c r="D26" s="73">
        <f t="shared" si="0"/>
        <v>0</v>
      </c>
    </row>
    <row r="27" spans="1:4">
      <c r="A27" s="114" t="s">
        <v>148</v>
      </c>
      <c r="B27" s="73"/>
      <c r="C27" s="73"/>
      <c r="D27" s="73"/>
    </row>
    <row r="28" spans="1:4">
      <c r="A28" s="114" t="s">
        <v>491</v>
      </c>
      <c r="B28" s="2811">
        <v>9740260</v>
      </c>
      <c r="C28" s="73">
        <f>NDK!B31</f>
        <v>0</v>
      </c>
      <c r="D28" s="73">
        <f t="shared" si="0"/>
        <v>0</v>
      </c>
    </row>
    <row r="29" spans="1:4">
      <c r="A29" s="114" t="s">
        <v>492</v>
      </c>
      <c r="B29" s="2811">
        <v>9740260</v>
      </c>
      <c r="C29" s="73">
        <f>NDK!B32</f>
        <v>0</v>
      </c>
      <c r="D29" s="73">
        <f t="shared" si="0"/>
        <v>0</v>
      </c>
    </row>
    <row r="30" spans="1:4">
      <c r="A30" s="114" t="s">
        <v>1179</v>
      </c>
      <c r="B30" s="2811">
        <v>31974</v>
      </c>
      <c r="C30" s="73">
        <f>NDK!B33</f>
        <v>0</v>
      </c>
      <c r="D30" s="73">
        <f t="shared" si="0"/>
        <v>0</v>
      </c>
    </row>
    <row r="31" spans="1:4">
      <c r="A31" s="114" t="s">
        <v>3074</v>
      </c>
      <c r="B31" s="2811">
        <v>23221</v>
      </c>
      <c r="C31" s="73">
        <f>NDK!B34</f>
        <v>0</v>
      </c>
      <c r="D31" s="73">
        <f t="shared" si="0"/>
        <v>0</v>
      </c>
    </row>
    <row r="32" spans="1:4">
      <c r="A32" s="114" t="s">
        <v>1234</v>
      </c>
      <c r="B32" s="2811">
        <v>34727</v>
      </c>
      <c r="C32" s="73">
        <f>NDK!B35</f>
        <v>0</v>
      </c>
      <c r="D32" s="73">
        <f t="shared" si="0"/>
        <v>0</v>
      </c>
    </row>
    <row r="33" spans="1:4">
      <c r="A33" s="114" t="s">
        <v>1235</v>
      </c>
      <c r="B33" s="2811">
        <v>47506</v>
      </c>
      <c r="C33" s="73">
        <f>NDK!$B36</f>
        <v>0</v>
      </c>
      <c r="D33" s="73">
        <f t="shared" si="0"/>
        <v>0</v>
      </c>
    </row>
    <row r="34" spans="1:4">
      <c r="A34" s="114" t="s">
        <v>1236</v>
      </c>
      <c r="B34" s="2811">
        <v>54831</v>
      </c>
      <c r="C34" s="73">
        <f>NDK!$B37</f>
        <v>0</v>
      </c>
      <c r="D34" s="73">
        <f t="shared" si="0"/>
        <v>0</v>
      </c>
    </row>
    <row r="35" spans="1:4" ht="25.5">
      <c r="A35" s="258" t="s">
        <v>2710</v>
      </c>
      <c r="B35" s="73"/>
      <c r="C35" s="73"/>
      <c r="D35" s="73"/>
    </row>
    <row r="36" spans="1:4">
      <c r="A36" s="114" t="s">
        <v>1393</v>
      </c>
      <c r="B36" s="73"/>
      <c r="C36" s="73"/>
      <c r="D36" s="73"/>
    </row>
    <row r="37" spans="1:4">
      <c r="A37" s="114" t="s">
        <v>2531</v>
      </c>
      <c r="B37" s="2811">
        <v>15532</v>
      </c>
      <c r="C37" s="73">
        <f>NDK!$B40</f>
        <v>0</v>
      </c>
      <c r="D37" s="2582">
        <f t="shared" si="0"/>
        <v>0</v>
      </c>
    </row>
    <row r="38" spans="1:4">
      <c r="A38" s="115" t="s">
        <v>497</v>
      </c>
      <c r="B38" s="2812">
        <v>1</v>
      </c>
      <c r="C38" s="73">
        <f>NDK!$B41</f>
        <v>0</v>
      </c>
      <c r="D38" s="2493">
        <v>0</v>
      </c>
    </row>
    <row r="39" spans="1:4">
      <c r="A39" s="106" t="s">
        <v>493</v>
      </c>
      <c r="B39" s="2811">
        <v>27766</v>
      </c>
      <c r="C39" s="73">
        <f>NDK!$B42</f>
        <v>0</v>
      </c>
      <c r="D39" s="73">
        <f t="shared" si="0"/>
        <v>0</v>
      </c>
    </row>
    <row r="40" spans="1:4">
      <c r="A40" s="106" t="s">
        <v>494</v>
      </c>
      <c r="B40" s="2811">
        <v>28701</v>
      </c>
      <c r="C40" s="73">
        <f>NDK!$B43</f>
        <v>0</v>
      </c>
      <c r="D40" s="73">
        <f t="shared" si="0"/>
        <v>0</v>
      </c>
    </row>
    <row r="41" spans="1:4">
      <c r="A41" s="114" t="s">
        <v>1178</v>
      </c>
      <c r="B41" s="2811">
        <v>676078</v>
      </c>
      <c r="C41" s="73">
        <f>NDK!$B44</f>
        <v>0</v>
      </c>
      <c r="D41" s="73">
        <f t="shared" si="0"/>
        <v>0</v>
      </c>
    </row>
    <row r="42" spans="1:4">
      <c r="A42" s="114" t="s">
        <v>1239</v>
      </c>
      <c r="B42" s="2811">
        <v>1279091</v>
      </c>
      <c r="C42" s="73">
        <f>NDK!$B45</f>
        <v>0</v>
      </c>
      <c r="D42" s="73">
        <f t="shared" si="0"/>
        <v>0</v>
      </c>
    </row>
    <row r="43" spans="1:4">
      <c r="A43" s="114" t="s">
        <v>1240</v>
      </c>
      <c r="B43" s="2811">
        <v>1370442</v>
      </c>
      <c r="C43" s="73">
        <f>NDK!$B46</f>
        <v>0</v>
      </c>
      <c r="D43" s="73">
        <f t="shared" si="0"/>
        <v>0</v>
      </c>
    </row>
    <row r="44" spans="1:4">
      <c r="A44" s="114" t="s">
        <v>4873</v>
      </c>
      <c r="B44" s="2811">
        <v>1461818</v>
      </c>
      <c r="C44" s="73">
        <f>NDK!$B47</f>
        <v>0</v>
      </c>
      <c r="D44" s="73">
        <f t="shared" si="0"/>
        <v>0</v>
      </c>
    </row>
    <row r="45" spans="1:4">
      <c r="A45" s="114" t="s">
        <v>1394</v>
      </c>
      <c r="B45" s="73"/>
      <c r="C45" s="73"/>
      <c r="D45" s="73"/>
    </row>
    <row r="46" spans="1:4">
      <c r="A46" s="114" t="s">
        <v>4874</v>
      </c>
      <c r="B46" s="73">
        <v>925800</v>
      </c>
      <c r="C46" s="73">
        <f>NDK!$B49</f>
        <v>0</v>
      </c>
      <c r="D46" s="2493">
        <v>0</v>
      </c>
    </row>
    <row r="47" spans="1:4">
      <c r="B47" s="73"/>
      <c r="C47" s="73"/>
      <c r="D47" s="73"/>
    </row>
    <row r="48" spans="1:4">
      <c r="A48" s="1479" t="s">
        <v>2847</v>
      </c>
      <c r="B48" s="1480"/>
      <c r="C48" s="1480"/>
      <c r="D48" s="1480">
        <f>SUM(D4:D47)</f>
        <v>0</v>
      </c>
    </row>
  </sheetData>
  <sheetProtection password="D2A1" sheet="1" objects="1" scenarios="1"/>
  <phoneticPr fontId="7" type="noConversion"/>
  <pageMargins left="0.75" right="0.75" top="1" bottom="1" header="0.5" footer="0.5"/>
  <pageSetup paperSize="9"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83"/>
  <sheetViews>
    <sheetView workbookViewId="0">
      <selection activeCell="J28" sqref="J28"/>
    </sheetView>
  </sheetViews>
  <sheetFormatPr defaultRowHeight="12.75"/>
  <cols>
    <col min="1" max="1" width="21" customWidth="1"/>
    <col min="2" max="2" width="28.140625" customWidth="1"/>
    <col min="3" max="3" width="14.85546875" customWidth="1"/>
    <col min="4" max="4" width="8.7109375" customWidth="1"/>
    <col min="5" max="5" width="14.140625" customWidth="1"/>
    <col min="6" max="6" width="13.140625" customWidth="1"/>
    <col min="7" max="7" width="13.28515625" customWidth="1"/>
    <col min="8" max="8" width="19.140625" customWidth="1"/>
    <col min="9" max="9" width="17" customWidth="1"/>
  </cols>
  <sheetData>
    <row r="1" spans="1:10" s="1" customFormat="1" ht="77.25">
      <c r="A1" s="3245" t="s">
        <v>5396</v>
      </c>
      <c r="B1" s="2492"/>
      <c r="C1" s="2160" t="s">
        <v>3828</v>
      </c>
      <c r="D1" s="1" t="s">
        <v>1397</v>
      </c>
      <c r="E1" s="1" t="s">
        <v>1398</v>
      </c>
      <c r="F1" s="1342" t="s">
        <v>1401</v>
      </c>
      <c r="G1" s="2156" t="str">
        <f>KÉRDÉSEK!C354</f>
        <v>Egyik sem</v>
      </c>
      <c r="H1" s="2147" t="s">
        <v>1402</v>
      </c>
      <c r="I1" s="2147" t="s">
        <v>1329</v>
      </c>
      <c r="J1" s="2147">
        <f>KÉRDÉSEK!C358</f>
        <v>1</v>
      </c>
    </row>
    <row r="2" spans="1:10">
      <c r="A2" s="3126">
        <v>390600</v>
      </c>
      <c r="B2" s="106" t="s">
        <v>2451</v>
      </c>
      <c r="C2" s="2161">
        <v>16164</v>
      </c>
      <c r="D2">
        <f>NDK!B4</f>
        <v>0</v>
      </c>
      <c r="E2" s="1846">
        <f>$D2*$H2</f>
        <v>0</v>
      </c>
      <c r="F2" t="s">
        <v>3419</v>
      </c>
      <c r="H2" s="1846">
        <f>IF($G$1=$F$2,$J$1*$A2,$C2)</f>
        <v>390600</v>
      </c>
    </row>
    <row r="3" spans="1:10" ht="51">
      <c r="A3" s="3126"/>
      <c r="B3" s="111" t="s">
        <v>201</v>
      </c>
      <c r="C3" s="2162"/>
      <c r="D3" s="565"/>
      <c r="E3" s="2155"/>
      <c r="F3" t="s">
        <v>1404</v>
      </c>
      <c r="H3" s="1846">
        <f t="shared" ref="H3:H47" si="0">IF($G$1=$F$2,$J$1*$A3,$C3)</f>
        <v>0</v>
      </c>
    </row>
    <row r="4" spans="1:10">
      <c r="A4" s="3126">
        <v>327600</v>
      </c>
      <c r="B4" s="106" t="s">
        <v>2452</v>
      </c>
      <c r="C4" s="2161">
        <v>16896</v>
      </c>
      <c r="D4">
        <f>NDK!B6</f>
        <v>0</v>
      </c>
      <c r="E4" s="1846">
        <f t="shared" ref="E4:E47" si="1">$D4*$H4</f>
        <v>0</v>
      </c>
      <c r="F4" t="s">
        <v>1405</v>
      </c>
      <c r="H4" s="1846">
        <f t="shared" si="0"/>
        <v>327600</v>
      </c>
    </row>
    <row r="5" spans="1:10" ht="38.25">
      <c r="A5" s="3126">
        <v>441000</v>
      </c>
      <c r="B5" s="110" t="s">
        <v>3319</v>
      </c>
      <c r="C5" s="2161">
        <v>19188</v>
      </c>
      <c r="D5">
        <f>NDK!B7</f>
        <v>0</v>
      </c>
      <c r="E5" s="1846">
        <f t="shared" si="1"/>
        <v>0</v>
      </c>
      <c r="H5" s="1846">
        <f t="shared" si="0"/>
        <v>441000</v>
      </c>
    </row>
    <row r="6" spans="1:10">
      <c r="A6" s="3126"/>
      <c r="B6" s="111" t="s">
        <v>1491</v>
      </c>
      <c r="C6" s="2162"/>
      <c r="D6" s="565"/>
      <c r="E6" s="2155"/>
      <c r="H6" s="1846">
        <f t="shared" si="0"/>
        <v>0</v>
      </c>
    </row>
    <row r="7" spans="1:10">
      <c r="A7" s="3126"/>
      <c r="B7" s="111" t="s">
        <v>3826</v>
      </c>
      <c r="C7" s="2162"/>
      <c r="D7" s="565"/>
      <c r="E7" s="2155"/>
      <c r="H7" s="1846">
        <f t="shared" si="0"/>
        <v>0</v>
      </c>
    </row>
    <row r="8" spans="1:10" ht="38.25">
      <c r="A8" s="3126">
        <v>498960</v>
      </c>
      <c r="B8" s="110" t="s">
        <v>3320</v>
      </c>
      <c r="C8" s="2161">
        <v>20196</v>
      </c>
      <c r="D8">
        <f>NDK!B10</f>
        <v>0</v>
      </c>
      <c r="E8" s="1846">
        <f t="shared" si="1"/>
        <v>0</v>
      </c>
      <c r="H8" s="1846">
        <f t="shared" si="0"/>
        <v>498960</v>
      </c>
    </row>
    <row r="9" spans="1:10">
      <c r="A9" s="3126"/>
      <c r="B9" s="111" t="s">
        <v>1493</v>
      </c>
      <c r="C9" s="2162"/>
      <c r="D9" s="565"/>
      <c r="E9" s="2155"/>
      <c r="H9" s="1846">
        <f t="shared" si="0"/>
        <v>0</v>
      </c>
    </row>
    <row r="10" spans="1:10">
      <c r="A10" s="3126"/>
      <c r="B10" s="111" t="s">
        <v>160</v>
      </c>
      <c r="C10" s="2162"/>
      <c r="D10" s="565"/>
      <c r="E10" s="2155"/>
      <c r="H10" s="1846">
        <f t="shared" si="0"/>
        <v>0</v>
      </c>
    </row>
    <row r="11" spans="1:10">
      <c r="A11" s="3126">
        <v>655200</v>
      </c>
      <c r="B11" s="114" t="s">
        <v>2453</v>
      </c>
      <c r="C11" s="2161">
        <v>23928</v>
      </c>
      <c r="D11">
        <f>NDK!B13</f>
        <v>0</v>
      </c>
      <c r="E11" s="1846">
        <f t="shared" si="1"/>
        <v>0</v>
      </c>
      <c r="H11" s="1846">
        <f t="shared" si="0"/>
        <v>655200</v>
      </c>
    </row>
    <row r="12" spans="1:10">
      <c r="A12" s="3126"/>
      <c r="B12" s="111" t="s">
        <v>161</v>
      </c>
      <c r="C12" s="2162"/>
      <c r="D12" s="565"/>
      <c r="E12" s="2155"/>
      <c r="H12" s="1846">
        <f t="shared" si="0"/>
        <v>0</v>
      </c>
    </row>
    <row r="13" spans="1:10">
      <c r="A13" s="3126"/>
      <c r="B13" s="111" t="s">
        <v>162</v>
      </c>
      <c r="C13" s="2162"/>
      <c r="D13" s="565"/>
      <c r="E13" s="2155"/>
      <c r="H13" s="1846">
        <f t="shared" si="0"/>
        <v>0</v>
      </c>
    </row>
    <row r="14" spans="1:10">
      <c r="A14" s="3126">
        <v>647640</v>
      </c>
      <c r="B14" s="114" t="s">
        <v>2454</v>
      </c>
      <c r="C14" s="2161">
        <v>26376</v>
      </c>
      <c r="D14">
        <f>NDK!B16</f>
        <v>0</v>
      </c>
      <c r="E14" s="1846">
        <f t="shared" si="1"/>
        <v>0</v>
      </c>
      <c r="H14" s="1846">
        <f t="shared" si="0"/>
        <v>647640</v>
      </c>
    </row>
    <row r="15" spans="1:10">
      <c r="A15" s="2158"/>
      <c r="B15" s="114" t="s">
        <v>150</v>
      </c>
      <c r="C15" s="2162"/>
      <c r="D15" s="565"/>
      <c r="E15" s="2155"/>
      <c r="H15" s="1846">
        <f t="shared" si="0"/>
        <v>0</v>
      </c>
    </row>
    <row r="16" spans="1:10">
      <c r="A16" s="3126">
        <v>801360</v>
      </c>
      <c r="B16" s="114" t="s">
        <v>2438</v>
      </c>
      <c r="C16" s="2161">
        <v>22308</v>
      </c>
      <c r="D16">
        <f>NDK!B18</f>
        <v>0</v>
      </c>
      <c r="E16" s="1846">
        <f t="shared" si="1"/>
        <v>0</v>
      </c>
      <c r="H16" s="1846">
        <f t="shared" si="0"/>
        <v>801360</v>
      </c>
    </row>
    <row r="17" spans="1:8" ht="25.5" hidden="1">
      <c r="A17" s="3126"/>
      <c r="B17" s="491" t="s">
        <v>2439</v>
      </c>
      <c r="C17" s="2161"/>
      <c r="D17">
        <f>NDK!B19</f>
        <v>0</v>
      </c>
      <c r="E17" s="1846">
        <f t="shared" si="1"/>
        <v>0</v>
      </c>
      <c r="H17" s="1846">
        <f t="shared" si="0"/>
        <v>0</v>
      </c>
    </row>
    <row r="18" spans="1:8" hidden="1">
      <c r="A18" s="3126"/>
      <c r="B18" s="492" t="s">
        <v>4937</v>
      </c>
      <c r="C18" s="2161"/>
      <c r="D18">
        <f>NDK!B20</f>
        <v>0</v>
      </c>
      <c r="E18" s="1846">
        <f t="shared" si="1"/>
        <v>0</v>
      </c>
      <c r="H18" s="1846">
        <f t="shared" si="0"/>
        <v>0</v>
      </c>
    </row>
    <row r="19" spans="1:8">
      <c r="A19" s="3126">
        <v>2585520</v>
      </c>
      <c r="B19" s="114" t="s">
        <v>2456</v>
      </c>
      <c r="C19" s="2161">
        <v>36252</v>
      </c>
      <c r="D19">
        <f>NDK!B21</f>
        <v>0</v>
      </c>
      <c r="E19" s="1846">
        <f t="shared" si="1"/>
        <v>0</v>
      </c>
      <c r="H19" s="1846">
        <f t="shared" si="0"/>
        <v>2585520</v>
      </c>
    </row>
    <row r="20" spans="1:8" ht="38.25">
      <c r="A20" s="3126"/>
      <c r="B20" s="258" t="s">
        <v>1863</v>
      </c>
      <c r="C20" s="2162"/>
      <c r="D20" s="565"/>
      <c r="E20" s="2155"/>
      <c r="H20" s="1846">
        <f t="shared" si="0"/>
        <v>0</v>
      </c>
    </row>
    <row r="21" spans="1:8" hidden="1">
      <c r="A21" s="3126"/>
      <c r="B21" s="458" t="s">
        <v>2440</v>
      </c>
      <c r="C21" s="2161"/>
      <c r="E21" s="1846">
        <f t="shared" si="1"/>
        <v>0</v>
      </c>
      <c r="H21" s="1846">
        <f t="shared" si="0"/>
        <v>0</v>
      </c>
    </row>
    <row r="22" spans="1:8">
      <c r="A22" s="3126">
        <v>2989980</v>
      </c>
      <c r="B22" s="106" t="s">
        <v>4134</v>
      </c>
      <c r="C22" s="2161">
        <v>43248</v>
      </c>
      <c r="D22">
        <f>NDK!B24</f>
        <v>0</v>
      </c>
      <c r="E22" s="1846">
        <f t="shared" si="1"/>
        <v>0</v>
      </c>
      <c r="H22" s="1846">
        <f t="shared" si="0"/>
        <v>2989980</v>
      </c>
    </row>
    <row r="23" spans="1:8">
      <c r="A23" s="2158"/>
      <c r="B23" s="106" t="s">
        <v>149</v>
      </c>
      <c r="C23" s="2162"/>
      <c r="D23" s="565"/>
      <c r="E23" s="2155"/>
      <c r="H23" s="1846">
        <f t="shared" si="0"/>
        <v>0</v>
      </c>
    </row>
    <row r="24" spans="1:8">
      <c r="A24" s="3126">
        <v>75600</v>
      </c>
      <c r="B24" s="114" t="s">
        <v>1494</v>
      </c>
      <c r="C24" s="2161">
        <v>1176</v>
      </c>
      <c r="D24">
        <f>NDK!B26</f>
        <v>0</v>
      </c>
      <c r="E24" s="1846">
        <f t="shared" si="1"/>
        <v>0</v>
      </c>
      <c r="H24" s="1846">
        <f t="shared" si="0"/>
        <v>75600</v>
      </c>
    </row>
    <row r="25" spans="1:8">
      <c r="A25" s="3126">
        <v>642600</v>
      </c>
      <c r="B25" s="114" t="s">
        <v>3072</v>
      </c>
      <c r="C25" s="2161">
        <v>2484</v>
      </c>
      <c r="D25">
        <f>NDK!B27</f>
        <v>0</v>
      </c>
      <c r="E25" s="1846">
        <f t="shared" si="1"/>
        <v>0</v>
      </c>
      <c r="H25" s="1846">
        <f t="shared" si="0"/>
        <v>642600</v>
      </c>
    </row>
    <row r="26" spans="1:8">
      <c r="A26" s="3126"/>
      <c r="B26" s="257" t="s">
        <v>1862</v>
      </c>
      <c r="C26" s="2162"/>
      <c r="D26" s="565"/>
      <c r="E26" s="2155"/>
      <c r="H26" s="1846">
        <f t="shared" si="0"/>
        <v>0</v>
      </c>
    </row>
    <row r="27" spans="1:8">
      <c r="A27" s="3126">
        <v>3144960</v>
      </c>
      <c r="B27" s="114" t="s">
        <v>3071</v>
      </c>
      <c r="C27" s="2161">
        <v>3864</v>
      </c>
      <c r="D27">
        <f>NDK!B29</f>
        <v>0</v>
      </c>
      <c r="E27" s="1846">
        <f t="shared" si="1"/>
        <v>0</v>
      </c>
      <c r="H27" s="1846">
        <f t="shared" si="0"/>
        <v>3144960</v>
      </c>
    </row>
    <row r="28" spans="1:8">
      <c r="A28" s="2157"/>
      <c r="B28" s="114" t="s">
        <v>148</v>
      </c>
      <c r="C28" s="2162"/>
      <c r="D28" s="565"/>
      <c r="E28" s="2155"/>
      <c r="H28" s="1846">
        <f t="shared" si="0"/>
        <v>0</v>
      </c>
    </row>
    <row r="29" spans="1:8">
      <c r="A29" s="3126">
        <v>4415040</v>
      </c>
      <c r="B29" s="114" t="s">
        <v>491</v>
      </c>
      <c r="C29" s="2161">
        <v>263964</v>
      </c>
      <c r="D29">
        <f>NDK!B31</f>
        <v>0</v>
      </c>
      <c r="E29" s="1846">
        <f t="shared" si="1"/>
        <v>0</v>
      </c>
      <c r="H29" s="1846">
        <f t="shared" si="0"/>
        <v>4415040</v>
      </c>
    </row>
    <row r="30" spans="1:8">
      <c r="A30" s="3126">
        <v>4415040</v>
      </c>
      <c r="B30" s="114" t="s">
        <v>492</v>
      </c>
      <c r="C30" s="2161">
        <v>263964</v>
      </c>
      <c r="D30">
        <f>NDK!B32</f>
        <v>0</v>
      </c>
      <c r="E30" s="1846">
        <f t="shared" si="1"/>
        <v>0</v>
      </c>
      <c r="H30" s="1846">
        <f t="shared" si="0"/>
        <v>4415040</v>
      </c>
    </row>
    <row r="31" spans="1:8">
      <c r="A31" s="3126">
        <v>219240</v>
      </c>
      <c r="B31" s="114" t="s">
        <v>1179</v>
      </c>
      <c r="C31" s="2161">
        <v>5580</v>
      </c>
      <c r="D31">
        <f>NDK!B33</f>
        <v>0</v>
      </c>
      <c r="E31" s="1846">
        <f t="shared" si="1"/>
        <v>0</v>
      </c>
      <c r="H31" s="1846">
        <f t="shared" si="0"/>
        <v>219240</v>
      </c>
    </row>
    <row r="32" spans="1:8">
      <c r="A32" s="3126">
        <v>93240</v>
      </c>
      <c r="B32" s="114" t="s">
        <v>3074</v>
      </c>
      <c r="C32" s="2161">
        <v>3900</v>
      </c>
      <c r="D32">
        <f>NDK!B34</f>
        <v>0</v>
      </c>
      <c r="E32" s="1846">
        <f t="shared" si="1"/>
        <v>0</v>
      </c>
      <c r="H32" s="1846">
        <f t="shared" si="0"/>
        <v>93240</v>
      </c>
    </row>
    <row r="33" spans="1:8">
      <c r="A33" s="3126">
        <v>241920</v>
      </c>
      <c r="B33" s="114" t="s">
        <v>1234</v>
      </c>
      <c r="C33" s="2161">
        <v>5808</v>
      </c>
      <c r="D33">
        <f>NDK!B35</f>
        <v>0</v>
      </c>
      <c r="E33" s="1846">
        <f t="shared" si="1"/>
        <v>0</v>
      </c>
      <c r="H33" s="1846">
        <f t="shared" si="0"/>
        <v>241920</v>
      </c>
    </row>
    <row r="34" spans="1:8">
      <c r="A34" s="3126">
        <v>748440</v>
      </c>
      <c r="B34" s="114" t="s">
        <v>1235</v>
      </c>
      <c r="C34" s="2161">
        <v>8904</v>
      </c>
      <c r="D34">
        <f>NDK!B36</f>
        <v>0</v>
      </c>
      <c r="E34" s="1846">
        <f t="shared" si="1"/>
        <v>0</v>
      </c>
      <c r="H34" s="1846">
        <f t="shared" si="0"/>
        <v>748440</v>
      </c>
    </row>
    <row r="35" spans="1:8">
      <c r="A35" s="3126">
        <v>1123920</v>
      </c>
      <c r="B35" s="114" t="s">
        <v>1236</v>
      </c>
      <c r="C35" s="2161">
        <v>12024</v>
      </c>
      <c r="D35">
        <f>NDK!B37</f>
        <v>0</v>
      </c>
      <c r="E35" s="1846">
        <f t="shared" si="1"/>
        <v>0</v>
      </c>
      <c r="H35" s="1846">
        <f t="shared" si="0"/>
        <v>1123920</v>
      </c>
    </row>
    <row r="36" spans="1:8" ht="25.5">
      <c r="A36" s="2158"/>
      <c r="B36" s="258" t="s">
        <v>2710</v>
      </c>
      <c r="C36" s="2162"/>
      <c r="D36" s="565"/>
      <c r="E36" s="2155"/>
      <c r="H36" s="1846">
        <f t="shared" si="0"/>
        <v>0</v>
      </c>
    </row>
    <row r="37" spans="1:8">
      <c r="A37" s="2158"/>
      <c r="B37" s="114" t="s">
        <v>1393</v>
      </c>
      <c r="C37" s="2162"/>
      <c r="D37" s="565"/>
      <c r="E37" s="2155"/>
      <c r="H37" s="1846">
        <f t="shared" si="0"/>
        <v>0</v>
      </c>
    </row>
    <row r="38" spans="1:8">
      <c r="A38" s="3126">
        <v>78120</v>
      </c>
      <c r="B38" s="114" t="s">
        <v>2531</v>
      </c>
      <c r="C38" s="2161">
        <v>2856</v>
      </c>
      <c r="D38">
        <f>NDK!B40</f>
        <v>0</v>
      </c>
      <c r="E38" s="1846">
        <f t="shared" si="1"/>
        <v>0</v>
      </c>
      <c r="H38" s="1846">
        <f t="shared" si="0"/>
        <v>78120</v>
      </c>
    </row>
    <row r="39" spans="1:8">
      <c r="A39" s="2163">
        <v>0</v>
      </c>
      <c r="B39" s="115" t="s">
        <v>497</v>
      </c>
      <c r="C39" s="2163">
        <v>0</v>
      </c>
      <c r="D39">
        <f>NDK!B41</f>
        <v>0</v>
      </c>
      <c r="E39" s="1846">
        <f t="shared" si="1"/>
        <v>0</v>
      </c>
      <c r="H39" s="1846">
        <f t="shared" si="0"/>
        <v>0</v>
      </c>
    </row>
    <row r="40" spans="1:8">
      <c r="A40" s="3126">
        <v>131040</v>
      </c>
      <c r="B40" s="106" t="s">
        <v>493</v>
      </c>
      <c r="C40" s="2161">
        <v>3600</v>
      </c>
      <c r="D40">
        <f>NDK!B42</f>
        <v>0</v>
      </c>
      <c r="E40" s="1846">
        <f t="shared" si="1"/>
        <v>0</v>
      </c>
      <c r="H40" s="1846">
        <f t="shared" si="0"/>
        <v>131040</v>
      </c>
    </row>
    <row r="41" spans="1:8">
      <c r="A41" s="3126">
        <v>131040</v>
      </c>
      <c r="B41" s="106" t="s">
        <v>494</v>
      </c>
      <c r="C41" s="2161">
        <v>3600</v>
      </c>
      <c r="D41">
        <f>NDK!B43</f>
        <v>0</v>
      </c>
      <c r="E41" s="1846">
        <f t="shared" si="1"/>
        <v>0</v>
      </c>
      <c r="H41" s="1846">
        <f t="shared" si="0"/>
        <v>131040</v>
      </c>
    </row>
    <row r="42" spans="1:8">
      <c r="A42" s="3126">
        <v>2228310</v>
      </c>
      <c r="B42" s="114" t="s">
        <v>1178</v>
      </c>
      <c r="C42" s="2161">
        <v>27984</v>
      </c>
      <c r="D42">
        <f>NDK!B44</f>
        <v>0</v>
      </c>
      <c r="E42" s="1846">
        <f t="shared" si="1"/>
        <v>0</v>
      </c>
      <c r="H42" s="1846">
        <f t="shared" si="0"/>
        <v>2228310</v>
      </c>
    </row>
    <row r="43" spans="1:8">
      <c r="A43" s="3126">
        <v>4216590</v>
      </c>
      <c r="B43" s="114" t="s">
        <v>1239</v>
      </c>
      <c r="C43" s="2161">
        <v>48852</v>
      </c>
      <c r="D43">
        <f>NDK!B45</f>
        <v>0</v>
      </c>
      <c r="E43" s="1846">
        <f t="shared" si="1"/>
        <v>0</v>
      </c>
      <c r="H43" s="1846">
        <f t="shared" si="0"/>
        <v>4216590</v>
      </c>
    </row>
    <row r="44" spans="1:8">
      <c r="A44" s="3126">
        <v>4517100</v>
      </c>
      <c r="B44" s="114" t="s">
        <v>1240</v>
      </c>
      <c r="C44" s="2161">
        <v>62532</v>
      </c>
      <c r="D44">
        <f>NDK!B46</f>
        <v>0</v>
      </c>
      <c r="E44" s="1846">
        <f t="shared" si="1"/>
        <v>0</v>
      </c>
      <c r="H44" s="1846">
        <f t="shared" si="0"/>
        <v>4517100</v>
      </c>
    </row>
    <row r="45" spans="1:8">
      <c r="A45" s="3126">
        <v>5278770</v>
      </c>
      <c r="B45" s="114" t="s">
        <v>4873</v>
      </c>
      <c r="C45" s="2161">
        <v>112224</v>
      </c>
      <c r="D45">
        <f>NDK!B47</f>
        <v>0</v>
      </c>
      <c r="E45" s="1846">
        <f t="shared" si="1"/>
        <v>0</v>
      </c>
      <c r="H45" s="1846">
        <f t="shared" si="0"/>
        <v>5278770</v>
      </c>
    </row>
    <row r="46" spans="1:8">
      <c r="A46" s="2158"/>
      <c r="B46" s="114" t="s">
        <v>1394</v>
      </c>
      <c r="C46" s="2161"/>
      <c r="E46" s="1846">
        <f t="shared" si="1"/>
        <v>0</v>
      </c>
      <c r="H46" s="1846">
        <f t="shared" si="0"/>
        <v>0</v>
      </c>
    </row>
    <row r="47" spans="1:8">
      <c r="A47" s="2163">
        <v>0</v>
      </c>
      <c r="B47" s="114" t="s">
        <v>4874</v>
      </c>
      <c r="C47" s="2163">
        <v>0</v>
      </c>
      <c r="D47">
        <f>NDK!B49</f>
        <v>0</v>
      </c>
      <c r="E47" s="1846">
        <f t="shared" si="1"/>
        <v>0</v>
      </c>
      <c r="H47" s="1846">
        <f t="shared" si="0"/>
        <v>0</v>
      </c>
    </row>
    <row r="48" spans="1:8">
      <c r="H48" s="1838"/>
    </row>
    <row r="49" spans="1:5">
      <c r="B49" s="1339" t="s">
        <v>1399</v>
      </c>
      <c r="C49" s="1340"/>
      <c r="D49" s="1340"/>
      <c r="E49" s="1341">
        <f>ROUND(SUM(E2:E48)/12,0)*12</f>
        <v>0</v>
      </c>
    </row>
    <row r="53" spans="1:5">
      <c r="A53" s="2159" t="s">
        <v>3827</v>
      </c>
    </row>
    <row r="54" spans="1:5">
      <c r="A54" s="2159" t="s">
        <v>3419</v>
      </c>
    </row>
    <row r="55" spans="1:5">
      <c r="A55" s="2159">
        <v>30002993</v>
      </c>
    </row>
    <row r="56" spans="1:5">
      <c r="A56" s="2159">
        <v>30003004</v>
      </c>
    </row>
    <row r="57" spans="1:5">
      <c r="A57" s="2159">
        <v>30003007</v>
      </c>
    </row>
    <row r="58" spans="1:5">
      <c r="A58" s="2159">
        <v>30003010</v>
      </c>
    </row>
    <row r="59" spans="1:5">
      <c r="A59" s="2159">
        <v>30003011</v>
      </c>
    </row>
    <row r="60" spans="1:5">
      <c r="A60" s="2159">
        <v>30003012</v>
      </c>
    </row>
    <row r="61" spans="1:5">
      <c r="A61" s="2159">
        <v>30003018</v>
      </c>
    </row>
    <row r="62" spans="1:5">
      <c r="A62" s="2159">
        <v>30003020</v>
      </c>
    </row>
    <row r="63" spans="1:5">
      <c r="A63" s="2159">
        <v>30003021</v>
      </c>
    </row>
    <row r="64" spans="1:5">
      <c r="A64" s="2159">
        <v>30003022</v>
      </c>
    </row>
    <row r="65" spans="1:1">
      <c r="A65" s="2159">
        <v>30003025</v>
      </c>
    </row>
    <row r="66" spans="1:1">
      <c r="A66" s="2159">
        <v>30003028</v>
      </c>
    </row>
    <row r="67" spans="1:1">
      <c r="A67" s="2159">
        <v>30003032</v>
      </c>
    </row>
    <row r="68" spans="1:1">
      <c r="A68" s="2159">
        <v>30003033</v>
      </c>
    </row>
    <row r="69" spans="1:1">
      <c r="A69" s="2159">
        <v>30003035</v>
      </c>
    </row>
    <row r="70" spans="1:1">
      <c r="A70" s="2159">
        <v>30003040</v>
      </c>
    </row>
    <row r="71" spans="1:1">
      <c r="A71" s="2159">
        <v>30003153</v>
      </c>
    </row>
    <row r="72" spans="1:1">
      <c r="A72" s="2159">
        <v>30003238</v>
      </c>
    </row>
    <row r="73" spans="1:1">
      <c r="A73" s="2159">
        <v>30003290</v>
      </c>
    </row>
    <row r="74" spans="1:1">
      <c r="A74" s="2159">
        <v>30003293</v>
      </c>
    </row>
    <row r="75" spans="1:1">
      <c r="A75" s="2159">
        <v>30003298</v>
      </c>
    </row>
    <row r="76" spans="1:1">
      <c r="A76" s="2159">
        <v>30003313</v>
      </c>
    </row>
    <row r="77" spans="1:1">
      <c r="A77" s="2159">
        <v>30003316</v>
      </c>
    </row>
    <row r="78" spans="1:1">
      <c r="A78" s="2159">
        <v>30003465</v>
      </c>
    </row>
    <row r="79" spans="1:1">
      <c r="A79" s="2159">
        <v>30003466</v>
      </c>
    </row>
    <row r="80" spans="1:1">
      <c r="A80" s="2159">
        <v>30003467</v>
      </c>
    </row>
    <row r="81" spans="1:1">
      <c r="A81" s="2159">
        <v>30003469</v>
      </c>
    </row>
    <row r="82" spans="1:1">
      <c r="A82" s="2159">
        <v>30003470</v>
      </c>
    </row>
    <row r="83" spans="1:1">
      <c r="A83" s="2159">
        <v>30003617</v>
      </c>
    </row>
  </sheetData>
  <sheetProtection password="D2A1" sheet="1" objects="1" scenarios="1" selectLockedCells="1" selectUnlockedCells="1"/>
  <phoneticPr fontId="7" type="noConversion"/>
  <pageMargins left="0.75" right="0.75" top="1" bottom="1" header="0.5" footer="0.5"/>
  <pageSetup paperSize="9" orientation="portrait" verticalDpi="0"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unka6"/>
  <dimension ref="A1:BB4793"/>
  <sheetViews>
    <sheetView zoomScale="75" zoomScaleNormal="75" workbookViewId="0">
      <selection activeCell="G48" sqref="G48"/>
    </sheetView>
  </sheetViews>
  <sheetFormatPr defaultRowHeight="12.75"/>
  <cols>
    <col min="1" max="1" width="12.28515625" style="498" customWidth="1"/>
    <col min="2" max="2" width="19" style="199" customWidth="1"/>
    <col min="3" max="3" width="20.7109375" style="554" customWidth="1"/>
    <col min="4" max="4" width="24.85546875" style="552" customWidth="1"/>
    <col min="5" max="5" width="23.7109375" style="553" customWidth="1"/>
    <col min="6" max="7" width="24" style="553" customWidth="1"/>
    <col min="8" max="8" width="2.85546875" style="553" customWidth="1"/>
    <col min="9" max="9" width="31.85546875" style="553" customWidth="1"/>
    <col min="10" max="10" width="18.5703125" style="553" customWidth="1"/>
    <col min="11" max="11" width="17.28515625" style="553" customWidth="1"/>
    <col min="12" max="12" width="18.5703125" style="553" customWidth="1"/>
    <col min="13" max="13" width="8" style="553" customWidth="1"/>
    <col min="14" max="14" width="9.7109375" style="553" customWidth="1"/>
    <col min="15" max="15" width="22.42578125" style="553" customWidth="1"/>
    <col min="16" max="16" width="12.140625" style="553" customWidth="1"/>
    <col min="17" max="17" width="13" style="553" customWidth="1"/>
    <col min="18" max="18" width="3.140625" style="553" customWidth="1"/>
    <col min="19" max="19" width="13.140625" style="553" customWidth="1"/>
    <col min="20" max="21" width="11.85546875" style="553" customWidth="1"/>
    <col min="22" max="22" width="29.42578125" style="553" customWidth="1"/>
    <col min="23" max="23" width="16" style="553" customWidth="1"/>
    <col min="24" max="24" width="21.7109375" style="553" customWidth="1"/>
    <col min="25" max="25" width="22.5703125" style="553" customWidth="1"/>
    <col min="26" max="26" width="16.5703125" style="553" customWidth="1"/>
    <col min="27" max="27" width="12.85546875" style="553" customWidth="1"/>
    <col min="28" max="28" width="12.42578125" style="553" customWidth="1"/>
    <col min="29" max="29" width="9.28515625" style="553" bestFit="1" customWidth="1"/>
    <col min="30" max="30" width="14.5703125" style="553" customWidth="1"/>
    <col min="31" max="31" width="18.85546875" style="553" customWidth="1"/>
    <col min="32" max="32" width="9.5703125" style="553" bestFit="1" customWidth="1"/>
    <col min="33" max="33" width="30.28515625" style="553" customWidth="1"/>
    <col min="34" max="34" width="16.85546875" style="553" customWidth="1"/>
    <col min="35" max="35" width="10.140625" style="553" customWidth="1"/>
    <col min="36" max="36" width="12.85546875" style="553" customWidth="1"/>
    <col min="37" max="37" width="11.7109375" style="553" customWidth="1"/>
    <col min="38" max="38" width="9.42578125" style="553" customWidth="1"/>
    <col min="39" max="39" width="9.42578125" style="553" bestFit="1" customWidth="1"/>
    <col min="40" max="40" width="10.5703125" style="553" bestFit="1" customWidth="1"/>
    <col min="41" max="41" width="10.42578125" style="553" bestFit="1" customWidth="1"/>
    <col min="42" max="42" width="13.5703125" style="553" customWidth="1"/>
    <col min="43" max="43" width="9.140625" style="553"/>
    <col min="44" max="44" width="24.85546875" style="2862" customWidth="1"/>
    <col min="45" max="46" width="9.140625" style="553"/>
    <col min="47" max="47" width="10.7109375" style="553" customWidth="1"/>
    <col min="48" max="48" width="9.85546875" style="553" customWidth="1"/>
    <col min="49" max="49" width="9.140625" style="553"/>
    <col min="50" max="50" width="15.42578125" style="553" customWidth="1"/>
    <col min="51" max="16384" width="9.140625" style="553"/>
  </cols>
  <sheetData>
    <row r="1" spans="1:54" ht="36.75" customHeight="1" thickTop="1">
      <c r="A1" s="555" t="s">
        <v>3189</v>
      </c>
      <c r="B1" s="555" t="s">
        <v>3188</v>
      </c>
      <c r="C1" s="556" t="s">
        <v>3187</v>
      </c>
      <c r="D1" s="557" t="s">
        <v>1488</v>
      </c>
      <c r="E1" s="553">
        <f>NDK!$B$52</f>
        <v>1114</v>
      </c>
      <c r="I1" s="553" t="s">
        <v>4192</v>
      </c>
      <c r="J1" s="550">
        <f>NDK!B51</f>
        <v>7410</v>
      </c>
      <c r="K1" s="580" t="s">
        <v>3194</v>
      </c>
      <c r="L1" s="581">
        <f>$D$61</f>
        <v>1.1850000000000001</v>
      </c>
      <c r="M1" s="581"/>
      <c r="N1" s="581"/>
      <c r="O1" s="1385" t="s">
        <v>226</v>
      </c>
      <c r="P1" s="1386" t="s">
        <v>5343</v>
      </c>
      <c r="Q1" s="1387">
        <f>$D$27*$L$1*KÉRDÉSEK!$C$249*$T$1</f>
        <v>0.98355000000000015</v>
      </c>
      <c r="S1" s="1384" t="s">
        <v>229</v>
      </c>
      <c r="T1" s="1383">
        <f>KÉRDÉSEK!G249</f>
        <v>1</v>
      </c>
      <c r="V1" s="1443" t="s">
        <v>3022</v>
      </c>
      <c r="W1" s="1444">
        <f>W18</f>
        <v>0</v>
      </c>
      <c r="Y1" s="1854" t="s">
        <v>3760</v>
      </c>
      <c r="Z1" s="1854">
        <f>NDK!X50</f>
        <v>0</v>
      </c>
      <c r="AF1" s="553" t="s">
        <v>4201</v>
      </c>
      <c r="AG1" s="2560" t="s">
        <v>5109</v>
      </c>
      <c r="AH1" s="2563" t="str">
        <f>KÉRDÉSEK!$C$251</f>
        <v>NEM</v>
      </c>
      <c r="AR1" s="2866" t="s">
        <v>5249</v>
      </c>
      <c r="AS1" s="2867">
        <f>NDK!B51</f>
        <v>7410</v>
      </c>
      <c r="AT1" s="3271" t="s">
        <v>5430</v>
      </c>
      <c r="AU1" s="2868" t="str">
        <f>IF(KÉRDÉSEK!C230=AV1,AW1,AV1)</f>
        <v>IGEN</v>
      </c>
      <c r="AV1" s="2877" t="s">
        <v>4201</v>
      </c>
      <c r="AW1" s="2877" t="s">
        <v>4202</v>
      </c>
      <c r="AX1" s="2904">
        <v>131640</v>
      </c>
      <c r="AY1" s="2904">
        <v>30295</v>
      </c>
      <c r="AZ1" s="2904">
        <v>0.77</v>
      </c>
    </row>
    <row r="2" spans="1:54" s="2" customFormat="1" ht="65.25" customHeight="1">
      <c r="A2" s="550">
        <v>1011</v>
      </c>
      <c r="B2" s="550" t="s">
        <v>401</v>
      </c>
      <c r="C2" s="551"/>
      <c r="D2" s="558" t="s">
        <v>327</v>
      </c>
      <c r="E2" s="549" t="str">
        <f>VLOOKUP(E1,A2:C3594,2)</f>
        <v>Budapest</v>
      </c>
      <c r="F2" s="549"/>
      <c r="G2" s="2732" t="s">
        <v>5209</v>
      </c>
      <c r="I2" s="2899">
        <v>2019</v>
      </c>
      <c r="J2" s="1859" t="s">
        <v>3763</v>
      </c>
      <c r="K2" s="880" t="s">
        <v>217</v>
      </c>
      <c r="L2" s="2733" t="s">
        <v>5257</v>
      </c>
      <c r="M2" s="2734" t="s">
        <v>5211</v>
      </c>
      <c r="N2" s="2734" t="s">
        <v>5215</v>
      </c>
      <c r="O2" s="1389" t="s">
        <v>231</v>
      </c>
      <c r="P2" s="2547" t="s">
        <v>5344</v>
      </c>
      <c r="Q2" s="1388" t="s">
        <v>232</v>
      </c>
      <c r="R2" s="880"/>
      <c r="S2" s="1390" t="s">
        <v>233</v>
      </c>
      <c r="T2" s="2568" t="s">
        <v>3765</v>
      </c>
      <c r="U2" s="2569">
        <f>IF(U6=T5,1,1-KÉRDÉSEK!D249+KÉRDÉSEK!D245)</f>
        <v>1</v>
      </c>
      <c r="V2" s="2566" t="s">
        <v>3023</v>
      </c>
      <c r="W2" s="1445">
        <f>AP97</f>
        <v>0</v>
      </c>
      <c r="X2" s="880"/>
      <c r="Y2" s="1391"/>
      <c r="Z2" s="1856" t="s">
        <v>5258</v>
      </c>
      <c r="AA2" s="1855" t="s">
        <v>4988</v>
      </c>
      <c r="AB2" s="1860" t="s">
        <v>1572</v>
      </c>
      <c r="AC2" s="880"/>
      <c r="AD2" s="1390"/>
      <c r="AE2" s="881"/>
      <c r="AF2" s="60" t="s">
        <v>4202</v>
      </c>
      <c r="AG2" s="2561" t="s">
        <v>5111</v>
      </c>
      <c r="AH2" s="3260">
        <f>IF($AH$1=$AF$2,KÉRDÉSEK!$C$249,(KÉRDÉSEK!$C$249+0.95))</f>
        <v>0.83000000000000007</v>
      </c>
      <c r="AR2" s="3268" t="s">
        <v>5427</v>
      </c>
      <c r="AS2" s="2863" t="s">
        <v>5425</v>
      </c>
      <c r="AT2" s="2863" t="s">
        <v>5426</v>
      </c>
      <c r="AU2" s="2865" t="s">
        <v>3704</v>
      </c>
      <c r="AX2" s="2733" t="s">
        <v>5255</v>
      </c>
      <c r="AY2" s="2905" t="s">
        <v>5256</v>
      </c>
      <c r="BB2" s="2562" t="s">
        <v>5431</v>
      </c>
    </row>
    <row r="3" spans="1:54" s="2" customFormat="1">
      <c r="A3" s="550">
        <v>1012</v>
      </c>
      <c r="B3" s="550" t="s">
        <v>401</v>
      </c>
      <c r="C3" s="551"/>
      <c r="D3" s="559" t="s">
        <v>3190</v>
      </c>
      <c r="E3" s="549"/>
      <c r="F3" s="549"/>
      <c r="G3" s="549"/>
      <c r="I3" s="500" t="s">
        <v>2451</v>
      </c>
      <c r="J3" s="1858">
        <f>$Z3</f>
        <v>14858</v>
      </c>
      <c r="K3" s="883">
        <f>NDK!B4</f>
        <v>0</v>
      </c>
      <c r="L3" s="2906">
        <f>IF($AX$3&gt;$AX$1,$AX$3*$AZ$1+$AY$1,$AX$3)</f>
        <v>14613.585900000002</v>
      </c>
      <c r="M3" s="2558"/>
      <c r="N3" s="2558"/>
      <c r="O3" s="1378">
        <f>ROUND($L3/120,0)*120</f>
        <v>14640</v>
      </c>
      <c r="P3" s="2884">
        <f>AU3</f>
        <v>17520</v>
      </c>
      <c r="Q3" s="1395">
        <f>MAX($O3,$P3)</f>
        <v>17520</v>
      </c>
      <c r="R3" s="882"/>
      <c r="S3" s="1378">
        <f>$Q3*$K3</f>
        <v>0</v>
      </c>
      <c r="T3" s="2570"/>
      <c r="U3" s="2570"/>
      <c r="V3" s="2567" t="s">
        <v>3024</v>
      </c>
      <c r="W3" s="1446"/>
      <c r="X3" s="883"/>
      <c r="Y3" s="500" t="s">
        <v>2451</v>
      </c>
      <c r="Z3" s="2897">
        <f>$Y$54</f>
        <v>14858</v>
      </c>
      <c r="AA3" s="2897">
        <f>AH54</f>
        <v>19315</v>
      </c>
      <c r="AB3" s="1395">
        <f>IF($W$5=$V$7,$AA3,$Z3)</f>
        <v>14858</v>
      </c>
      <c r="AC3" s="882"/>
      <c r="AD3" s="1378"/>
      <c r="AE3" s="883"/>
      <c r="AG3" s="2562"/>
      <c r="AH3" s="2562"/>
      <c r="AR3" s="502" t="s">
        <v>2451</v>
      </c>
      <c r="AS3" s="3084">
        <v>17520</v>
      </c>
      <c r="AT3" s="3269">
        <v>5040</v>
      </c>
      <c r="AU3" s="2869">
        <f>IF($AU$1=$AV$1,$AS3,$AT3)</f>
        <v>17520</v>
      </c>
      <c r="AX3" s="2558">
        <f>$J$3*$AH$4</f>
        <v>14613.585900000002</v>
      </c>
      <c r="AY3" s="2906">
        <f>IF($AX$3&gt;$AX$1,$AX$3*$AZ$1+$AY$1,$AX$3)</f>
        <v>14613.585900000002</v>
      </c>
      <c r="BB3" s="2562" t="s">
        <v>5432</v>
      </c>
    </row>
    <row r="4" spans="1:54" s="2" customFormat="1" ht="45">
      <c r="A4" s="550">
        <v>1013</v>
      </c>
      <c r="B4" s="550" t="s">
        <v>401</v>
      </c>
      <c r="C4" s="551"/>
      <c r="D4" s="560">
        <f>VLOOKUP(NDK!$B$52,A2:C3594,3)</f>
        <v>0</v>
      </c>
      <c r="E4" s="3083" t="s">
        <v>5424</v>
      </c>
      <c r="F4" s="2549"/>
      <c r="G4" s="2549"/>
      <c r="I4" s="501" t="s">
        <v>1484</v>
      </c>
      <c r="J4" s="1858">
        <f t="shared" ref="J4:J45" si="0">$Z4</f>
        <v>0</v>
      </c>
      <c r="K4" s="883"/>
      <c r="L4" s="2907"/>
      <c r="M4" s="2558"/>
      <c r="N4" s="2558"/>
      <c r="O4" s="1392"/>
      <c r="P4" s="2727"/>
      <c r="Q4" s="1395"/>
      <c r="R4" s="882"/>
      <c r="S4" s="1378"/>
      <c r="T4" s="2571" t="s">
        <v>4201</v>
      </c>
      <c r="U4" s="2571"/>
      <c r="V4" s="1441" t="s">
        <v>1569</v>
      </c>
      <c r="W4" s="1447">
        <f>IF(W5=V7,W2,W1)</f>
        <v>0</v>
      </c>
      <c r="X4" s="883"/>
      <c r="Y4" s="501" t="s">
        <v>1484</v>
      </c>
      <c r="Z4" s="2897"/>
      <c r="AA4" s="2909"/>
      <c r="AB4" s="1395"/>
      <c r="AC4" s="882"/>
      <c r="AD4" s="1378"/>
      <c r="AE4" s="883"/>
      <c r="AG4" s="2561" t="s">
        <v>5110</v>
      </c>
      <c r="AH4" s="2564">
        <f>$D$27*$L$1*$AH$2*$T$1</f>
        <v>0.98355000000000015</v>
      </c>
      <c r="AI4" s="2" t="s">
        <v>5204</v>
      </c>
      <c r="AR4" s="501" t="s">
        <v>1484</v>
      </c>
      <c r="AS4" s="2869"/>
      <c r="AT4" s="3269"/>
      <c r="AU4" s="2869"/>
      <c r="AX4" s="2558"/>
      <c r="AY4" s="2907"/>
      <c r="BB4" s="2562" t="s">
        <v>5433</v>
      </c>
    </row>
    <row r="5" spans="1:54" ht="171.75" customHeight="1">
      <c r="A5" s="550">
        <v>1014</v>
      </c>
      <c r="B5" s="550" t="s">
        <v>401</v>
      </c>
      <c r="C5" s="551"/>
      <c r="D5" s="559" t="s">
        <v>3191</v>
      </c>
      <c r="E5" s="2730" t="s">
        <v>5207</v>
      </c>
      <c r="F5" s="2730" t="s">
        <v>5208</v>
      </c>
      <c r="G5" s="2730"/>
      <c r="I5" s="500" t="s">
        <v>2452</v>
      </c>
      <c r="J5" s="1858">
        <f t="shared" si="0"/>
        <v>49844</v>
      </c>
      <c r="K5" s="883">
        <f>NDK!B6</f>
        <v>0</v>
      </c>
      <c r="L5" s="2906">
        <f>IF($AX$5&gt;$AX$1,$AX$5*$AZ$1+$AY$1,$AX$5)</f>
        <v>49024.066200000008</v>
      </c>
      <c r="M5" s="2558"/>
      <c r="N5" s="2558"/>
      <c r="O5" s="1378">
        <f t="shared" ref="O5:O45" si="1">ROUND($L5/120,0)*120</f>
        <v>49080</v>
      </c>
      <c r="P5" s="2884">
        <f>AU5</f>
        <v>22800</v>
      </c>
      <c r="Q5" s="1395">
        <f t="shared" ref="Q5:Q45" si="2">MAX($O5,$P5)</f>
        <v>49080</v>
      </c>
      <c r="R5" s="883"/>
      <c r="S5" s="1378">
        <f t="shared" ref="S5:S45" si="3">$Q5*$K5</f>
        <v>0</v>
      </c>
      <c r="T5" s="2571" t="s">
        <v>4202</v>
      </c>
      <c r="U5" s="2571"/>
      <c r="V5" s="1439" t="s">
        <v>1571</v>
      </c>
      <c r="W5" s="1446" t="str">
        <f>KÉRDÉSEK!G229</f>
        <v>NEM</v>
      </c>
      <c r="Y5" s="500" t="s">
        <v>2452</v>
      </c>
      <c r="Z5" s="2897">
        <f>$Y$56</f>
        <v>49844</v>
      </c>
      <c r="AA5" s="2909">
        <f>AH56</f>
        <v>64798</v>
      </c>
      <c r="AB5" s="1395">
        <f t="shared" ref="AB5:AB45" si="4">IF($W$5=$V$7,$AA5,$Z5)</f>
        <v>49844</v>
      </c>
      <c r="AC5" s="883"/>
      <c r="AD5" s="1378"/>
      <c r="AE5" s="883"/>
      <c r="AG5" s="2544"/>
      <c r="AH5" s="2544"/>
      <c r="AR5" s="502" t="s">
        <v>2452</v>
      </c>
      <c r="AS5" s="3084">
        <v>22800</v>
      </c>
      <c r="AT5" s="3269">
        <v>5040</v>
      </c>
      <c r="AU5" s="2869">
        <f>IF($AU$1=$AV$1,$AS5,$AT5)</f>
        <v>22800</v>
      </c>
      <c r="AX5" s="2558">
        <f>$J$5*$AH$4</f>
        <v>49024.066200000008</v>
      </c>
      <c r="AY5" s="2906">
        <f>IF($AX$5&gt;$AX$1,$AX$5*$AZ$1+$AY$1,$AX$5)</f>
        <v>49024.066200000008</v>
      </c>
      <c r="BB5" s="2562" t="s">
        <v>5434</v>
      </c>
    </row>
    <row r="6" spans="1:54" ht="38.25">
      <c r="A6" s="550">
        <v>1015</v>
      </c>
      <c r="B6" s="550" t="s">
        <v>401</v>
      </c>
      <c r="C6" s="551"/>
      <c r="D6" s="2550" t="s">
        <v>427</v>
      </c>
      <c r="E6" s="3111">
        <v>1</v>
      </c>
      <c r="F6" s="2856">
        <v>1</v>
      </c>
      <c r="G6" s="2731"/>
      <c r="I6" s="502" t="s">
        <v>3319</v>
      </c>
      <c r="J6" s="1858">
        <f t="shared" si="0"/>
        <v>77679</v>
      </c>
      <c r="K6" s="883">
        <f>NDK!B7</f>
        <v>0</v>
      </c>
      <c r="L6" s="2906">
        <f>IF($AX$6&gt;$AX$1,$AX$6*$AZ$1+$AY$1,$AX$6)</f>
        <v>76401.180450000014</v>
      </c>
      <c r="M6" s="2558"/>
      <c r="N6" s="2558"/>
      <c r="O6" s="1378">
        <f t="shared" si="1"/>
        <v>76440</v>
      </c>
      <c r="P6" s="2884">
        <f>AU6</f>
        <v>20040</v>
      </c>
      <c r="Q6" s="1395">
        <f t="shared" si="2"/>
        <v>76440</v>
      </c>
      <c r="R6" s="883"/>
      <c r="S6" s="1378">
        <f t="shared" si="3"/>
        <v>0</v>
      </c>
      <c r="T6" s="2572" t="s">
        <v>5116</v>
      </c>
      <c r="U6" s="2573" t="str">
        <f>KÉRDÉSEK!C245</f>
        <v>NEM</v>
      </c>
      <c r="V6" s="1441"/>
      <c r="W6" s="1446"/>
      <c r="Y6" s="502" t="s">
        <v>3319</v>
      </c>
      <c r="Z6" s="2897">
        <f>$Y$57</f>
        <v>77679</v>
      </c>
      <c r="AA6" s="2909">
        <f>AH57</f>
        <v>100982</v>
      </c>
      <c r="AB6" s="1395">
        <f t="shared" si="4"/>
        <v>77679</v>
      </c>
      <c r="AC6" s="883"/>
      <c r="AD6" s="1378"/>
      <c r="AE6" s="883"/>
      <c r="AG6" s="2561" t="s">
        <v>5112</v>
      </c>
      <c r="AH6" s="2563">
        <f>KÉRDÉSEK!C249</f>
        <v>0.83000000000000007</v>
      </c>
      <c r="AR6" s="502" t="s">
        <v>3319</v>
      </c>
      <c r="AS6" s="3084">
        <v>20040</v>
      </c>
      <c r="AT6" s="3269">
        <v>6240</v>
      </c>
      <c r="AU6" s="2869">
        <f>IF($AU$1=$AV$1,$AS6,$AT6)</f>
        <v>20040</v>
      </c>
      <c r="AX6" s="2558">
        <f>$J$6*$AH$4</f>
        <v>76401.180450000014</v>
      </c>
      <c r="AY6" s="2906">
        <f>IF($AX$6&gt;$AX$1,$AX$6*$AZ$1+$AY$1,$AX$6)</f>
        <v>76401.180450000014</v>
      </c>
    </row>
    <row r="7" spans="1:54">
      <c r="A7" s="550">
        <v>1016</v>
      </c>
      <c r="B7" s="550" t="s">
        <v>401</v>
      </c>
      <c r="C7" s="551"/>
      <c r="D7" s="2550" t="s">
        <v>406</v>
      </c>
      <c r="E7" s="3111">
        <v>0.71099999999999997</v>
      </c>
      <c r="F7" s="2856">
        <v>1</v>
      </c>
      <c r="G7" s="2731"/>
      <c r="I7" s="501" t="s">
        <v>1491</v>
      </c>
      <c r="J7" s="1858">
        <f t="shared" si="0"/>
        <v>0</v>
      </c>
      <c r="K7" s="883"/>
      <c r="L7" s="2908"/>
      <c r="M7" s="2558"/>
      <c r="N7" s="2558"/>
      <c r="O7" s="1378"/>
      <c r="P7" s="2727"/>
      <c r="Q7" s="1395"/>
      <c r="R7" s="883"/>
      <c r="S7" s="1378"/>
      <c r="T7" s="1931"/>
      <c r="U7" s="1931"/>
      <c r="V7" s="1448" t="s">
        <v>4201</v>
      </c>
      <c r="W7" s="1446"/>
      <c r="X7" s="883"/>
      <c r="Y7" s="501" t="s">
        <v>1491</v>
      </c>
      <c r="Z7" s="2897"/>
      <c r="AA7" s="2909"/>
      <c r="AB7" s="1395">
        <f t="shared" si="4"/>
        <v>0</v>
      </c>
      <c r="AC7" s="883"/>
      <c r="AD7" s="1378"/>
      <c r="AE7" s="883"/>
      <c r="AR7" s="501" t="s">
        <v>1491</v>
      </c>
      <c r="AS7" s="2869"/>
      <c r="AT7" s="3269"/>
      <c r="AU7" s="2869"/>
      <c r="AX7" s="2558"/>
      <c r="AY7" s="2908"/>
    </row>
    <row r="8" spans="1:54">
      <c r="A8" s="550">
        <v>1021</v>
      </c>
      <c r="B8" s="550" t="s">
        <v>401</v>
      </c>
      <c r="C8" s="551"/>
      <c r="D8" s="2550" t="s">
        <v>433</v>
      </c>
      <c r="E8" s="3111">
        <v>0.79300000000000004</v>
      </c>
      <c r="F8" s="2856">
        <v>1</v>
      </c>
      <c r="G8" s="2731"/>
      <c r="I8" s="501" t="s">
        <v>3826</v>
      </c>
      <c r="J8" s="1858">
        <f t="shared" si="0"/>
        <v>0</v>
      </c>
      <c r="K8" s="883"/>
      <c r="L8" s="2908"/>
      <c r="M8" s="2558"/>
      <c r="N8" s="2558"/>
      <c r="O8" s="1378"/>
      <c r="P8" s="2727"/>
      <c r="Q8" s="1395"/>
      <c r="R8" s="883"/>
      <c r="S8" s="1378"/>
      <c r="T8" s="1931"/>
      <c r="U8" s="1931"/>
      <c r="V8" s="1448" t="s">
        <v>4202</v>
      </c>
      <c r="W8" s="1446"/>
      <c r="X8" s="883"/>
      <c r="Y8" s="501" t="s">
        <v>3826</v>
      </c>
      <c r="Z8" s="2897"/>
      <c r="AA8" s="2909"/>
      <c r="AB8" s="1395">
        <f t="shared" si="4"/>
        <v>0</v>
      </c>
      <c r="AC8" s="883"/>
      <c r="AD8" s="1378"/>
      <c r="AE8" s="883"/>
      <c r="AR8" s="501" t="s">
        <v>3826</v>
      </c>
      <c r="AS8" s="2869"/>
      <c r="AT8" s="3269"/>
      <c r="AU8" s="2869"/>
      <c r="AX8" s="2558"/>
      <c r="AY8" s="2908"/>
    </row>
    <row r="9" spans="1:54" ht="56.25" thickBot="1">
      <c r="A9" s="550">
        <v>1022</v>
      </c>
      <c r="B9" s="550" t="s">
        <v>401</v>
      </c>
      <c r="C9" s="551"/>
      <c r="D9" s="2550" t="s">
        <v>412</v>
      </c>
      <c r="E9" s="3111">
        <v>0.71099999999999997</v>
      </c>
      <c r="F9" s="2856">
        <v>1</v>
      </c>
      <c r="G9" s="2731"/>
      <c r="I9" s="502" t="s">
        <v>3320</v>
      </c>
      <c r="J9" s="1858">
        <f t="shared" si="0"/>
        <v>79618</v>
      </c>
      <c r="K9" s="883">
        <f>NDK!B10</f>
        <v>0</v>
      </c>
      <c r="L9" s="2906">
        <f>IF($AX$9&gt;$AX$1,$AX$9*$AZ$1+$AY$1,$AX$9)</f>
        <v>78308.283900000009</v>
      </c>
      <c r="M9" s="2558"/>
      <c r="N9" s="2558"/>
      <c r="O9" s="1378">
        <f t="shared" si="1"/>
        <v>78360</v>
      </c>
      <c r="P9" s="2884">
        <f>AU9</f>
        <v>22320</v>
      </c>
      <c r="Q9" s="1395">
        <f t="shared" si="2"/>
        <v>78360</v>
      </c>
      <c r="R9" s="883"/>
      <c r="S9" s="1378">
        <f t="shared" si="3"/>
        <v>0</v>
      </c>
      <c r="T9" s="1931"/>
      <c r="U9" s="1931"/>
      <c r="V9" s="1449"/>
      <c r="W9" s="1450"/>
      <c r="X9" s="883"/>
      <c r="Y9" s="502" t="s">
        <v>3320</v>
      </c>
      <c r="Z9" s="2897">
        <f>$Y$60</f>
        <v>79618</v>
      </c>
      <c r="AA9" s="2909">
        <f>AH60</f>
        <v>103504</v>
      </c>
      <c r="AB9" s="1395">
        <f t="shared" si="4"/>
        <v>79618</v>
      </c>
      <c r="AC9" s="883"/>
      <c r="AD9" s="1378"/>
      <c r="AE9" s="2234" t="s">
        <v>5102</v>
      </c>
      <c r="AF9" s="1855" t="s">
        <v>4986</v>
      </c>
      <c r="AG9" s="2238" t="s">
        <v>4987</v>
      </c>
      <c r="AR9" s="502" t="s">
        <v>3320</v>
      </c>
      <c r="AS9" s="3084">
        <v>22320</v>
      </c>
      <c r="AT9" s="3269">
        <v>6480</v>
      </c>
      <c r="AU9" s="2869">
        <f>IF($AU$1=$AV$1,$AS9,$AT9)</f>
        <v>22320</v>
      </c>
      <c r="AX9" s="2558">
        <f>$J$9*$AH$4</f>
        <v>78308.283900000009</v>
      </c>
      <c r="AY9" s="2906">
        <f>IF($AX$9&gt;$AX$1,$AX$9*$AZ$1+$AY$1,$AX$9)</f>
        <v>78308.283900000009</v>
      </c>
    </row>
    <row r="10" spans="1:54" ht="14.25" thickTop="1" thickBot="1">
      <c r="A10" s="550">
        <v>1023</v>
      </c>
      <c r="B10" s="550" t="s">
        <v>401</v>
      </c>
      <c r="C10" s="551"/>
      <c r="D10" s="2550" t="s">
        <v>431</v>
      </c>
      <c r="E10" s="3111">
        <v>0.79300000000000004</v>
      </c>
      <c r="F10" s="2856">
        <v>1</v>
      </c>
      <c r="G10" s="2731"/>
      <c r="I10" s="501" t="s">
        <v>1493</v>
      </c>
      <c r="J10" s="1858">
        <f t="shared" si="0"/>
        <v>0</v>
      </c>
      <c r="K10" s="883"/>
      <c r="L10" s="2908"/>
      <c r="M10" s="2558"/>
      <c r="N10" s="2558"/>
      <c r="O10" s="1378"/>
      <c r="P10" s="2727"/>
      <c r="Q10" s="1395"/>
      <c r="R10" s="883"/>
      <c r="S10" s="1378"/>
      <c r="T10" s="1931"/>
      <c r="U10" s="1931"/>
      <c r="V10" s="1440"/>
      <c r="W10" s="2220" t="s">
        <v>4982</v>
      </c>
      <c r="X10" s="883"/>
      <c r="Y10" s="501" t="s">
        <v>1493</v>
      </c>
      <c r="Z10" s="2897"/>
      <c r="AA10" s="2909"/>
      <c r="AB10" s="1395">
        <f t="shared" si="4"/>
        <v>0</v>
      </c>
      <c r="AC10" s="883"/>
      <c r="AD10" s="1374" t="s">
        <v>220</v>
      </c>
      <c r="AE10" s="2235">
        <f>$Y$65</f>
        <v>104810</v>
      </c>
      <c r="AF10" s="2227">
        <f>$AH65</f>
        <v>136253</v>
      </c>
      <c r="AG10" s="1850">
        <f>IF($W$5=$V$7,$AF10,$AE10)</f>
        <v>104810</v>
      </c>
      <c r="AR10" s="501" t="s">
        <v>1493</v>
      </c>
      <c r="AS10" s="3084"/>
      <c r="AT10" s="3269"/>
      <c r="AU10" s="2869"/>
      <c r="AX10" s="2558"/>
      <c r="AY10" s="2908"/>
    </row>
    <row r="11" spans="1:54" ht="17.25" thickTop="1" thickBot="1">
      <c r="A11" s="550">
        <v>1024</v>
      </c>
      <c r="B11" s="550" t="s">
        <v>401</v>
      </c>
      <c r="C11" s="551"/>
      <c r="D11" s="2550" t="s">
        <v>402</v>
      </c>
      <c r="E11" s="3111">
        <v>0.79300000000000004</v>
      </c>
      <c r="F11" s="2856">
        <v>1</v>
      </c>
      <c r="G11" s="2731"/>
      <c r="I11" s="500" t="s">
        <v>2453</v>
      </c>
      <c r="J11" s="1858">
        <f t="shared" si="0"/>
        <v>85505</v>
      </c>
      <c r="K11" s="883">
        <f>NDK!B13</f>
        <v>0</v>
      </c>
      <c r="L11" s="2906">
        <f>IF($AX$11&gt;$AX$1,$AX$11*$AZ$1+$AY$1,$AX$11)</f>
        <v>84098.442750000017</v>
      </c>
      <c r="M11" s="2558"/>
      <c r="N11" s="2558"/>
      <c r="O11" s="1378">
        <f t="shared" si="1"/>
        <v>84120</v>
      </c>
      <c r="P11" s="2884">
        <f>AU11</f>
        <v>25440</v>
      </c>
      <c r="Q11" s="1395">
        <f t="shared" si="2"/>
        <v>84120</v>
      </c>
      <c r="R11" s="883"/>
      <c r="S11" s="1378">
        <f t="shared" si="3"/>
        <v>0</v>
      </c>
      <c r="T11" s="1931"/>
      <c r="U11" s="1931"/>
      <c r="V11" s="2858" t="s">
        <v>4976</v>
      </c>
      <c r="W11" s="2221" t="str">
        <f>KÉRDÉSEK!C244</f>
        <v>IGEN</v>
      </c>
      <c r="X11" s="2212" t="s">
        <v>4201</v>
      </c>
      <c r="Y11" s="500" t="s">
        <v>2453</v>
      </c>
      <c r="Z11" s="2897">
        <f>$Y$62</f>
        <v>85505</v>
      </c>
      <c r="AA11" s="2909">
        <f>AH62</f>
        <v>111156</v>
      </c>
      <c r="AB11" s="1395">
        <f t="shared" si="4"/>
        <v>85505</v>
      </c>
      <c r="AC11" s="883"/>
      <c r="AD11" s="1374" t="s">
        <v>221</v>
      </c>
      <c r="AE11" s="2236">
        <f>$Y$66</f>
        <v>109803</v>
      </c>
      <c r="AF11" s="2227">
        <f>$AH66</f>
        <v>142743</v>
      </c>
      <c r="AG11" s="1850">
        <f>IF($W$5=$V$7,$AF11,$AE11)</f>
        <v>109803</v>
      </c>
      <c r="AR11" s="502" t="s">
        <v>2453</v>
      </c>
      <c r="AS11" s="3084">
        <v>25440</v>
      </c>
      <c r="AT11" s="3269">
        <v>6960</v>
      </c>
      <c r="AU11" s="2869">
        <f>IF($AU$1=$AV$1,$AS11,$AT11)</f>
        <v>25440</v>
      </c>
      <c r="AX11" s="2558">
        <f>$J$11*$AH$4</f>
        <v>84098.442750000017</v>
      </c>
      <c r="AY11" s="2906">
        <f>IF($AX$11&gt;$AX$1,$AX$11*$AZ$1+$AY$1,$AX$11)</f>
        <v>84098.442750000017</v>
      </c>
    </row>
    <row r="12" spans="1:54" ht="13.5" thickTop="1">
      <c r="A12" s="550">
        <v>1025</v>
      </c>
      <c r="B12" s="550" t="s">
        <v>401</v>
      </c>
      <c r="C12" s="551"/>
      <c r="D12" s="2550" t="s">
        <v>3180</v>
      </c>
      <c r="E12" s="3111">
        <v>0.83799999999999997</v>
      </c>
      <c r="F12" s="2856">
        <v>1</v>
      </c>
      <c r="G12" s="2731"/>
      <c r="I12" s="500" t="s">
        <v>2454</v>
      </c>
      <c r="J12" s="1858">
        <f t="shared" si="0"/>
        <v>97258</v>
      </c>
      <c r="K12" s="883">
        <f>NDK!B16</f>
        <v>0</v>
      </c>
      <c r="L12" s="2906">
        <f>IF($AX$12&gt;$AX$1,$AX$12*$AZ$1+$AY$1,$AX$12)</f>
        <v>95658.10590000001</v>
      </c>
      <c r="M12" s="2558"/>
      <c r="N12" s="2558"/>
      <c r="O12" s="1378">
        <f t="shared" si="1"/>
        <v>95640</v>
      </c>
      <c r="P12" s="2884">
        <f>AU12</f>
        <v>30000</v>
      </c>
      <c r="Q12" s="1395">
        <f t="shared" si="2"/>
        <v>95640</v>
      </c>
      <c r="R12" s="883"/>
      <c r="S12" s="1378">
        <f t="shared" si="3"/>
        <v>0</v>
      </c>
      <c r="T12" s="1931"/>
      <c r="U12" s="1931"/>
      <c r="V12" s="2860"/>
      <c r="W12" s="2729"/>
      <c r="X12" s="2213" t="s">
        <v>4202</v>
      </c>
      <c r="Y12" s="500" t="s">
        <v>2454</v>
      </c>
      <c r="Z12" s="2897">
        <f>$Y$63</f>
        <v>97258</v>
      </c>
      <c r="AA12" s="2909">
        <f>AH63</f>
        <v>126436</v>
      </c>
      <c r="AB12" s="1395">
        <f t="shared" si="4"/>
        <v>97258</v>
      </c>
      <c r="AC12" s="883"/>
      <c r="AD12" s="1371" t="s">
        <v>222</v>
      </c>
      <c r="AE12" s="2235">
        <f>$Y$67</f>
        <v>106632</v>
      </c>
      <c r="AF12" s="2227">
        <f>$AH67</f>
        <v>138621</v>
      </c>
      <c r="AG12" s="1850">
        <f>IF($W$5=$V$7,$AF12,$AE12)</f>
        <v>106632</v>
      </c>
      <c r="AR12" s="502" t="s">
        <v>2454</v>
      </c>
      <c r="AS12" s="3084">
        <v>30000</v>
      </c>
      <c r="AT12" s="3269">
        <v>7920</v>
      </c>
      <c r="AU12" s="2869">
        <f>IF($AU$1=$AV$1,$AS12,$AT12)</f>
        <v>30000</v>
      </c>
      <c r="AX12" s="2558">
        <f>$J$12*$AH$4</f>
        <v>95658.10590000001</v>
      </c>
      <c r="AY12" s="2906">
        <f>IF($AX$12&gt;$AX$1,$AX$12*$AZ$1+$AY$1,$AX$12)</f>
        <v>95658.10590000001</v>
      </c>
    </row>
    <row r="13" spans="1:54" ht="13.5" thickBot="1">
      <c r="A13" s="550">
        <v>1026</v>
      </c>
      <c r="B13" s="550" t="s">
        <v>401</v>
      </c>
      <c r="C13" s="551"/>
      <c r="D13" s="2550" t="s">
        <v>434</v>
      </c>
      <c r="E13" s="3111">
        <v>0.79300000000000004</v>
      </c>
      <c r="F13" s="2856">
        <v>1</v>
      </c>
      <c r="G13" s="2731"/>
      <c r="I13" s="500" t="s">
        <v>2455</v>
      </c>
      <c r="J13" s="1858">
        <f t="shared" si="0"/>
        <v>58469</v>
      </c>
      <c r="K13" s="883">
        <f>NDK!B17</f>
        <v>0</v>
      </c>
      <c r="L13" s="2906">
        <f>IF($AX$13&gt;$AX$1,$AX$13*$AZ$1+$AY$1,$AX$13)</f>
        <v>57507.18495000001</v>
      </c>
      <c r="M13" s="2558"/>
      <c r="N13" s="2558"/>
      <c r="O13" s="1378">
        <f t="shared" si="1"/>
        <v>57480</v>
      </c>
      <c r="P13" s="2884">
        <f>AU13</f>
        <v>12720</v>
      </c>
      <c r="Q13" s="1395">
        <f t="shared" si="2"/>
        <v>57480</v>
      </c>
      <c r="R13" s="883"/>
      <c r="S13" s="1378">
        <f t="shared" si="3"/>
        <v>0</v>
      </c>
      <c r="T13" s="1931"/>
      <c r="U13" s="1931"/>
      <c r="V13" s="2860"/>
      <c r="W13" s="2729"/>
      <c r="X13" s="2214"/>
      <c r="Y13" s="500" t="s">
        <v>2455</v>
      </c>
      <c r="Z13" s="2897">
        <f>$Y$64</f>
        <v>58469</v>
      </c>
      <c r="AA13" s="2909">
        <f>AH64</f>
        <v>76010</v>
      </c>
      <c r="AB13" s="1395">
        <f t="shared" si="4"/>
        <v>58469</v>
      </c>
      <c r="AC13" s="883"/>
      <c r="AD13" s="1375" t="s">
        <v>223</v>
      </c>
      <c r="AE13" s="2237">
        <f>$Y$68</f>
        <v>157230</v>
      </c>
      <c r="AF13" s="2227">
        <f>$AH68</f>
        <v>204399</v>
      </c>
      <c r="AG13" s="1850">
        <f>IF($W$5=$V$7,$AF13,$AE13)</f>
        <v>157230</v>
      </c>
      <c r="AR13" s="502" t="s">
        <v>2455</v>
      </c>
      <c r="AS13" s="3084">
        <v>12720</v>
      </c>
      <c r="AT13" s="3269">
        <v>7920</v>
      </c>
      <c r="AU13" s="2869">
        <f>IF($AU$1=$AV$1,$AS13,$AT13)</f>
        <v>12720</v>
      </c>
      <c r="AX13" s="2558">
        <f>$J$13*$AH$4</f>
        <v>57507.18495000001</v>
      </c>
      <c r="AY13" s="2906">
        <f>IF($AX$13&gt;$AX$1,$AX$13*$AZ$1+$AY$1,$AX$13)</f>
        <v>57507.18495000001</v>
      </c>
    </row>
    <row r="14" spans="1:54" ht="14.25" thickTop="1" thickBot="1">
      <c r="A14" s="550">
        <v>1027</v>
      </c>
      <c r="B14" s="550" t="s">
        <v>401</v>
      </c>
      <c r="C14" s="551"/>
      <c r="D14" s="2550" t="s">
        <v>410</v>
      </c>
      <c r="E14" s="3111">
        <v>0.71099999999999997</v>
      </c>
      <c r="F14" s="2856">
        <v>1</v>
      </c>
      <c r="G14" s="2731"/>
      <c r="I14" s="500" t="s">
        <v>2438</v>
      </c>
      <c r="J14" s="1858">
        <f t="shared" si="0"/>
        <v>157230</v>
      </c>
      <c r="K14" s="1403">
        <f>NDK!B18</f>
        <v>0</v>
      </c>
      <c r="L14" s="2908"/>
      <c r="M14" s="1406"/>
      <c r="N14" s="1406"/>
      <c r="O14" s="1406"/>
      <c r="P14" s="2728"/>
      <c r="Q14" s="1407"/>
      <c r="R14" s="1403"/>
      <c r="S14" s="1848">
        <f>T52</f>
        <v>0</v>
      </c>
      <c r="T14" s="1931"/>
      <c r="U14" s="1931"/>
      <c r="V14" s="2861" t="s">
        <v>775</v>
      </c>
      <c r="W14" s="2893">
        <f>AU50</f>
        <v>26640</v>
      </c>
      <c r="X14" s="2215"/>
      <c r="Y14" s="500" t="s">
        <v>2438</v>
      </c>
      <c r="Z14" s="2897">
        <f>$Y$68</f>
        <v>157230</v>
      </c>
      <c r="AA14" s="2909">
        <f>AH68</f>
        <v>204399</v>
      </c>
      <c r="AB14" s="1395">
        <f t="shared" si="4"/>
        <v>157230</v>
      </c>
      <c r="AC14" s="883"/>
      <c r="AD14" s="1378"/>
      <c r="AE14" s="883"/>
      <c r="AF14" s="883"/>
      <c r="AR14" s="502" t="s">
        <v>2438</v>
      </c>
      <c r="AS14" s="2869"/>
      <c r="AT14" s="2869"/>
      <c r="AU14" s="2869"/>
      <c r="AX14" s="1406"/>
      <c r="AY14" s="2908"/>
    </row>
    <row r="15" spans="1:54" ht="23.25" thickTop="1">
      <c r="A15" s="550">
        <v>1028</v>
      </c>
      <c r="B15" s="550" t="s">
        <v>401</v>
      </c>
      <c r="C15" s="551"/>
      <c r="D15" s="2550" t="s">
        <v>404</v>
      </c>
      <c r="E15" s="3111">
        <v>0.83799999999999997</v>
      </c>
      <c r="F15" s="2856">
        <v>1</v>
      </c>
      <c r="G15" s="2731"/>
      <c r="I15" s="503" t="s">
        <v>1485</v>
      </c>
      <c r="J15" s="1858">
        <f t="shared" si="0"/>
        <v>0</v>
      </c>
      <c r="K15" s="883"/>
      <c r="L15" s="2908"/>
      <c r="M15" s="1378"/>
      <c r="N15" s="1378"/>
      <c r="O15" s="1378"/>
      <c r="P15" s="2727"/>
      <c r="Q15" s="1395"/>
      <c r="R15" s="883"/>
      <c r="S15" s="1378"/>
      <c r="T15" s="1931"/>
      <c r="U15" s="1931"/>
      <c r="V15" s="1441"/>
      <c r="W15" s="1367"/>
      <c r="X15" s="883"/>
      <c r="Y15" s="503" t="s">
        <v>1485</v>
      </c>
      <c r="Z15" s="2897"/>
      <c r="AA15" s="2909"/>
      <c r="AB15" s="1395">
        <f t="shared" si="4"/>
        <v>0</v>
      </c>
      <c r="AC15" s="883"/>
      <c r="AD15" s="1378"/>
      <c r="AE15" s="883"/>
      <c r="AR15" s="503" t="s">
        <v>1485</v>
      </c>
      <c r="AS15" s="2869"/>
      <c r="AT15" s="2869"/>
      <c r="AU15" s="2869"/>
      <c r="AX15" s="1378"/>
      <c r="AY15" s="2908"/>
    </row>
    <row r="16" spans="1:54">
      <c r="A16" s="550">
        <v>1029</v>
      </c>
      <c r="B16" s="550" t="s">
        <v>401</v>
      </c>
      <c r="C16" s="551"/>
      <c r="D16" s="2550" t="s">
        <v>420</v>
      </c>
      <c r="E16" s="3111">
        <v>0.83799999999999997</v>
      </c>
      <c r="F16" s="2856">
        <v>1</v>
      </c>
      <c r="G16" s="2731"/>
      <c r="I16" s="504" t="s">
        <v>4937</v>
      </c>
      <c r="J16" s="1858">
        <f t="shared" si="0"/>
        <v>0</v>
      </c>
      <c r="K16" s="883"/>
      <c r="L16" s="2908"/>
      <c r="M16" s="1378"/>
      <c r="N16" s="1378"/>
      <c r="O16" s="1378"/>
      <c r="P16" s="2727"/>
      <c r="Q16" s="1395"/>
      <c r="R16" s="883"/>
      <c r="S16" s="1378"/>
      <c r="T16" s="1931"/>
      <c r="U16" s="1931"/>
      <c r="V16" s="1439"/>
      <c r="W16" s="1367"/>
      <c r="X16" s="883"/>
      <c r="Y16" s="504" t="s">
        <v>4937</v>
      </c>
      <c r="Z16" s="2897"/>
      <c r="AA16" s="2909"/>
      <c r="AB16" s="1395">
        <f t="shared" si="4"/>
        <v>0</v>
      </c>
      <c r="AC16" s="883"/>
      <c r="AD16" s="1378"/>
      <c r="AE16" s="883"/>
      <c r="AR16" s="503" t="s">
        <v>4937</v>
      </c>
      <c r="AS16" s="2869"/>
      <c r="AT16" s="2869"/>
      <c r="AU16" s="2869"/>
      <c r="AX16" s="1378"/>
      <c r="AY16" s="2908"/>
    </row>
    <row r="17" spans="1:51">
      <c r="A17" s="550">
        <v>1031</v>
      </c>
      <c r="B17" s="550" t="s">
        <v>401</v>
      </c>
      <c r="C17" s="551"/>
      <c r="D17" s="2550" t="s">
        <v>2808</v>
      </c>
      <c r="E17" s="3111">
        <v>1.024</v>
      </c>
      <c r="F17" s="2856">
        <v>1</v>
      </c>
      <c r="G17" s="2731"/>
      <c r="I17" s="500" t="s">
        <v>2456</v>
      </c>
      <c r="J17" s="1858">
        <f t="shared" si="0"/>
        <v>135960</v>
      </c>
      <c r="K17" s="883">
        <f>NDK!B21</f>
        <v>0</v>
      </c>
      <c r="L17" s="2906">
        <f>IF($AX$17&gt;$AX$1,$AX$17*$AZ$1+$AY$1,$AX$17)</f>
        <v>133262.06266</v>
      </c>
      <c r="M17" s="1378"/>
      <c r="N17" s="2749"/>
      <c r="O17" s="1378">
        <f t="shared" si="1"/>
        <v>133320</v>
      </c>
      <c r="P17" s="2885">
        <f>AU17</f>
        <v>135960</v>
      </c>
      <c r="Q17" s="1395">
        <f t="shared" si="2"/>
        <v>135960</v>
      </c>
      <c r="R17" s="883"/>
      <c r="S17" s="1378">
        <f t="shared" si="3"/>
        <v>0</v>
      </c>
      <c r="T17" s="1931"/>
      <c r="U17" s="1931"/>
      <c r="V17" s="1439"/>
      <c r="W17" s="1367"/>
      <c r="X17" s="883"/>
      <c r="Y17" s="500" t="s">
        <v>2456</v>
      </c>
      <c r="Z17" s="2897">
        <f>$Y$70</f>
        <v>135960</v>
      </c>
      <c r="AA17" s="2909">
        <f>AH70</f>
        <v>176748</v>
      </c>
      <c r="AB17" s="1395">
        <f t="shared" si="4"/>
        <v>135960</v>
      </c>
      <c r="AC17" s="883"/>
      <c r="AD17" s="1378"/>
      <c r="AE17" s="883"/>
      <c r="AR17" s="502" t="s">
        <v>2456</v>
      </c>
      <c r="AS17" s="3084">
        <v>135960</v>
      </c>
      <c r="AT17" s="3269">
        <v>49800</v>
      </c>
      <c r="AU17" s="2869">
        <f>IF($AU$1=$AV$1,$AS17,$AT17)</f>
        <v>135960</v>
      </c>
      <c r="AX17" s="1378">
        <f>$J$17*$Q$1*$U$2*$F$53</f>
        <v>133723.45800000001</v>
      </c>
      <c r="AY17" s="2906">
        <f>IF($AX$17&gt;$AX$1,$AX$17*$AZ$1+$AY$1,$AX$17)</f>
        <v>133262.06266</v>
      </c>
    </row>
    <row r="18" spans="1:51" ht="45.75">
      <c r="A18" s="550">
        <v>1032</v>
      </c>
      <c r="B18" s="550" t="s">
        <v>401</v>
      </c>
      <c r="C18" s="551"/>
      <c r="D18" s="2550" t="s">
        <v>418</v>
      </c>
      <c r="E18" s="3111">
        <v>1.024</v>
      </c>
      <c r="F18" s="2856">
        <v>1</v>
      </c>
      <c r="G18" s="2731"/>
      <c r="I18" s="505" t="s">
        <v>1486</v>
      </c>
      <c r="J18" s="1858">
        <f t="shared" si="0"/>
        <v>0</v>
      </c>
      <c r="K18" s="883"/>
      <c r="L18" s="2908"/>
      <c r="M18" s="1378"/>
      <c r="N18" s="1378"/>
      <c r="O18" s="1378"/>
      <c r="P18" s="2727"/>
      <c r="Q18" s="1395"/>
      <c r="R18" s="883"/>
      <c r="S18" s="1378"/>
      <c r="T18" s="1931"/>
      <c r="U18" s="1931"/>
      <c r="V18" s="2719" t="s">
        <v>5198</v>
      </c>
      <c r="W18" s="2720">
        <f>IF(Z1&lt;51,P153,S46)</f>
        <v>0</v>
      </c>
      <c r="X18" s="883"/>
      <c r="Y18" s="505" t="s">
        <v>1486</v>
      </c>
      <c r="Z18" s="2897"/>
      <c r="AA18" s="2909"/>
      <c r="AB18" s="1395">
        <f t="shared" si="4"/>
        <v>0</v>
      </c>
      <c r="AC18" s="883"/>
      <c r="AD18" s="1378"/>
      <c r="AE18" s="883"/>
      <c r="AR18" s="505" t="s">
        <v>1486</v>
      </c>
      <c r="AS18" s="3084"/>
      <c r="AT18" s="3269"/>
      <c r="AU18" s="2869"/>
      <c r="AX18" s="1378"/>
      <c r="AY18" s="2908"/>
    </row>
    <row r="19" spans="1:51" ht="22.5">
      <c r="A19" s="550">
        <v>1033</v>
      </c>
      <c r="B19" s="550" t="s">
        <v>401</v>
      </c>
      <c r="C19" s="551"/>
      <c r="D19" s="2550" t="s">
        <v>423</v>
      </c>
      <c r="E19" s="3111">
        <v>0.79300000000000004</v>
      </c>
      <c r="F19" s="2856">
        <v>1</v>
      </c>
      <c r="G19" s="2731"/>
      <c r="I19" s="506" t="s">
        <v>1487</v>
      </c>
      <c r="J19" s="1858">
        <f t="shared" si="0"/>
        <v>0</v>
      </c>
      <c r="K19" s="883"/>
      <c r="L19" s="2908"/>
      <c r="M19" s="1378"/>
      <c r="N19" s="1378"/>
      <c r="O19" s="1378"/>
      <c r="P19" s="2727"/>
      <c r="Q19" s="1395"/>
      <c r="R19" s="883"/>
      <c r="S19" s="1378"/>
      <c r="T19" s="1931"/>
      <c r="U19" s="1931"/>
      <c r="V19" s="1439"/>
      <c r="W19" s="1367"/>
      <c r="X19" s="883"/>
      <c r="Y19" s="506" t="s">
        <v>1487</v>
      </c>
      <c r="Z19" s="2897"/>
      <c r="AA19" s="2909"/>
      <c r="AB19" s="1395">
        <f t="shared" si="4"/>
        <v>0</v>
      </c>
      <c r="AC19" s="883"/>
      <c r="AD19" s="1378"/>
      <c r="AE19" s="883"/>
      <c r="AR19" s="2864" t="s">
        <v>1487</v>
      </c>
      <c r="AS19" s="3084"/>
      <c r="AT19" s="3269"/>
      <c r="AU19" s="2869"/>
      <c r="AX19" s="1378"/>
      <c r="AY19" s="2908"/>
    </row>
    <row r="20" spans="1:51" ht="16.5" thickBot="1">
      <c r="A20" s="550">
        <v>1034</v>
      </c>
      <c r="B20" s="550" t="s">
        <v>401</v>
      </c>
      <c r="C20" s="551"/>
      <c r="D20" s="2550" t="s">
        <v>428</v>
      </c>
      <c r="E20" s="3111">
        <v>0.77600000000000002</v>
      </c>
      <c r="F20" s="2856">
        <v>1</v>
      </c>
      <c r="G20" s="2731"/>
      <c r="I20" s="500" t="s">
        <v>4134</v>
      </c>
      <c r="J20" s="1858">
        <f t="shared" si="0"/>
        <v>490903</v>
      </c>
      <c r="K20" s="883">
        <f>NDK!B24</f>
        <v>0</v>
      </c>
      <c r="L20" s="2906">
        <f>IF($AX$20&gt;$AX$1,$AX$20*$AZ$1+$AY$1,$AX$20)</f>
        <v>402072.28715050005</v>
      </c>
      <c r="M20" s="2735"/>
      <c r="N20" s="2749"/>
      <c r="O20" s="1378">
        <f t="shared" si="1"/>
        <v>402120</v>
      </c>
      <c r="P20" s="2885">
        <f>AU20</f>
        <v>274800</v>
      </c>
      <c r="Q20" s="1395">
        <f t="shared" si="2"/>
        <v>402120</v>
      </c>
      <c r="R20" s="883"/>
      <c r="S20" s="1378">
        <f t="shared" si="3"/>
        <v>0</v>
      </c>
      <c r="T20" s="1931"/>
      <c r="U20" s="1931"/>
      <c r="V20" s="3275">
        <v>2021</v>
      </c>
      <c r="W20" s="3274"/>
      <c r="X20" s="883"/>
      <c r="Y20" s="500" t="s">
        <v>4134</v>
      </c>
      <c r="Z20" s="2897">
        <f>$Y71</f>
        <v>490903</v>
      </c>
      <c r="AA20" s="2909">
        <f>AH71</f>
        <v>638174</v>
      </c>
      <c r="AB20" s="1395">
        <f t="shared" si="4"/>
        <v>490903</v>
      </c>
      <c r="AC20" s="883"/>
      <c r="AD20" s="1378"/>
      <c r="AE20" s="883"/>
      <c r="AR20" s="502" t="s">
        <v>4134</v>
      </c>
      <c r="AS20" s="3269">
        <v>274800</v>
      </c>
      <c r="AT20" s="3269">
        <v>274800</v>
      </c>
      <c r="AU20" s="2869">
        <f>IF($AU$1=$AV$1,$AS20,$AT20)</f>
        <v>274800</v>
      </c>
      <c r="AX20" s="1378">
        <f>$J$20*$Q$1*$U$2/$D$27*$F$53</f>
        <v>482827.64565000008</v>
      </c>
      <c r="AY20" s="2906">
        <f>IF($AX$20&gt;$AX$1,$AX$20*$AZ$1+$AY$1,$AX$20)</f>
        <v>402072.28715050005</v>
      </c>
    </row>
    <row r="21" spans="1:51" ht="16.5" thickTop="1">
      <c r="A21" s="550">
        <v>1035</v>
      </c>
      <c r="B21" s="550" t="s">
        <v>401</v>
      </c>
      <c r="C21" s="551"/>
      <c r="D21" s="2550" t="s">
        <v>435</v>
      </c>
      <c r="E21" s="3111">
        <v>0.73</v>
      </c>
      <c r="F21" s="2856">
        <v>1</v>
      </c>
      <c r="G21" s="2731"/>
      <c r="I21" s="500" t="s">
        <v>2459</v>
      </c>
      <c r="J21" s="1858">
        <f t="shared" si="0"/>
        <v>452028</v>
      </c>
      <c r="K21" s="883">
        <f>NDK!B25</f>
        <v>0</v>
      </c>
      <c r="L21" s="2906">
        <f>IF($AX$21&gt;$AX$1,$AX$21*$AZ$1+$AY$1,$AX$21)</f>
        <v>372630.94733800006</v>
      </c>
      <c r="M21" s="2735"/>
      <c r="N21" s="1378"/>
      <c r="O21" s="1378">
        <f t="shared" si="1"/>
        <v>372600</v>
      </c>
      <c r="P21" s="2885">
        <f>AU21</f>
        <v>274800</v>
      </c>
      <c r="Q21" s="1395">
        <f t="shared" si="2"/>
        <v>372600</v>
      </c>
      <c r="R21" s="883"/>
      <c r="S21" s="1378">
        <f t="shared" si="3"/>
        <v>0</v>
      </c>
      <c r="T21" s="1931"/>
      <c r="U21" s="1931"/>
      <c r="V21" s="3081" t="s">
        <v>4977</v>
      </c>
      <c r="W21" s="2216"/>
      <c r="X21" s="2217"/>
      <c r="Y21" s="500" t="s">
        <v>2459</v>
      </c>
      <c r="Z21" s="2897">
        <f t="shared" ref="Z21:Z45" si="5">$Y72</f>
        <v>452028</v>
      </c>
      <c r="AA21" s="2909">
        <f>AH72</f>
        <v>587636</v>
      </c>
      <c r="AB21" s="1395">
        <f t="shared" si="4"/>
        <v>452028</v>
      </c>
      <c r="AC21" s="883"/>
      <c r="AD21" s="1378"/>
      <c r="AE21" s="883"/>
      <c r="AR21" s="502" t="s">
        <v>2459</v>
      </c>
      <c r="AS21" s="3269">
        <v>274800</v>
      </c>
      <c r="AT21" s="3269">
        <v>274800</v>
      </c>
      <c r="AU21" s="2869">
        <f>IF($AU$1=$AV$1,$AS21,$AT21)</f>
        <v>274800</v>
      </c>
      <c r="AX21" s="1378">
        <f>$J$21*$Q$1*$U$2/$D$27</f>
        <v>444592.13940000004</v>
      </c>
      <c r="AY21" s="2906">
        <f>IF($AX$21&gt;$AX$1,$AX$21*$AZ$1+$AY$1,$AX$21)</f>
        <v>372630.94733800006</v>
      </c>
    </row>
    <row r="22" spans="1:51">
      <c r="A22" s="550">
        <v>1036</v>
      </c>
      <c r="B22" s="550" t="s">
        <v>401</v>
      </c>
      <c r="C22" s="551"/>
      <c r="D22" s="2550" t="s">
        <v>421</v>
      </c>
      <c r="E22" s="3111">
        <v>0.77600000000000002</v>
      </c>
      <c r="F22" s="2856">
        <v>1</v>
      </c>
      <c r="G22" s="2731"/>
      <c r="I22" s="500" t="s">
        <v>1494</v>
      </c>
      <c r="J22" s="1858">
        <f t="shared" si="0"/>
        <v>13290</v>
      </c>
      <c r="K22" s="883">
        <f>NDK!B26</f>
        <v>0</v>
      </c>
      <c r="L22" s="2906">
        <f>IF($AX$22&gt;$AX$1,$AX$22*$AZ$1+$AY$1,$AX$22)</f>
        <v>13071.379500000003</v>
      </c>
      <c r="M22" s="1378"/>
      <c r="N22" s="1378"/>
      <c r="O22" s="1378">
        <f t="shared" si="1"/>
        <v>13080</v>
      </c>
      <c r="P22" s="2884">
        <f>AU22</f>
        <v>12120</v>
      </c>
      <c r="Q22" s="1395">
        <f t="shared" si="2"/>
        <v>13080</v>
      </c>
      <c r="R22" s="883"/>
      <c r="S22" s="1378">
        <f t="shared" si="3"/>
        <v>0</v>
      </c>
      <c r="T22" s="1931"/>
      <c r="U22" s="1932">
        <f>$S22</f>
        <v>0</v>
      </c>
      <c r="V22" s="2860" t="s">
        <v>4980</v>
      </c>
      <c r="W22" s="3264">
        <v>14859</v>
      </c>
      <c r="X22" s="2218"/>
      <c r="Y22" s="500" t="s">
        <v>1494</v>
      </c>
      <c r="Z22" s="2897">
        <f t="shared" si="5"/>
        <v>13290</v>
      </c>
      <c r="AA22" s="2909">
        <f>AH73</f>
        <v>17278</v>
      </c>
      <c r="AB22" s="1395">
        <f t="shared" si="4"/>
        <v>13290</v>
      </c>
      <c r="AC22" s="883"/>
      <c r="AD22" s="1378"/>
      <c r="AE22" s="883"/>
      <c r="AR22" s="502" t="s">
        <v>1494</v>
      </c>
      <c r="AS22" s="3084">
        <v>12120</v>
      </c>
      <c r="AT22" s="3269">
        <v>2640</v>
      </c>
      <c r="AU22" s="2869">
        <f>IF($AU$1=$AV$1,$AS22,$AT22)</f>
        <v>12120</v>
      </c>
      <c r="AX22" s="1378">
        <f>$J$22*$Q$1*$U$2</f>
        <v>13071.379500000003</v>
      </c>
      <c r="AY22" s="2906">
        <f>IF($AX$22&gt;$AX$1,$AX$22*$AZ$1+$AY$1,$AX$22)</f>
        <v>13071.379500000003</v>
      </c>
    </row>
    <row r="23" spans="1:51">
      <c r="A23" s="550">
        <v>1037</v>
      </c>
      <c r="B23" s="550" t="s">
        <v>401</v>
      </c>
      <c r="C23" s="551"/>
      <c r="D23" s="2550" t="s">
        <v>419</v>
      </c>
      <c r="E23" s="3111">
        <v>1.024</v>
      </c>
      <c r="F23" s="2856">
        <v>1</v>
      </c>
      <c r="G23" s="2731"/>
      <c r="I23" s="500" t="s">
        <v>3072</v>
      </c>
      <c r="J23" s="1858">
        <f t="shared" si="0"/>
        <v>49658</v>
      </c>
      <c r="K23" s="883">
        <f>NDK!B27</f>
        <v>0</v>
      </c>
      <c r="L23" s="2906">
        <f>IF($AX$23&gt;$AX$1,$AX$23*$AZ$1+$AY$1,$AX$23)</f>
        <v>48841.125900000006</v>
      </c>
      <c r="M23" s="1378"/>
      <c r="N23" s="1378"/>
      <c r="O23" s="1378">
        <f t="shared" si="1"/>
        <v>48840</v>
      </c>
      <c r="P23" s="2884">
        <f>AU23</f>
        <v>70320</v>
      </c>
      <c r="Q23" s="1395">
        <f t="shared" si="2"/>
        <v>70320</v>
      </c>
      <c r="R23" s="883"/>
      <c r="S23" s="1378">
        <f t="shared" si="3"/>
        <v>0</v>
      </c>
      <c r="T23" s="1931"/>
      <c r="U23" s="1932">
        <f>$S23</f>
        <v>0</v>
      </c>
      <c r="V23" s="2860" t="s">
        <v>4981</v>
      </c>
      <c r="W23" s="3264">
        <v>125720</v>
      </c>
      <c r="X23" s="2218"/>
      <c r="Y23" s="500" t="s">
        <v>3072</v>
      </c>
      <c r="Z23" s="2897">
        <f t="shared" si="5"/>
        <v>49658</v>
      </c>
      <c r="AA23" s="2909">
        <f>AH74</f>
        <v>64555</v>
      </c>
      <c r="AB23" s="1395">
        <f t="shared" si="4"/>
        <v>49658</v>
      </c>
      <c r="AC23" s="883"/>
      <c r="AD23" s="1378"/>
      <c r="AE23" s="883"/>
      <c r="AR23" s="502" t="s">
        <v>3072</v>
      </c>
      <c r="AS23" s="3084">
        <v>70320</v>
      </c>
      <c r="AT23" s="3269">
        <v>3240</v>
      </c>
      <c r="AU23" s="2869">
        <f>IF($AU$1=$AV$1,$AS23,$AT23)</f>
        <v>70320</v>
      </c>
      <c r="AX23" s="1378">
        <f>$J$23*$Q$1*$U$2</f>
        <v>48841.125900000006</v>
      </c>
      <c r="AY23" s="2906">
        <f>IF($AX$23&gt;$AX$1,$AX$23*$AZ$1+$AY$1,$AX$23)</f>
        <v>48841.125900000006</v>
      </c>
    </row>
    <row r="24" spans="1:51" ht="13.5" thickBot="1">
      <c r="A24" s="550">
        <v>1038</v>
      </c>
      <c r="B24" s="550" t="s">
        <v>401</v>
      </c>
      <c r="C24" s="551"/>
      <c r="D24" s="2550" t="s">
        <v>432</v>
      </c>
      <c r="E24" s="3111">
        <v>0.79300000000000004</v>
      </c>
      <c r="F24" s="2856">
        <v>1</v>
      </c>
      <c r="G24" s="2731"/>
      <c r="I24" s="507" t="s">
        <v>1862</v>
      </c>
      <c r="J24" s="1858">
        <f t="shared" si="0"/>
        <v>0</v>
      </c>
      <c r="K24" s="883"/>
      <c r="L24" s="2908"/>
      <c r="M24" s="1378"/>
      <c r="N24" s="1378"/>
      <c r="O24" s="1378"/>
      <c r="P24" s="2548"/>
      <c r="Q24" s="1395"/>
      <c r="R24" s="883"/>
      <c r="S24" s="1378"/>
      <c r="T24" s="1931"/>
      <c r="U24" s="1931"/>
      <c r="V24" s="2861" t="s">
        <v>4978</v>
      </c>
      <c r="W24" s="3265">
        <f>IF($W$11=$X$11,$W$22,$W$23)</f>
        <v>14859</v>
      </c>
      <c r="X24" s="2219"/>
      <c r="Y24" s="507" t="s">
        <v>1862</v>
      </c>
      <c r="Z24" s="2897">
        <f t="shared" si="5"/>
        <v>0</v>
      </c>
      <c r="AA24" s="2909"/>
      <c r="AB24" s="1395">
        <f t="shared" si="4"/>
        <v>0</v>
      </c>
      <c r="AC24" s="883"/>
      <c r="AD24" s="1378"/>
      <c r="AE24" s="883"/>
      <c r="AR24" s="505" t="s">
        <v>1862</v>
      </c>
      <c r="AS24" s="2869"/>
      <c r="AT24" s="2869"/>
      <c r="AU24" s="2869"/>
      <c r="AX24" s="1378"/>
      <c r="AY24" s="2908"/>
    </row>
    <row r="25" spans="1:51" ht="23.25" thickTop="1">
      <c r="A25" s="550">
        <v>1039</v>
      </c>
      <c r="B25" s="550" t="s">
        <v>401</v>
      </c>
      <c r="C25" s="551"/>
      <c r="D25" s="559" t="s">
        <v>3193</v>
      </c>
      <c r="E25" s="561" t="e">
        <f>VLOOKUP($D$4,$D$6:$F$24,2)</f>
        <v>#N/A</v>
      </c>
      <c r="F25" s="561" t="e">
        <f>VLOOKUP($D$4,$D$6:$F$24,3)</f>
        <v>#N/A</v>
      </c>
      <c r="G25" s="561"/>
      <c r="I25" s="500" t="s">
        <v>5103</v>
      </c>
      <c r="J25" s="1858">
        <f t="shared" si="0"/>
        <v>14859</v>
      </c>
      <c r="K25" s="883">
        <f>NDK!B29</f>
        <v>0</v>
      </c>
      <c r="L25" s="2906">
        <f>IF($AX$25&gt;$AX$1,$AX$25*$AZ$1+$AY$1,$AX$25)</f>
        <v>14614.569450000003</v>
      </c>
      <c r="M25" s="2735"/>
      <c r="N25" s="2749"/>
      <c r="O25" s="1378">
        <f t="shared" si="1"/>
        <v>14640</v>
      </c>
      <c r="P25" s="2886">
        <f>AU50</f>
        <v>26640</v>
      </c>
      <c r="Q25" s="1395">
        <f t="shared" si="2"/>
        <v>26640</v>
      </c>
      <c r="R25" s="883"/>
      <c r="S25" s="1378">
        <f t="shared" si="3"/>
        <v>0</v>
      </c>
      <c r="T25" s="1931"/>
      <c r="U25" s="1932">
        <f>$S25</f>
        <v>0</v>
      </c>
      <c r="V25" s="1439"/>
      <c r="W25" s="1368"/>
      <c r="X25" s="883"/>
      <c r="Y25" s="500" t="s">
        <v>3071</v>
      </c>
      <c r="Z25" s="2897">
        <f t="shared" si="5"/>
        <v>14859</v>
      </c>
      <c r="AA25" s="2909">
        <f t="shared" ref="AA25:AA33" si="6">AH76</f>
        <v>19317</v>
      </c>
      <c r="AB25" s="1395">
        <f t="shared" si="4"/>
        <v>14859</v>
      </c>
      <c r="AC25" s="883"/>
      <c r="AD25" s="1378"/>
      <c r="AE25" s="883"/>
      <c r="AR25" s="502" t="s">
        <v>5103</v>
      </c>
      <c r="AS25" s="2869"/>
      <c r="AT25" s="2869"/>
      <c r="AU25" s="2876">
        <f>$AU$50</f>
        <v>26640</v>
      </c>
      <c r="AX25" s="1378">
        <f>$J$25*$Q$1*$U$2/$D$27*$F$55</f>
        <v>14614.569450000003</v>
      </c>
      <c r="AY25" s="2906">
        <f>IF($AX$25&gt;$AX$1,$AX$25*$AZ$1+$AY$1,$AX$25)</f>
        <v>14614.569450000003</v>
      </c>
    </row>
    <row r="26" spans="1:51" ht="13.5" thickBot="1">
      <c r="A26" s="550">
        <v>1041</v>
      </c>
      <c r="B26" s="550" t="s">
        <v>401</v>
      </c>
      <c r="C26" s="551"/>
      <c r="D26" s="562" t="s">
        <v>5210</v>
      </c>
      <c r="E26" s="551"/>
      <c r="F26" s="551"/>
      <c r="G26" s="551"/>
      <c r="I26" s="500" t="s">
        <v>3073</v>
      </c>
      <c r="J26" s="1858">
        <f t="shared" si="0"/>
        <v>213106</v>
      </c>
      <c r="K26" s="883">
        <f>NDK!B30</f>
        <v>0</v>
      </c>
      <c r="L26" s="2906">
        <f>IF($AX$26&gt;$AX$1,$AX$26*$AZ$1+$AY$1,$AX$26)</f>
        <v>191687.31285100002</v>
      </c>
      <c r="M26" s="2735"/>
      <c r="N26" s="1378"/>
      <c r="O26" s="1378">
        <f t="shared" si="1"/>
        <v>191640</v>
      </c>
      <c r="P26" s="2885">
        <f t="shared" ref="P26:P33" si="7">AU26</f>
        <v>200040</v>
      </c>
      <c r="Q26" s="1395">
        <f t="shared" si="2"/>
        <v>200040</v>
      </c>
      <c r="R26" s="883"/>
      <c r="S26" s="1378">
        <f t="shared" si="3"/>
        <v>0</v>
      </c>
      <c r="T26" s="1931"/>
      <c r="U26" s="1931"/>
      <c r="V26" s="1439"/>
      <c r="W26" s="1368"/>
      <c r="X26" s="883"/>
      <c r="Y26" s="500" t="s">
        <v>3073</v>
      </c>
      <c r="Z26" s="2897">
        <f t="shared" si="5"/>
        <v>213106</v>
      </c>
      <c r="AA26" s="2909">
        <f t="shared" si="6"/>
        <v>277038</v>
      </c>
      <c r="AB26" s="1395">
        <f t="shared" si="4"/>
        <v>213106</v>
      </c>
      <c r="AC26" s="883"/>
      <c r="AD26" s="1378"/>
      <c r="AE26" s="883"/>
      <c r="AR26" s="502" t="s">
        <v>3073</v>
      </c>
      <c r="AS26" s="3269">
        <v>200040</v>
      </c>
      <c r="AT26" s="3269">
        <v>50040</v>
      </c>
      <c r="AU26" s="2869">
        <f t="shared" ref="AU26:AU33" si="8">IF($AU$1=$AV$1,$AS26,$AT26)</f>
        <v>200040</v>
      </c>
      <c r="AX26" s="1378">
        <f>$J$26*$Q$1*$U$2/$D$27</f>
        <v>209600.40630000003</v>
      </c>
      <c r="AY26" s="2906">
        <f>IF($AX$26&gt;$AX$1,$AX$26*$AZ$1+$AY$1,$AX$26)</f>
        <v>191687.31285100002</v>
      </c>
    </row>
    <row r="27" spans="1:51" ht="16.5" thickTop="1">
      <c r="A27" s="550">
        <v>1042</v>
      </c>
      <c r="B27" s="550" t="s">
        <v>401</v>
      </c>
      <c r="C27" s="551"/>
      <c r="D27" s="563">
        <f>IF(AND(NDK!$B$52&gt;=1000,NDK!$B$52&lt;2000),1,$E$25)</f>
        <v>1</v>
      </c>
      <c r="F27" s="563">
        <f>IF(AND(NDK!$B$52&gt;=1000,NDK!$B$52&lt;2000),1,$F$25)</f>
        <v>1</v>
      </c>
      <c r="I27" s="500" t="s">
        <v>491</v>
      </c>
      <c r="J27" s="1858">
        <f t="shared" si="0"/>
        <v>505779</v>
      </c>
      <c r="K27" s="883">
        <f>NDK!B31</f>
        <v>0</v>
      </c>
      <c r="L27" s="2906">
        <f>IF($AX$27&gt;$AX$1,$AX$27*$AZ$1+$AY$1,$AX$27)</f>
        <v>413338.38029650005</v>
      </c>
      <c r="M27" s="2735"/>
      <c r="N27" s="2749"/>
      <c r="O27" s="1378">
        <f t="shared" si="1"/>
        <v>413280</v>
      </c>
      <c r="P27" s="2885">
        <f t="shared" si="7"/>
        <v>1713480</v>
      </c>
      <c r="Q27" s="1395">
        <f t="shared" si="2"/>
        <v>1713480</v>
      </c>
      <c r="R27" s="883"/>
      <c r="S27" s="1378">
        <f t="shared" si="3"/>
        <v>0</v>
      </c>
      <c r="T27" s="1931"/>
      <c r="U27" s="1931"/>
      <c r="V27" s="3081" t="s">
        <v>4979</v>
      </c>
      <c r="W27" s="2543"/>
      <c r="X27" s="2217"/>
      <c r="Y27" s="500" t="s">
        <v>491</v>
      </c>
      <c r="Z27" s="2897">
        <f t="shared" si="5"/>
        <v>505779</v>
      </c>
      <c r="AA27" s="2909">
        <f t="shared" si="6"/>
        <v>657513</v>
      </c>
      <c r="AB27" s="1395">
        <f t="shared" si="4"/>
        <v>505779</v>
      </c>
      <c r="AC27" s="883"/>
      <c r="AD27" s="1378"/>
      <c r="AE27" s="883"/>
      <c r="AR27" s="502" t="s">
        <v>491</v>
      </c>
      <c r="AS27" s="3084">
        <v>1713480</v>
      </c>
      <c r="AT27" s="3269">
        <v>326520</v>
      </c>
      <c r="AU27" s="2869">
        <f t="shared" si="8"/>
        <v>1713480</v>
      </c>
      <c r="AX27" s="1378">
        <f>$J$27*$Q$1/$D$27*$F$53</f>
        <v>497458.93545000005</v>
      </c>
      <c r="AY27" s="2906">
        <f>IF($AX$27&gt;$AX$1,$AX$27*$AZ$1+$AY$1,$AX$27)</f>
        <v>413338.38029650005</v>
      </c>
    </row>
    <row r="28" spans="1:51">
      <c r="A28" s="550">
        <v>1043</v>
      </c>
      <c r="B28" s="550" t="s">
        <v>401</v>
      </c>
      <c r="C28" s="551"/>
      <c r="D28" s="557" t="s">
        <v>214</v>
      </c>
      <c r="I28" s="500" t="s">
        <v>492</v>
      </c>
      <c r="J28" s="1858">
        <f t="shared" si="0"/>
        <v>505779</v>
      </c>
      <c r="K28" s="883">
        <f>NDK!B32</f>
        <v>0</v>
      </c>
      <c r="L28" s="2906">
        <f>IF($AX$28&gt;$AX$1,$AX$28*$AZ$1+$AY$1,$AX$28)</f>
        <v>413338.38029650005</v>
      </c>
      <c r="M28" s="2735"/>
      <c r="N28" s="2749"/>
      <c r="O28" s="1378">
        <f t="shared" si="1"/>
        <v>413280</v>
      </c>
      <c r="P28" s="2885">
        <f t="shared" si="7"/>
        <v>1713480</v>
      </c>
      <c r="Q28" s="1395">
        <f t="shared" si="2"/>
        <v>1713480</v>
      </c>
      <c r="R28" s="883"/>
      <c r="S28" s="1378">
        <f t="shared" si="3"/>
        <v>0</v>
      </c>
      <c r="T28" s="1931"/>
      <c r="U28" s="1931"/>
      <c r="V28" s="2860" t="s">
        <v>4980</v>
      </c>
      <c r="W28" s="3264">
        <v>19317</v>
      </c>
      <c r="X28" s="2218"/>
      <c r="Y28" s="500" t="s">
        <v>492</v>
      </c>
      <c r="Z28" s="2897">
        <f t="shared" si="5"/>
        <v>505779</v>
      </c>
      <c r="AA28" s="2909">
        <f t="shared" si="6"/>
        <v>657513</v>
      </c>
      <c r="AB28" s="1395">
        <f t="shared" si="4"/>
        <v>505779</v>
      </c>
      <c r="AC28" s="883"/>
      <c r="AD28" s="1378"/>
      <c r="AE28" s="883"/>
      <c r="AR28" s="502" t="s">
        <v>492</v>
      </c>
      <c r="AS28" s="3084">
        <v>1713480</v>
      </c>
      <c r="AT28" s="3269">
        <v>326520</v>
      </c>
      <c r="AU28" s="2869">
        <f t="shared" si="8"/>
        <v>1713480</v>
      </c>
      <c r="AX28" s="1378">
        <f>$J$28*$Q$1/$D$27*$F$53</f>
        <v>497458.93545000005</v>
      </c>
      <c r="AY28" s="2906">
        <f>IF($AX$28&gt;$AX$1,$AX$28*$AZ$1+$AY$1,$AX$28)</f>
        <v>413338.38029650005</v>
      </c>
    </row>
    <row r="29" spans="1:51">
      <c r="A29" s="550">
        <v>1044</v>
      </c>
      <c r="B29" s="550" t="s">
        <v>401</v>
      </c>
      <c r="C29" s="551"/>
      <c r="I29" s="500" t="s">
        <v>1179</v>
      </c>
      <c r="J29" s="1858">
        <f t="shared" si="0"/>
        <v>27084</v>
      </c>
      <c r="K29" s="883">
        <f>NDK!B33</f>
        <v>0</v>
      </c>
      <c r="L29" s="2906">
        <f>IF($AX$29&gt;$AX$1,$AX$29*$AZ$1+$AY$1,$AX$29)</f>
        <v>26638.468200000003</v>
      </c>
      <c r="M29" s="1378"/>
      <c r="N29" s="1378"/>
      <c r="O29" s="1378">
        <f t="shared" si="1"/>
        <v>26640</v>
      </c>
      <c r="P29" s="2884">
        <f t="shared" si="7"/>
        <v>12720</v>
      </c>
      <c r="Q29" s="1395">
        <f t="shared" si="2"/>
        <v>26640</v>
      </c>
      <c r="R29" s="883"/>
      <c r="S29" s="1378">
        <f t="shared" si="3"/>
        <v>0</v>
      </c>
      <c r="T29" s="1931"/>
      <c r="U29" s="1931"/>
      <c r="V29" s="2860" t="s">
        <v>4981</v>
      </c>
      <c r="W29" s="3264">
        <v>163436</v>
      </c>
      <c r="X29" s="2218"/>
      <c r="Y29" s="500" t="s">
        <v>1179</v>
      </c>
      <c r="Z29" s="2897">
        <f t="shared" si="5"/>
        <v>27084</v>
      </c>
      <c r="AA29" s="2909">
        <f t="shared" si="6"/>
        <v>35210</v>
      </c>
      <c r="AB29" s="1395">
        <f t="shared" si="4"/>
        <v>27084</v>
      </c>
      <c r="AC29" s="883"/>
      <c r="AD29" s="1378"/>
      <c r="AE29" s="883"/>
      <c r="AR29" s="502" t="s">
        <v>1179</v>
      </c>
      <c r="AS29" s="3084">
        <v>12720</v>
      </c>
      <c r="AT29" s="3269">
        <v>3240</v>
      </c>
      <c r="AU29" s="2869">
        <f t="shared" si="8"/>
        <v>12720</v>
      </c>
      <c r="AX29" s="1378">
        <f>$J$29*$Q$1</f>
        <v>26638.468200000003</v>
      </c>
      <c r="AY29" s="2906">
        <f>IF($AX$29&gt;$AX$1,$AX$29*$AZ$1+$AY$1,$AX$29)</f>
        <v>26638.468200000003</v>
      </c>
    </row>
    <row r="30" spans="1:51" ht="13.5" thickBot="1">
      <c r="A30" s="550">
        <v>1045</v>
      </c>
      <c r="B30" s="550" t="s">
        <v>401</v>
      </c>
      <c r="C30" s="551"/>
      <c r="I30" s="500" t="s">
        <v>3074</v>
      </c>
      <c r="J30" s="1858">
        <f t="shared" si="0"/>
        <v>13964</v>
      </c>
      <c r="K30" s="883">
        <f>NDK!B34</f>
        <v>0</v>
      </c>
      <c r="L30" s="2906">
        <f>IF($AX$30&gt;$AX$1,$AX$30*$AZ$1+$AY$1,$AX$30)</f>
        <v>13734.292200000002</v>
      </c>
      <c r="M30" s="1378"/>
      <c r="N30" s="1378"/>
      <c r="O30" s="1378">
        <f t="shared" si="1"/>
        <v>13680</v>
      </c>
      <c r="P30" s="2884">
        <f t="shared" si="7"/>
        <v>13200</v>
      </c>
      <c r="Q30" s="1395">
        <f t="shared" si="2"/>
        <v>13680</v>
      </c>
      <c r="R30" s="883"/>
      <c r="S30" s="1378">
        <f t="shared" si="3"/>
        <v>0</v>
      </c>
      <c r="T30" s="1931"/>
      <c r="U30" s="1931"/>
      <c r="V30" s="2861" t="s">
        <v>4978</v>
      </c>
      <c r="W30" s="3266">
        <f>IF(W11=X11,W28,W29)</f>
        <v>19317</v>
      </c>
      <c r="X30" s="2219"/>
      <c r="Y30" s="500" t="s">
        <v>3074</v>
      </c>
      <c r="Z30" s="2897">
        <f t="shared" si="5"/>
        <v>13964</v>
      </c>
      <c r="AA30" s="2909">
        <f t="shared" si="6"/>
        <v>18153</v>
      </c>
      <c r="AB30" s="1395">
        <f t="shared" si="4"/>
        <v>13964</v>
      </c>
      <c r="AC30" s="883"/>
      <c r="AD30" s="1378"/>
      <c r="AE30" s="883"/>
      <c r="AR30" s="502" t="s">
        <v>3074</v>
      </c>
      <c r="AS30" s="3084">
        <v>13200</v>
      </c>
      <c r="AT30" s="3269">
        <v>2400</v>
      </c>
      <c r="AU30" s="2869">
        <f t="shared" si="8"/>
        <v>13200</v>
      </c>
      <c r="AX30" s="1378">
        <f>$J$30*$Q$1</f>
        <v>13734.292200000002</v>
      </c>
      <c r="AY30" s="2906">
        <f>IF($AX$30&gt;$AX$1,$AX$30*$AZ$1+$AY$1,$AX$30)</f>
        <v>13734.292200000002</v>
      </c>
    </row>
    <row r="31" spans="1:51" ht="13.5" thickTop="1">
      <c r="A31" s="550">
        <v>1046</v>
      </c>
      <c r="B31" s="550" t="s">
        <v>401</v>
      </c>
      <c r="C31" s="551"/>
      <c r="I31" s="500" t="s">
        <v>1234</v>
      </c>
      <c r="J31" s="1858">
        <f t="shared" si="0"/>
        <v>15547</v>
      </c>
      <c r="K31" s="883">
        <f>NDK!B35</f>
        <v>0</v>
      </c>
      <c r="L31" s="2906">
        <f>IF($AX$31&gt;$AX$1,$AX$31*$AZ$1+$AY$1,$AX$31)</f>
        <v>15291.251850000002</v>
      </c>
      <c r="M31" s="1378"/>
      <c r="N31" s="1378"/>
      <c r="O31" s="1378">
        <f t="shared" si="1"/>
        <v>15240</v>
      </c>
      <c r="P31" s="2884">
        <f t="shared" si="7"/>
        <v>13440</v>
      </c>
      <c r="Q31" s="1395">
        <f t="shared" si="2"/>
        <v>15240</v>
      </c>
      <c r="R31" s="883"/>
      <c r="S31" s="1378">
        <f t="shared" si="3"/>
        <v>0</v>
      </c>
      <c r="T31" s="1931"/>
      <c r="U31" s="1931"/>
      <c r="V31" s="1439"/>
      <c r="W31" s="1368"/>
      <c r="X31" s="883"/>
      <c r="Y31" s="500" t="s">
        <v>1234</v>
      </c>
      <c r="Z31" s="2897">
        <f t="shared" si="5"/>
        <v>15547</v>
      </c>
      <c r="AA31" s="2909">
        <f t="shared" si="6"/>
        <v>20211</v>
      </c>
      <c r="AB31" s="1395">
        <f t="shared" si="4"/>
        <v>15547</v>
      </c>
      <c r="AC31" s="883"/>
      <c r="AD31" s="1378"/>
      <c r="AE31" s="883"/>
      <c r="AR31" s="502" t="s">
        <v>1234</v>
      </c>
      <c r="AS31" s="3084">
        <v>13440</v>
      </c>
      <c r="AT31" s="3269">
        <v>2880</v>
      </c>
      <c r="AU31" s="2869">
        <f t="shared" si="8"/>
        <v>13440</v>
      </c>
      <c r="AX31" s="1378">
        <f>$J$31*$Q$1</f>
        <v>15291.251850000002</v>
      </c>
      <c r="AY31" s="2906">
        <f>IF($AX$31&gt;$AX$1,$AX$31*$AZ$1+$AY$1,$AX$31)</f>
        <v>15291.251850000002</v>
      </c>
    </row>
    <row r="32" spans="1:51" ht="13.5" thickBot="1">
      <c r="A32" s="550">
        <v>1047</v>
      </c>
      <c r="B32" s="550" t="s">
        <v>401</v>
      </c>
      <c r="C32" s="551"/>
      <c r="I32" s="500" t="s">
        <v>1235</v>
      </c>
      <c r="J32" s="1858">
        <f t="shared" si="0"/>
        <v>19985</v>
      </c>
      <c r="K32" s="883">
        <f>NDK!B36</f>
        <v>0</v>
      </c>
      <c r="L32" s="2906">
        <f>IF($AX$32&gt;$AX$1,$AX$32*$AZ$1+$AY$1,$AX$32)</f>
        <v>19656.246750000002</v>
      </c>
      <c r="M32" s="1378"/>
      <c r="N32" s="1378"/>
      <c r="O32" s="1378">
        <f t="shared" si="1"/>
        <v>19680</v>
      </c>
      <c r="P32" s="2884">
        <f t="shared" si="7"/>
        <v>18480</v>
      </c>
      <c r="Q32" s="1395">
        <f t="shared" si="2"/>
        <v>19680</v>
      </c>
      <c r="R32" s="883"/>
      <c r="S32" s="1378">
        <f t="shared" si="3"/>
        <v>0</v>
      </c>
      <c r="T32" s="1931"/>
      <c r="U32" s="1931"/>
      <c r="V32" s="1439"/>
      <c r="W32" s="1368"/>
      <c r="X32" s="883"/>
      <c r="Y32" s="500" t="s">
        <v>1235</v>
      </c>
      <c r="Z32" s="2897">
        <f t="shared" si="5"/>
        <v>19985</v>
      </c>
      <c r="AA32" s="2909">
        <f t="shared" si="6"/>
        <v>25981</v>
      </c>
      <c r="AB32" s="1395">
        <f t="shared" si="4"/>
        <v>19985</v>
      </c>
      <c r="AC32" s="883"/>
      <c r="AD32" s="1378"/>
      <c r="AE32" s="883"/>
      <c r="AR32" s="502" t="s">
        <v>1235</v>
      </c>
      <c r="AS32" s="3084">
        <v>18480</v>
      </c>
      <c r="AT32" s="3269">
        <v>5160</v>
      </c>
      <c r="AU32" s="2869">
        <f t="shared" si="8"/>
        <v>18480</v>
      </c>
      <c r="AX32" s="1378">
        <f>$J$32*$Q$1</f>
        <v>19656.246750000002</v>
      </c>
      <c r="AY32" s="2906">
        <f>IF($AX$32&gt;$AX$1,$AX$32*$AZ$1+$AY$1,$AX$32)</f>
        <v>19656.246750000002</v>
      </c>
    </row>
    <row r="33" spans="1:51" ht="17.25" thickTop="1" thickBot="1">
      <c r="A33" s="550">
        <v>1048</v>
      </c>
      <c r="B33" s="550" t="s">
        <v>401</v>
      </c>
      <c r="C33" s="551"/>
      <c r="I33" s="500" t="s">
        <v>1236</v>
      </c>
      <c r="J33" s="1858">
        <f t="shared" si="0"/>
        <v>42000</v>
      </c>
      <c r="K33" s="883">
        <f>NDK!B37</f>
        <v>0</v>
      </c>
      <c r="L33" s="2906">
        <f>IF($AX$33&gt;$AX$1,$AX$33*$AZ$1+$AY$1,$AX$33)</f>
        <v>41309.100000000006</v>
      </c>
      <c r="M33" s="1378"/>
      <c r="N33" s="1378"/>
      <c r="O33" s="1378">
        <f t="shared" si="1"/>
        <v>41280</v>
      </c>
      <c r="P33" s="2884">
        <f t="shared" si="7"/>
        <v>22800</v>
      </c>
      <c r="Q33" s="1395">
        <f t="shared" si="2"/>
        <v>41280</v>
      </c>
      <c r="R33" s="883"/>
      <c r="S33" s="1378">
        <f t="shared" si="3"/>
        <v>0</v>
      </c>
      <c r="T33" s="1931"/>
      <c r="U33" s="1931"/>
      <c r="V33" s="3081" t="s">
        <v>4984</v>
      </c>
      <c r="W33" s="2543"/>
      <c r="X33" s="2217"/>
      <c r="Y33" s="500" t="s">
        <v>1236</v>
      </c>
      <c r="Z33" s="2897">
        <f t="shared" si="5"/>
        <v>42000</v>
      </c>
      <c r="AA33" s="2909">
        <f t="shared" si="6"/>
        <v>54600</v>
      </c>
      <c r="AB33" s="1395">
        <f t="shared" si="4"/>
        <v>42000</v>
      </c>
      <c r="AC33" s="883"/>
      <c r="AD33" s="1378"/>
      <c r="AE33" s="883"/>
      <c r="AR33" s="502" t="s">
        <v>1236</v>
      </c>
      <c r="AS33" s="3084">
        <v>22800</v>
      </c>
      <c r="AT33" s="3269">
        <v>10320</v>
      </c>
      <c r="AU33" s="2869">
        <f t="shared" si="8"/>
        <v>22800</v>
      </c>
      <c r="AX33" s="1378">
        <f>$J$33*$Q$1</f>
        <v>41309.100000000006</v>
      </c>
      <c r="AY33" s="2906">
        <f>IF($AX$33&gt;$AX$1,$AX$33*$AZ$1+$AY$1,$AX$33)</f>
        <v>41309.100000000006</v>
      </c>
    </row>
    <row r="34" spans="1:51" ht="23.25" thickTop="1">
      <c r="A34" s="550">
        <v>1051</v>
      </c>
      <c r="B34" s="550" t="s">
        <v>401</v>
      </c>
      <c r="C34" s="2738" t="s">
        <v>5106</v>
      </c>
      <c r="D34" s="2739">
        <f>J1</f>
        <v>7410</v>
      </c>
      <c r="I34" s="505" t="s">
        <v>2710</v>
      </c>
      <c r="J34" s="1858">
        <f t="shared" si="0"/>
        <v>0</v>
      </c>
      <c r="K34" s="883"/>
      <c r="L34" s="2908"/>
      <c r="M34" s="1378"/>
      <c r="N34" s="1378"/>
      <c r="O34" s="1378"/>
      <c r="P34" s="2727"/>
      <c r="Q34" s="1395"/>
      <c r="R34" s="883"/>
      <c r="S34" s="1378"/>
      <c r="T34" s="1931"/>
      <c r="U34" s="1931"/>
      <c r="V34" s="2860" t="s">
        <v>4980</v>
      </c>
      <c r="W34" s="3264">
        <v>19317</v>
      </c>
      <c r="X34" s="2218"/>
      <c r="Y34" s="505" t="s">
        <v>2710</v>
      </c>
      <c r="Z34" s="2897">
        <f t="shared" si="5"/>
        <v>0</v>
      </c>
      <c r="AA34" s="2909"/>
      <c r="AB34" s="1395">
        <f t="shared" si="4"/>
        <v>0</v>
      </c>
      <c r="AC34" s="883"/>
      <c r="AD34" s="1378"/>
      <c r="AE34" s="883"/>
      <c r="AR34" s="505" t="s">
        <v>2710</v>
      </c>
      <c r="AS34" s="3084"/>
      <c r="AT34" s="3269"/>
      <c r="AU34" s="2869"/>
      <c r="AX34" s="1378"/>
      <c r="AY34" s="2908"/>
    </row>
    <row r="35" spans="1:51">
      <c r="A35" s="550">
        <v>1052</v>
      </c>
      <c r="B35" s="550" t="s">
        <v>401</v>
      </c>
      <c r="C35" s="2740"/>
      <c r="D35" s="2741"/>
      <c r="I35" s="500" t="s">
        <v>1237</v>
      </c>
      <c r="J35" s="1858">
        <f t="shared" si="0"/>
        <v>45371</v>
      </c>
      <c r="K35" s="883">
        <f>NDK!B39</f>
        <v>0</v>
      </c>
      <c r="L35" s="2906">
        <f>IF($AX$35&gt;$AX$1,$AX$35*$AZ$1+$AY$1,$AX$35)</f>
        <v>44624.647050000007</v>
      </c>
      <c r="M35" s="1378"/>
      <c r="N35" s="1378"/>
      <c r="O35" s="1378">
        <f t="shared" si="1"/>
        <v>44640</v>
      </c>
      <c r="P35" s="2884">
        <f t="shared" ref="P35:P45" si="9">AU35</f>
        <v>31080</v>
      </c>
      <c r="Q35" s="1395">
        <f t="shared" si="2"/>
        <v>44640</v>
      </c>
      <c r="R35" s="883"/>
      <c r="S35" s="1378">
        <f t="shared" si="3"/>
        <v>0</v>
      </c>
      <c r="T35" s="1931"/>
      <c r="U35" s="1931"/>
      <c r="V35" s="2860" t="s">
        <v>4981</v>
      </c>
      <c r="W35" s="3264">
        <v>163436</v>
      </c>
      <c r="X35" s="2218"/>
      <c r="Y35" s="500" t="s">
        <v>1237</v>
      </c>
      <c r="Z35" s="2897">
        <f t="shared" si="5"/>
        <v>45371</v>
      </c>
      <c r="AA35" s="2909">
        <f t="shared" ref="AA35:AA45" si="10">AH86</f>
        <v>58982</v>
      </c>
      <c r="AB35" s="1395">
        <f t="shared" si="4"/>
        <v>45371</v>
      </c>
      <c r="AC35" s="883"/>
      <c r="AD35" s="1378"/>
      <c r="AE35" s="883"/>
      <c r="AR35" s="502" t="s">
        <v>1237</v>
      </c>
      <c r="AS35" s="3084">
        <v>31080</v>
      </c>
      <c r="AT35" s="3269">
        <v>10320</v>
      </c>
      <c r="AU35" s="2869">
        <f t="shared" ref="AU35:AU45" si="11">IF($AU$1=$AV$1,$AS35,$AT35)</f>
        <v>31080</v>
      </c>
      <c r="AX35" s="1378">
        <f>$J$35*$Q$1</f>
        <v>44624.647050000007</v>
      </c>
      <c r="AY35" s="2906">
        <f>IF($AX$35&gt;$AX$1,$AX$35*$AZ$1+$AY$1,$AX$35)</f>
        <v>44624.647050000007</v>
      </c>
    </row>
    <row r="36" spans="1:51" ht="13.5" thickBot="1">
      <c r="A36" s="550">
        <v>1053</v>
      </c>
      <c r="B36" s="550" t="s">
        <v>401</v>
      </c>
      <c r="C36" s="2742" t="s">
        <v>215</v>
      </c>
      <c r="D36" s="2741"/>
      <c r="I36" s="500" t="s">
        <v>1238</v>
      </c>
      <c r="J36" s="1858">
        <f t="shared" si="0"/>
        <v>12908</v>
      </c>
      <c r="K36" s="883">
        <f>NDK!B40</f>
        <v>0</v>
      </c>
      <c r="L36" s="2906">
        <f>IF($AX$36&gt;$AX$1,$AX$36*$AZ$1+$AY$1,$AX$36)</f>
        <v>12695.663400000001</v>
      </c>
      <c r="M36" s="1378"/>
      <c r="N36" s="1378"/>
      <c r="O36" s="1378">
        <f t="shared" si="1"/>
        <v>12720</v>
      </c>
      <c r="P36" s="2884">
        <f t="shared" si="9"/>
        <v>8520</v>
      </c>
      <c r="Q36" s="1395">
        <f t="shared" si="2"/>
        <v>12720</v>
      </c>
      <c r="R36" s="883"/>
      <c r="S36" s="1378">
        <f t="shared" si="3"/>
        <v>0</v>
      </c>
      <c r="T36" s="1931"/>
      <c r="U36" s="1932">
        <f>$S36</f>
        <v>0</v>
      </c>
      <c r="V36" s="2861" t="s">
        <v>4978</v>
      </c>
      <c r="W36" s="3266">
        <f>IF(W11=X11,W34,W35)</f>
        <v>19317</v>
      </c>
      <c r="X36" s="2219"/>
      <c r="Y36" s="500" t="s">
        <v>1238</v>
      </c>
      <c r="Z36" s="2897">
        <f t="shared" si="5"/>
        <v>12908</v>
      </c>
      <c r="AA36" s="2909">
        <f t="shared" si="10"/>
        <v>16780</v>
      </c>
      <c r="AB36" s="1395">
        <f t="shared" si="4"/>
        <v>12908</v>
      </c>
      <c r="AC36" s="883"/>
      <c r="AD36" s="1378"/>
      <c r="AE36" s="883"/>
      <c r="AR36" s="502" t="s">
        <v>1238</v>
      </c>
      <c r="AS36" s="3084">
        <v>8520</v>
      </c>
      <c r="AT36" s="3269">
        <v>2280</v>
      </c>
      <c r="AU36" s="2869">
        <f t="shared" si="11"/>
        <v>8520</v>
      </c>
      <c r="AX36" s="1378">
        <f>$J$36*$Q$1</f>
        <v>12695.663400000001</v>
      </c>
      <c r="AY36" s="2906">
        <f>IF($AX$36&gt;$AX$1,$AX$36*$AZ$1+$AY$1,$AX$36)</f>
        <v>12695.663400000001</v>
      </c>
    </row>
    <row r="37" spans="1:51" ht="16.5" thickTop="1">
      <c r="A37" s="550">
        <v>1054</v>
      </c>
      <c r="B37" s="550" t="s">
        <v>401</v>
      </c>
      <c r="C37" s="3113">
        <v>0.68200000000000005</v>
      </c>
      <c r="D37" s="3116" t="b">
        <f>OR(AND($J$1&gt;=300,$J$1&lt;=399),AND($J$1&gt;=1900,$J$1&lt;=1999))</f>
        <v>0</v>
      </c>
      <c r="I37" s="508" t="s">
        <v>497</v>
      </c>
      <c r="J37" s="1858">
        <f t="shared" si="0"/>
        <v>17633</v>
      </c>
      <c r="K37" s="883">
        <f>NDK!B41</f>
        <v>0</v>
      </c>
      <c r="L37" s="2906">
        <f>IF($AX$37&gt;$AX$1,$AX$37*$AZ$1+$AY$1,$AX$37)</f>
        <v>17342.937150000002</v>
      </c>
      <c r="M37" s="1378"/>
      <c r="N37" s="1378"/>
      <c r="O37" s="1378">
        <f t="shared" si="1"/>
        <v>17400</v>
      </c>
      <c r="P37" s="2884">
        <f t="shared" si="9"/>
        <v>18000</v>
      </c>
      <c r="Q37" s="1395">
        <f t="shared" si="2"/>
        <v>18000</v>
      </c>
      <c r="R37" s="883"/>
      <c r="S37" s="1378">
        <f t="shared" si="3"/>
        <v>0</v>
      </c>
      <c r="T37" s="1931"/>
      <c r="U37" s="1932">
        <f>$S37</f>
        <v>0</v>
      </c>
      <c r="V37" s="1442"/>
      <c r="W37" s="1368"/>
      <c r="X37" s="883"/>
      <c r="Y37" s="508" t="s">
        <v>497</v>
      </c>
      <c r="Z37" s="2897">
        <f t="shared" si="5"/>
        <v>17633</v>
      </c>
      <c r="AA37" s="2909">
        <f t="shared" si="10"/>
        <v>22923</v>
      </c>
      <c r="AB37" s="1395">
        <f t="shared" si="4"/>
        <v>17633</v>
      </c>
      <c r="AC37" s="883"/>
      <c r="AD37" s="1378"/>
      <c r="AE37" s="883"/>
      <c r="AR37" s="508" t="s">
        <v>497</v>
      </c>
      <c r="AS37" s="3084">
        <v>18000</v>
      </c>
      <c r="AT37" s="3269">
        <v>2280</v>
      </c>
      <c r="AU37" s="2869">
        <f t="shared" si="11"/>
        <v>18000</v>
      </c>
      <c r="AX37" s="1378">
        <f>$J$37*$Q$1</f>
        <v>17342.937150000002</v>
      </c>
      <c r="AY37" s="2906">
        <f>IF($AX$37&gt;$AX$1,$AX$37*$AZ$1+$AY$1,$AX$37)</f>
        <v>17342.937150000002</v>
      </c>
    </row>
    <row r="38" spans="1:51" ht="15.75">
      <c r="A38" s="550">
        <v>1055</v>
      </c>
      <c r="B38" s="550" t="s">
        <v>401</v>
      </c>
      <c r="C38" s="3114">
        <v>0.77800000000000002</v>
      </c>
      <c r="D38" s="3116" t="b">
        <f>OR(AND($J$1&gt;=100,$J$1&lt;=199))</f>
        <v>0</v>
      </c>
      <c r="I38" s="500" t="s">
        <v>493</v>
      </c>
      <c r="J38" s="1858">
        <f t="shared" si="0"/>
        <v>18861</v>
      </c>
      <c r="K38" s="883">
        <f>NDK!B42</f>
        <v>0</v>
      </c>
      <c r="L38" s="2906">
        <f>IF($AX$38&gt;$AX$1,$AX$38*$AZ$1+$AY$1,$AX$38)</f>
        <v>18550.736550000001</v>
      </c>
      <c r="M38" s="1378"/>
      <c r="N38" s="1378"/>
      <c r="O38" s="1378">
        <f t="shared" si="1"/>
        <v>18600</v>
      </c>
      <c r="P38" s="2884">
        <f t="shared" si="9"/>
        <v>12960</v>
      </c>
      <c r="Q38" s="1395">
        <f t="shared" si="2"/>
        <v>18600</v>
      </c>
      <c r="R38" s="883"/>
      <c r="S38" s="1378">
        <f t="shared" si="3"/>
        <v>0</v>
      </c>
      <c r="T38" s="1931"/>
      <c r="U38" s="1932">
        <f>$S38</f>
        <v>0</v>
      </c>
      <c r="V38" s="1439"/>
      <c r="W38" s="1368"/>
      <c r="X38" s="883"/>
      <c r="Y38" s="500" t="s">
        <v>493</v>
      </c>
      <c r="Z38" s="2897">
        <f t="shared" si="5"/>
        <v>18861</v>
      </c>
      <c r="AA38" s="2909">
        <f t="shared" si="10"/>
        <v>24519</v>
      </c>
      <c r="AB38" s="1395">
        <f t="shared" si="4"/>
        <v>18861</v>
      </c>
      <c r="AC38" s="883"/>
      <c r="AD38" s="1378"/>
      <c r="AE38" s="883"/>
      <c r="AR38" s="502" t="s">
        <v>493</v>
      </c>
      <c r="AS38" s="3084">
        <v>12960</v>
      </c>
      <c r="AT38" s="3269">
        <v>4080</v>
      </c>
      <c r="AU38" s="2869">
        <f t="shared" si="11"/>
        <v>12960</v>
      </c>
      <c r="AX38" s="1378">
        <f>$J$38*$Q$1</f>
        <v>18550.736550000001</v>
      </c>
      <c r="AY38" s="2906">
        <f>IF($AX$38&gt;$AX$1,$AX$38*$AZ$1+$AY$1,$AX$38)</f>
        <v>18550.736550000001</v>
      </c>
    </row>
    <row r="39" spans="1:51" ht="15.75">
      <c r="A39" s="550">
        <v>1056</v>
      </c>
      <c r="B39" s="550" t="s">
        <v>401</v>
      </c>
      <c r="C39" s="3114">
        <v>0.80100000000000005</v>
      </c>
      <c r="D39" s="3116" t="b">
        <f>OR(AND($J$1&gt;=2400,$J$1&lt;=2499),AND($J$1&gt;=3100,$J$1&lt;=3199),AND($J$1&gt;=8400,$J$1&lt;=8499),AND($J$1&gt;=9400,$J$1&lt;=9499))</f>
        <v>0</v>
      </c>
      <c r="I39" s="500" t="s">
        <v>494</v>
      </c>
      <c r="J39" s="1858">
        <f t="shared" si="0"/>
        <v>19650</v>
      </c>
      <c r="K39" s="883">
        <f>NDK!B43</f>
        <v>0</v>
      </c>
      <c r="L39" s="2906">
        <f>IF($AX$39&gt;$AX$1,$AX$39*$AZ$1+$AY$1,$AX$39)</f>
        <v>19326.757500000003</v>
      </c>
      <c r="M39" s="1378"/>
      <c r="N39" s="1378"/>
      <c r="O39" s="1378">
        <f t="shared" si="1"/>
        <v>19320</v>
      </c>
      <c r="P39" s="2884">
        <f t="shared" si="9"/>
        <v>12840</v>
      </c>
      <c r="Q39" s="1395">
        <f t="shared" si="2"/>
        <v>19320</v>
      </c>
      <c r="R39" s="883"/>
      <c r="S39" s="1378">
        <f t="shared" si="3"/>
        <v>0</v>
      </c>
      <c r="T39" s="1931"/>
      <c r="U39" s="1932">
        <f>$S39</f>
        <v>0</v>
      </c>
      <c r="V39" s="1439"/>
      <c r="W39" s="1368"/>
      <c r="X39" s="883"/>
      <c r="Y39" s="500" t="s">
        <v>494</v>
      </c>
      <c r="Z39" s="2897">
        <f t="shared" si="5"/>
        <v>19650</v>
      </c>
      <c r="AA39" s="2909">
        <f t="shared" si="10"/>
        <v>25545</v>
      </c>
      <c r="AB39" s="1395">
        <f t="shared" si="4"/>
        <v>19650</v>
      </c>
      <c r="AC39" s="883"/>
      <c r="AD39" s="1378"/>
      <c r="AE39" s="883"/>
      <c r="AR39" s="502" t="s">
        <v>494</v>
      </c>
      <c r="AS39" s="3084">
        <v>12840</v>
      </c>
      <c r="AT39" s="3269">
        <v>4320</v>
      </c>
      <c r="AU39" s="2869">
        <f t="shared" si="11"/>
        <v>12840</v>
      </c>
      <c r="AX39" s="1378">
        <f>$J$39*$Q$1</f>
        <v>19326.757500000003</v>
      </c>
      <c r="AY39" s="2906">
        <f>IF($AX$39&gt;$AX$1,$AX$39*$AZ$1+$AY$1,$AX$39)</f>
        <v>19326.757500000003</v>
      </c>
    </row>
    <row r="40" spans="1:51" ht="15.75">
      <c r="A40" s="550">
        <v>1061</v>
      </c>
      <c r="B40" s="550" t="s">
        <v>401</v>
      </c>
      <c r="C40" s="3114">
        <v>0.82</v>
      </c>
      <c r="D40" s="3116" t="b">
        <f>OR(AND($J$1&gt;=1100,$J$1&lt;=1199),AND($J$1&gt;=2600,$J$1&lt;=2699),AND($J$1&gt;=3200,$J$1&lt;=3299),AND($J$1&gt;=3700,$J$1&lt;=3799),AND($J$1&gt;=5000,$J$1&lt;=5099),AND($J$1&gt;=5500,$J$1&lt;=5599),AND($J$1&gt;=5800,$J$1&lt;=5899),AND($J$1&gt;=6100,$J$1&lt;=6199),AND($J$1&gt;=9200,$J$1&lt;=9299),AND($J$1&gt;=9900,$J$1&lt;=9999),AND($J$1&gt;=4540,$J$1&lt;=4540),AND($J$1&gt;=4920,$J$1&lt;=4920),AND($J$1&gt;=6499,$J$1&lt;=6499))</f>
        <v>0</v>
      </c>
      <c r="E40" s="2274"/>
      <c r="I40" s="500" t="s">
        <v>1178</v>
      </c>
      <c r="J40" s="1858">
        <f t="shared" si="0"/>
        <v>47357</v>
      </c>
      <c r="K40" s="883">
        <f>NDK!B44</f>
        <v>0</v>
      </c>
      <c r="L40" s="2906">
        <f>IF($AX$40&gt;$AX$1,$AX$40*$AZ$1+$AY$1,$AX$40)</f>
        <v>46577.977350000008</v>
      </c>
      <c r="M40" s="2735"/>
      <c r="N40" s="2749"/>
      <c r="O40" s="1378">
        <f t="shared" si="1"/>
        <v>46560</v>
      </c>
      <c r="P40" s="2884">
        <f t="shared" si="9"/>
        <v>131520</v>
      </c>
      <c r="Q40" s="1395">
        <f t="shared" si="2"/>
        <v>131520</v>
      </c>
      <c r="R40" s="883"/>
      <c r="S40" s="1378">
        <f t="shared" si="3"/>
        <v>0</v>
      </c>
      <c r="T40" s="1931"/>
      <c r="U40" s="1931"/>
      <c r="V40" s="1439"/>
      <c r="W40" s="1368"/>
      <c r="X40" s="883"/>
      <c r="Y40" s="500" t="s">
        <v>1178</v>
      </c>
      <c r="Z40" s="2897">
        <f t="shared" si="5"/>
        <v>47357</v>
      </c>
      <c r="AA40" s="2909">
        <f t="shared" si="10"/>
        <v>61564</v>
      </c>
      <c r="AB40" s="1395">
        <f t="shared" si="4"/>
        <v>47357</v>
      </c>
      <c r="AC40" s="883"/>
      <c r="AD40" s="1378"/>
      <c r="AE40" s="883"/>
      <c r="AR40" s="502" t="s">
        <v>1178</v>
      </c>
      <c r="AS40" s="3269">
        <v>131520</v>
      </c>
      <c r="AT40" s="3269">
        <v>30000</v>
      </c>
      <c r="AU40" s="2869">
        <f t="shared" si="11"/>
        <v>131520</v>
      </c>
      <c r="AX40" s="1378">
        <f>$J$40*$Q$1/$D$27*$F$45</f>
        <v>46577.977350000008</v>
      </c>
      <c r="AY40" s="2906">
        <f>IF($AX$40&gt;$AX$1,$AX$40*$AZ$1+$AY$1,$AX$40)</f>
        <v>46577.977350000008</v>
      </c>
    </row>
    <row r="41" spans="1:51" ht="15.75">
      <c r="A41" s="550">
        <v>1062</v>
      </c>
      <c r="B41" s="550" t="s">
        <v>401</v>
      </c>
      <c r="C41" s="3114">
        <v>0.85899999999999999</v>
      </c>
      <c r="D41" s="3117" t="b">
        <f>OR(AND($J$1&gt;=900,$J$1&lt;=999),AND($J$1&gt;=1600,$J$1&lt;=1699),AND($J$1&gt;=3300,$J$1&lt;=3399),AND($J$1&gt;=3500,$J$1&lt;=3599),AND($J$1&gt;=3600,$J$1&lt;=3699),AND($J$1&gt;=5100,$J$1&lt;=5199),AND($J$1&gt;=5900,$J$1&lt;=5999),AND($J$1&gt;=6900,$J$1&lt;=6999),AND($J$1&gt;=7200,$J$1&lt;=7299),AND($J$1&gt;=8500,$J$1&lt;=8599),AND($J$1&gt;=7731,$J$1&lt;=7731),AND($J$1&gt;=7740,$J$1&lt;=7740),AND($J$1&gt;=8690,$J$1&lt;=8690))</f>
        <v>0</v>
      </c>
      <c r="I41" s="500" t="s">
        <v>1239</v>
      </c>
      <c r="J41" s="1858">
        <f t="shared" si="0"/>
        <v>75805</v>
      </c>
      <c r="K41" s="883">
        <f>NDK!B45</f>
        <v>0</v>
      </c>
      <c r="L41" s="2906">
        <f>IF($AX$41&gt;$AX$1,$AX$41*$AZ$1+$AY$1,$AX$41)</f>
        <v>74558.007750000004</v>
      </c>
      <c r="M41" s="2735"/>
      <c r="N41" s="2749"/>
      <c r="O41" s="1378">
        <f t="shared" si="1"/>
        <v>74520</v>
      </c>
      <c r="P41" s="2885">
        <f t="shared" si="9"/>
        <v>385560</v>
      </c>
      <c r="Q41" s="1395">
        <f t="shared" si="2"/>
        <v>385560</v>
      </c>
      <c r="R41" s="883"/>
      <c r="S41" s="1378">
        <f t="shared" si="3"/>
        <v>0</v>
      </c>
      <c r="T41" s="1931"/>
      <c r="U41" s="1931"/>
      <c r="V41" s="1439"/>
      <c r="W41" s="1368"/>
      <c r="X41" s="883"/>
      <c r="Y41" s="500" t="s">
        <v>1239</v>
      </c>
      <c r="Z41" s="2897">
        <f t="shared" si="5"/>
        <v>75805</v>
      </c>
      <c r="AA41" s="2909">
        <f t="shared" si="10"/>
        <v>98547</v>
      </c>
      <c r="AB41" s="1395">
        <f t="shared" si="4"/>
        <v>75805</v>
      </c>
      <c r="AC41" s="883"/>
      <c r="AD41" s="1378"/>
      <c r="AE41" s="883"/>
      <c r="AR41" s="502" t="s">
        <v>1239</v>
      </c>
      <c r="AS41" s="3269">
        <v>385560</v>
      </c>
      <c r="AT41" s="3269">
        <v>50040</v>
      </c>
      <c r="AU41" s="2869">
        <f t="shared" si="11"/>
        <v>385560</v>
      </c>
      <c r="AX41" s="1378">
        <f>$J$41*$Q$1/$D$27*$F$45</f>
        <v>74558.007750000004</v>
      </c>
      <c r="AY41" s="2906">
        <f>IF($AX$41&gt;$AX$1,$AX$41*$AZ$1+$AY$1,$AX$41)</f>
        <v>74558.007750000004</v>
      </c>
    </row>
    <row r="42" spans="1:51" ht="15.75">
      <c r="A42" s="550">
        <v>1063</v>
      </c>
      <c r="B42" s="550" t="s">
        <v>401</v>
      </c>
      <c r="C42" s="3114">
        <v>0.91300000000000003</v>
      </c>
      <c r="D42" s="3116" t="b">
        <f>OR(AND($J$1&gt;=700,$J$1&lt;=799),AND($J$1&gt;=1800,$J$1&lt;=1899),AND($J$1&gt;=6300,$J$1&lt;=6399),AND($J$1&gt;=6500,$J$1&lt;=6599),AND($J$1&gt;=6800,$J$1&lt;=6899),AND($J$1&gt;=7100,$J$1&lt;=7199),AND($J$1&gt;=8200,$J$1&lt;=8299),AND($J$1&gt;=9600,$J$1&lt;=9699),AND($J$1&gt;=4531,$J$1&lt;=4531))</f>
        <v>0</v>
      </c>
      <c r="E42" s="2274"/>
      <c r="F42" s="2274" t="s">
        <v>5420</v>
      </c>
      <c r="I42" s="500" t="s">
        <v>1240</v>
      </c>
      <c r="J42" s="1858">
        <f t="shared" si="0"/>
        <v>183525</v>
      </c>
      <c r="K42" s="883">
        <f>NDK!B46</f>
        <v>0</v>
      </c>
      <c r="L42" s="2906">
        <f>IF($AX$42&gt;$AX$1,$AX$42*$AZ$1+$AY$1,$AX$42)</f>
        <v>169284.63058750003</v>
      </c>
      <c r="M42" s="2735"/>
      <c r="N42" s="2749"/>
      <c r="O42" s="1378">
        <f t="shared" si="1"/>
        <v>169320</v>
      </c>
      <c r="P42" s="2885">
        <f t="shared" si="9"/>
        <v>1026840</v>
      </c>
      <c r="Q42" s="1395">
        <f t="shared" si="2"/>
        <v>1026840</v>
      </c>
      <c r="R42" s="883"/>
      <c r="S42" s="1378">
        <f t="shared" si="3"/>
        <v>0</v>
      </c>
      <c r="T42" s="1931"/>
      <c r="U42" s="1931"/>
      <c r="V42" s="1439"/>
      <c r="W42" s="1368"/>
      <c r="X42" s="883"/>
      <c r="Y42" s="500" t="s">
        <v>1240</v>
      </c>
      <c r="Z42" s="2897">
        <f t="shared" si="5"/>
        <v>183525</v>
      </c>
      <c r="AA42" s="2909">
        <f t="shared" si="10"/>
        <v>238583</v>
      </c>
      <c r="AB42" s="1395">
        <f t="shared" si="4"/>
        <v>183525</v>
      </c>
      <c r="AC42" s="883"/>
      <c r="AD42" s="1378"/>
      <c r="AE42" s="883"/>
      <c r="AR42" s="502" t="s">
        <v>1240</v>
      </c>
      <c r="AS42" s="3269">
        <v>1026840</v>
      </c>
      <c r="AT42" s="3269">
        <v>1026840</v>
      </c>
      <c r="AU42" s="2869">
        <f t="shared" si="11"/>
        <v>1026840</v>
      </c>
      <c r="AX42" s="1378">
        <f>$J$42*$Q$1/$D$27*$F$45</f>
        <v>180506.01375000001</v>
      </c>
      <c r="AY42" s="2906">
        <f>IF($AX$42&gt;$AX$1,$AX$42*$AZ$1+$AY$1,$AX$42)</f>
        <v>169284.63058750003</v>
      </c>
    </row>
    <row r="43" spans="1:51" ht="15.75">
      <c r="A43" s="550">
        <v>1064</v>
      </c>
      <c r="B43" s="550" t="s">
        <v>401</v>
      </c>
      <c r="C43" s="3114">
        <v>0.93600000000000005</v>
      </c>
      <c r="D43" s="3116" t="b">
        <f>OR(AND($J$1&gt;=200,$J$1&lt;=299),AND($J$1&gt;=2300,$J$1&lt;=2399),AND($J$1&gt;=4200,$J$1&lt;=4299),AND($J$1&gt;=4600,$J$1&lt;=4699),AND($J$1&gt;=8100,$J$1&lt;=8199),AND($J$1&gt;=9000,$J$1&lt;=9099),AND($J$1&gt;=6419,$J$1&lt;=6419))</f>
        <v>0</v>
      </c>
      <c r="F43" s="2745" t="str">
        <f>KÉRDÉSEK!C248</f>
        <v>NEM</v>
      </c>
      <c r="G43" s="553" t="s">
        <v>5423</v>
      </c>
      <c r="I43" s="500" t="s">
        <v>4873</v>
      </c>
      <c r="J43" s="1858">
        <f t="shared" si="0"/>
        <v>306323</v>
      </c>
      <c r="K43" s="883">
        <f>NDK!B47</f>
        <v>0</v>
      </c>
      <c r="L43" s="2906">
        <f>IF($AX$43&gt;$AX$1,$AX$43*$AZ$1+$AY$1,$AX$43)</f>
        <v>262283.66972050001</v>
      </c>
      <c r="M43" s="2735"/>
      <c r="N43" s="2749"/>
      <c r="O43" s="1378">
        <f t="shared" si="1"/>
        <v>262320</v>
      </c>
      <c r="P43" s="2884">
        <f t="shared" si="9"/>
        <v>1026840</v>
      </c>
      <c r="Q43" s="1395">
        <f t="shared" si="2"/>
        <v>1026840</v>
      </c>
      <c r="R43" s="883"/>
      <c r="S43" s="1378">
        <f t="shared" si="3"/>
        <v>0</v>
      </c>
      <c r="T43" s="1931"/>
      <c r="U43" s="1931"/>
      <c r="V43" s="1439"/>
      <c r="W43" s="1368"/>
      <c r="X43" s="883"/>
      <c r="Y43" s="500" t="s">
        <v>4873</v>
      </c>
      <c r="Z43" s="2897">
        <f t="shared" si="5"/>
        <v>306323</v>
      </c>
      <c r="AA43" s="2909">
        <f t="shared" si="10"/>
        <v>398220</v>
      </c>
      <c r="AB43" s="1395">
        <f t="shared" si="4"/>
        <v>306323</v>
      </c>
      <c r="AC43" s="883"/>
      <c r="AD43" s="1378"/>
      <c r="AE43" s="883"/>
      <c r="AR43" s="502" t="s">
        <v>4873</v>
      </c>
      <c r="AS43" s="3269">
        <v>1026840</v>
      </c>
      <c r="AT43" s="3269">
        <v>1026840</v>
      </c>
      <c r="AU43" s="2869">
        <f t="shared" si="11"/>
        <v>1026840</v>
      </c>
      <c r="AX43" s="1378">
        <f>$J$43*$Q$1/$D$27*$F$45</f>
        <v>301283.98665000004</v>
      </c>
      <c r="AY43" s="2906">
        <f>IF($AX$43&gt;$AX$1,$AX$43*$AZ$1+$AY$1,$AX$43)</f>
        <v>262283.66972050001</v>
      </c>
    </row>
    <row r="44" spans="1:51" ht="15.75">
      <c r="A44" s="550">
        <v>1065</v>
      </c>
      <c r="B44" s="550" t="s">
        <v>401</v>
      </c>
      <c r="C44" s="3114">
        <v>0.97599999999999998</v>
      </c>
      <c r="D44" s="3117" t="b">
        <f>OR(AND($J$1&gt;=1000,$J$1&lt;=1099),AND($J$1&gt;=1200,$J$1&lt;=1299),AND($J$1&gt;=1500,$J$1&lt;=1599),AND($J$1&gt;=2100,$J$1&lt;=2199),AND($J$1&gt;=3900,$J$1&lt;=3999),AND($J$1&gt;=4100,$J$1&lt;=4199),AND($J$1&gt;=4700,$J$1&lt;=4799),AND($J$1&gt;=7800,$J$1&lt;=7899),AND($J$1&gt;=8800,$J$1&lt;=8899),AND($J$1&gt;=4532,$J$1&lt;=4532),AND($J$1&gt;=6491,$J$1&lt;=6491),AND($J$1&gt;=7729,$J$1&lt;=7729),AND($J$1&gt;=8622,$J$1&lt;=8622))</f>
        <v>0</v>
      </c>
      <c r="F44" s="2731" t="s">
        <v>5422</v>
      </c>
      <c r="I44" s="500" t="s">
        <v>490</v>
      </c>
      <c r="J44" s="1858">
        <f t="shared" si="0"/>
        <v>302535</v>
      </c>
      <c r="K44" s="883">
        <f>NDK!B48</f>
        <v>0</v>
      </c>
      <c r="L44" s="2906">
        <f>IF($AX$44&gt;$AX$1,$AX$44*$AZ$1+$AY$1,$AX$44)</f>
        <v>259414.89042250003</v>
      </c>
      <c r="M44" s="2735"/>
      <c r="N44" s="2749"/>
      <c r="O44" s="1378">
        <f t="shared" si="1"/>
        <v>259440</v>
      </c>
      <c r="P44" s="2885">
        <f t="shared" si="9"/>
        <v>1026840</v>
      </c>
      <c r="Q44" s="1395">
        <f t="shared" si="2"/>
        <v>1026840</v>
      </c>
      <c r="R44" s="883"/>
      <c r="S44" s="1378">
        <f t="shared" si="3"/>
        <v>0</v>
      </c>
      <c r="T44" s="1931"/>
      <c r="U44" s="1931"/>
      <c r="V44" s="1439"/>
      <c r="W44" s="1368"/>
      <c r="X44" s="883"/>
      <c r="Y44" s="500" t="s">
        <v>490</v>
      </c>
      <c r="Z44" s="2897">
        <f t="shared" si="5"/>
        <v>302535</v>
      </c>
      <c r="AA44" s="2909">
        <f t="shared" si="10"/>
        <v>393296</v>
      </c>
      <c r="AB44" s="1395">
        <f t="shared" si="4"/>
        <v>302535</v>
      </c>
      <c r="AC44" s="883"/>
      <c r="AD44" s="1378"/>
      <c r="AE44" s="883"/>
      <c r="AR44" s="502" t="s">
        <v>490</v>
      </c>
      <c r="AS44" s="3269">
        <v>1026840</v>
      </c>
      <c r="AT44" s="3269">
        <v>1026840</v>
      </c>
      <c r="AU44" s="2869">
        <f t="shared" si="11"/>
        <v>1026840</v>
      </c>
      <c r="AX44" s="1378">
        <f>$J$44*$Q$1/$D$27*$F$45</f>
        <v>297558.29925000004</v>
      </c>
      <c r="AY44" s="2906">
        <f>IF($AX$44&gt;$AX$1,$AX$44*$AZ$1+$AY$1,$AX$44)</f>
        <v>259414.89042250003</v>
      </c>
    </row>
    <row r="45" spans="1:51" ht="16.5" thickBot="1">
      <c r="A45" s="550">
        <v>1066</v>
      </c>
      <c r="B45" s="550" t="s">
        <v>401</v>
      </c>
      <c r="C45" s="3114">
        <v>1.1180000000000001</v>
      </c>
      <c r="D45" s="3116" t="b">
        <f>OR(AND($J$1&gt;=1300,$J$1&lt;=1399),AND($J$1&gt;=8700,$J$1&lt;=8799),AND($J$1&gt;=4942,$J$1&lt;=4942),AND($J$1&gt;=8610,$J$1&lt;=8610))</f>
        <v>0</v>
      </c>
      <c r="F45" s="2747">
        <f>IF(F43=E50,G45/D61,1)</f>
        <v>1</v>
      </c>
      <c r="G45" s="3111">
        <v>2.0430000000000001</v>
      </c>
      <c r="I45" s="500" t="s">
        <v>4874</v>
      </c>
      <c r="J45" s="1858">
        <f t="shared" si="0"/>
        <v>559674</v>
      </c>
      <c r="K45" s="883">
        <f>NDK!B49</f>
        <v>0</v>
      </c>
      <c r="L45" s="2906">
        <f>IF($AX$45&gt;$AX$1,$AX$45*$AZ$1+$AY$1,$AX$45)</f>
        <v>454154.86927900004</v>
      </c>
      <c r="M45" s="1378"/>
      <c r="N45" s="1378"/>
      <c r="O45" s="1378">
        <f t="shared" si="1"/>
        <v>454200</v>
      </c>
      <c r="P45" s="2884">
        <f t="shared" si="9"/>
        <v>1026840</v>
      </c>
      <c r="Q45" s="1395">
        <f t="shared" si="2"/>
        <v>1026840</v>
      </c>
      <c r="R45" s="883"/>
      <c r="S45" s="1378">
        <f t="shared" si="3"/>
        <v>0</v>
      </c>
      <c r="T45" s="1931"/>
      <c r="U45" s="1932">
        <f>$S45</f>
        <v>0</v>
      </c>
      <c r="V45" s="1439"/>
      <c r="W45" s="1368"/>
      <c r="X45" s="883"/>
      <c r="Y45" s="500" t="s">
        <v>4874</v>
      </c>
      <c r="Z45" s="2897">
        <f t="shared" si="5"/>
        <v>559674</v>
      </c>
      <c r="AA45" s="2909">
        <f t="shared" si="10"/>
        <v>727576</v>
      </c>
      <c r="AB45" s="1395">
        <f t="shared" si="4"/>
        <v>559674</v>
      </c>
      <c r="AC45" s="883"/>
      <c r="AD45" s="1378"/>
      <c r="AE45" s="883"/>
      <c r="AR45" s="502" t="s">
        <v>4874</v>
      </c>
      <c r="AS45" s="3269">
        <v>1026840</v>
      </c>
      <c r="AT45" s="3269">
        <v>1026840</v>
      </c>
      <c r="AU45" s="2869">
        <f t="shared" si="11"/>
        <v>1026840</v>
      </c>
      <c r="AX45" s="1378">
        <f>$J$45*$Q$1</f>
        <v>550467.36270000006</v>
      </c>
      <c r="AY45" s="2906">
        <f>IF($AX$45&gt;$AX$1,$AX$45*$AZ$1+$AY$1,$AX$45)</f>
        <v>454154.86927900004</v>
      </c>
    </row>
    <row r="46" spans="1:51" ht="37.5" customHeight="1" thickTop="1" thickBot="1">
      <c r="A46" s="550">
        <v>1067</v>
      </c>
      <c r="B46" s="550" t="s">
        <v>401</v>
      </c>
      <c r="C46" s="3115">
        <v>1.1850000000000001</v>
      </c>
      <c r="D46" s="3116" t="b">
        <f>OR(AND($J$1&gt;=2000,$J$1&lt;=2099),AND($J$1&gt;=3800,$J$1&lt;=3899),AND($J$1&gt;=4300,$J$1&lt;=4399),AND($J$1&gt;=5200,$J$1&lt;=5299),AND($J$1&gt;=5600,$J$1&lt;=5699),AND($J$1&gt;=7300,$J$1&lt;=7399),AND($J$1&gt;=7400,$J$1&lt;=7499),AND($J$1&gt;=9100,$J$1&lt;=9199),AND($J$1&gt;=9300,$J$1&lt;=9399),AND($J$1&gt;=4511,$J$1&lt;=4511),AND($J$1&gt;=4520,$J$1&lt;=4520),AND($J$1&gt;=7733,$J$1&lt;=7733),AND($J$1&gt;=8621,$J$1&lt;=8621))</f>
        <v>1</v>
      </c>
      <c r="I46" s="2546" t="s">
        <v>4983</v>
      </c>
      <c r="J46" s="1380"/>
      <c r="K46" s="1381"/>
      <c r="L46" s="1382"/>
      <c r="M46" s="1382"/>
      <c r="N46" s="1382"/>
      <c r="O46" s="2722" t="s">
        <v>5201</v>
      </c>
      <c r="P46" s="1397"/>
      <c r="Q46" s="1398"/>
      <c r="R46" s="1396"/>
      <c r="S46" s="1398">
        <f>SUM(S3:S45)</f>
        <v>0</v>
      </c>
      <c r="T46" s="1933" t="s">
        <v>792</v>
      </c>
      <c r="U46" s="1936">
        <f>SUM(U3:U45)</f>
        <v>0</v>
      </c>
      <c r="W46" s="2546">
        <v>2021</v>
      </c>
      <c r="X46" s="1381"/>
      <c r="Y46" s="1382"/>
      <c r="Z46" s="1381"/>
      <c r="AA46" s="1438"/>
      <c r="AB46" s="1382"/>
      <c r="AC46" s="1381"/>
      <c r="AD46" s="1382"/>
      <c r="AE46" s="883"/>
      <c r="AG46" s="1424" t="s">
        <v>3020</v>
      </c>
      <c r="AH46" s="1425"/>
      <c r="AI46" s="1425"/>
      <c r="AJ46" s="1425"/>
      <c r="AK46" s="1425"/>
      <c r="AL46" s="1425"/>
      <c r="AM46" s="1425"/>
      <c r="AN46" s="1425"/>
      <c r="AO46" s="1426"/>
    </row>
    <row r="47" spans="1:51" ht="51" customHeight="1" thickTop="1">
      <c r="A47" s="550">
        <v>1068</v>
      </c>
      <c r="B47" s="550" t="s">
        <v>401</v>
      </c>
      <c r="C47" s="3115">
        <v>1.532</v>
      </c>
      <c r="D47" s="3116" t="b">
        <f>OR(AND($J$1&gt;=2200,$J$1&lt;=2299),AND($J$1&gt;=6000,$J$1&lt;=6099),AND($J$1&gt;=4910,$J$1&lt;=4910),AND($J$1&gt;=4939,$J$1&lt;=4939))</f>
        <v>0</v>
      </c>
      <c r="I47" s="1376" t="s">
        <v>225</v>
      </c>
      <c r="J47" s="2226" t="s">
        <v>5105</v>
      </c>
      <c r="K47" s="2891" t="s">
        <v>224</v>
      </c>
      <c r="L47" s="1400" t="s">
        <v>230</v>
      </c>
      <c r="M47" s="1400"/>
      <c r="N47" s="2910" t="s">
        <v>5256</v>
      </c>
      <c r="O47" s="1401" t="s">
        <v>231</v>
      </c>
      <c r="P47" s="2887" t="s">
        <v>5250</v>
      </c>
      <c r="Q47" s="1402" t="s">
        <v>232</v>
      </c>
      <c r="R47" s="1403"/>
      <c r="S47" s="1404" t="s">
        <v>3004</v>
      </c>
      <c r="T47" s="1404" t="s">
        <v>3003</v>
      </c>
      <c r="V47" s="3093" t="s">
        <v>5346</v>
      </c>
      <c r="W47" s="3087" t="s">
        <v>5428</v>
      </c>
      <c r="X47" s="3087" t="s">
        <v>5429</v>
      </c>
      <c r="Y47" s="3088" t="s">
        <v>3704</v>
      </c>
      <c r="Z47" s="3096"/>
      <c r="AA47" s="3097"/>
      <c r="AB47" s="3098"/>
      <c r="AC47" s="883"/>
      <c r="AD47" s="3099"/>
      <c r="AE47" s="3099"/>
      <c r="AG47" s="3619" t="s">
        <v>5202</v>
      </c>
      <c r="AH47" s="3620"/>
      <c r="AI47" s="3620"/>
      <c r="AJ47" s="3620"/>
      <c r="AK47" s="3620"/>
      <c r="AL47" s="3620"/>
      <c r="AM47" s="3620"/>
      <c r="AN47" s="3620"/>
      <c r="AO47" s="3621"/>
      <c r="AR47" s="3085" t="s">
        <v>5345</v>
      </c>
      <c r="AS47" s="2870" t="s">
        <v>5428</v>
      </c>
      <c r="AT47" s="2870" t="s">
        <v>5429</v>
      </c>
      <c r="AU47" s="2871" t="s">
        <v>3704</v>
      </c>
    </row>
    <row r="48" spans="1:51" ht="15.75">
      <c r="A48" s="550">
        <v>1069</v>
      </c>
      <c r="B48" s="550" t="s">
        <v>401</v>
      </c>
      <c r="C48" s="3115">
        <v>2.048</v>
      </c>
      <c r="D48" s="3116" t="b">
        <f>OR(AND($J$1&gt;=6600,$J$1&lt;=6699),AND($J$1&gt;=7900,$J$1&lt;=7999),AND($J$1&gt;=7712,$J$1&lt;=7712))</f>
        <v>0</v>
      </c>
      <c r="I48" s="1374" t="s">
        <v>220</v>
      </c>
      <c r="J48" s="2888">
        <f>$Y$65</f>
        <v>104810</v>
      </c>
      <c r="K48" s="2888">
        <f>$J$51-$J$48</f>
        <v>52420</v>
      </c>
      <c r="L48" s="2911">
        <f>$J48*$Q$1*$U$2</f>
        <v>103085.87550000001</v>
      </c>
      <c r="M48" s="2911"/>
      <c r="N48" s="2912">
        <f>IF($L48&gt;$AX$1,$AY$1+$AZ$1*$L48,$L48)</f>
        <v>103085.87550000001</v>
      </c>
      <c r="O48" s="1377">
        <f>ROUND($N48/120,0)*120</f>
        <v>103080</v>
      </c>
      <c r="P48" s="2726">
        <f>$Y48</f>
        <v>26760</v>
      </c>
      <c r="Q48" s="1399">
        <f>MAX($O48,$P48)</f>
        <v>103080</v>
      </c>
      <c r="R48" s="1403"/>
      <c r="S48" s="1403">
        <f>NDK!T6</f>
        <v>0</v>
      </c>
      <c r="T48" s="1403">
        <f>$S48*$Q48</f>
        <v>0</v>
      </c>
      <c r="V48" s="3089" t="s">
        <v>220</v>
      </c>
      <c r="W48" s="3094">
        <v>26760</v>
      </c>
      <c r="X48" s="3272">
        <v>8520</v>
      </c>
      <c r="Y48" s="3090">
        <f>IF($AU$1=$AV$1,$W48,$X48)</f>
        <v>26760</v>
      </c>
      <c r="Z48" s="3100"/>
      <c r="AA48" s="3101"/>
      <c r="AB48" s="3100"/>
      <c r="AC48" s="883"/>
      <c r="AD48" s="883"/>
      <c r="AE48" s="883"/>
      <c r="AG48" s="1427" t="s">
        <v>4208</v>
      </c>
      <c r="AH48" s="1428">
        <f>IF($T$1&gt;1,$Q$1,$Q$1/$T$1*$AH$49)</f>
        <v>0.98355000000000015</v>
      </c>
      <c r="AI48" s="1429" t="s">
        <v>5212</v>
      </c>
      <c r="AJ48" s="1429"/>
      <c r="AK48" s="1429"/>
      <c r="AL48" s="1429"/>
      <c r="AM48" s="1429"/>
      <c r="AN48" s="1429"/>
      <c r="AO48" s="1430"/>
      <c r="AR48" s="2872" t="s">
        <v>4980</v>
      </c>
      <c r="AS48" s="3086">
        <v>26640</v>
      </c>
      <c r="AT48" s="3270">
        <v>9120</v>
      </c>
      <c r="AU48" s="2835">
        <f>IF($AU$1=$AV$1,$AS48,$AT48)</f>
        <v>26640</v>
      </c>
    </row>
    <row r="49" spans="1:47" ht="15.75">
      <c r="A49" s="550">
        <v>1071</v>
      </c>
      <c r="B49" s="550" t="s">
        <v>401</v>
      </c>
      <c r="C49" s="3114">
        <v>2.1819999999999999</v>
      </c>
      <c r="D49" s="3116" t="b">
        <f>OR(AND($J$1&gt;=3000,$J$1&lt;=3099),AND($J$1&gt;=4519,$J$1&lt;=4519),AND($J$1&gt;=4932,$J$1&lt;=4932),AND($J$1&gt;=5320,$J$1&lt;=5320))</f>
        <v>0</v>
      </c>
      <c r="F49" s="3112" t="s">
        <v>5252</v>
      </c>
      <c r="I49" s="1374" t="s">
        <v>221</v>
      </c>
      <c r="J49" s="2889">
        <f>Y66</f>
        <v>109803</v>
      </c>
      <c r="K49" s="2889">
        <f>$J$51-$J$49</f>
        <v>47427</v>
      </c>
      <c r="L49" s="2911">
        <f>$J49*$Q$1*$U$2</f>
        <v>107996.74065000002</v>
      </c>
      <c r="M49" s="2911"/>
      <c r="N49" s="2912">
        <f>IF($L49&gt;$AX$1,$AY$1+$AZ$1*$L49,$L49)</f>
        <v>107996.74065000002</v>
      </c>
      <c r="O49" s="1377">
        <f>ROUND($N49/120,0)*120</f>
        <v>108000</v>
      </c>
      <c r="P49" s="2726">
        <f>$Y49</f>
        <v>27840</v>
      </c>
      <c r="Q49" s="1399">
        <f>MAX($O49,$P49)</f>
        <v>108000</v>
      </c>
      <c r="R49" s="1403"/>
      <c r="S49" s="1403">
        <f>NDK!T7</f>
        <v>0</v>
      </c>
      <c r="T49" s="1403">
        <f>$S49*$Q49</f>
        <v>0</v>
      </c>
      <c r="V49" s="3089" t="s">
        <v>221</v>
      </c>
      <c r="W49" s="3094">
        <v>27840</v>
      </c>
      <c r="X49" s="3272">
        <v>8880</v>
      </c>
      <c r="Y49" s="3090">
        <f>IF($AU$1=$AV$1,$W49,$X49)</f>
        <v>27840</v>
      </c>
      <c r="Z49" s="3100"/>
      <c r="AA49" s="3101"/>
      <c r="AB49" s="3100"/>
      <c r="AC49" s="883"/>
      <c r="AD49" s="883"/>
      <c r="AE49" s="883"/>
      <c r="AG49" s="1431" t="s">
        <v>3754</v>
      </c>
      <c r="AH49" s="1429">
        <f>KÉRDÉSEK!J249</f>
        <v>1</v>
      </c>
      <c r="AI49" s="1429"/>
      <c r="AJ49" s="1429"/>
      <c r="AK49" s="1429"/>
      <c r="AL49" s="1429"/>
      <c r="AM49" s="1429"/>
      <c r="AN49" s="1429"/>
      <c r="AO49" s="1430"/>
      <c r="AR49" s="2872" t="s">
        <v>4981</v>
      </c>
      <c r="AS49" s="3270">
        <v>200040</v>
      </c>
      <c r="AT49" s="3270">
        <v>50040</v>
      </c>
      <c r="AU49" s="2835">
        <f>IF($AU$1=$AV$1,$AS49,$AT49)</f>
        <v>200040</v>
      </c>
    </row>
    <row r="50" spans="1:47" ht="15.75">
      <c r="A50" s="550">
        <v>1072</v>
      </c>
      <c r="B50" s="550" t="s">
        <v>401</v>
      </c>
      <c r="C50" s="3114">
        <v>2.5790000000000002</v>
      </c>
      <c r="D50" s="3118" t="b">
        <f>OR(AND($J$1&gt;=4931,$J$1&lt;=4931))</f>
        <v>0</v>
      </c>
      <c r="E50" s="553" t="s">
        <v>4201</v>
      </c>
      <c r="F50" s="3112">
        <v>4.8319999999999999</v>
      </c>
      <c r="G50" s="2731" t="s">
        <v>5416</v>
      </c>
      <c r="I50" s="1371" t="s">
        <v>222</v>
      </c>
      <c r="J50" s="2888">
        <f>Y67</f>
        <v>106632</v>
      </c>
      <c r="K50" s="2888">
        <f>$J$51-$J$50</f>
        <v>50598</v>
      </c>
      <c r="L50" s="2911">
        <f>$J50*$Q$1*$U$2</f>
        <v>104877.90360000002</v>
      </c>
      <c r="M50" s="2911"/>
      <c r="N50" s="2912">
        <f>IF($L50&gt;$AX$1,$AY$1+$AZ$1*$L50,$L50)</f>
        <v>104877.90360000002</v>
      </c>
      <c r="O50" s="1377">
        <f>ROUND($N50/120,0)*120</f>
        <v>104880</v>
      </c>
      <c r="P50" s="2726">
        <f>$Y50</f>
        <v>29160</v>
      </c>
      <c r="Q50" s="1399">
        <f>MAX($O50,$P50)</f>
        <v>104880</v>
      </c>
      <c r="R50" s="1403"/>
      <c r="S50" s="1403">
        <f>NDK!T8</f>
        <v>0</v>
      </c>
      <c r="T50" s="1403">
        <f>$S50*$Q50</f>
        <v>0</v>
      </c>
      <c r="V50" s="3091" t="s">
        <v>222</v>
      </c>
      <c r="W50" s="3094">
        <v>29160</v>
      </c>
      <c r="X50" s="3272">
        <v>8640</v>
      </c>
      <c r="Y50" s="3090">
        <f>IF($AU$1=$AV$1,$W50,$X50)</f>
        <v>29160</v>
      </c>
      <c r="Z50" s="3100"/>
      <c r="AA50" s="3101"/>
      <c r="AB50" s="3100"/>
      <c r="AC50" s="883"/>
      <c r="AD50" s="883"/>
      <c r="AE50" s="883"/>
      <c r="AG50" s="2559" t="s">
        <v>5113</v>
      </c>
      <c r="AH50" s="1429"/>
      <c r="AI50" s="1429"/>
      <c r="AJ50" s="1429"/>
      <c r="AK50" s="1429"/>
      <c r="AL50" s="1429"/>
      <c r="AM50" s="1429"/>
      <c r="AN50" s="1429"/>
      <c r="AO50" s="1430"/>
      <c r="AR50" s="2874" t="s">
        <v>4978</v>
      </c>
      <c r="AS50" s="2875"/>
      <c r="AT50" s="2873"/>
      <c r="AU50" s="2875">
        <f>IF($W$11=$X$11,$AU$48,$AU$49)</f>
        <v>26640</v>
      </c>
    </row>
    <row r="51" spans="1:47" ht="16.5" thickBot="1">
      <c r="A51" s="550">
        <v>1073</v>
      </c>
      <c r="B51" s="550" t="s">
        <v>401</v>
      </c>
      <c r="C51" s="3114">
        <v>3.01</v>
      </c>
      <c r="D51" s="3118" t="b">
        <f>OR(AND($J$1&gt;=4941,$J$1&lt;=4941))</f>
        <v>0</v>
      </c>
      <c r="E51" s="553" t="s">
        <v>4202</v>
      </c>
      <c r="F51" s="2748" t="s">
        <v>430</v>
      </c>
      <c r="G51" s="2731" t="s">
        <v>5417</v>
      </c>
      <c r="I51" s="1375" t="s">
        <v>223</v>
      </c>
      <c r="J51" s="2890">
        <f>Y68</f>
        <v>157230</v>
      </c>
      <c r="K51" s="2892">
        <v>0</v>
      </c>
      <c r="L51" s="2911">
        <f>$J51*$Q$1*$U$2</f>
        <v>154643.56650000002</v>
      </c>
      <c r="M51" s="2911"/>
      <c r="N51" s="2912">
        <f>IF($L51&gt;$AX$1,$AY$1+$AZ$1*$L51,$L51)</f>
        <v>149370.54620500002</v>
      </c>
      <c r="O51" s="1377">
        <f>ROUND($N51/120,0)*120</f>
        <v>149400</v>
      </c>
      <c r="P51" s="2726">
        <f>$Y51</f>
        <v>44520</v>
      </c>
      <c r="Q51" s="1399">
        <f>MAX($O51,$P51)</f>
        <v>149400</v>
      </c>
      <c r="R51" s="1403"/>
      <c r="S51" s="1403">
        <f>NDK!T9</f>
        <v>0</v>
      </c>
      <c r="T51" s="1403">
        <f>$S51*$Q51</f>
        <v>0</v>
      </c>
      <c r="V51" s="3092" t="s">
        <v>223</v>
      </c>
      <c r="W51" s="3095">
        <v>44520</v>
      </c>
      <c r="X51" s="3273">
        <v>12720</v>
      </c>
      <c r="Y51" s="3090">
        <f>IF($AU$1=$AV$1,$W51,$X51)</f>
        <v>44520</v>
      </c>
      <c r="Z51" s="3100"/>
      <c r="AA51" s="3101"/>
      <c r="AB51" s="3100"/>
      <c r="AC51" s="883"/>
      <c r="AD51" s="883"/>
      <c r="AE51" s="883"/>
      <c r="AG51" s="2559" t="s">
        <v>5114</v>
      </c>
      <c r="AH51" s="1429"/>
      <c r="AI51" s="1429"/>
      <c r="AJ51" s="1429"/>
      <c r="AK51" s="1429"/>
      <c r="AL51" s="1429"/>
      <c r="AM51" s="1429"/>
      <c r="AN51" s="1429"/>
      <c r="AO51" s="2565">
        <f>IF(AH1=AF2,1,AH2)</f>
        <v>1</v>
      </c>
      <c r="AP51" s="2731"/>
    </row>
    <row r="52" spans="1:47" ht="17.25" thickTop="1" thickBot="1">
      <c r="A52" s="550">
        <v>1074</v>
      </c>
      <c r="B52" s="550" t="s">
        <v>401</v>
      </c>
      <c r="C52" s="3114"/>
      <c r="D52" s="3118"/>
      <c r="E52" s="553" t="s">
        <v>5214</v>
      </c>
      <c r="F52" s="2745" t="str">
        <f>KÉRDÉSEK!C247</f>
        <v>NEM</v>
      </c>
      <c r="Q52" s="1405" t="s">
        <v>3005</v>
      </c>
      <c r="R52" s="1405"/>
      <c r="S52" s="1405"/>
      <c r="T52" s="1861">
        <f>SUM(T48:T51)</f>
        <v>0</v>
      </c>
      <c r="Z52" s="883"/>
      <c r="AA52" s="883"/>
      <c r="AB52" s="652"/>
      <c r="AC52" s="652"/>
      <c r="AD52" s="652"/>
      <c r="AE52" s="652"/>
      <c r="AG52" s="1432"/>
      <c r="AH52" s="1433"/>
      <c r="AI52" s="1433"/>
      <c r="AJ52" s="1433"/>
      <c r="AK52" s="1433"/>
      <c r="AL52" s="1433"/>
      <c r="AM52" s="1433"/>
      <c r="AN52" s="1433"/>
      <c r="AO52" s="1434"/>
    </row>
    <row r="53" spans="1:47" ht="54" customHeight="1" thickTop="1">
      <c r="A53" s="550">
        <v>1075</v>
      </c>
      <c r="B53" s="550" t="s">
        <v>401</v>
      </c>
      <c r="C53" s="3114"/>
      <c r="D53" s="3118"/>
      <c r="E53" s="2746" t="s">
        <v>5421</v>
      </c>
      <c r="F53" s="2747">
        <f>IF($F$52=$E$50,$F$50/$D$61,1)</f>
        <v>1</v>
      </c>
      <c r="V53" s="3262">
        <v>2021</v>
      </c>
      <c r="W53" s="3079" t="s">
        <v>5341</v>
      </c>
      <c r="X53" s="3082" t="s">
        <v>5342</v>
      </c>
      <c r="Y53" s="2224" t="s">
        <v>3761</v>
      </c>
      <c r="Z53" s="1857" t="s">
        <v>3762</v>
      </c>
      <c r="AA53" s="3105">
        <f>NDK!X50</f>
        <v>0</v>
      </c>
      <c r="AB53" s="1173"/>
      <c r="AC53" s="1173"/>
      <c r="AD53" s="1173"/>
      <c r="AE53" s="1173"/>
      <c r="AF53" s="3108"/>
      <c r="AG53" s="1423" t="s">
        <v>3006</v>
      </c>
      <c r="AH53" s="3267" t="s">
        <v>5415</v>
      </c>
      <c r="AI53" s="880" t="s">
        <v>217</v>
      </c>
      <c r="AJ53" s="1391" t="s">
        <v>230</v>
      </c>
      <c r="AK53" s="2905" t="s">
        <v>5256</v>
      </c>
      <c r="AL53" s="2734"/>
      <c r="AM53" s="1389" t="s">
        <v>231</v>
      </c>
      <c r="AN53" s="1393" t="s">
        <v>5254</v>
      </c>
      <c r="AO53" s="1388" t="s">
        <v>232</v>
      </c>
      <c r="AP53" s="1390" t="s">
        <v>233</v>
      </c>
      <c r="AQ53" s="1390"/>
    </row>
    <row r="54" spans="1:47" ht="15.75">
      <c r="A54" s="550">
        <v>1076</v>
      </c>
      <c r="B54" s="550" t="s">
        <v>401</v>
      </c>
      <c r="C54" s="3114"/>
      <c r="D54" s="3118"/>
      <c r="E54" s="553" t="s">
        <v>5216</v>
      </c>
      <c r="V54" s="1414" t="s">
        <v>2451</v>
      </c>
      <c r="W54" s="3261">
        <v>14858</v>
      </c>
      <c r="X54" s="3261">
        <v>19315</v>
      </c>
      <c r="Y54" s="2225">
        <f t="shared" ref="Y54:Y96" si="12">IF($AA$53&lt;=50,$W54,$X54)</f>
        <v>14858</v>
      </c>
      <c r="Z54" s="3102"/>
      <c r="AA54" s="3106"/>
      <c r="AB54" s="1173"/>
      <c r="AC54" s="1173"/>
      <c r="AD54" s="1173"/>
      <c r="AE54" s="1173"/>
      <c r="AF54" s="3109"/>
      <c r="AG54" s="1414" t="s">
        <v>2451</v>
      </c>
      <c r="AH54" s="3261">
        <v>19315</v>
      </c>
      <c r="AI54" s="883">
        <f>NDK!B4</f>
        <v>0</v>
      </c>
      <c r="AJ54" s="2745">
        <f>$AH54*$AH$48*$AO$51</f>
        <v>18997.268250000005</v>
      </c>
      <c r="AK54" s="2914">
        <f>IF($AJ54&gt;$AX$1,$AY$1+$AZ$1*$AJ54,$AJ54)</f>
        <v>18997.268250000005</v>
      </c>
      <c r="AM54" s="553">
        <f>ROUND($AK54/120,0)*120</f>
        <v>18960</v>
      </c>
      <c r="AN54" s="2895">
        <f>$P$3</f>
        <v>17520</v>
      </c>
      <c r="AO54" s="579">
        <f>MAX($AM54,$AN54)</f>
        <v>18960</v>
      </c>
      <c r="AP54" s="579">
        <f>$AO54*$AI54</f>
        <v>0</v>
      </c>
    </row>
    <row r="55" spans="1:47" ht="45.75">
      <c r="A55" s="550">
        <v>1077</v>
      </c>
      <c r="B55" s="550" t="s">
        <v>401</v>
      </c>
      <c r="C55" s="3114"/>
      <c r="D55" s="3118"/>
      <c r="E55" s="2746" t="s">
        <v>5217</v>
      </c>
      <c r="F55" s="2747">
        <f>IF(F56=E50,1,F53)</f>
        <v>1</v>
      </c>
      <c r="V55" s="1415" t="s">
        <v>1484</v>
      </c>
      <c r="W55" s="3261"/>
      <c r="X55" s="3080"/>
      <c r="Y55" s="2225">
        <f t="shared" si="12"/>
        <v>0</v>
      </c>
      <c r="Z55" s="3103" t="s">
        <v>5197</v>
      </c>
      <c r="AA55" s="3106"/>
      <c r="AB55" s="1173"/>
      <c r="AC55" s="1173"/>
      <c r="AD55" s="1173"/>
      <c r="AE55" s="1173"/>
      <c r="AF55" s="3109"/>
      <c r="AG55" s="1415" t="s">
        <v>1484</v>
      </c>
      <c r="AH55" s="3261"/>
      <c r="AI55" s="883"/>
      <c r="AJ55" s="2745"/>
      <c r="AK55" s="2915"/>
      <c r="AL55" s="883"/>
      <c r="AN55" s="2896"/>
      <c r="AP55" s="579"/>
    </row>
    <row r="56" spans="1:47" ht="15.75">
      <c r="A56" s="550">
        <v>1078</v>
      </c>
      <c r="B56" s="550" t="s">
        <v>401</v>
      </c>
      <c r="C56" s="2744"/>
      <c r="D56" s="2743"/>
      <c r="E56" s="553" t="s">
        <v>5218</v>
      </c>
      <c r="F56" s="2745" t="str">
        <f>KÉRDÉSEK!C244</f>
        <v>IGEN</v>
      </c>
      <c r="V56" s="1414" t="s">
        <v>2452</v>
      </c>
      <c r="W56" s="3261">
        <v>49844</v>
      </c>
      <c r="X56" s="3261">
        <v>64798</v>
      </c>
      <c r="Y56" s="2225">
        <f t="shared" si="12"/>
        <v>49844</v>
      </c>
      <c r="Z56" s="3102"/>
      <c r="AA56" s="3106"/>
      <c r="AB56" s="1173"/>
      <c r="AC56" s="1173"/>
      <c r="AD56" s="1173"/>
      <c r="AE56" s="1173"/>
      <c r="AF56" s="3109"/>
      <c r="AG56" s="1414" t="s">
        <v>2452</v>
      </c>
      <c r="AH56" s="3261">
        <v>64798</v>
      </c>
      <c r="AI56" s="883">
        <f>NDK!B6</f>
        <v>0</v>
      </c>
      <c r="AJ56" s="2745">
        <f>$AH56*$AH$48*$AO$51</f>
        <v>63732.072900000006</v>
      </c>
      <c r="AK56" s="2914">
        <f t="shared" ref="AK56:AK96" si="13">IF($AJ56&gt;$AX$1,$AY$1+$AZ$1*$AJ56,$AJ56)</f>
        <v>63732.072900000006</v>
      </c>
      <c r="AL56" s="883"/>
      <c r="AM56" s="553">
        <f t="shared" ref="AM56:AM96" si="14">ROUND($AK56/120,0)*120</f>
        <v>63720</v>
      </c>
      <c r="AN56" s="2895">
        <f>$P$5</f>
        <v>22800</v>
      </c>
      <c r="AO56" s="579">
        <f t="shared" ref="AO56:AO96" si="15">MAX($AM56,$AN56)</f>
        <v>63720</v>
      </c>
      <c r="AP56" s="579">
        <f t="shared" ref="AP56:AP96" si="16">$AO56*$AI56</f>
        <v>0</v>
      </c>
    </row>
    <row r="57" spans="1:47" ht="23.25">
      <c r="A57" s="550">
        <v>1081</v>
      </c>
      <c r="B57" s="550" t="s">
        <v>401</v>
      </c>
      <c r="C57" s="2744">
        <v>1</v>
      </c>
      <c r="D57" s="2743" t="b">
        <f>IF(OR(D37,D38,D39,D40,D41,D42,D43,D44,D45,D46,D47,D48,D49,D50,D51),C59,C60)</f>
        <v>0</v>
      </c>
      <c r="V57" s="1416" t="s">
        <v>3319</v>
      </c>
      <c r="W57" s="3261">
        <v>77679</v>
      </c>
      <c r="X57" s="3261">
        <v>100982</v>
      </c>
      <c r="Y57" s="2225">
        <f t="shared" si="12"/>
        <v>77679</v>
      </c>
      <c r="Z57" s="3102"/>
      <c r="AA57" s="3106"/>
      <c r="AB57" s="1173"/>
      <c r="AC57" s="1173"/>
      <c r="AD57" s="1173"/>
      <c r="AE57" s="1173"/>
      <c r="AF57" s="3109"/>
      <c r="AG57" s="1416" t="s">
        <v>3319</v>
      </c>
      <c r="AH57" s="3261">
        <v>100982</v>
      </c>
      <c r="AI57" s="883">
        <f>NDK!B7</f>
        <v>0</v>
      </c>
      <c r="AJ57" s="2745">
        <f>$AH57*$AH$48*$AO$51</f>
        <v>99320.84610000001</v>
      </c>
      <c r="AK57" s="2914">
        <f t="shared" si="13"/>
        <v>99320.84610000001</v>
      </c>
      <c r="AL57" s="883"/>
      <c r="AM57" s="553">
        <f t="shared" si="14"/>
        <v>99360</v>
      </c>
      <c r="AN57" s="2895">
        <f>$P$6</f>
        <v>20040</v>
      </c>
      <c r="AO57" s="579">
        <f t="shared" si="15"/>
        <v>99360</v>
      </c>
      <c r="AP57" s="579">
        <f t="shared" si="16"/>
        <v>0</v>
      </c>
    </row>
    <row r="58" spans="1:47">
      <c r="A58" s="550">
        <v>1082</v>
      </c>
      <c r="B58" s="550" t="s">
        <v>401</v>
      </c>
      <c r="C58" s="2740" t="s">
        <v>5213</v>
      </c>
      <c r="D58" s="2741"/>
      <c r="V58" s="1415" t="s">
        <v>1491</v>
      </c>
      <c r="W58" s="3080"/>
      <c r="X58" s="3261"/>
      <c r="Y58" s="2225">
        <f t="shared" si="12"/>
        <v>0</v>
      </c>
      <c r="Z58" s="3102"/>
      <c r="AA58" s="3106"/>
      <c r="AB58" s="1173"/>
      <c r="AC58" s="1173"/>
      <c r="AD58" s="1173"/>
      <c r="AE58" s="1173"/>
      <c r="AF58" s="3109"/>
      <c r="AG58" s="1415" t="s">
        <v>1491</v>
      </c>
      <c r="AH58" s="3261"/>
      <c r="AI58" s="883"/>
      <c r="AJ58" s="2745">
        <f>$AH58*$AH$48</f>
        <v>0</v>
      </c>
      <c r="AK58" s="2914">
        <f t="shared" si="13"/>
        <v>0</v>
      </c>
      <c r="AL58" s="883"/>
      <c r="AM58" s="553">
        <f t="shared" si="14"/>
        <v>0</v>
      </c>
      <c r="AN58" s="2896"/>
      <c r="AO58" s="579">
        <f t="shared" si="15"/>
        <v>0</v>
      </c>
      <c r="AP58" s="579">
        <f t="shared" si="16"/>
        <v>0</v>
      </c>
    </row>
    <row r="59" spans="1:47">
      <c r="A59" s="550">
        <v>1083</v>
      </c>
      <c r="B59" s="550" t="s">
        <v>401</v>
      </c>
      <c r="C59" s="2740" t="b">
        <v>0</v>
      </c>
      <c r="D59" s="2741"/>
      <c r="V59" s="1415" t="s">
        <v>3826</v>
      </c>
      <c r="W59" s="3080"/>
      <c r="X59" s="3261"/>
      <c r="Y59" s="2225">
        <f t="shared" si="12"/>
        <v>0</v>
      </c>
      <c r="Z59" s="3102"/>
      <c r="AA59" s="3106"/>
      <c r="AB59" s="1173"/>
      <c r="AC59" s="1173"/>
      <c r="AD59" s="1173"/>
      <c r="AE59" s="1173"/>
      <c r="AF59" s="3109"/>
      <c r="AG59" s="1415" t="s">
        <v>3826</v>
      </c>
      <c r="AH59" s="3261"/>
      <c r="AI59" s="883"/>
      <c r="AJ59" s="2745">
        <f>$AH59*$AH$48</f>
        <v>0</v>
      </c>
      <c r="AK59" s="2914">
        <f t="shared" si="13"/>
        <v>0</v>
      </c>
      <c r="AL59" s="883"/>
      <c r="AM59" s="553">
        <f t="shared" si="14"/>
        <v>0</v>
      </c>
      <c r="AN59" s="2896"/>
      <c r="AO59" s="579">
        <f t="shared" si="15"/>
        <v>0</v>
      </c>
      <c r="AP59" s="579">
        <f t="shared" si="16"/>
        <v>0</v>
      </c>
    </row>
    <row r="60" spans="1:47" ht="22.5">
      <c r="A60" s="550">
        <v>1084</v>
      </c>
      <c r="B60" s="550" t="s">
        <v>401</v>
      </c>
      <c r="C60" s="2740" t="b">
        <v>1</v>
      </c>
      <c r="D60" s="2741"/>
      <c r="V60" s="1416" t="s">
        <v>3320</v>
      </c>
      <c r="W60" s="3261">
        <v>79618</v>
      </c>
      <c r="X60" s="3261">
        <v>103504</v>
      </c>
      <c r="Y60" s="2225">
        <f t="shared" si="12"/>
        <v>79618</v>
      </c>
      <c r="Z60" s="3102"/>
      <c r="AA60" s="3106"/>
      <c r="AB60" s="1173"/>
      <c r="AC60" s="1173"/>
      <c r="AD60" s="1173"/>
      <c r="AE60" s="1173"/>
      <c r="AF60" s="3109"/>
      <c r="AG60" s="1416" t="s">
        <v>3320</v>
      </c>
      <c r="AH60" s="3261">
        <v>103504</v>
      </c>
      <c r="AI60" s="883">
        <f>NDK!B10</f>
        <v>0</v>
      </c>
      <c r="AJ60" s="2745">
        <f>$AH60*$AH$48*$AO$51</f>
        <v>101801.35920000002</v>
      </c>
      <c r="AK60" s="2914">
        <f t="shared" si="13"/>
        <v>101801.35920000002</v>
      </c>
      <c r="AL60" s="883"/>
      <c r="AM60" s="553">
        <f t="shared" si="14"/>
        <v>101760</v>
      </c>
      <c r="AN60" s="2895">
        <f>$P$9</f>
        <v>22320</v>
      </c>
      <c r="AO60" s="579">
        <f t="shared" si="15"/>
        <v>101760</v>
      </c>
      <c r="AP60" s="579">
        <f t="shared" si="16"/>
        <v>0</v>
      </c>
    </row>
    <row r="61" spans="1:47">
      <c r="A61" s="550">
        <v>1085</v>
      </c>
      <c r="B61" s="550" t="s">
        <v>401</v>
      </c>
      <c r="C61" s="2878" t="s">
        <v>3192</v>
      </c>
      <c r="D61" s="2879">
        <f>C37*D37+C38*D38+C39*D39+C40*D40+C41*D41+C42*D42+C43*D43+C44*D44+C45*D45+C46*D46+C47*D47+C48*D48+C49*D49+C50*D50+C51*D51+C52*D52+C53*D53+C54*D54+C55*D55+C57*D57</f>
        <v>1.1850000000000001</v>
      </c>
      <c r="V61" s="1415" t="s">
        <v>1493</v>
      </c>
      <c r="W61" s="3261"/>
      <c r="X61" s="3261"/>
      <c r="Y61" s="2225">
        <f t="shared" si="12"/>
        <v>0</v>
      </c>
      <c r="Z61" s="3102"/>
      <c r="AA61" s="3106"/>
      <c r="AB61" s="1173"/>
      <c r="AC61" s="1173"/>
      <c r="AD61" s="1173"/>
      <c r="AE61" s="1173"/>
      <c r="AF61" s="3109"/>
      <c r="AG61" s="1415" t="s">
        <v>1493</v>
      </c>
      <c r="AH61" s="3261"/>
      <c r="AI61" s="883"/>
      <c r="AJ61" s="2745">
        <f>$AH61*$AH$48</f>
        <v>0</v>
      </c>
      <c r="AK61" s="2914">
        <f t="shared" si="13"/>
        <v>0</v>
      </c>
      <c r="AL61" s="883"/>
      <c r="AM61" s="553">
        <f t="shared" si="14"/>
        <v>0</v>
      </c>
      <c r="AN61" s="2896"/>
      <c r="AO61" s="579">
        <f t="shared" si="15"/>
        <v>0</v>
      </c>
      <c r="AP61" s="579">
        <f t="shared" si="16"/>
        <v>0</v>
      </c>
    </row>
    <row r="62" spans="1:47" ht="13.5" thickBot="1">
      <c r="A62" s="550">
        <v>1086</v>
      </c>
      <c r="B62" s="550" t="s">
        <v>401</v>
      </c>
      <c r="C62" s="2880" t="s">
        <v>5251</v>
      </c>
      <c r="D62" s="2881"/>
      <c r="V62" s="1414" t="s">
        <v>2453</v>
      </c>
      <c r="W62" s="3261">
        <v>85505</v>
      </c>
      <c r="X62" s="3261">
        <v>111156</v>
      </c>
      <c r="Y62" s="2225">
        <f t="shared" si="12"/>
        <v>85505</v>
      </c>
      <c r="Z62" s="3102"/>
      <c r="AA62" s="3106"/>
      <c r="AB62" s="1173"/>
      <c r="AC62" s="1173"/>
      <c r="AD62" s="1173"/>
      <c r="AE62" s="1173"/>
      <c r="AF62" s="3109"/>
      <c r="AG62" s="1414" t="s">
        <v>2453</v>
      </c>
      <c r="AH62" s="3261">
        <v>111156</v>
      </c>
      <c r="AI62" s="883">
        <f>NDK!B13</f>
        <v>0</v>
      </c>
      <c r="AJ62" s="2745">
        <f>$AH62*$AH$48*$AO$51</f>
        <v>109327.48380000002</v>
      </c>
      <c r="AK62" s="2914">
        <f t="shared" si="13"/>
        <v>109327.48380000002</v>
      </c>
      <c r="AL62" s="883"/>
      <c r="AM62" s="553">
        <f t="shared" si="14"/>
        <v>109320</v>
      </c>
      <c r="AN62" s="2895">
        <f>$P$11</f>
        <v>25440</v>
      </c>
      <c r="AO62" s="579">
        <f t="shared" si="15"/>
        <v>109320</v>
      </c>
      <c r="AP62" s="579">
        <f t="shared" si="16"/>
        <v>0</v>
      </c>
    </row>
    <row r="63" spans="1:47" ht="13.5" thickTop="1">
      <c r="A63" s="550">
        <v>1087</v>
      </c>
      <c r="B63" s="550" t="s">
        <v>401</v>
      </c>
      <c r="C63" s="551"/>
      <c r="V63" s="1414" t="s">
        <v>2454</v>
      </c>
      <c r="W63" s="3261">
        <v>97258</v>
      </c>
      <c r="X63" s="3261">
        <v>126436</v>
      </c>
      <c r="Y63" s="2225">
        <f t="shared" si="12"/>
        <v>97258</v>
      </c>
      <c r="Z63" s="3102"/>
      <c r="AA63" s="3106"/>
      <c r="AB63" s="1173"/>
      <c r="AC63" s="1173"/>
      <c r="AD63" s="1173"/>
      <c r="AE63" s="1173"/>
      <c r="AF63" s="3109"/>
      <c r="AG63" s="1414" t="s">
        <v>2454</v>
      </c>
      <c r="AH63" s="3261">
        <v>126436</v>
      </c>
      <c r="AI63" s="883">
        <f>NDK!B16</f>
        <v>0</v>
      </c>
      <c r="AJ63" s="2745">
        <f>$AH63*$AH$48*$AO$51</f>
        <v>124356.12780000002</v>
      </c>
      <c r="AK63" s="2914">
        <f t="shared" si="13"/>
        <v>124356.12780000002</v>
      </c>
      <c r="AL63" s="883"/>
      <c r="AM63" s="553">
        <f t="shared" si="14"/>
        <v>124320</v>
      </c>
      <c r="AN63" s="2895">
        <f>$P$12</f>
        <v>30000</v>
      </c>
      <c r="AO63" s="579">
        <f t="shared" si="15"/>
        <v>124320</v>
      </c>
      <c r="AP63" s="579">
        <f t="shared" si="16"/>
        <v>0</v>
      </c>
    </row>
    <row r="64" spans="1:47">
      <c r="A64" s="550">
        <v>1088</v>
      </c>
      <c r="B64" s="550" t="s">
        <v>401</v>
      </c>
      <c r="C64" s="551"/>
      <c r="V64" s="1414" t="s">
        <v>2455</v>
      </c>
      <c r="W64" s="3261">
        <v>58469</v>
      </c>
      <c r="X64" s="3261">
        <v>76010</v>
      </c>
      <c r="Y64" s="2225">
        <f t="shared" si="12"/>
        <v>58469</v>
      </c>
      <c r="Z64" s="3102"/>
      <c r="AA64" s="3106"/>
      <c r="AB64" s="1173"/>
      <c r="AC64" s="1173"/>
      <c r="AD64" s="1173"/>
      <c r="AE64" s="1173"/>
      <c r="AF64" s="3109"/>
      <c r="AG64" s="1414" t="s">
        <v>2455</v>
      </c>
      <c r="AH64" s="3261">
        <v>76010</v>
      </c>
      <c r="AI64" s="883"/>
      <c r="AJ64" s="2745">
        <f>$AH64*$AH$48*$AO$51</f>
        <v>74759.635500000004</v>
      </c>
      <c r="AK64" s="2914">
        <f t="shared" si="13"/>
        <v>74759.635500000004</v>
      </c>
      <c r="AL64" s="883"/>
      <c r="AM64" s="553">
        <f t="shared" si="14"/>
        <v>74760</v>
      </c>
      <c r="AN64" s="2895">
        <f>$P$13</f>
        <v>12720</v>
      </c>
      <c r="AO64" s="579">
        <f t="shared" si="15"/>
        <v>74760</v>
      </c>
      <c r="AP64" s="579">
        <f t="shared" si="16"/>
        <v>0</v>
      </c>
    </row>
    <row r="65" spans="1:42">
      <c r="A65" s="550">
        <v>1089</v>
      </c>
      <c r="B65" s="550" t="s">
        <v>401</v>
      </c>
      <c r="C65" s="2228" t="s">
        <v>3015</v>
      </c>
      <c r="D65" s="2229" t="s">
        <v>4985</v>
      </c>
      <c r="V65" s="1417" t="s">
        <v>220</v>
      </c>
      <c r="W65" s="3261">
        <v>104810</v>
      </c>
      <c r="X65" s="3261">
        <v>136253</v>
      </c>
      <c r="Y65" s="2225">
        <f t="shared" si="12"/>
        <v>104810</v>
      </c>
      <c r="Z65" s="3102"/>
      <c r="AA65" s="3106"/>
      <c r="AB65" s="1173"/>
      <c r="AC65" s="1173"/>
      <c r="AD65" s="1173"/>
      <c r="AE65" s="1173"/>
      <c r="AF65" s="3109"/>
      <c r="AG65" s="1417" t="s">
        <v>220</v>
      </c>
      <c r="AH65" s="3261">
        <v>136253</v>
      </c>
      <c r="AI65" s="1403">
        <f>NDK!T6</f>
        <v>0</v>
      </c>
      <c r="AJ65" s="2913">
        <f>$AH65*$AH$48*$U$2</f>
        <v>134011.63815000001</v>
      </c>
      <c r="AK65" s="2914">
        <f t="shared" si="13"/>
        <v>133483.96137550002</v>
      </c>
      <c r="AL65" s="2751"/>
      <c r="AM65" s="553">
        <f t="shared" si="14"/>
        <v>133440</v>
      </c>
      <c r="AN65" s="1849">
        <f>$P$48</f>
        <v>26760</v>
      </c>
      <c r="AO65" s="579">
        <f t="shared" si="15"/>
        <v>133440</v>
      </c>
      <c r="AP65" s="579">
        <f t="shared" si="16"/>
        <v>0</v>
      </c>
    </row>
    <row r="66" spans="1:42">
      <c r="A66" s="550">
        <v>1091</v>
      </c>
      <c r="B66" s="550" t="s">
        <v>401</v>
      </c>
      <c r="C66" s="2230"/>
      <c r="D66" s="2229"/>
      <c r="V66" s="1417" t="s">
        <v>221</v>
      </c>
      <c r="W66" s="3261">
        <v>109803</v>
      </c>
      <c r="X66" s="3261">
        <v>142743</v>
      </c>
      <c r="Y66" s="2225">
        <f t="shared" si="12"/>
        <v>109803</v>
      </c>
      <c r="Z66" s="3102"/>
      <c r="AA66" s="3106"/>
      <c r="AB66" s="1173"/>
      <c r="AC66" s="1173"/>
      <c r="AD66" s="1173"/>
      <c r="AE66" s="1173"/>
      <c r="AF66" s="3109"/>
      <c r="AG66" s="1417" t="s">
        <v>221</v>
      </c>
      <c r="AH66" s="3261">
        <v>142743</v>
      </c>
      <c r="AI66" s="1403">
        <f>NDK!T7</f>
        <v>0</v>
      </c>
      <c r="AJ66" s="2913">
        <f>$AH66*$AH$48*$U$2</f>
        <v>140394.87765000001</v>
      </c>
      <c r="AK66" s="2914">
        <f t="shared" si="13"/>
        <v>138399.05579050002</v>
      </c>
      <c r="AL66" s="2751"/>
      <c r="AM66" s="553">
        <f t="shared" si="14"/>
        <v>138360</v>
      </c>
      <c r="AN66" s="1849">
        <f>$P$49</f>
        <v>27840</v>
      </c>
      <c r="AO66" s="579">
        <f t="shared" si="15"/>
        <v>138360</v>
      </c>
      <c r="AP66" s="579">
        <f t="shared" si="16"/>
        <v>0</v>
      </c>
    </row>
    <row r="67" spans="1:42">
      <c r="A67" s="550">
        <v>1092</v>
      </c>
      <c r="B67" s="550" t="s">
        <v>401</v>
      </c>
      <c r="C67" s="2231" t="s">
        <v>3007</v>
      </c>
      <c r="D67" s="2232">
        <v>2</v>
      </c>
      <c r="V67" s="1418" t="s">
        <v>222</v>
      </c>
      <c r="W67" s="3261">
        <v>106632</v>
      </c>
      <c r="X67" s="3261">
        <v>138621</v>
      </c>
      <c r="Y67" s="2225">
        <f t="shared" si="12"/>
        <v>106632</v>
      </c>
      <c r="Z67" s="3102"/>
      <c r="AA67" s="3106"/>
      <c r="AB67" s="1173"/>
      <c r="AC67" s="1173"/>
      <c r="AD67" s="1173"/>
      <c r="AE67" s="1173"/>
      <c r="AF67" s="3109"/>
      <c r="AG67" s="1418" t="s">
        <v>222</v>
      </c>
      <c r="AH67" s="3261">
        <v>138621</v>
      </c>
      <c r="AI67" s="1403">
        <f>NDK!T8</f>
        <v>0</v>
      </c>
      <c r="AJ67" s="2913">
        <f>$AH67*$AH$48*$U$2</f>
        <v>136340.68455000003</v>
      </c>
      <c r="AK67" s="2914">
        <f t="shared" si="13"/>
        <v>135277.32710350002</v>
      </c>
      <c r="AL67" s="2751"/>
      <c r="AM67" s="553">
        <f t="shared" si="14"/>
        <v>135240</v>
      </c>
      <c r="AN67" s="1849">
        <f>$P$50</f>
        <v>29160</v>
      </c>
      <c r="AO67" s="579">
        <f t="shared" si="15"/>
        <v>135240</v>
      </c>
      <c r="AP67" s="579">
        <f t="shared" si="16"/>
        <v>0</v>
      </c>
    </row>
    <row r="68" spans="1:42" ht="13.5" thickBot="1">
      <c r="A68" s="550">
        <v>1093</v>
      </c>
      <c r="B68" s="550" t="s">
        <v>401</v>
      </c>
      <c r="C68" s="2231" t="s">
        <v>3008</v>
      </c>
      <c r="D68" s="2232">
        <v>3</v>
      </c>
      <c r="V68" s="1419" t="s">
        <v>223</v>
      </c>
      <c r="W68" s="3261">
        <v>157230</v>
      </c>
      <c r="X68" s="3261">
        <v>204399</v>
      </c>
      <c r="Y68" s="2225">
        <f t="shared" si="12"/>
        <v>157230</v>
      </c>
      <c r="Z68" s="3102"/>
      <c r="AA68" s="3106"/>
      <c r="AB68" s="1173"/>
      <c r="AC68" s="1173"/>
      <c r="AD68" s="1173"/>
      <c r="AE68" s="1173"/>
      <c r="AF68" s="3109"/>
      <c r="AG68" s="1419" t="s">
        <v>223</v>
      </c>
      <c r="AH68" s="3261">
        <v>204399</v>
      </c>
      <c r="AI68" s="1403">
        <f>NDK!T9</f>
        <v>0</v>
      </c>
      <c r="AJ68" s="2913">
        <f>$AH68*$AH$48*$U$2</f>
        <v>201036.63645000002</v>
      </c>
      <c r="AK68" s="2914">
        <f t="shared" si="13"/>
        <v>185093.21006650003</v>
      </c>
      <c r="AL68" s="2751"/>
      <c r="AM68" s="553">
        <f t="shared" si="14"/>
        <v>185040</v>
      </c>
      <c r="AN68" s="1849">
        <f>$P$51</f>
        <v>44520</v>
      </c>
      <c r="AO68" s="579">
        <f t="shared" si="15"/>
        <v>185040</v>
      </c>
      <c r="AP68" s="579">
        <f t="shared" si="16"/>
        <v>0</v>
      </c>
    </row>
    <row r="69" spans="1:42" ht="13.5" thickTop="1">
      <c r="A69" s="550">
        <v>1094</v>
      </c>
      <c r="B69" s="550" t="s">
        <v>401</v>
      </c>
      <c r="C69" s="2231" t="s">
        <v>3009</v>
      </c>
      <c r="D69" s="2232">
        <v>4</v>
      </c>
      <c r="V69" s="1420"/>
      <c r="W69" s="2222"/>
      <c r="X69" s="2222"/>
      <c r="Y69" s="2225">
        <f t="shared" si="12"/>
        <v>0</v>
      </c>
      <c r="Z69" s="3102"/>
      <c r="AA69" s="3106"/>
      <c r="AB69" s="1173"/>
      <c r="AC69" s="1173"/>
      <c r="AD69" s="1173"/>
      <c r="AE69" s="1173"/>
      <c r="AF69" s="3109"/>
      <c r="AG69" s="1420"/>
      <c r="AH69" s="2222"/>
      <c r="AI69" s="883"/>
      <c r="AJ69" s="2745">
        <f>$AH69*$AH$48</f>
        <v>0</v>
      </c>
      <c r="AK69" s="2914">
        <f t="shared" si="13"/>
        <v>0</v>
      </c>
      <c r="AL69" s="883"/>
      <c r="AM69" s="553">
        <f t="shared" si="14"/>
        <v>0</v>
      </c>
      <c r="AN69" s="1394"/>
      <c r="AO69" s="579">
        <f t="shared" si="15"/>
        <v>0</v>
      </c>
      <c r="AP69" s="579">
        <f t="shared" si="16"/>
        <v>0</v>
      </c>
    </row>
    <row r="70" spans="1:42">
      <c r="A70" s="550">
        <v>1095</v>
      </c>
      <c r="B70" s="550" t="s">
        <v>401</v>
      </c>
      <c r="C70" s="2231" t="s">
        <v>3010</v>
      </c>
      <c r="D70" s="2232">
        <v>5</v>
      </c>
      <c r="V70" s="1414" t="s">
        <v>2456</v>
      </c>
      <c r="W70" s="3261">
        <v>135960</v>
      </c>
      <c r="X70" s="3261">
        <v>176748</v>
      </c>
      <c r="Y70" s="2225">
        <f t="shared" si="12"/>
        <v>135960</v>
      </c>
      <c r="Z70" s="3102"/>
      <c r="AA70" s="3106"/>
      <c r="AB70" s="1173"/>
      <c r="AC70" s="1173"/>
      <c r="AD70" s="1173"/>
      <c r="AE70" s="1173"/>
      <c r="AF70" s="3109"/>
      <c r="AG70" s="1414" t="s">
        <v>2456</v>
      </c>
      <c r="AH70" s="3261">
        <v>176748</v>
      </c>
      <c r="AI70" s="883">
        <f>NDK!B21</f>
        <v>0</v>
      </c>
      <c r="AJ70" s="2913">
        <f>$AH70*$AH$48*$U$2*$F$53</f>
        <v>173840.49540000001</v>
      </c>
      <c r="AK70" s="2914">
        <f t="shared" si="13"/>
        <v>164152.18145800001</v>
      </c>
      <c r="AL70" s="2751"/>
      <c r="AM70" s="553">
        <f t="shared" si="14"/>
        <v>164160</v>
      </c>
      <c r="AN70" s="2894">
        <f>$P$17</f>
        <v>135960</v>
      </c>
      <c r="AO70" s="579">
        <f t="shared" si="15"/>
        <v>164160</v>
      </c>
      <c r="AP70" s="579">
        <f t="shared" si="16"/>
        <v>0</v>
      </c>
    </row>
    <row r="71" spans="1:42">
      <c r="A71" s="550">
        <v>1096</v>
      </c>
      <c r="B71" s="550" t="s">
        <v>401</v>
      </c>
      <c r="C71" s="2231" t="s">
        <v>3011</v>
      </c>
      <c r="D71" s="2232">
        <v>6</v>
      </c>
      <c r="V71" s="1414" t="s">
        <v>4134</v>
      </c>
      <c r="W71" s="3261">
        <v>490903</v>
      </c>
      <c r="X71" s="3261">
        <v>638174</v>
      </c>
      <c r="Y71" s="2225">
        <f t="shared" si="12"/>
        <v>490903</v>
      </c>
      <c r="Z71" s="3102"/>
      <c r="AA71" s="3106"/>
      <c r="AB71" s="1173"/>
      <c r="AC71" s="1173"/>
      <c r="AD71" s="1173"/>
      <c r="AE71" s="1173"/>
      <c r="AF71" s="3109"/>
      <c r="AG71" s="1414" t="s">
        <v>4134</v>
      </c>
      <c r="AH71" s="3261">
        <v>638174</v>
      </c>
      <c r="AI71" s="883">
        <f>NDK!B24</f>
        <v>0</v>
      </c>
      <c r="AJ71" s="2913">
        <f>$AH71*$AH$48*$U$2/$D$27*$F$53</f>
        <v>627676.0377000001</v>
      </c>
      <c r="AK71" s="2914">
        <f t="shared" si="13"/>
        <v>513605.5490290001</v>
      </c>
      <c r="AL71" s="2751"/>
      <c r="AM71" s="553">
        <f t="shared" si="14"/>
        <v>513600</v>
      </c>
      <c r="AN71" s="2894">
        <f>$P$20</f>
        <v>274800</v>
      </c>
      <c r="AO71" s="579">
        <f t="shared" si="15"/>
        <v>513600</v>
      </c>
      <c r="AP71" s="579">
        <f t="shared" si="16"/>
        <v>0</v>
      </c>
    </row>
    <row r="72" spans="1:42">
      <c r="A72" s="550">
        <v>1097</v>
      </c>
      <c r="B72" s="550" t="s">
        <v>401</v>
      </c>
      <c r="C72" s="2231" t="s">
        <v>3012</v>
      </c>
      <c r="D72" s="2232">
        <v>7</v>
      </c>
      <c r="V72" s="1414" t="s">
        <v>2459</v>
      </c>
      <c r="W72" s="3261">
        <v>452028</v>
      </c>
      <c r="X72" s="3261">
        <v>587636</v>
      </c>
      <c r="Y72" s="2225">
        <f t="shared" si="12"/>
        <v>452028</v>
      </c>
      <c r="Z72" s="3102"/>
      <c r="AA72" s="3106"/>
      <c r="AB72" s="1173"/>
      <c r="AC72" s="1173"/>
      <c r="AD72" s="1173"/>
      <c r="AE72" s="1173"/>
      <c r="AF72" s="3109"/>
      <c r="AG72" s="1414" t="s">
        <v>2459</v>
      </c>
      <c r="AH72" s="3261">
        <v>587636</v>
      </c>
      <c r="AI72" s="883">
        <f>NDK!B25</f>
        <v>0</v>
      </c>
      <c r="AJ72" s="2913">
        <f>$AH72*$AH$48*$U$2/$D$27</f>
        <v>577969.38780000014</v>
      </c>
      <c r="AK72" s="2914">
        <f t="shared" si="13"/>
        <v>475331.42860600015</v>
      </c>
      <c r="AL72" s="2751"/>
      <c r="AM72" s="553">
        <f t="shared" si="14"/>
        <v>475320</v>
      </c>
      <c r="AN72" s="2894">
        <f>$P$21</f>
        <v>274800</v>
      </c>
      <c r="AO72" s="579">
        <f t="shared" si="15"/>
        <v>475320</v>
      </c>
      <c r="AP72" s="579">
        <f t="shared" si="16"/>
        <v>0</v>
      </c>
    </row>
    <row r="73" spans="1:42">
      <c r="A73" s="550">
        <v>1098</v>
      </c>
      <c r="B73" s="550" t="s">
        <v>401</v>
      </c>
      <c r="C73" s="2231" t="s">
        <v>3013</v>
      </c>
      <c r="D73" s="2232">
        <v>8</v>
      </c>
      <c r="V73" s="1414" t="s">
        <v>1494</v>
      </c>
      <c r="W73" s="3261">
        <v>13290</v>
      </c>
      <c r="X73" s="3261">
        <v>17278</v>
      </c>
      <c r="Y73" s="2225">
        <f t="shared" si="12"/>
        <v>13290</v>
      </c>
      <c r="Z73" s="3102"/>
      <c r="AA73" s="3106"/>
      <c r="AB73" s="1173"/>
      <c r="AC73" s="1173"/>
      <c r="AD73" s="1173"/>
      <c r="AE73" s="1173"/>
      <c r="AF73" s="3109"/>
      <c r="AG73" s="1414" t="s">
        <v>1494</v>
      </c>
      <c r="AH73" s="3261">
        <v>17278</v>
      </c>
      <c r="AI73" s="883">
        <f>NDK!B26</f>
        <v>0</v>
      </c>
      <c r="AJ73" s="2913">
        <f>$AH73*$AH$48*$U$2</f>
        <v>16993.776900000001</v>
      </c>
      <c r="AK73" s="2914">
        <f t="shared" si="13"/>
        <v>16993.776900000001</v>
      </c>
      <c r="AL73" s="2751"/>
      <c r="AM73" s="553">
        <f t="shared" si="14"/>
        <v>17040</v>
      </c>
      <c r="AN73" s="2894">
        <f>$P$22</f>
        <v>12120</v>
      </c>
      <c r="AO73" s="579">
        <f t="shared" si="15"/>
        <v>17040</v>
      </c>
      <c r="AP73" s="579">
        <f t="shared" si="16"/>
        <v>0</v>
      </c>
    </row>
    <row r="74" spans="1:42">
      <c r="A74" s="550">
        <v>1101</v>
      </c>
      <c r="B74" s="550" t="s">
        <v>401</v>
      </c>
      <c r="C74" s="2231" t="s">
        <v>3014</v>
      </c>
      <c r="D74" s="2232">
        <v>9</v>
      </c>
      <c r="V74" s="1414" t="s">
        <v>3072</v>
      </c>
      <c r="W74" s="3261">
        <v>49658</v>
      </c>
      <c r="X74" s="3261">
        <v>64555</v>
      </c>
      <c r="Y74" s="2225">
        <f t="shared" si="12"/>
        <v>49658</v>
      </c>
      <c r="Z74" s="3102"/>
      <c r="AA74" s="3106"/>
      <c r="AB74" s="1173"/>
      <c r="AC74" s="1173"/>
      <c r="AD74" s="1173"/>
      <c r="AE74" s="1173"/>
      <c r="AF74" s="3109"/>
      <c r="AG74" s="1414" t="s">
        <v>3072</v>
      </c>
      <c r="AH74" s="3261">
        <v>64555</v>
      </c>
      <c r="AI74" s="883">
        <f>NDK!B27</f>
        <v>0</v>
      </c>
      <c r="AJ74" s="2913">
        <f>$AH74*$AH$48*$U$2</f>
        <v>63493.070250000012</v>
      </c>
      <c r="AK74" s="2914">
        <f t="shared" si="13"/>
        <v>63493.070250000012</v>
      </c>
      <c r="AL74" s="2751"/>
      <c r="AM74" s="553">
        <f t="shared" si="14"/>
        <v>63480</v>
      </c>
      <c r="AN74" s="2894">
        <f>$P$23</f>
        <v>70320</v>
      </c>
      <c r="AO74" s="579">
        <f t="shared" si="15"/>
        <v>70320</v>
      </c>
      <c r="AP74" s="579">
        <f t="shared" si="16"/>
        <v>0</v>
      </c>
    </row>
    <row r="75" spans="1:42">
      <c r="A75" s="550">
        <v>1102</v>
      </c>
      <c r="B75" s="550" t="s">
        <v>401</v>
      </c>
      <c r="C75" s="2231" t="s">
        <v>3017</v>
      </c>
      <c r="D75" s="2232">
        <v>10</v>
      </c>
      <c r="V75" s="1421" t="s">
        <v>1862</v>
      </c>
      <c r="W75" s="2222"/>
      <c r="X75" s="2223"/>
      <c r="Y75" s="2225">
        <f t="shared" si="12"/>
        <v>0</v>
      </c>
      <c r="Z75" s="3102"/>
      <c r="AA75" s="3106"/>
      <c r="AB75" s="1173"/>
      <c r="AC75" s="1173"/>
      <c r="AD75" s="1173"/>
      <c r="AE75" s="1173"/>
      <c r="AF75" s="3109"/>
      <c r="AG75" s="1421" t="s">
        <v>1862</v>
      </c>
      <c r="AH75" s="2222"/>
      <c r="AI75" s="883"/>
      <c r="AJ75" s="2913">
        <f>$AH75*$AH$48</f>
        <v>0</v>
      </c>
      <c r="AK75" s="2914">
        <f t="shared" si="13"/>
        <v>0</v>
      </c>
      <c r="AL75" s="2751"/>
      <c r="AM75" s="553">
        <f t="shared" si="14"/>
        <v>0</v>
      </c>
      <c r="AN75" s="1394"/>
      <c r="AO75" s="579">
        <f t="shared" si="15"/>
        <v>0</v>
      </c>
      <c r="AP75" s="579">
        <f t="shared" si="16"/>
        <v>0</v>
      </c>
    </row>
    <row r="76" spans="1:42">
      <c r="A76" s="550">
        <v>1103</v>
      </c>
      <c r="B76" s="550" t="s">
        <v>401</v>
      </c>
      <c r="C76" s="2230"/>
      <c r="D76" s="2232"/>
      <c r="V76" s="2724" t="s">
        <v>5100</v>
      </c>
      <c r="W76" s="2723">
        <f>$W$24</f>
        <v>14859</v>
      </c>
      <c r="X76" s="2545">
        <f>$W$30</f>
        <v>19317</v>
      </c>
      <c r="Y76" s="2225">
        <f t="shared" si="12"/>
        <v>14859</v>
      </c>
      <c r="Z76" s="3102"/>
      <c r="AA76" s="3106"/>
      <c r="AB76" s="1173"/>
      <c r="AC76" s="1173"/>
      <c r="AD76" s="1173"/>
      <c r="AE76" s="1173"/>
      <c r="AF76" s="3109"/>
      <c r="AG76" s="2724" t="s">
        <v>5101</v>
      </c>
      <c r="AH76" s="2725">
        <f>$W$36</f>
        <v>19317</v>
      </c>
      <c r="AI76" s="883">
        <f>NDK!B29</f>
        <v>0</v>
      </c>
      <c r="AJ76" s="2913">
        <f>$AH76*$AH$48*$U$2/$D$27*$F$55</f>
        <v>18999.235350000003</v>
      </c>
      <c r="AK76" s="2914">
        <f t="shared" si="13"/>
        <v>18999.235350000003</v>
      </c>
      <c r="AL76" s="2751"/>
      <c r="AM76" s="553">
        <f t="shared" si="14"/>
        <v>18960</v>
      </c>
      <c r="AN76" s="2211">
        <f>$W$14</f>
        <v>26640</v>
      </c>
      <c r="AO76" s="579">
        <f t="shared" si="15"/>
        <v>26640</v>
      </c>
      <c r="AP76" s="579">
        <f t="shared" si="16"/>
        <v>0</v>
      </c>
    </row>
    <row r="77" spans="1:42">
      <c r="A77" s="550">
        <v>1104</v>
      </c>
      <c r="B77" s="550" t="s">
        <v>401</v>
      </c>
      <c r="C77" s="2230" t="s">
        <v>3016</v>
      </c>
      <c r="D77" s="2232">
        <f>KÉRDÉSEK!L243</f>
        <v>0</v>
      </c>
      <c r="V77" s="1414" t="s">
        <v>3073</v>
      </c>
      <c r="W77" s="3261">
        <v>213106</v>
      </c>
      <c r="X77" s="3261">
        <v>277038</v>
      </c>
      <c r="Y77" s="2225">
        <f t="shared" si="12"/>
        <v>213106</v>
      </c>
      <c r="Z77" s="3102"/>
      <c r="AA77" s="3106"/>
      <c r="AB77" s="1173"/>
      <c r="AC77" s="1173"/>
      <c r="AD77" s="1173"/>
      <c r="AE77" s="1173"/>
      <c r="AF77" s="3109"/>
      <c r="AG77" s="1414" t="s">
        <v>3073</v>
      </c>
      <c r="AH77" s="3261">
        <v>277038</v>
      </c>
      <c r="AI77" s="883">
        <f>NDK!B30</f>
        <v>0</v>
      </c>
      <c r="AJ77" s="2913">
        <f>$AH77*$AH$48*$U$2/$D$27</f>
        <v>272480.72490000003</v>
      </c>
      <c r="AK77" s="2914">
        <f t="shared" si="13"/>
        <v>240105.15817300003</v>
      </c>
      <c r="AL77" s="2751"/>
      <c r="AM77" s="553">
        <f t="shared" si="14"/>
        <v>240120</v>
      </c>
      <c r="AN77" s="2895">
        <f>$P$26</f>
        <v>200040</v>
      </c>
      <c r="AO77" s="579">
        <f t="shared" si="15"/>
        <v>240120</v>
      </c>
      <c r="AP77" s="579">
        <f t="shared" si="16"/>
        <v>0</v>
      </c>
    </row>
    <row r="78" spans="1:42" ht="38.25">
      <c r="A78" s="550">
        <v>1105</v>
      </c>
      <c r="B78" s="550" t="s">
        <v>401</v>
      </c>
      <c r="C78" s="2233" t="s">
        <v>3019</v>
      </c>
      <c r="D78" s="2232">
        <f>IF(D77=C67,D67,IF(D77=C68,D68,IF(D77=C69,D69,IF(D77=C70,D70,IF(D77=C71,D71,IF(D77=C72,D72,IF(D77=C73,D73,IF(D77=C74,D74,D75))))))))</f>
        <v>10</v>
      </c>
      <c r="V78" s="1414" t="s">
        <v>491</v>
      </c>
      <c r="W78" s="3261">
        <v>505779</v>
      </c>
      <c r="X78" s="3261">
        <v>657513</v>
      </c>
      <c r="Y78" s="2225">
        <f t="shared" si="12"/>
        <v>505779</v>
      </c>
      <c r="Z78" s="3102"/>
      <c r="AA78" s="3106"/>
      <c r="AB78" s="1173"/>
      <c r="AC78" s="1173"/>
      <c r="AD78" s="1173"/>
      <c r="AE78" s="1173"/>
      <c r="AF78" s="3109"/>
      <c r="AG78" s="1414" t="s">
        <v>491</v>
      </c>
      <c r="AH78" s="3261">
        <v>657513</v>
      </c>
      <c r="AI78" s="883">
        <f>NDK!B31</f>
        <v>0</v>
      </c>
      <c r="AJ78" s="2745">
        <f>$AH78*$AH$48/$D$27*$F$53</f>
        <v>646696.91115000006</v>
      </c>
      <c r="AK78" s="2914">
        <f t="shared" si="13"/>
        <v>528251.62158550008</v>
      </c>
      <c r="AL78" s="883"/>
      <c r="AM78" s="553">
        <f t="shared" si="14"/>
        <v>528240</v>
      </c>
      <c r="AN78" s="2895">
        <f>$P$27</f>
        <v>1713480</v>
      </c>
      <c r="AO78" s="579">
        <f t="shared" si="15"/>
        <v>1713480</v>
      </c>
      <c r="AP78" s="579">
        <f t="shared" si="16"/>
        <v>0</v>
      </c>
    </row>
    <row r="79" spans="1:42">
      <c r="A79" s="550">
        <v>1106</v>
      </c>
      <c r="B79" s="550" t="s">
        <v>401</v>
      </c>
      <c r="C79" s="551"/>
      <c r="D79" s="1408"/>
      <c r="V79" s="1414" t="s">
        <v>492</v>
      </c>
      <c r="W79" s="3261">
        <v>505779</v>
      </c>
      <c r="X79" s="3261">
        <v>657513</v>
      </c>
      <c r="Y79" s="2225">
        <f t="shared" si="12"/>
        <v>505779</v>
      </c>
      <c r="Z79" s="3102"/>
      <c r="AA79" s="3106"/>
      <c r="AB79" s="1173"/>
      <c r="AC79" s="1173"/>
      <c r="AD79" s="1173"/>
      <c r="AE79" s="1173"/>
      <c r="AF79" s="3109"/>
      <c r="AG79" s="1414" t="s">
        <v>492</v>
      </c>
      <c r="AH79" s="3261">
        <v>657513</v>
      </c>
      <c r="AI79" s="883">
        <f>NDK!B32</f>
        <v>0</v>
      </c>
      <c r="AJ79" s="2745">
        <f>$AH79*$AH$48/$D$27*$F$53</f>
        <v>646696.91115000006</v>
      </c>
      <c r="AK79" s="2914">
        <f t="shared" si="13"/>
        <v>528251.62158550008</v>
      </c>
      <c r="AL79" s="883"/>
      <c r="AM79" s="553">
        <f t="shared" si="14"/>
        <v>528240</v>
      </c>
      <c r="AN79" s="2895">
        <f>$P$28</f>
        <v>1713480</v>
      </c>
      <c r="AO79" s="579">
        <f t="shared" si="15"/>
        <v>1713480</v>
      </c>
      <c r="AP79" s="579">
        <f t="shared" si="16"/>
        <v>0</v>
      </c>
    </row>
    <row r="80" spans="1:42">
      <c r="A80" s="550">
        <v>1107</v>
      </c>
      <c r="B80" s="550" t="s">
        <v>401</v>
      </c>
      <c r="C80" s="551"/>
      <c r="D80" s="1408"/>
      <c r="V80" s="1414" t="s">
        <v>1179</v>
      </c>
      <c r="W80" s="3261">
        <v>27084</v>
      </c>
      <c r="X80" s="3261">
        <v>35210</v>
      </c>
      <c r="Y80" s="2225">
        <f t="shared" si="12"/>
        <v>27084</v>
      </c>
      <c r="Z80" s="3102"/>
      <c r="AA80" s="3106"/>
      <c r="AB80" s="1173"/>
      <c r="AC80" s="1173"/>
      <c r="AD80" s="1173"/>
      <c r="AE80" s="1173"/>
      <c r="AF80" s="3102"/>
      <c r="AG80" s="1414" t="s">
        <v>1179</v>
      </c>
      <c r="AH80" s="3261">
        <v>35210</v>
      </c>
      <c r="AI80" s="883">
        <f>NDK!B33</f>
        <v>0</v>
      </c>
      <c r="AJ80" s="2745">
        <f t="shared" ref="AJ80:AJ90" si="17">$AH80*$AH$48</f>
        <v>34630.795500000007</v>
      </c>
      <c r="AK80" s="2914">
        <f t="shared" si="13"/>
        <v>34630.795500000007</v>
      </c>
      <c r="AL80" s="883"/>
      <c r="AM80" s="553">
        <f t="shared" si="14"/>
        <v>34680</v>
      </c>
      <c r="AN80" s="2895">
        <f>$P$29</f>
        <v>12720</v>
      </c>
      <c r="AO80" s="579">
        <f t="shared" si="15"/>
        <v>34680</v>
      </c>
      <c r="AP80" s="579">
        <f t="shared" si="16"/>
        <v>0</v>
      </c>
    </row>
    <row r="81" spans="1:42">
      <c r="A81" s="550">
        <v>1108</v>
      </c>
      <c r="B81" s="550" t="s">
        <v>401</v>
      </c>
      <c r="C81" s="551"/>
      <c r="D81" s="1408"/>
      <c r="V81" s="1414" t="s">
        <v>3074</v>
      </c>
      <c r="W81" s="3261">
        <v>13964</v>
      </c>
      <c r="X81" s="3261">
        <v>18153</v>
      </c>
      <c r="Y81" s="2225">
        <f t="shared" si="12"/>
        <v>13964</v>
      </c>
      <c r="Z81" s="3102"/>
      <c r="AA81" s="3106"/>
      <c r="AB81" s="1173"/>
      <c r="AC81" s="1173"/>
      <c r="AD81" s="1173"/>
      <c r="AE81" s="1173"/>
      <c r="AF81" s="3109"/>
      <c r="AG81" s="1414" t="s">
        <v>3074</v>
      </c>
      <c r="AH81" s="3261">
        <v>18153</v>
      </c>
      <c r="AI81" s="883">
        <f>NDK!B34</f>
        <v>0</v>
      </c>
      <c r="AJ81" s="2745">
        <f t="shared" si="17"/>
        <v>17854.383150000001</v>
      </c>
      <c r="AK81" s="2914">
        <f t="shared" si="13"/>
        <v>17854.383150000001</v>
      </c>
      <c r="AL81" s="883"/>
      <c r="AM81" s="553">
        <f t="shared" si="14"/>
        <v>17880</v>
      </c>
      <c r="AN81" s="2895">
        <f>$P$30</f>
        <v>13200</v>
      </c>
      <c r="AO81" s="579">
        <f t="shared" si="15"/>
        <v>17880</v>
      </c>
      <c r="AP81" s="579">
        <f t="shared" si="16"/>
        <v>0</v>
      </c>
    </row>
    <row r="82" spans="1:42">
      <c r="A82" s="550">
        <v>1111</v>
      </c>
      <c r="B82" s="550" t="s">
        <v>401</v>
      </c>
      <c r="C82" s="551"/>
      <c r="D82" s="1408"/>
      <c r="V82" s="1414" t="s">
        <v>1234</v>
      </c>
      <c r="W82" s="3261">
        <v>15547</v>
      </c>
      <c r="X82" s="3261">
        <v>20211</v>
      </c>
      <c r="Y82" s="2225">
        <f t="shared" si="12"/>
        <v>15547</v>
      </c>
      <c r="Z82" s="3102"/>
      <c r="AA82" s="3106"/>
      <c r="AB82" s="1173"/>
      <c r="AC82" s="1173"/>
      <c r="AD82" s="1173"/>
      <c r="AE82" s="1173"/>
      <c r="AF82" s="3109"/>
      <c r="AG82" s="1414" t="s">
        <v>1234</v>
      </c>
      <c r="AH82" s="3261">
        <v>20211</v>
      </c>
      <c r="AI82" s="883">
        <f>NDK!B35</f>
        <v>0</v>
      </c>
      <c r="AJ82" s="2745">
        <f t="shared" si="17"/>
        <v>19878.529050000005</v>
      </c>
      <c r="AK82" s="2914">
        <f t="shared" si="13"/>
        <v>19878.529050000005</v>
      </c>
      <c r="AL82" s="883"/>
      <c r="AM82" s="553">
        <f t="shared" si="14"/>
        <v>19920</v>
      </c>
      <c r="AN82" s="2895">
        <f>$P$31</f>
        <v>13440</v>
      </c>
      <c r="AO82" s="579">
        <f t="shared" si="15"/>
        <v>19920</v>
      </c>
      <c r="AP82" s="579">
        <f t="shared" si="16"/>
        <v>0</v>
      </c>
    </row>
    <row r="83" spans="1:42">
      <c r="A83" s="550">
        <v>1112</v>
      </c>
      <c r="B83" s="550" t="s">
        <v>401</v>
      </c>
      <c r="C83" s="551"/>
      <c r="V83" s="1414" t="s">
        <v>1235</v>
      </c>
      <c r="W83" s="3261">
        <v>19985</v>
      </c>
      <c r="X83" s="3261">
        <v>25981</v>
      </c>
      <c r="Y83" s="2225">
        <f t="shared" si="12"/>
        <v>19985</v>
      </c>
      <c r="Z83" s="3102"/>
      <c r="AA83" s="3106"/>
      <c r="AB83" s="1173"/>
      <c r="AC83" s="1173"/>
      <c r="AD83" s="1173"/>
      <c r="AE83" s="1173"/>
      <c r="AF83" s="3109"/>
      <c r="AG83" s="1414" t="s">
        <v>1235</v>
      </c>
      <c r="AH83" s="3261">
        <v>25981</v>
      </c>
      <c r="AI83" s="883">
        <f>NDK!B36</f>
        <v>0</v>
      </c>
      <c r="AJ83" s="2745">
        <f t="shared" si="17"/>
        <v>25553.612550000005</v>
      </c>
      <c r="AK83" s="2914">
        <f t="shared" si="13"/>
        <v>25553.612550000005</v>
      </c>
      <c r="AL83" s="883"/>
      <c r="AM83" s="553">
        <f t="shared" si="14"/>
        <v>25560</v>
      </c>
      <c r="AN83" s="2895">
        <f>$P$32</f>
        <v>18480</v>
      </c>
      <c r="AO83" s="579">
        <f t="shared" si="15"/>
        <v>25560</v>
      </c>
      <c r="AP83" s="579">
        <f t="shared" si="16"/>
        <v>0</v>
      </c>
    </row>
    <row r="84" spans="1:42">
      <c r="A84" s="550">
        <v>1113</v>
      </c>
      <c r="B84" s="550" t="s">
        <v>401</v>
      </c>
      <c r="C84" s="551"/>
      <c r="V84" s="1414" t="s">
        <v>1236</v>
      </c>
      <c r="W84" s="3261">
        <v>42000</v>
      </c>
      <c r="X84" s="3261">
        <v>54600</v>
      </c>
      <c r="Y84" s="2225">
        <f t="shared" si="12"/>
        <v>42000</v>
      </c>
      <c r="Z84" s="3102"/>
      <c r="AA84" s="3106"/>
      <c r="AB84" s="1173"/>
      <c r="AC84" s="1173"/>
      <c r="AD84" s="1173"/>
      <c r="AE84" s="1173"/>
      <c r="AF84" s="3109"/>
      <c r="AG84" s="1414" t="s">
        <v>1236</v>
      </c>
      <c r="AH84" s="3261">
        <v>54600</v>
      </c>
      <c r="AI84" s="883">
        <f>NDK!B37</f>
        <v>0</v>
      </c>
      <c r="AJ84" s="2745">
        <f t="shared" si="17"/>
        <v>53701.830000000009</v>
      </c>
      <c r="AK84" s="2914">
        <f t="shared" si="13"/>
        <v>53701.830000000009</v>
      </c>
      <c r="AL84" s="883"/>
      <c r="AM84" s="553">
        <f t="shared" si="14"/>
        <v>53760</v>
      </c>
      <c r="AN84" s="2895">
        <f>$P$33</f>
        <v>22800</v>
      </c>
      <c r="AO84" s="579">
        <f t="shared" si="15"/>
        <v>53760</v>
      </c>
      <c r="AP84" s="579">
        <f t="shared" si="16"/>
        <v>0</v>
      </c>
    </row>
    <row r="85" spans="1:42">
      <c r="A85" s="550">
        <v>1114</v>
      </c>
      <c r="B85" s="550" t="s">
        <v>401</v>
      </c>
      <c r="C85" s="551"/>
      <c r="V85" s="1420" t="s">
        <v>2710</v>
      </c>
      <c r="W85" s="2222"/>
      <c r="X85" s="3261"/>
      <c r="Y85" s="2225">
        <f t="shared" si="12"/>
        <v>0</v>
      </c>
      <c r="Z85" s="3102"/>
      <c r="AA85" s="3106"/>
      <c r="AB85" s="1173"/>
      <c r="AC85" s="1173"/>
      <c r="AD85" s="1173"/>
      <c r="AE85" s="1173"/>
      <c r="AF85" s="3109"/>
      <c r="AG85" s="1420"/>
      <c r="AH85" s="2222"/>
      <c r="AI85" s="883"/>
      <c r="AJ85" s="2745">
        <f t="shared" si="17"/>
        <v>0</v>
      </c>
      <c r="AK85" s="2914">
        <f t="shared" si="13"/>
        <v>0</v>
      </c>
      <c r="AL85" s="883"/>
      <c r="AM85" s="553">
        <f t="shared" si="14"/>
        <v>0</v>
      </c>
      <c r="AN85" s="2896"/>
      <c r="AO85" s="579">
        <f t="shared" si="15"/>
        <v>0</v>
      </c>
      <c r="AP85" s="579">
        <f t="shared" si="16"/>
        <v>0</v>
      </c>
    </row>
    <row r="86" spans="1:42">
      <c r="A86" s="550">
        <v>1115</v>
      </c>
      <c r="B86" s="550" t="s">
        <v>401</v>
      </c>
      <c r="C86" s="551"/>
      <c r="V86" s="1414" t="s">
        <v>1237</v>
      </c>
      <c r="W86" s="3261">
        <v>45371</v>
      </c>
      <c r="X86" s="3261">
        <v>58982</v>
      </c>
      <c r="Y86" s="2225">
        <f t="shared" si="12"/>
        <v>45371</v>
      </c>
      <c r="Z86" s="3102"/>
      <c r="AA86" s="3106"/>
      <c r="AB86" s="1173"/>
      <c r="AC86" s="1173"/>
      <c r="AD86" s="1173"/>
      <c r="AE86" s="1173"/>
      <c r="AF86" s="3109"/>
      <c r="AG86" s="1414" t="s">
        <v>1237</v>
      </c>
      <c r="AH86" s="3261">
        <v>58982</v>
      </c>
      <c r="AI86" s="883">
        <f>NDK!B39</f>
        <v>0</v>
      </c>
      <c r="AJ86" s="2745">
        <f t="shared" si="17"/>
        <v>58011.746100000011</v>
      </c>
      <c r="AK86" s="2914">
        <f t="shared" si="13"/>
        <v>58011.746100000011</v>
      </c>
      <c r="AL86" s="883"/>
      <c r="AM86" s="553">
        <f t="shared" si="14"/>
        <v>57960</v>
      </c>
      <c r="AN86" s="2895">
        <f>$P$35</f>
        <v>31080</v>
      </c>
      <c r="AO86" s="579">
        <f t="shared" si="15"/>
        <v>57960</v>
      </c>
      <c r="AP86" s="579">
        <f t="shared" si="16"/>
        <v>0</v>
      </c>
    </row>
    <row r="87" spans="1:42">
      <c r="A87" s="550">
        <v>1116</v>
      </c>
      <c r="B87" s="550" t="s">
        <v>401</v>
      </c>
      <c r="C87" s="551"/>
      <c r="V87" s="1414" t="s">
        <v>1238</v>
      </c>
      <c r="W87" s="3261">
        <v>12908</v>
      </c>
      <c r="X87" s="3261">
        <v>16780</v>
      </c>
      <c r="Y87" s="2225">
        <f t="shared" si="12"/>
        <v>12908</v>
      </c>
      <c r="Z87" s="3102"/>
      <c r="AA87" s="3106"/>
      <c r="AB87" s="1173"/>
      <c r="AC87" s="1173"/>
      <c r="AD87" s="1173"/>
      <c r="AE87" s="1173"/>
      <c r="AF87" s="3109"/>
      <c r="AG87" s="1414" t="s">
        <v>1238</v>
      </c>
      <c r="AH87" s="3261">
        <v>16780</v>
      </c>
      <c r="AI87" s="883">
        <f>NDK!B40</f>
        <v>0</v>
      </c>
      <c r="AJ87" s="2745">
        <f t="shared" si="17"/>
        <v>16503.969000000001</v>
      </c>
      <c r="AK87" s="2914">
        <f t="shared" si="13"/>
        <v>16503.969000000001</v>
      </c>
      <c r="AL87" s="883"/>
      <c r="AM87" s="553">
        <f t="shared" si="14"/>
        <v>16560</v>
      </c>
      <c r="AN87" s="2895">
        <f>$P$36</f>
        <v>8520</v>
      </c>
      <c r="AO87" s="579">
        <f t="shared" si="15"/>
        <v>16560</v>
      </c>
      <c r="AP87" s="579">
        <f t="shared" si="16"/>
        <v>0</v>
      </c>
    </row>
    <row r="88" spans="1:42">
      <c r="A88" s="550">
        <v>1117</v>
      </c>
      <c r="B88" s="550" t="s">
        <v>401</v>
      </c>
      <c r="C88" s="551"/>
      <c r="V88" s="1422" t="s">
        <v>497</v>
      </c>
      <c r="W88" s="3261">
        <v>17633</v>
      </c>
      <c r="X88" s="3261">
        <v>22923</v>
      </c>
      <c r="Y88" s="2225">
        <f t="shared" si="12"/>
        <v>17633</v>
      </c>
      <c r="Z88" s="3102"/>
      <c r="AA88" s="3106"/>
      <c r="AB88" s="1173"/>
      <c r="AC88" s="1173"/>
      <c r="AD88" s="1173"/>
      <c r="AE88" s="1173"/>
      <c r="AF88" s="3109"/>
      <c r="AG88" s="1422" t="s">
        <v>497</v>
      </c>
      <c r="AH88" s="3261">
        <v>22923</v>
      </c>
      <c r="AI88" s="883">
        <f>NDK!B41</f>
        <v>0</v>
      </c>
      <c r="AJ88" s="2745">
        <f t="shared" si="17"/>
        <v>22545.916650000003</v>
      </c>
      <c r="AK88" s="2914">
        <f t="shared" si="13"/>
        <v>22545.916650000003</v>
      </c>
      <c r="AL88" s="883"/>
      <c r="AM88" s="553">
        <f t="shared" si="14"/>
        <v>22560</v>
      </c>
      <c r="AN88" s="2895">
        <f>$P$37</f>
        <v>18000</v>
      </c>
      <c r="AO88" s="579">
        <f t="shared" si="15"/>
        <v>22560</v>
      </c>
      <c r="AP88" s="579">
        <f t="shared" si="16"/>
        <v>0</v>
      </c>
    </row>
    <row r="89" spans="1:42">
      <c r="A89" s="550">
        <v>1118</v>
      </c>
      <c r="B89" s="550" t="s">
        <v>401</v>
      </c>
      <c r="C89" s="551"/>
      <c r="V89" s="1414" t="s">
        <v>493</v>
      </c>
      <c r="W89" s="3261">
        <v>18861</v>
      </c>
      <c r="X89" s="3261">
        <v>24519</v>
      </c>
      <c r="Y89" s="2225">
        <f t="shared" si="12"/>
        <v>18861</v>
      </c>
      <c r="Z89" s="3102"/>
      <c r="AA89" s="3106"/>
      <c r="AB89" s="1173"/>
      <c r="AC89" s="1173"/>
      <c r="AD89" s="1173"/>
      <c r="AE89" s="1173"/>
      <c r="AF89" s="3109"/>
      <c r="AG89" s="1414" t="s">
        <v>493</v>
      </c>
      <c r="AH89" s="3261">
        <v>24519</v>
      </c>
      <c r="AI89" s="883">
        <f>NDK!B42</f>
        <v>0</v>
      </c>
      <c r="AJ89" s="2745">
        <f t="shared" si="17"/>
        <v>24115.662450000003</v>
      </c>
      <c r="AK89" s="2914">
        <f t="shared" si="13"/>
        <v>24115.662450000003</v>
      </c>
      <c r="AL89" s="883"/>
      <c r="AM89" s="553">
        <f t="shared" si="14"/>
        <v>24120</v>
      </c>
      <c r="AN89" s="2895">
        <f>$P$38</f>
        <v>12960</v>
      </c>
      <c r="AO89" s="579">
        <f t="shared" si="15"/>
        <v>24120</v>
      </c>
      <c r="AP89" s="579">
        <f t="shared" si="16"/>
        <v>0</v>
      </c>
    </row>
    <row r="90" spans="1:42">
      <c r="A90" s="550">
        <v>1119</v>
      </c>
      <c r="B90" s="550" t="s">
        <v>401</v>
      </c>
      <c r="C90" s="551"/>
      <c r="V90" s="1414" t="s">
        <v>494</v>
      </c>
      <c r="W90" s="3261">
        <v>19650</v>
      </c>
      <c r="X90" s="3261">
        <v>25545</v>
      </c>
      <c r="Y90" s="2225">
        <f t="shared" si="12"/>
        <v>19650</v>
      </c>
      <c r="Z90" s="3102"/>
      <c r="AA90" s="3106"/>
      <c r="AB90" s="1173"/>
      <c r="AC90" s="1173"/>
      <c r="AD90" s="1173"/>
      <c r="AE90" s="1173"/>
      <c r="AF90" s="3109"/>
      <c r="AG90" s="1414" t="s">
        <v>494</v>
      </c>
      <c r="AH90" s="3261">
        <v>25545</v>
      </c>
      <c r="AI90" s="883">
        <f>NDK!B43</f>
        <v>0</v>
      </c>
      <c r="AJ90" s="2745">
        <f t="shared" si="17"/>
        <v>25124.784750000003</v>
      </c>
      <c r="AK90" s="2914">
        <f t="shared" si="13"/>
        <v>25124.784750000003</v>
      </c>
      <c r="AL90" s="883"/>
      <c r="AM90" s="553">
        <f t="shared" si="14"/>
        <v>25080</v>
      </c>
      <c r="AN90" s="2895">
        <f>$P$39</f>
        <v>12840</v>
      </c>
      <c r="AO90" s="579">
        <f t="shared" si="15"/>
        <v>25080</v>
      </c>
      <c r="AP90" s="579">
        <f t="shared" si="16"/>
        <v>0</v>
      </c>
    </row>
    <row r="91" spans="1:42">
      <c r="A91" s="550">
        <v>1121</v>
      </c>
      <c r="B91" s="550" t="s">
        <v>401</v>
      </c>
      <c r="C91" s="551"/>
      <c r="V91" s="1414" t="s">
        <v>1178</v>
      </c>
      <c r="W91" s="3261">
        <v>47357</v>
      </c>
      <c r="X91" s="3261">
        <v>61564</v>
      </c>
      <c r="Y91" s="2225">
        <f t="shared" si="12"/>
        <v>47357</v>
      </c>
      <c r="Z91" s="3102"/>
      <c r="AA91" s="3106"/>
      <c r="AB91" s="1173"/>
      <c r="AC91" s="1173"/>
      <c r="AD91" s="1173"/>
      <c r="AE91" s="1173"/>
      <c r="AF91" s="3109"/>
      <c r="AG91" s="1414" t="s">
        <v>1178</v>
      </c>
      <c r="AH91" s="3261">
        <v>61564</v>
      </c>
      <c r="AI91" s="883">
        <f>NDK!B44</f>
        <v>0</v>
      </c>
      <c r="AJ91" s="2745">
        <f>$AH91*$AH$48/$D$27*$F$45</f>
        <v>60551.272200000007</v>
      </c>
      <c r="AK91" s="2914">
        <f t="shared" si="13"/>
        <v>60551.272200000007</v>
      </c>
      <c r="AL91" s="883"/>
      <c r="AM91" s="553">
        <f t="shared" si="14"/>
        <v>60600</v>
      </c>
      <c r="AN91" s="2895">
        <f>$P$40</f>
        <v>131520</v>
      </c>
      <c r="AO91" s="579">
        <f t="shared" si="15"/>
        <v>131520</v>
      </c>
      <c r="AP91" s="579">
        <f t="shared" si="16"/>
        <v>0</v>
      </c>
    </row>
    <row r="92" spans="1:42">
      <c r="A92" s="550">
        <v>1122</v>
      </c>
      <c r="B92" s="550" t="s">
        <v>401</v>
      </c>
      <c r="C92" s="551"/>
      <c r="V92" s="1414" t="s">
        <v>1239</v>
      </c>
      <c r="W92" s="3261">
        <v>75805</v>
      </c>
      <c r="X92" s="3261">
        <v>98547</v>
      </c>
      <c r="Y92" s="2225">
        <f t="shared" si="12"/>
        <v>75805</v>
      </c>
      <c r="Z92" s="3102"/>
      <c r="AA92" s="3106"/>
      <c r="AB92" s="1173"/>
      <c r="AC92" s="1173"/>
      <c r="AD92" s="1173"/>
      <c r="AE92" s="1173"/>
      <c r="AF92" s="3109"/>
      <c r="AG92" s="1414" t="s">
        <v>1239</v>
      </c>
      <c r="AH92" s="3261">
        <v>98547</v>
      </c>
      <c r="AI92" s="883">
        <f>NDK!B45</f>
        <v>0</v>
      </c>
      <c r="AJ92" s="2745">
        <f>$AH92*$AH$48/$D$27*$F$45</f>
        <v>96925.901850000009</v>
      </c>
      <c r="AK92" s="2914">
        <f t="shared" si="13"/>
        <v>96925.901850000009</v>
      </c>
      <c r="AL92" s="883"/>
      <c r="AM92" s="553">
        <f t="shared" si="14"/>
        <v>96960</v>
      </c>
      <c r="AN92" s="2895">
        <f>$P$41</f>
        <v>385560</v>
      </c>
      <c r="AO92" s="579">
        <f t="shared" si="15"/>
        <v>385560</v>
      </c>
      <c r="AP92" s="579">
        <f t="shared" si="16"/>
        <v>0</v>
      </c>
    </row>
    <row r="93" spans="1:42">
      <c r="A93" s="550">
        <v>1123</v>
      </c>
      <c r="B93" s="550" t="s">
        <v>401</v>
      </c>
      <c r="C93" s="551"/>
      <c r="V93" s="1414" t="s">
        <v>1240</v>
      </c>
      <c r="W93" s="3261">
        <v>183525</v>
      </c>
      <c r="X93" s="3261">
        <v>238583</v>
      </c>
      <c r="Y93" s="2225">
        <f t="shared" si="12"/>
        <v>183525</v>
      </c>
      <c r="Z93" s="3102"/>
      <c r="AA93" s="3106"/>
      <c r="AB93" s="1173"/>
      <c r="AC93" s="1173"/>
      <c r="AD93" s="1173"/>
      <c r="AE93" s="1173"/>
      <c r="AF93" s="3109"/>
      <c r="AG93" s="1414" t="s">
        <v>1240</v>
      </c>
      <c r="AH93" s="3261">
        <v>238583</v>
      </c>
      <c r="AI93" s="883">
        <f>NDK!B46</f>
        <v>0</v>
      </c>
      <c r="AJ93" s="2745">
        <f>$AH93*$AH$48/$D$27*$F$45</f>
        <v>234658.30965000004</v>
      </c>
      <c r="AK93" s="2914">
        <f t="shared" si="13"/>
        <v>210981.89843050003</v>
      </c>
      <c r="AL93" s="883"/>
      <c r="AM93" s="553">
        <f t="shared" si="14"/>
        <v>210960</v>
      </c>
      <c r="AN93" s="2895">
        <f>$P$42</f>
        <v>1026840</v>
      </c>
      <c r="AO93" s="579">
        <f t="shared" si="15"/>
        <v>1026840</v>
      </c>
      <c r="AP93" s="579">
        <f t="shared" si="16"/>
        <v>0</v>
      </c>
    </row>
    <row r="94" spans="1:42">
      <c r="A94" s="550">
        <v>1124</v>
      </c>
      <c r="B94" s="550" t="s">
        <v>401</v>
      </c>
      <c r="C94" s="551"/>
      <c r="V94" s="1414" t="s">
        <v>4873</v>
      </c>
      <c r="W94" s="3261">
        <v>306323</v>
      </c>
      <c r="X94" s="3261">
        <v>398220</v>
      </c>
      <c r="Y94" s="2225">
        <f t="shared" si="12"/>
        <v>306323</v>
      </c>
      <c r="Z94" s="3102"/>
      <c r="AA94" s="3106"/>
      <c r="AB94" s="1173"/>
      <c r="AC94" s="1173"/>
      <c r="AD94" s="1173"/>
      <c r="AE94" s="1173"/>
      <c r="AF94" s="3109"/>
      <c r="AG94" s="1414" t="s">
        <v>4873</v>
      </c>
      <c r="AH94" s="3261">
        <v>398220</v>
      </c>
      <c r="AI94" s="883">
        <f>NDK!B47</f>
        <v>0</v>
      </c>
      <c r="AJ94" s="2745">
        <f>$AH94*$AH$48/$D$27*$F$45</f>
        <v>391669.28100000008</v>
      </c>
      <c r="AK94" s="2914">
        <f t="shared" si="13"/>
        <v>331880.34637000004</v>
      </c>
      <c r="AL94" s="883"/>
      <c r="AM94" s="553">
        <f t="shared" si="14"/>
        <v>331920</v>
      </c>
      <c r="AN94" s="2895">
        <f>$P$43</f>
        <v>1026840</v>
      </c>
      <c r="AO94" s="579">
        <f t="shared" si="15"/>
        <v>1026840</v>
      </c>
      <c r="AP94" s="579">
        <f t="shared" si="16"/>
        <v>0</v>
      </c>
    </row>
    <row r="95" spans="1:42">
      <c r="A95" s="550">
        <v>1125</v>
      </c>
      <c r="B95" s="550" t="s">
        <v>401</v>
      </c>
      <c r="C95" s="551"/>
      <c r="V95" s="1414" t="s">
        <v>490</v>
      </c>
      <c r="W95" s="3261">
        <v>302535</v>
      </c>
      <c r="X95" s="3261">
        <v>393296</v>
      </c>
      <c r="Y95" s="2225">
        <f t="shared" si="12"/>
        <v>302535</v>
      </c>
      <c r="Z95" s="3102"/>
      <c r="AA95" s="3106"/>
      <c r="AB95" s="1173"/>
      <c r="AC95" s="1173"/>
      <c r="AD95" s="1173"/>
      <c r="AE95" s="1173"/>
      <c r="AF95" s="3109"/>
      <c r="AG95" s="1414" t="s">
        <v>490</v>
      </c>
      <c r="AH95" s="3261">
        <v>393296</v>
      </c>
      <c r="AI95" s="883">
        <f>NDK!B48</f>
        <v>0</v>
      </c>
      <c r="AJ95" s="2745">
        <f>$AH95*$AH$48/$D$27*$F$45</f>
        <v>386826.28080000007</v>
      </c>
      <c r="AK95" s="2914">
        <f t="shared" si="13"/>
        <v>328151.23621600005</v>
      </c>
      <c r="AL95" s="883"/>
      <c r="AM95" s="553">
        <f t="shared" si="14"/>
        <v>328200</v>
      </c>
      <c r="AN95" s="2895">
        <f>$P$44</f>
        <v>1026840</v>
      </c>
      <c r="AO95" s="579">
        <f t="shared" si="15"/>
        <v>1026840</v>
      </c>
      <c r="AP95" s="579">
        <f t="shared" si="16"/>
        <v>0</v>
      </c>
    </row>
    <row r="96" spans="1:42" ht="13.5" thickBot="1">
      <c r="A96" s="550">
        <v>1126</v>
      </c>
      <c r="B96" s="550" t="s">
        <v>401</v>
      </c>
      <c r="C96" s="551"/>
      <c r="V96" s="1414" t="s">
        <v>4874</v>
      </c>
      <c r="W96" s="3263">
        <v>559674</v>
      </c>
      <c r="X96" s="3263">
        <v>727576</v>
      </c>
      <c r="Y96" s="2225">
        <f t="shared" si="12"/>
        <v>559674</v>
      </c>
      <c r="Z96" s="3104"/>
      <c r="AA96" s="3107"/>
      <c r="AB96" s="1173"/>
      <c r="AC96" s="1173"/>
      <c r="AD96" s="1173"/>
      <c r="AE96" s="1173"/>
      <c r="AF96" s="3110"/>
      <c r="AG96" s="1414" t="s">
        <v>4874</v>
      </c>
      <c r="AH96" s="3263">
        <v>727576</v>
      </c>
      <c r="AI96" s="883">
        <f>NDK!B49</f>
        <v>0</v>
      </c>
      <c r="AJ96" s="2745">
        <f>$AH96*$AH$48</f>
        <v>715607.37480000011</v>
      </c>
      <c r="AK96" s="2914">
        <f t="shared" si="13"/>
        <v>581312.67859600007</v>
      </c>
      <c r="AL96" s="883"/>
      <c r="AM96" s="553">
        <f t="shared" si="14"/>
        <v>581280</v>
      </c>
      <c r="AN96" s="2895">
        <f>$P$45</f>
        <v>1026840</v>
      </c>
      <c r="AO96" s="579">
        <f t="shared" si="15"/>
        <v>1026840</v>
      </c>
      <c r="AP96" s="579">
        <f t="shared" si="16"/>
        <v>0</v>
      </c>
    </row>
    <row r="97" spans="1:42" ht="16.5" thickTop="1">
      <c r="A97" s="550">
        <v>1131</v>
      </c>
      <c r="B97" s="550" t="s">
        <v>401</v>
      </c>
      <c r="C97" s="551"/>
      <c r="S97" s="2239" t="s">
        <v>778</v>
      </c>
      <c r="AJ97" s="1437" t="s">
        <v>3015</v>
      </c>
      <c r="AK97" s="1437"/>
      <c r="AL97" s="1437"/>
      <c r="AM97" s="1435" t="s">
        <v>3021</v>
      </c>
      <c r="AN97" s="1435"/>
      <c r="AO97" s="1435"/>
      <c r="AP97" s="1436">
        <f>SUM(AP54:AP96)</f>
        <v>0</v>
      </c>
    </row>
    <row r="98" spans="1:42">
      <c r="A98" s="550">
        <v>1132</v>
      </c>
      <c r="B98" s="550" t="s">
        <v>401</v>
      </c>
      <c r="C98" s="551"/>
      <c r="I98" s="1878" t="s">
        <v>5199</v>
      </c>
      <c r="J98" s="2721" t="s">
        <v>5200</v>
      </c>
      <c r="K98" s="2721"/>
      <c r="L98" s="2721"/>
      <c r="M98" s="2721"/>
      <c r="N98" s="2721"/>
      <c r="O98" s="2721"/>
      <c r="P98" s="2721"/>
      <c r="Q98" s="2721"/>
      <c r="S98" s="2239">
        <v>0.83</v>
      </c>
      <c r="Z98" s="2239" t="s">
        <v>784</v>
      </c>
    </row>
    <row r="99" spans="1:42" ht="13.5" thickBot="1">
      <c r="A99" s="550">
        <v>1133</v>
      </c>
      <c r="B99" s="550" t="s">
        <v>401</v>
      </c>
      <c r="C99" s="551"/>
      <c r="I99" s="1850" t="s">
        <v>3768</v>
      </c>
      <c r="Z99" s="2239">
        <v>0.55000000000000004</v>
      </c>
    </row>
    <row r="100" spans="1:42" ht="138.75" customHeight="1" thickTop="1">
      <c r="A100" s="550">
        <v>1134</v>
      </c>
      <c r="B100" s="550" t="s">
        <v>401</v>
      </c>
      <c r="C100" s="551"/>
      <c r="I100" s="2899">
        <v>2020</v>
      </c>
      <c r="J100" s="1859" t="s">
        <v>5115</v>
      </c>
      <c r="K100" s="880" t="s">
        <v>217</v>
      </c>
      <c r="L100" s="2733" t="s">
        <v>5219</v>
      </c>
      <c r="M100" s="1391"/>
      <c r="N100" s="1891" t="s">
        <v>5104</v>
      </c>
      <c r="O100" s="1896" t="s">
        <v>776</v>
      </c>
      <c r="P100" s="1890" t="s">
        <v>777</v>
      </c>
      <c r="Q100" s="1890" t="s">
        <v>5205</v>
      </c>
      <c r="R100" s="1890"/>
      <c r="S100" s="1890" t="s">
        <v>779</v>
      </c>
      <c r="T100" s="2905" t="s">
        <v>5256</v>
      </c>
      <c r="U100" s="2923" t="s">
        <v>232</v>
      </c>
      <c r="V100" s="2923" t="s">
        <v>780</v>
      </c>
      <c r="W100" s="1897" t="s">
        <v>781</v>
      </c>
      <c r="X100" s="1898" t="s">
        <v>782</v>
      </c>
      <c r="Y100" s="1899" t="s">
        <v>783</v>
      </c>
      <c r="Z100" s="1899" t="s">
        <v>5206</v>
      </c>
      <c r="AA100" s="1899"/>
      <c r="AB100" s="1899" t="s">
        <v>785</v>
      </c>
      <c r="AC100" s="2905" t="s">
        <v>5256</v>
      </c>
      <c r="AD100" s="1899" t="s">
        <v>232</v>
      </c>
      <c r="AE100" s="1899" t="s">
        <v>5259</v>
      </c>
      <c r="AF100" s="1918" t="s">
        <v>786</v>
      </c>
      <c r="AG100" s="1919" t="s">
        <v>788</v>
      </c>
      <c r="AH100" s="2733" t="s">
        <v>5260</v>
      </c>
      <c r="AI100" s="2903" t="s">
        <v>5261</v>
      </c>
      <c r="AJ100" s="1920" t="s">
        <v>789</v>
      </c>
      <c r="AK100" s="2905" t="s">
        <v>5256</v>
      </c>
      <c r="AL100" s="2736"/>
    </row>
    <row r="101" spans="1:42">
      <c r="A101" s="550">
        <v>1135</v>
      </c>
      <c r="B101" s="550" t="s">
        <v>401</v>
      </c>
      <c r="C101" s="551"/>
      <c r="I101" s="500" t="s">
        <v>2451</v>
      </c>
      <c r="J101" s="2897">
        <f>$J3</f>
        <v>14858</v>
      </c>
      <c r="K101" s="553">
        <f>$K3</f>
        <v>0</v>
      </c>
      <c r="L101" s="579">
        <f>$L3</f>
        <v>14613.585900000002</v>
      </c>
      <c r="M101" s="579"/>
      <c r="N101" s="2842">
        <f>$P3</f>
        <v>17520</v>
      </c>
      <c r="O101" s="1889">
        <f>NDK!Y4</f>
        <v>0</v>
      </c>
      <c r="P101" s="1892">
        <f>$L101/$J101</f>
        <v>0.98355000000000015</v>
      </c>
      <c r="Q101" s="1892">
        <f>$P101*$S$98</f>
        <v>0.81634650000000009</v>
      </c>
      <c r="R101" s="1889"/>
      <c r="S101" s="2917">
        <f>$Q101*$J101</f>
        <v>12129.276297000002</v>
      </c>
      <c r="T101" s="2918">
        <f>IF($S101&gt;$AX$1,$AY$1+$AZ$1*$S101,$S101)</f>
        <v>12129.276297000002</v>
      </c>
      <c r="U101" s="2924">
        <f>MAX($N101,$T101)</f>
        <v>17520</v>
      </c>
      <c r="V101" s="2927">
        <f>ROUND($U101/120,0)*120</f>
        <v>17520</v>
      </c>
      <c r="W101" s="1912">
        <f>$V101*$O101</f>
        <v>0</v>
      </c>
      <c r="X101" s="1900">
        <f>NDK!Z4</f>
        <v>0</v>
      </c>
      <c r="Y101" s="1901">
        <f>$P101</f>
        <v>0.98355000000000015</v>
      </c>
      <c r="Z101" s="1901">
        <f>$Y101*$Z$99</f>
        <v>0.54095250000000017</v>
      </c>
      <c r="AA101" s="1902"/>
      <c r="AB101" s="2928">
        <f>$Z101*$J101</f>
        <v>8037.4722450000027</v>
      </c>
      <c r="AC101" s="2900">
        <f>IF($AB101&gt;$AX$1,$AY$1+$AZ$1*$AB101,$AB101)</f>
        <v>8037.4722450000027</v>
      </c>
      <c r="AD101" s="2931">
        <f>MAX($AC101,$N101)</f>
        <v>17520</v>
      </c>
      <c r="AE101" s="1903">
        <f>ROUND($AD101/120,0)*120</f>
        <v>17520</v>
      </c>
      <c r="AF101" s="1926">
        <f>$AE101*$X101</f>
        <v>0</v>
      </c>
      <c r="AG101" s="1921">
        <f>$K101-$O101-$X101</f>
        <v>0</v>
      </c>
      <c r="AH101" s="2934">
        <f>$L101</f>
        <v>14613.585900000002</v>
      </c>
      <c r="AI101" s="2934">
        <f>ROUND(MAX($AK101,$N101)/120,0)*120</f>
        <v>17520</v>
      </c>
      <c r="AJ101" s="1930">
        <f>$AI101*$AG101</f>
        <v>0</v>
      </c>
      <c r="AK101" s="2859">
        <f>IF($AH101&gt;$AX$1,$AY$1+$AZ$1*$AH101,$AH101)</f>
        <v>14613.585900000002</v>
      </c>
      <c r="AL101" s="2737"/>
      <c r="AM101" s="579"/>
    </row>
    <row r="102" spans="1:42" ht="33.75">
      <c r="A102" s="550">
        <v>1136</v>
      </c>
      <c r="B102" s="550" t="s">
        <v>401</v>
      </c>
      <c r="C102" s="551"/>
      <c r="I102" s="501" t="s">
        <v>1484</v>
      </c>
      <c r="J102" s="2897">
        <f t="shared" ref="J102:J143" si="18">$J4</f>
        <v>0</v>
      </c>
      <c r="K102" s="553">
        <f t="shared" ref="K102:K143" si="19">$K4</f>
        <v>0</v>
      </c>
      <c r="L102" s="579">
        <f t="shared" ref="L102:L143" si="20">$L4</f>
        <v>0</v>
      </c>
      <c r="M102" s="579"/>
      <c r="N102" s="2842"/>
      <c r="O102" s="1893"/>
      <c r="P102" s="1893"/>
      <c r="Q102" s="1893"/>
      <c r="R102" s="1893"/>
      <c r="S102" s="2919"/>
      <c r="T102" s="2920"/>
      <c r="U102" s="2925"/>
      <c r="V102" s="2925"/>
      <c r="W102" s="1913"/>
      <c r="X102" s="1904"/>
      <c r="Y102" s="1905"/>
      <c r="Z102" s="1905"/>
      <c r="AA102" s="1905"/>
      <c r="AB102" s="2929"/>
      <c r="AC102" s="2901"/>
      <c r="AD102" s="2932"/>
      <c r="AE102" s="1905"/>
      <c r="AF102" s="1927"/>
      <c r="AG102" s="1922"/>
      <c r="AH102" s="2935"/>
      <c r="AI102" s="2935"/>
      <c r="AJ102" s="2937"/>
      <c r="AK102" s="2938"/>
      <c r="AL102" s="2737"/>
      <c r="AM102" s="579"/>
    </row>
    <row r="103" spans="1:42">
      <c r="A103" s="550">
        <v>1137</v>
      </c>
      <c r="B103" s="550" t="s">
        <v>401</v>
      </c>
      <c r="C103" s="551"/>
      <c r="I103" s="500" t="s">
        <v>2452</v>
      </c>
      <c r="J103" s="2897">
        <f t="shared" si="18"/>
        <v>49844</v>
      </c>
      <c r="K103" s="553">
        <f t="shared" si="19"/>
        <v>0</v>
      </c>
      <c r="L103" s="579">
        <f t="shared" si="20"/>
        <v>49024.066200000008</v>
      </c>
      <c r="M103" s="579"/>
      <c r="N103" s="2842">
        <f>$P5</f>
        <v>22800</v>
      </c>
      <c r="O103" s="1889">
        <f>NDK!Y6</f>
        <v>0</v>
      </c>
      <c r="P103" s="1892">
        <f t="shared" ref="P103:P147" si="21">$L103/$J103</f>
        <v>0.98355000000000015</v>
      </c>
      <c r="Q103" s="1892">
        <f>$P103*$S$98</f>
        <v>0.81634650000000009</v>
      </c>
      <c r="R103" s="1889"/>
      <c r="S103" s="2917">
        <f t="shared" ref="S103:S147" si="22">$Q103*$J103</f>
        <v>40689.974946000002</v>
      </c>
      <c r="T103" s="2918">
        <f>IF($S103&gt;$AX$1,$AY$1+$AZ$1*$S103,$S103)</f>
        <v>40689.974946000002</v>
      </c>
      <c r="U103" s="2924">
        <f>MAX($N103,$T103)</f>
        <v>40689.974946000002</v>
      </c>
      <c r="V103" s="2927">
        <f>ROUND($U103/120,0)*120</f>
        <v>40680</v>
      </c>
      <c r="W103" s="1912">
        <f>$V103*$O103</f>
        <v>0</v>
      </c>
      <c r="X103" s="1900">
        <f>NDK!Z6</f>
        <v>0</v>
      </c>
      <c r="Y103" s="1901">
        <f>$P103</f>
        <v>0.98355000000000015</v>
      </c>
      <c r="Z103" s="1901">
        <f>$Y103*$Z$99</f>
        <v>0.54095250000000017</v>
      </c>
      <c r="AA103" s="1902"/>
      <c r="AB103" s="2928">
        <f>$Z103*$J103</f>
        <v>26963.236410000009</v>
      </c>
      <c r="AC103" s="2900">
        <f>IF($AB103&gt;$AX$1,$AY$1+$AZ$1*$AB103,$AB103)</f>
        <v>26963.236410000009</v>
      </c>
      <c r="AD103" s="2931">
        <f>MAX($AC103,$N103)</f>
        <v>26963.236410000009</v>
      </c>
      <c r="AE103" s="1903">
        <f t="shared" ref="AE103:AE147" si="23">ROUND($AD103/120,0)*120</f>
        <v>27000</v>
      </c>
      <c r="AF103" s="1926">
        <f>$AE103*$X103</f>
        <v>0</v>
      </c>
      <c r="AG103" s="1921">
        <f>$K103-$O103-$X103</f>
        <v>0</v>
      </c>
      <c r="AH103" s="2934">
        <f>$L103</f>
        <v>49024.066200000008</v>
      </c>
      <c r="AI103" s="2934">
        <f>ROUND(MAX($AK103,$N103)/120,0)*120</f>
        <v>49080</v>
      </c>
      <c r="AJ103" s="1930">
        <f>$AI103*$AG103</f>
        <v>0</v>
      </c>
      <c r="AK103" s="2859">
        <f>IF($AH103&gt;$AX$1,$AY$1+$AZ$1*$AH103,$AH103)</f>
        <v>49024.066200000008</v>
      </c>
      <c r="AL103" s="2737"/>
      <c r="AM103" s="579"/>
    </row>
    <row r="104" spans="1:42" ht="22.5">
      <c r="A104" s="550">
        <v>1138</v>
      </c>
      <c r="B104" s="550" t="s">
        <v>401</v>
      </c>
      <c r="C104" s="551"/>
      <c r="I104" s="502" t="s">
        <v>3319</v>
      </c>
      <c r="J104" s="2897">
        <f t="shared" si="18"/>
        <v>77679</v>
      </c>
      <c r="K104" s="553">
        <f t="shared" si="19"/>
        <v>0</v>
      </c>
      <c r="L104" s="579">
        <f t="shared" si="20"/>
        <v>76401.180450000014</v>
      </c>
      <c r="M104" s="579"/>
      <c r="N104" s="2842">
        <f>$P6</f>
        <v>20040</v>
      </c>
      <c r="O104" s="1889">
        <f>NDK!Y7</f>
        <v>0</v>
      </c>
      <c r="P104" s="1892">
        <f t="shared" si="21"/>
        <v>0.98355000000000015</v>
      </c>
      <c r="Q104" s="1892">
        <f>$P104*$S$98</f>
        <v>0.81634650000000009</v>
      </c>
      <c r="R104" s="1889"/>
      <c r="S104" s="2917">
        <f t="shared" si="22"/>
        <v>63412.97977350001</v>
      </c>
      <c r="T104" s="2918">
        <f>IF($S104&gt;$AX$1,$AY$1+$AZ$1*$S104,$S104)</f>
        <v>63412.97977350001</v>
      </c>
      <c r="U104" s="2924">
        <f>MAX($N104,$T104)</f>
        <v>63412.97977350001</v>
      </c>
      <c r="V104" s="2927">
        <f>ROUND($U104/120,0)*120</f>
        <v>63360</v>
      </c>
      <c r="W104" s="1912">
        <f>$V104*$O104</f>
        <v>0</v>
      </c>
      <c r="X104" s="1900">
        <f>NDK!Z7</f>
        <v>0</v>
      </c>
      <c r="Y104" s="1901">
        <f>$P104</f>
        <v>0.98355000000000015</v>
      </c>
      <c r="Z104" s="1901">
        <f>$Y104*$Z$99</f>
        <v>0.54095250000000017</v>
      </c>
      <c r="AA104" s="1902"/>
      <c r="AB104" s="2928">
        <f>$Z104*$J104</f>
        <v>42020.649247500012</v>
      </c>
      <c r="AC104" s="2900">
        <f>IF($AB104&gt;$AX$1,$AY$1+$AZ$1*$AB104,$AB104)</f>
        <v>42020.649247500012</v>
      </c>
      <c r="AD104" s="2931">
        <f>MAX($AC104,$N104)</f>
        <v>42020.649247500012</v>
      </c>
      <c r="AE104" s="1903">
        <f t="shared" si="23"/>
        <v>42000</v>
      </c>
      <c r="AF104" s="1926">
        <f>$AE104*$X104</f>
        <v>0</v>
      </c>
      <c r="AG104" s="1921">
        <f>$K104-$O104-$X104</f>
        <v>0</v>
      </c>
      <c r="AH104" s="2934">
        <f>$L104</f>
        <v>76401.180450000014</v>
      </c>
      <c r="AI104" s="2934">
        <f>ROUND(MAX($AK104,$N104)/120,0)*120</f>
        <v>76440</v>
      </c>
      <c r="AJ104" s="1930">
        <f>$AI104*$AG104</f>
        <v>0</v>
      </c>
      <c r="AK104" s="2859">
        <f>IF($AH104&gt;$AX$1,$AY$1+$AZ$1*$AH104,$AH104)</f>
        <v>76401.180450000014</v>
      </c>
      <c r="AL104" s="2737"/>
      <c r="AM104" s="579"/>
    </row>
    <row r="105" spans="1:42">
      <c r="A105" s="550">
        <v>1139</v>
      </c>
      <c r="B105" s="550" t="s">
        <v>401</v>
      </c>
      <c r="C105" s="551"/>
      <c r="I105" s="501" t="s">
        <v>1491</v>
      </c>
      <c r="J105" s="2897">
        <f t="shared" si="18"/>
        <v>0</v>
      </c>
      <c r="K105" s="553">
        <f t="shared" si="19"/>
        <v>0</v>
      </c>
      <c r="L105" s="579">
        <f t="shared" si="20"/>
        <v>0</v>
      </c>
      <c r="M105" s="579"/>
      <c r="N105" s="2842"/>
      <c r="O105" s="1893"/>
      <c r="P105" s="1893"/>
      <c r="Q105" s="1893"/>
      <c r="R105" s="1893"/>
      <c r="S105" s="2919"/>
      <c r="T105" s="2920"/>
      <c r="U105" s="2925"/>
      <c r="V105" s="2925"/>
      <c r="W105" s="1913"/>
      <c r="X105" s="1904"/>
      <c r="Y105" s="1905"/>
      <c r="Z105" s="1905"/>
      <c r="AA105" s="1905"/>
      <c r="AB105" s="2929"/>
      <c r="AC105" s="2901"/>
      <c r="AD105" s="2932"/>
      <c r="AE105" s="1903">
        <f t="shared" si="23"/>
        <v>0</v>
      </c>
      <c r="AF105" s="1927"/>
      <c r="AG105" s="1922"/>
      <c r="AH105" s="2935"/>
      <c r="AI105" s="2935"/>
      <c r="AJ105" s="2937"/>
      <c r="AK105" s="2938"/>
      <c r="AL105" s="2737"/>
      <c r="AM105" s="579"/>
    </row>
    <row r="106" spans="1:42">
      <c r="A106" s="550">
        <v>1141</v>
      </c>
      <c r="B106" s="550" t="s">
        <v>401</v>
      </c>
      <c r="C106" s="551"/>
      <c r="I106" s="501" t="s">
        <v>3826</v>
      </c>
      <c r="J106" s="2897">
        <f t="shared" si="18"/>
        <v>0</v>
      </c>
      <c r="K106" s="553">
        <f t="shared" si="19"/>
        <v>0</v>
      </c>
      <c r="L106" s="579">
        <f t="shared" si="20"/>
        <v>0</v>
      </c>
      <c r="M106" s="579"/>
      <c r="N106" s="2842"/>
      <c r="O106" s="1893"/>
      <c r="P106" s="1893"/>
      <c r="Q106" s="1893"/>
      <c r="R106" s="1893"/>
      <c r="S106" s="2919"/>
      <c r="T106" s="2920"/>
      <c r="U106" s="2925"/>
      <c r="V106" s="2925"/>
      <c r="W106" s="1913"/>
      <c r="X106" s="1904"/>
      <c r="Y106" s="1905"/>
      <c r="Z106" s="1905"/>
      <c r="AA106" s="1905"/>
      <c r="AB106" s="2929"/>
      <c r="AC106" s="2901"/>
      <c r="AD106" s="2932"/>
      <c r="AE106" s="1903">
        <f t="shared" si="23"/>
        <v>0</v>
      </c>
      <c r="AF106" s="1927"/>
      <c r="AG106" s="1922"/>
      <c r="AH106" s="2935"/>
      <c r="AI106" s="2935"/>
      <c r="AJ106" s="2937"/>
      <c r="AK106" s="2938"/>
      <c r="AL106" s="2737"/>
      <c r="AM106" s="579"/>
    </row>
    <row r="107" spans="1:42" ht="22.5">
      <c r="A107" s="550">
        <v>1142</v>
      </c>
      <c r="B107" s="550" t="s">
        <v>401</v>
      </c>
      <c r="C107" s="551"/>
      <c r="I107" s="502" t="s">
        <v>3320</v>
      </c>
      <c r="J107" s="2897">
        <f t="shared" si="18"/>
        <v>79618</v>
      </c>
      <c r="K107" s="553">
        <f t="shared" si="19"/>
        <v>0</v>
      </c>
      <c r="L107" s="579">
        <f t="shared" si="20"/>
        <v>78308.283900000009</v>
      </c>
      <c r="M107" s="579"/>
      <c r="N107" s="2842">
        <f>$P9</f>
        <v>22320</v>
      </c>
      <c r="O107" s="1889">
        <f>NDK!Y10</f>
        <v>0</v>
      </c>
      <c r="P107" s="1892">
        <f t="shared" si="21"/>
        <v>0.98355000000000015</v>
      </c>
      <c r="Q107" s="1892">
        <f>$P107*$S$98</f>
        <v>0.81634650000000009</v>
      </c>
      <c r="R107" s="1889"/>
      <c r="S107" s="2917">
        <f t="shared" si="22"/>
        <v>64995.875637000005</v>
      </c>
      <c r="T107" s="2918">
        <f>IF($S107&gt;$AX$1,$AY$1+$AZ$1*$S107,$S107)</f>
        <v>64995.875637000005</v>
      </c>
      <c r="U107" s="2924">
        <f>MAX($N107,$T107)</f>
        <v>64995.875637000005</v>
      </c>
      <c r="V107" s="2927">
        <f>ROUND($U107/120,0)*120</f>
        <v>65040</v>
      </c>
      <c r="W107" s="1912">
        <f>$V107*$O107</f>
        <v>0</v>
      </c>
      <c r="X107" s="1900">
        <f>NDK!Z10</f>
        <v>0</v>
      </c>
      <c r="Y107" s="1901">
        <f>$P107</f>
        <v>0.98355000000000015</v>
      </c>
      <c r="Z107" s="1901">
        <f>$Y107*$Z$99</f>
        <v>0.54095250000000017</v>
      </c>
      <c r="AA107" s="1902"/>
      <c r="AB107" s="2928">
        <f>$Z107*$J107</f>
        <v>43069.556145000017</v>
      </c>
      <c r="AC107" s="2900">
        <f>IF($AB107&gt;$AX$1,$AY$1+$AZ$1*$AB107,$AB107)</f>
        <v>43069.556145000017</v>
      </c>
      <c r="AD107" s="2931">
        <f>MAX($AC107,$N107)</f>
        <v>43069.556145000017</v>
      </c>
      <c r="AE107" s="1903">
        <f t="shared" si="23"/>
        <v>43080</v>
      </c>
      <c r="AF107" s="1926">
        <f>$AE107*$X107</f>
        <v>0</v>
      </c>
      <c r="AG107" s="1921">
        <f>$K107-$O107-$X107</f>
        <v>0</v>
      </c>
      <c r="AH107" s="2934">
        <f>$L107</f>
        <v>78308.283900000009</v>
      </c>
      <c r="AI107" s="2934">
        <f>ROUND(MAX($AK107,$N107)/120,0)*120</f>
        <v>78360</v>
      </c>
      <c r="AJ107" s="1930">
        <f>$AI107*$AG107</f>
        <v>0</v>
      </c>
      <c r="AK107" s="2859">
        <f>IF($AH107&gt;$AX$1,$AY$1+$AZ$1*$AH107,$AH107)</f>
        <v>78308.283900000009</v>
      </c>
      <c r="AL107" s="2737"/>
      <c r="AM107" s="579"/>
    </row>
    <row r="108" spans="1:42">
      <c r="A108" s="550">
        <v>1143</v>
      </c>
      <c r="B108" s="550" t="s">
        <v>401</v>
      </c>
      <c r="C108" s="551"/>
      <c r="I108" s="501" t="s">
        <v>1493</v>
      </c>
      <c r="J108" s="2897">
        <f t="shared" si="18"/>
        <v>0</v>
      </c>
      <c r="K108" s="553">
        <f t="shared" si="19"/>
        <v>0</v>
      </c>
      <c r="L108" s="579">
        <f t="shared" si="20"/>
        <v>0</v>
      </c>
      <c r="M108" s="579"/>
      <c r="N108" s="2842"/>
      <c r="O108" s="1893"/>
      <c r="P108" s="1893"/>
      <c r="Q108" s="1893"/>
      <c r="R108" s="1893"/>
      <c r="S108" s="2919"/>
      <c r="T108" s="2920"/>
      <c r="U108" s="2925"/>
      <c r="V108" s="2925"/>
      <c r="W108" s="1913"/>
      <c r="X108" s="1904"/>
      <c r="Y108" s="1905"/>
      <c r="Z108" s="1905"/>
      <c r="AA108" s="1905"/>
      <c r="AB108" s="2929"/>
      <c r="AC108" s="2901"/>
      <c r="AD108" s="2932"/>
      <c r="AE108" s="1903">
        <f t="shared" si="23"/>
        <v>0</v>
      </c>
      <c r="AF108" s="1927"/>
      <c r="AG108" s="1922"/>
      <c r="AH108" s="2935"/>
      <c r="AI108" s="2935"/>
      <c r="AJ108" s="2937"/>
      <c r="AK108" s="2938"/>
      <c r="AL108" s="2737"/>
      <c r="AM108" s="579"/>
    </row>
    <row r="109" spans="1:42">
      <c r="A109" s="550">
        <v>1144</v>
      </c>
      <c r="B109" s="550" t="s">
        <v>401</v>
      </c>
      <c r="C109" s="551"/>
      <c r="I109" s="500" t="s">
        <v>2453</v>
      </c>
      <c r="J109" s="2897">
        <f t="shared" si="18"/>
        <v>85505</v>
      </c>
      <c r="K109" s="553">
        <f t="shared" si="19"/>
        <v>0</v>
      </c>
      <c r="L109" s="579">
        <f t="shared" si="20"/>
        <v>84098.442750000017</v>
      </c>
      <c r="M109" s="579"/>
      <c r="N109" s="2842">
        <f>$P11</f>
        <v>25440</v>
      </c>
      <c r="O109" s="1889">
        <f>NDK!Y13</f>
        <v>0</v>
      </c>
      <c r="P109" s="1892">
        <f t="shared" si="21"/>
        <v>0.98355000000000015</v>
      </c>
      <c r="Q109" s="1892">
        <f>$P109*$S$98</f>
        <v>0.81634650000000009</v>
      </c>
      <c r="R109" s="1889"/>
      <c r="S109" s="2917">
        <f t="shared" si="22"/>
        <v>69801.707482500002</v>
      </c>
      <c r="T109" s="2918">
        <f>IF($S109&gt;$AX$1,$AY$1+$AZ$1*$S109,$S109)</f>
        <v>69801.707482500002</v>
      </c>
      <c r="U109" s="2924">
        <f>MAX($N109,$T109)</f>
        <v>69801.707482500002</v>
      </c>
      <c r="V109" s="2927">
        <f>ROUND($U109/120,0)*120</f>
        <v>69840</v>
      </c>
      <c r="W109" s="1912">
        <f>$V109*$O109</f>
        <v>0</v>
      </c>
      <c r="X109" s="1900">
        <f>NDK!Z13</f>
        <v>0</v>
      </c>
      <c r="Y109" s="1901">
        <f>$P109</f>
        <v>0.98355000000000015</v>
      </c>
      <c r="Z109" s="1901">
        <f>$Y109*$Z$99</f>
        <v>0.54095250000000017</v>
      </c>
      <c r="AA109" s="1902"/>
      <c r="AB109" s="2928">
        <f>$Z109*$J109</f>
        <v>46254.143512500013</v>
      </c>
      <c r="AC109" s="2900">
        <f>IF($AB109&gt;$AX$1,$AY$1+$AZ$1*$AB109,$AB109)</f>
        <v>46254.143512500013</v>
      </c>
      <c r="AD109" s="2931">
        <f>MAX($AC109,$N109)</f>
        <v>46254.143512500013</v>
      </c>
      <c r="AE109" s="1903">
        <f t="shared" si="23"/>
        <v>46200</v>
      </c>
      <c r="AF109" s="1926">
        <f>$AE109*$X109</f>
        <v>0</v>
      </c>
      <c r="AG109" s="1921">
        <f>$K109-$O109-$X109</f>
        <v>0</v>
      </c>
      <c r="AH109" s="2934">
        <f>$L109</f>
        <v>84098.442750000017</v>
      </c>
      <c r="AI109" s="2934">
        <f>ROUND(MAX($AK109,$N109)/120,0)*120</f>
        <v>84120</v>
      </c>
      <c r="AJ109" s="1930">
        <f>$AI109*$AG109</f>
        <v>0</v>
      </c>
      <c r="AK109" s="2859">
        <f>IF($AH109&gt;$AX$1,$AY$1+$AZ$1*$AH109,$AH109)</f>
        <v>84098.442750000017</v>
      </c>
      <c r="AL109" s="2737"/>
      <c r="AM109" s="579"/>
    </row>
    <row r="110" spans="1:42">
      <c r="A110" s="550">
        <v>1145</v>
      </c>
      <c r="B110" s="550" t="s">
        <v>401</v>
      </c>
      <c r="C110" s="551"/>
      <c r="I110" s="500" t="s">
        <v>2454</v>
      </c>
      <c r="J110" s="2897">
        <f t="shared" si="18"/>
        <v>97258</v>
      </c>
      <c r="K110" s="553">
        <f t="shared" si="19"/>
        <v>0</v>
      </c>
      <c r="L110" s="579">
        <f t="shared" si="20"/>
        <v>95658.10590000001</v>
      </c>
      <c r="M110" s="579"/>
      <c r="N110" s="2842">
        <f>$P12</f>
        <v>30000</v>
      </c>
      <c r="O110" s="1889">
        <f>NDK!Y16</f>
        <v>0</v>
      </c>
      <c r="P110" s="1892">
        <f t="shared" si="21"/>
        <v>0.98355000000000015</v>
      </c>
      <c r="Q110" s="1892">
        <f>$P110*$S$98</f>
        <v>0.81634650000000009</v>
      </c>
      <c r="R110" s="1889"/>
      <c r="S110" s="2917">
        <f t="shared" si="22"/>
        <v>79396.227897000004</v>
      </c>
      <c r="T110" s="2918">
        <f>IF($S110&gt;$AX$1,$AY$1+$AZ$1*$S110,$S110)</f>
        <v>79396.227897000004</v>
      </c>
      <c r="U110" s="2924">
        <f>MAX($N110,$T110)</f>
        <v>79396.227897000004</v>
      </c>
      <c r="V110" s="2927">
        <f>ROUND($U110/120,0)*120</f>
        <v>79440</v>
      </c>
      <c r="W110" s="1912">
        <f>$V110*$O110</f>
        <v>0</v>
      </c>
      <c r="X110" s="1900">
        <f>NDK!Z16</f>
        <v>0</v>
      </c>
      <c r="Y110" s="1901">
        <f>$P110</f>
        <v>0.98355000000000015</v>
      </c>
      <c r="Z110" s="1901">
        <f>$Y110*$Z$99</f>
        <v>0.54095250000000017</v>
      </c>
      <c r="AA110" s="1902"/>
      <c r="AB110" s="2928">
        <f>$Z110*$J110</f>
        <v>52611.958245000016</v>
      </c>
      <c r="AC110" s="2900">
        <f>IF($AB110&gt;$AX$1,$AY$1+$AZ$1*$AB110,$AB110)</f>
        <v>52611.958245000016</v>
      </c>
      <c r="AD110" s="2931">
        <f>MAX($AC110,$N110)</f>
        <v>52611.958245000016</v>
      </c>
      <c r="AE110" s="1903">
        <f t="shared" si="23"/>
        <v>52560</v>
      </c>
      <c r="AF110" s="1926">
        <f>$AE110*$X110</f>
        <v>0</v>
      </c>
      <c r="AG110" s="1921">
        <f>$K110-$O110-$X110</f>
        <v>0</v>
      </c>
      <c r="AH110" s="2934">
        <f>$L110</f>
        <v>95658.10590000001</v>
      </c>
      <c r="AI110" s="2934">
        <f>ROUND(MAX($AK110,$N110)/120,0)*120</f>
        <v>95640</v>
      </c>
      <c r="AJ110" s="1930">
        <f>$AI110*$AG110</f>
        <v>0</v>
      </c>
      <c r="AK110" s="2859">
        <f>IF($AH110&gt;$AX$1,$AY$1+$AZ$1*$AH110,$AH110)</f>
        <v>95658.10590000001</v>
      </c>
      <c r="AL110" s="2737"/>
      <c r="AM110" s="579"/>
    </row>
    <row r="111" spans="1:42">
      <c r="A111" s="550">
        <v>1146</v>
      </c>
      <c r="B111" s="550" t="s">
        <v>401</v>
      </c>
      <c r="C111" s="551"/>
      <c r="I111" s="500" t="s">
        <v>2455</v>
      </c>
      <c r="J111" s="2897">
        <f t="shared" si="18"/>
        <v>58469</v>
      </c>
      <c r="K111" s="553">
        <f t="shared" si="19"/>
        <v>0</v>
      </c>
      <c r="L111" s="579">
        <f t="shared" si="20"/>
        <v>57507.18495000001</v>
      </c>
      <c r="M111" s="579"/>
      <c r="N111" s="2842">
        <f>$P13</f>
        <v>12720</v>
      </c>
      <c r="O111" s="1889">
        <f>NDK!Y17</f>
        <v>0</v>
      </c>
      <c r="P111" s="1892">
        <f t="shared" si="21"/>
        <v>0.98355000000000015</v>
      </c>
      <c r="Q111" s="1892">
        <f>$P111*$S$98</f>
        <v>0.81634650000000009</v>
      </c>
      <c r="R111" s="1889"/>
      <c r="S111" s="2917">
        <f t="shared" si="22"/>
        <v>47730.963508500005</v>
      </c>
      <c r="T111" s="2918">
        <f>IF($S111&gt;$AX$1,$AY$1+$AZ$1*$S111,$S111)</f>
        <v>47730.963508500005</v>
      </c>
      <c r="U111" s="2924">
        <f>MAX($N111,$T111)</f>
        <v>47730.963508500005</v>
      </c>
      <c r="V111" s="2927">
        <f>ROUND($U111/120,0)*120</f>
        <v>47760</v>
      </c>
      <c r="W111" s="1912">
        <f>$V111*$O111</f>
        <v>0</v>
      </c>
      <c r="X111" s="1900">
        <f>NDK!Z17</f>
        <v>0</v>
      </c>
      <c r="Y111" s="1901">
        <f>$P111</f>
        <v>0.98355000000000015</v>
      </c>
      <c r="Z111" s="1901">
        <f>$Y111*$Z$99</f>
        <v>0.54095250000000017</v>
      </c>
      <c r="AA111" s="1902"/>
      <c r="AB111" s="2928">
        <f>$Z111*$J111</f>
        <v>31628.951722500009</v>
      </c>
      <c r="AC111" s="2900">
        <f>IF($AB111&gt;$AX$1,$AY$1+$AZ$1*$AB111,$AB111)</f>
        <v>31628.951722500009</v>
      </c>
      <c r="AD111" s="2931">
        <f>MAX($AC111,$N111)</f>
        <v>31628.951722500009</v>
      </c>
      <c r="AE111" s="1903">
        <f t="shared" si="23"/>
        <v>31680</v>
      </c>
      <c r="AF111" s="1926">
        <f>$AE111*$X111</f>
        <v>0</v>
      </c>
      <c r="AG111" s="1921">
        <f>$K111-$O111-$X111</f>
        <v>0</v>
      </c>
      <c r="AH111" s="2934">
        <f>$L111</f>
        <v>57507.18495000001</v>
      </c>
      <c r="AI111" s="2934">
        <f>ROUND(MAX($AK111,$N111)/120,0)*120</f>
        <v>57480</v>
      </c>
      <c r="AJ111" s="1930">
        <f>$AI111*$AG111</f>
        <v>0</v>
      </c>
      <c r="AK111" s="2859">
        <f>IF($AH111&gt;$AX$1,$AY$1+$AZ$1*$AH111,$AH111)</f>
        <v>57507.18495000001</v>
      </c>
      <c r="AL111" s="2737"/>
      <c r="AM111" s="579"/>
    </row>
    <row r="112" spans="1:42">
      <c r="A112" s="550">
        <v>1147</v>
      </c>
      <c r="B112" s="550" t="s">
        <v>401</v>
      </c>
      <c r="C112" s="551"/>
      <c r="I112" s="500" t="s">
        <v>2438</v>
      </c>
      <c r="J112" s="2898"/>
      <c r="K112" s="1887"/>
      <c r="L112" s="1888"/>
      <c r="M112" s="1888"/>
      <c r="N112" s="2916"/>
      <c r="O112" s="1894"/>
      <c r="P112" s="1895"/>
      <c r="Q112" s="1895"/>
      <c r="R112" s="1895"/>
      <c r="S112" s="2921"/>
      <c r="T112" s="2922"/>
      <c r="U112" s="2926"/>
      <c r="V112" s="2926"/>
      <c r="W112" s="1914"/>
      <c r="X112" s="1906"/>
      <c r="Y112" s="1907"/>
      <c r="Z112" s="1907"/>
      <c r="AA112" s="1907"/>
      <c r="AB112" s="2930"/>
      <c r="AC112" s="2902"/>
      <c r="AD112" s="2933"/>
      <c r="AE112" s="1903">
        <f t="shared" si="23"/>
        <v>0</v>
      </c>
      <c r="AF112" s="1928"/>
      <c r="AG112" s="1923"/>
      <c r="AH112" s="2936"/>
      <c r="AI112" s="2936"/>
      <c r="AJ112" s="2939"/>
      <c r="AK112" s="2940"/>
      <c r="AL112" s="2737"/>
      <c r="AM112" s="579"/>
    </row>
    <row r="113" spans="1:39" ht="22.5">
      <c r="A113" s="550">
        <v>1148</v>
      </c>
      <c r="B113" s="550" t="s">
        <v>401</v>
      </c>
      <c r="C113" s="551"/>
      <c r="I113" s="503" t="s">
        <v>1485</v>
      </c>
      <c r="J113" s="2897">
        <f t="shared" si="18"/>
        <v>0</v>
      </c>
      <c r="K113" s="553">
        <f t="shared" si="19"/>
        <v>0</v>
      </c>
      <c r="L113" s="579">
        <f t="shared" si="20"/>
        <v>0</v>
      </c>
      <c r="M113" s="579"/>
      <c r="N113" s="2842"/>
      <c r="O113" s="1893"/>
      <c r="P113" s="1893"/>
      <c r="Q113" s="1893"/>
      <c r="R113" s="1893"/>
      <c r="S113" s="2919"/>
      <c r="T113" s="2920"/>
      <c r="U113" s="2925"/>
      <c r="V113" s="2925"/>
      <c r="W113" s="1913"/>
      <c r="X113" s="1904"/>
      <c r="Y113" s="1905"/>
      <c r="Z113" s="1905"/>
      <c r="AA113" s="1905"/>
      <c r="AB113" s="2929"/>
      <c r="AC113" s="2901"/>
      <c r="AD113" s="2932"/>
      <c r="AE113" s="1903">
        <f t="shared" si="23"/>
        <v>0</v>
      </c>
      <c r="AF113" s="1927"/>
      <c r="AG113" s="1922"/>
      <c r="AH113" s="2935"/>
      <c r="AI113" s="2935"/>
      <c r="AJ113" s="2937"/>
      <c r="AK113" s="2938"/>
      <c r="AL113" s="2737"/>
      <c r="AM113" s="579"/>
    </row>
    <row r="114" spans="1:39">
      <c r="A114" s="550">
        <v>1149</v>
      </c>
      <c r="B114" s="550" t="s">
        <v>401</v>
      </c>
      <c r="C114" s="551"/>
      <c r="I114" s="504" t="s">
        <v>4937</v>
      </c>
      <c r="J114" s="2897">
        <f t="shared" si="18"/>
        <v>0</v>
      </c>
      <c r="K114" s="553">
        <f t="shared" si="19"/>
        <v>0</v>
      </c>
      <c r="L114" s="579">
        <f t="shared" si="20"/>
        <v>0</v>
      </c>
      <c r="M114" s="579"/>
      <c r="N114" s="2842"/>
      <c r="O114" s="1893"/>
      <c r="P114" s="1893"/>
      <c r="Q114" s="1893"/>
      <c r="R114" s="1893"/>
      <c r="S114" s="2919"/>
      <c r="T114" s="2920"/>
      <c r="U114" s="2925"/>
      <c r="V114" s="2925"/>
      <c r="W114" s="1913"/>
      <c r="X114" s="1904"/>
      <c r="Y114" s="1905"/>
      <c r="Z114" s="1905"/>
      <c r="AA114" s="1905"/>
      <c r="AB114" s="2929"/>
      <c r="AC114" s="2901"/>
      <c r="AD114" s="2932"/>
      <c r="AE114" s="1903">
        <f t="shared" si="23"/>
        <v>0</v>
      </c>
      <c r="AF114" s="1927"/>
      <c r="AG114" s="1922"/>
      <c r="AH114" s="2935"/>
      <c r="AI114" s="2935"/>
      <c r="AJ114" s="2937"/>
      <c r="AK114" s="2938"/>
      <c r="AL114" s="2737"/>
      <c r="AM114" s="579"/>
    </row>
    <row r="115" spans="1:39">
      <c r="A115" s="550">
        <v>1151</v>
      </c>
      <c r="B115" s="550" t="s">
        <v>401</v>
      </c>
      <c r="C115" s="551"/>
      <c r="I115" s="500" t="s">
        <v>2456</v>
      </c>
      <c r="J115" s="2897">
        <f t="shared" si="18"/>
        <v>135960</v>
      </c>
      <c r="K115" s="553">
        <f t="shared" si="19"/>
        <v>0</v>
      </c>
      <c r="L115" s="579">
        <f t="shared" si="20"/>
        <v>133262.06266</v>
      </c>
      <c r="M115" s="579"/>
      <c r="N115" s="2842">
        <f>$P17</f>
        <v>135960</v>
      </c>
      <c r="O115" s="1889">
        <f>NDK!Y21</f>
        <v>0</v>
      </c>
      <c r="P115" s="1892">
        <f t="shared" si="21"/>
        <v>0.980156389085025</v>
      </c>
      <c r="Q115" s="1892">
        <f>$P115*$S$98</f>
        <v>0.81352980294057076</v>
      </c>
      <c r="R115" s="1889"/>
      <c r="S115" s="2917">
        <f t="shared" si="22"/>
        <v>110607.5120078</v>
      </c>
      <c r="T115" s="2918">
        <f>IF($S115&gt;$AX$1,$AY$1+$AZ$1*$S115,$S115)</f>
        <v>110607.5120078</v>
      </c>
      <c r="U115" s="2924">
        <f>MAX($N115,$T115)</f>
        <v>135960</v>
      </c>
      <c r="V115" s="2927">
        <f>ROUND($U115/120,0)*120</f>
        <v>135960</v>
      </c>
      <c r="W115" s="1912">
        <f>$V115*$O115</f>
        <v>0</v>
      </c>
      <c r="X115" s="1900">
        <f>NDK!Z21</f>
        <v>0</v>
      </c>
      <c r="Y115" s="1901">
        <f>$P115</f>
        <v>0.980156389085025</v>
      </c>
      <c r="Z115" s="1901">
        <f>$Y115*$Z$99</f>
        <v>0.53908601399676381</v>
      </c>
      <c r="AA115" s="1902"/>
      <c r="AB115" s="2928">
        <f>$Z115*$J115</f>
        <v>73294.134463000009</v>
      </c>
      <c r="AC115" s="2900">
        <f>IF($AB115&gt;$AX$1,$AY$1+$AZ$1*$AB115,$AB115)</f>
        <v>73294.134463000009</v>
      </c>
      <c r="AD115" s="2931">
        <f>MAX($AC115,$N115)</f>
        <v>135960</v>
      </c>
      <c r="AE115" s="1903">
        <f t="shared" si="23"/>
        <v>135960</v>
      </c>
      <c r="AF115" s="1926">
        <f>$AE115*$X115</f>
        <v>0</v>
      </c>
      <c r="AG115" s="1921">
        <f>$K115-$O115-$X115</f>
        <v>0</v>
      </c>
      <c r="AH115" s="2934">
        <f>$L115</f>
        <v>133262.06266</v>
      </c>
      <c r="AI115" s="2934">
        <f>ROUND(MAX($AK115,$N115)/120,0)*120</f>
        <v>135960</v>
      </c>
      <c r="AJ115" s="1930">
        <f>$AI115*$AG115</f>
        <v>0</v>
      </c>
      <c r="AK115" s="2859">
        <f>IF($AH115&gt;$AX$1,$AY$1+$AZ$1*$AH115,$AH115)</f>
        <v>132906.7882482</v>
      </c>
      <c r="AL115" s="2737"/>
      <c r="AM115" s="579"/>
    </row>
    <row r="116" spans="1:39" ht="22.5">
      <c r="A116" s="550">
        <v>1152</v>
      </c>
      <c r="B116" s="550" t="s">
        <v>401</v>
      </c>
      <c r="C116" s="551"/>
      <c r="I116" s="505" t="s">
        <v>1486</v>
      </c>
      <c r="J116" s="2897">
        <f t="shared" si="18"/>
        <v>0</v>
      </c>
      <c r="K116" s="553">
        <f t="shared" si="19"/>
        <v>0</v>
      </c>
      <c r="L116" s="579">
        <f t="shared" si="20"/>
        <v>0</v>
      </c>
      <c r="M116" s="579"/>
      <c r="N116" s="2842"/>
      <c r="O116" s="1893"/>
      <c r="P116" s="1893"/>
      <c r="Q116" s="1893"/>
      <c r="R116" s="1893"/>
      <c r="S116" s="2919"/>
      <c r="T116" s="2920"/>
      <c r="U116" s="2925"/>
      <c r="V116" s="2925"/>
      <c r="W116" s="1913"/>
      <c r="X116" s="1904"/>
      <c r="Y116" s="1905"/>
      <c r="Z116" s="1905"/>
      <c r="AA116" s="1905"/>
      <c r="AB116" s="2929"/>
      <c r="AC116" s="2901"/>
      <c r="AD116" s="2932"/>
      <c r="AE116" s="1903">
        <f t="shared" si="23"/>
        <v>0</v>
      </c>
      <c r="AF116" s="1927"/>
      <c r="AG116" s="1922"/>
      <c r="AH116" s="2935"/>
      <c r="AI116" s="2935"/>
      <c r="AJ116" s="2937"/>
      <c r="AK116" s="2938"/>
      <c r="AL116" s="2737"/>
      <c r="AM116" s="579"/>
    </row>
    <row r="117" spans="1:39">
      <c r="A117" s="550">
        <v>1153</v>
      </c>
      <c r="B117" s="550" t="s">
        <v>401</v>
      </c>
      <c r="C117" s="551"/>
      <c r="I117" s="506" t="s">
        <v>1487</v>
      </c>
      <c r="J117" s="2897">
        <f t="shared" si="18"/>
        <v>0</v>
      </c>
      <c r="K117" s="553">
        <f t="shared" si="19"/>
        <v>0</v>
      </c>
      <c r="L117" s="579">
        <f t="shared" si="20"/>
        <v>0</v>
      </c>
      <c r="M117" s="579"/>
      <c r="N117" s="2842"/>
      <c r="O117" s="1893"/>
      <c r="P117" s="1893"/>
      <c r="Q117" s="1893"/>
      <c r="R117" s="1893"/>
      <c r="S117" s="2919"/>
      <c r="T117" s="2920"/>
      <c r="U117" s="2925"/>
      <c r="V117" s="2925"/>
      <c r="W117" s="1913"/>
      <c r="X117" s="1904"/>
      <c r="Y117" s="1905"/>
      <c r="Z117" s="1905"/>
      <c r="AA117" s="1905"/>
      <c r="AB117" s="2929"/>
      <c r="AC117" s="2901"/>
      <c r="AD117" s="2932"/>
      <c r="AE117" s="1903">
        <f t="shared" si="23"/>
        <v>0</v>
      </c>
      <c r="AF117" s="1927"/>
      <c r="AG117" s="1922"/>
      <c r="AH117" s="2935"/>
      <c r="AI117" s="2935"/>
      <c r="AJ117" s="2937"/>
      <c r="AK117" s="2938"/>
      <c r="AL117" s="2737"/>
      <c r="AM117" s="579"/>
    </row>
    <row r="118" spans="1:39">
      <c r="A118" s="550">
        <v>1154</v>
      </c>
      <c r="B118" s="550" t="s">
        <v>401</v>
      </c>
      <c r="C118" s="551"/>
      <c r="I118" s="500" t="s">
        <v>4134</v>
      </c>
      <c r="J118" s="2897">
        <f t="shared" si="18"/>
        <v>490903</v>
      </c>
      <c r="K118" s="553">
        <f t="shared" si="19"/>
        <v>0</v>
      </c>
      <c r="L118" s="579">
        <f t="shared" si="20"/>
        <v>402072.28715050005</v>
      </c>
      <c r="M118" s="579"/>
      <c r="N118" s="2842">
        <f>$P20</f>
        <v>274800</v>
      </c>
      <c r="O118" s="1889">
        <f>NDK!Y24</f>
        <v>0</v>
      </c>
      <c r="P118" s="1892">
        <f t="shared" si="21"/>
        <v>0.81904630273292289</v>
      </c>
      <c r="Q118" s="1892">
        <f>$P118*$S$98</f>
        <v>0.67980843126832602</v>
      </c>
      <c r="R118" s="1889"/>
      <c r="S118" s="2917">
        <f t="shared" si="22"/>
        <v>333719.99833491503</v>
      </c>
      <c r="T118" s="2918">
        <f>IF($S118&gt;$AX$1,$AY$1+$AZ$1*$S118,$S118)</f>
        <v>287259.39871788456</v>
      </c>
      <c r="U118" s="2924">
        <f>MAX($N118,$T118)</f>
        <v>287259.39871788456</v>
      </c>
      <c r="V118" s="2927">
        <f>ROUND($U118/120,0)*120</f>
        <v>287280</v>
      </c>
      <c r="W118" s="1912">
        <f>$V118*$O118</f>
        <v>0</v>
      </c>
      <c r="X118" s="1900">
        <f>NDK!Z24</f>
        <v>0</v>
      </c>
      <c r="Y118" s="1901">
        <f>$P118</f>
        <v>0.81904630273292289</v>
      </c>
      <c r="Z118" s="1901">
        <f>$Y118*$Z$99</f>
        <v>0.4504754665031076</v>
      </c>
      <c r="AA118" s="1902"/>
      <c r="AB118" s="2928">
        <f>$Z118*$J118</f>
        <v>221139.75793277504</v>
      </c>
      <c r="AC118" s="2900">
        <f>IF($AB118&gt;$AX$1,$AY$1+$AZ$1*$AB118,$AB118)</f>
        <v>200572.61360823677</v>
      </c>
      <c r="AD118" s="2931">
        <f>MAX($AC118,$N118)</f>
        <v>274800</v>
      </c>
      <c r="AE118" s="1903">
        <f t="shared" si="23"/>
        <v>274800</v>
      </c>
      <c r="AF118" s="1926">
        <f>$AE118*$X118</f>
        <v>0</v>
      </c>
      <c r="AG118" s="1921">
        <f>$K118-$O118-$X118</f>
        <v>0</v>
      </c>
      <c r="AH118" s="2934">
        <f>$L118</f>
        <v>402072.28715050005</v>
      </c>
      <c r="AI118" s="2934">
        <f>ROUND(MAX($AK118,$N118)/120,0)*120</f>
        <v>339840</v>
      </c>
      <c r="AJ118" s="1930">
        <f>$AI118*$AG118</f>
        <v>0</v>
      </c>
      <c r="AK118" s="2859">
        <f>IF($AH118&gt;$AX$1,$AY$1+$AZ$1*$AH118,$AH118)</f>
        <v>339890.66110588505</v>
      </c>
      <c r="AL118" s="2737"/>
      <c r="AM118" s="579"/>
    </row>
    <row r="119" spans="1:39">
      <c r="A119" s="550">
        <v>1155</v>
      </c>
      <c r="B119" s="550" t="s">
        <v>401</v>
      </c>
      <c r="C119" s="551"/>
      <c r="I119" s="500" t="s">
        <v>2459</v>
      </c>
      <c r="J119" s="2897">
        <f t="shared" si="18"/>
        <v>452028</v>
      </c>
      <c r="K119" s="553">
        <f t="shared" si="19"/>
        <v>0</v>
      </c>
      <c r="L119" s="579">
        <f t="shared" si="20"/>
        <v>372630.94733800006</v>
      </c>
      <c r="M119" s="579"/>
      <c r="N119" s="2842">
        <f>$P21</f>
        <v>274800</v>
      </c>
      <c r="O119" s="1889">
        <f>NDK!Y25</f>
        <v>0</v>
      </c>
      <c r="P119" s="1892">
        <f t="shared" si="21"/>
        <v>0.8243536845903352</v>
      </c>
      <c r="Q119" s="1892">
        <f>$P119*$S$98</f>
        <v>0.6842135582099782</v>
      </c>
      <c r="R119" s="1889"/>
      <c r="S119" s="2917">
        <f t="shared" si="22"/>
        <v>309283.68629054003</v>
      </c>
      <c r="T119" s="2918">
        <f>IF($S119&gt;$AX$1,$AY$1+$AZ$1*$S119,$S119)</f>
        <v>268443.4384437158</v>
      </c>
      <c r="U119" s="2924">
        <f>MAX($N119,$T119)</f>
        <v>274800</v>
      </c>
      <c r="V119" s="2927">
        <f>ROUND($U119/120,0)*120</f>
        <v>274800</v>
      </c>
      <c r="W119" s="1912">
        <f>$V119*$O119</f>
        <v>0</v>
      </c>
      <c r="X119" s="1900">
        <f>NDK!Z25</f>
        <v>0</v>
      </c>
      <c r="Y119" s="1901">
        <f>$P119</f>
        <v>0.8243536845903352</v>
      </c>
      <c r="Z119" s="1901">
        <f>$Y119*$Z$99</f>
        <v>0.45339452652468437</v>
      </c>
      <c r="AA119" s="1902"/>
      <c r="AB119" s="2928">
        <f>$Z119*$J119</f>
        <v>204947.02103590002</v>
      </c>
      <c r="AC119" s="2900">
        <f>IF($AB119&gt;$AX$1,$AY$1+$AZ$1*$AB119,$AB119)</f>
        <v>188104.20619764301</v>
      </c>
      <c r="AD119" s="2931">
        <f>MAX($AC119,$N119)</f>
        <v>274800</v>
      </c>
      <c r="AE119" s="1903">
        <f t="shared" si="23"/>
        <v>274800</v>
      </c>
      <c r="AF119" s="1926">
        <f>$AE119*$X119</f>
        <v>0</v>
      </c>
      <c r="AG119" s="1921">
        <f>$K119-$O119-$X119</f>
        <v>0</v>
      </c>
      <c r="AH119" s="2934">
        <f>$L119</f>
        <v>372630.94733800006</v>
      </c>
      <c r="AI119" s="2934">
        <f>ROUND(MAX($AK119,$N119)/120,0)*120</f>
        <v>317280</v>
      </c>
      <c r="AJ119" s="1930">
        <f>$AI119*$AG119</f>
        <v>0</v>
      </c>
      <c r="AK119" s="2859">
        <f>IF($AH119&gt;$AX$1,$AY$1+$AZ$1*$AH119,$AH119)</f>
        <v>317220.82945026003</v>
      </c>
      <c r="AL119" s="2737"/>
      <c r="AM119" s="579"/>
    </row>
    <row r="120" spans="1:39">
      <c r="A120" s="550">
        <v>1156</v>
      </c>
      <c r="B120" s="550" t="s">
        <v>401</v>
      </c>
      <c r="C120" s="551"/>
      <c r="I120" s="500" t="s">
        <v>1494</v>
      </c>
      <c r="J120" s="2897">
        <f t="shared" si="18"/>
        <v>13290</v>
      </c>
      <c r="K120" s="553">
        <f t="shared" si="19"/>
        <v>0</v>
      </c>
      <c r="L120" s="579">
        <f t="shared" si="20"/>
        <v>13071.379500000003</v>
      </c>
      <c r="M120" s="579"/>
      <c r="N120" s="2842"/>
      <c r="O120" s="1893"/>
      <c r="P120" s="1893"/>
      <c r="Q120" s="1893"/>
      <c r="R120" s="1893"/>
      <c r="S120" s="2919"/>
      <c r="T120" s="2920"/>
      <c r="U120" s="2925"/>
      <c r="V120" s="2925"/>
      <c r="W120" s="1913"/>
      <c r="X120" s="1904"/>
      <c r="Y120" s="1905"/>
      <c r="Z120" s="1905"/>
      <c r="AA120" s="1905"/>
      <c r="AB120" s="2929"/>
      <c r="AC120" s="2901"/>
      <c r="AD120" s="2932"/>
      <c r="AE120" s="1903">
        <f t="shared" si="23"/>
        <v>0</v>
      </c>
      <c r="AF120" s="1927"/>
      <c r="AG120" s="1922"/>
      <c r="AH120" s="2935"/>
      <c r="AI120" s="2935"/>
      <c r="AJ120" s="2937"/>
      <c r="AK120" s="2938"/>
      <c r="AL120" s="2737"/>
      <c r="AM120" s="579"/>
    </row>
    <row r="121" spans="1:39">
      <c r="A121" s="550">
        <v>1157</v>
      </c>
      <c r="B121" s="550" t="s">
        <v>401</v>
      </c>
      <c r="C121" s="551"/>
      <c r="I121" s="500" t="s">
        <v>3072</v>
      </c>
      <c r="J121" s="2897">
        <f t="shared" si="18"/>
        <v>49658</v>
      </c>
      <c r="K121" s="553">
        <f t="shared" si="19"/>
        <v>0</v>
      </c>
      <c r="L121" s="579">
        <f t="shared" si="20"/>
        <v>48841.125900000006</v>
      </c>
      <c r="M121" s="579"/>
      <c r="N121" s="2842"/>
      <c r="O121" s="1893"/>
      <c r="P121" s="1893"/>
      <c r="Q121" s="1893"/>
      <c r="R121" s="1893"/>
      <c r="S121" s="2919"/>
      <c r="T121" s="2920"/>
      <c r="U121" s="2925"/>
      <c r="V121" s="2925"/>
      <c r="W121" s="1913"/>
      <c r="X121" s="1904"/>
      <c r="Y121" s="1905"/>
      <c r="Z121" s="1905"/>
      <c r="AA121" s="1905"/>
      <c r="AB121" s="2929"/>
      <c r="AC121" s="2901"/>
      <c r="AD121" s="2932"/>
      <c r="AE121" s="1903">
        <f t="shared" si="23"/>
        <v>0</v>
      </c>
      <c r="AF121" s="1927"/>
      <c r="AG121" s="1922"/>
      <c r="AH121" s="2935"/>
      <c r="AI121" s="2935"/>
      <c r="AJ121" s="2937"/>
      <c r="AK121" s="2938"/>
      <c r="AL121" s="2737"/>
      <c r="AM121" s="579"/>
    </row>
    <row r="122" spans="1:39">
      <c r="A122" s="550">
        <v>1158</v>
      </c>
      <c r="B122" s="550" t="s">
        <v>401</v>
      </c>
      <c r="C122" s="551"/>
      <c r="I122" s="507" t="s">
        <v>1862</v>
      </c>
      <c r="J122" s="2897">
        <f t="shared" si="18"/>
        <v>0</v>
      </c>
      <c r="K122" s="553">
        <f t="shared" si="19"/>
        <v>0</v>
      </c>
      <c r="L122" s="579">
        <f t="shared" si="20"/>
        <v>0</v>
      </c>
      <c r="M122" s="579"/>
      <c r="N122" s="2842"/>
      <c r="O122" s="1893"/>
      <c r="P122" s="1893"/>
      <c r="Q122" s="1893"/>
      <c r="R122" s="1893"/>
      <c r="S122" s="2919"/>
      <c r="T122" s="2920"/>
      <c r="U122" s="2925"/>
      <c r="V122" s="2925"/>
      <c r="W122" s="1913"/>
      <c r="X122" s="1904"/>
      <c r="Y122" s="1905"/>
      <c r="Z122" s="1905"/>
      <c r="AA122" s="1905"/>
      <c r="AB122" s="2929"/>
      <c r="AC122" s="2901"/>
      <c r="AD122" s="2932"/>
      <c r="AE122" s="1903">
        <f t="shared" si="23"/>
        <v>0</v>
      </c>
      <c r="AF122" s="1927"/>
      <c r="AG122" s="1922"/>
      <c r="AH122" s="2935"/>
      <c r="AI122" s="2935"/>
      <c r="AJ122" s="2937"/>
      <c r="AK122" s="2938"/>
      <c r="AL122" s="2737"/>
      <c r="AM122" s="579"/>
    </row>
    <row r="123" spans="1:39">
      <c r="A123" s="550">
        <v>1161</v>
      </c>
      <c r="B123" s="550" t="s">
        <v>401</v>
      </c>
      <c r="C123" s="551"/>
      <c r="I123" s="500" t="s">
        <v>3071</v>
      </c>
      <c r="J123" s="2897">
        <f t="shared" si="18"/>
        <v>14859</v>
      </c>
      <c r="K123" s="553">
        <f t="shared" si="19"/>
        <v>0</v>
      </c>
      <c r="L123" s="579">
        <f t="shared" si="20"/>
        <v>14614.569450000003</v>
      </c>
      <c r="M123" s="579"/>
      <c r="N123" s="2842"/>
      <c r="O123" s="1893"/>
      <c r="P123" s="1893"/>
      <c r="Q123" s="1893"/>
      <c r="R123" s="1893"/>
      <c r="S123" s="2919"/>
      <c r="T123" s="2920"/>
      <c r="U123" s="2925"/>
      <c r="V123" s="2925"/>
      <c r="W123" s="1913"/>
      <c r="X123" s="1904"/>
      <c r="Y123" s="1905"/>
      <c r="Z123" s="1905"/>
      <c r="AA123" s="1905"/>
      <c r="AB123" s="2929"/>
      <c r="AC123" s="2901"/>
      <c r="AD123" s="2932"/>
      <c r="AE123" s="1903">
        <f t="shared" si="23"/>
        <v>0</v>
      </c>
      <c r="AF123" s="1927"/>
      <c r="AG123" s="1922"/>
      <c r="AH123" s="2935"/>
      <c r="AI123" s="2935"/>
      <c r="AJ123" s="2937"/>
      <c r="AK123" s="2938"/>
      <c r="AL123" s="2737"/>
      <c r="AM123" s="579"/>
    </row>
    <row r="124" spans="1:39">
      <c r="A124" s="550">
        <v>1162</v>
      </c>
      <c r="B124" s="550" t="s">
        <v>401</v>
      </c>
      <c r="C124" s="551"/>
      <c r="I124" s="500" t="s">
        <v>3073</v>
      </c>
      <c r="J124" s="2897">
        <f t="shared" si="18"/>
        <v>213106</v>
      </c>
      <c r="K124" s="553">
        <f t="shared" si="19"/>
        <v>0</v>
      </c>
      <c r="L124" s="579">
        <f t="shared" si="20"/>
        <v>191687.31285100002</v>
      </c>
      <c r="M124" s="579"/>
      <c r="N124" s="2842"/>
      <c r="O124" s="1893"/>
      <c r="P124" s="1893"/>
      <c r="Q124" s="1893"/>
      <c r="R124" s="1893"/>
      <c r="S124" s="2919"/>
      <c r="T124" s="2920"/>
      <c r="U124" s="2925"/>
      <c r="V124" s="2925"/>
      <c r="W124" s="1913"/>
      <c r="X124" s="1904"/>
      <c r="Y124" s="1905"/>
      <c r="Z124" s="1905"/>
      <c r="AA124" s="1905"/>
      <c r="AB124" s="2929"/>
      <c r="AC124" s="2901"/>
      <c r="AD124" s="2932"/>
      <c r="AE124" s="1903">
        <f t="shared" si="23"/>
        <v>0</v>
      </c>
      <c r="AF124" s="1927"/>
      <c r="AG124" s="1922"/>
      <c r="AH124" s="2935"/>
      <c r="AI124" s="2935"/>
      <c r="AJ124" s="2937"/>
      <c r="AK124" s="2938"/>
      <c r="AL124" s="2737"/>
      <c r="AM124" s="579"/>
    </row>
    <row r="125" spans="1:39">
      <c r="A125" s="550">
        <v>1163</v>
      </c>
      <c r="B125" s="550" t="s">
        <v>401</v>
      </c>
      <c r="C125" s="551"/>
      <c r="I125" s="500" t="s">
        <v>491</v>
      </c>
      <c r="J125" s="2897">
        <f t="shared" si="18"/>
        <v>505779</v>
      </c>
      <c r="K125" s="553">
        <f t="shared" si="19"/>
        <v>0</v>
      </c>
      <c r="L125" s="579">
        <f t="shared" si="20"/>
        <v>413338.38029650005</v>
      </c>
      <c r="M125" s="579"/>
      <c r="N125" s="2842">
        <f t="shared" ref="N125:N131" si="24">$P27</f>
        <v>1713480</v>
      </c>
      <c r="O125" s="1889">
        <f>NDK!Y31</f>
        <v>0</v>
      </c>
      <c r="P125" s="1892">
        <f t="shared" si="21"/>
        <v>0.81723120235616753</v>
      </c>
      <c r="Q125" s="1892">
        <f t="shared" ref="Q125:Q131" si="25">$P125*$S$98</f>
        <v>0.67830189795561902</v>
      </c>
      <c r="R125" s="1889"/>
      <c r="S125" s="2917">
        <f t="shared" si="22"/>
        <v>343070.85564609501</v>
      </c>
      <c r="T125" s="2918">
        <f t="shared" ref="T125:T131" si="26">IF($S125&gt;$AX$1,$AY$1+$AZ$1*$S125,$S125)</f>
        <v>294459.55884749314</v>
      </c>
      <c r="U125" s="2924">
        <f t="shared" ref="U125:U131" si="27">MAX($N125,$T125)</f>
        <v>1713480</v>
      </c>
      <c r="V125" s="2927">
        <f t="shared" ref="V125:V131" si="28">ROUND($U125/120,0)*120</f>
        <v>1713480</v>
      </c>
      <c r="W125" s="1912">
        <f t="shared" ref="W125:W131" si="29">$V125*$O125</f>
        <v>0</v>
      </c>
      <c r="X125" s="1900">
        <f>NDK!Z31</f>
        <v>0</v>
      </c>
      <c r="Y125" s="1901">
        <f t="shared" ref="Y125:Y131" si="30">$P125</f>
        <v>0.81723120235616753</v>
      </c>
      <c r="Z125" s="1901">
        <f t="shared" ref="Z125:Z131" si="31">$Y125*$Z$99</f>
        <v>0.44947716129589216</v>
      </c>
      <c r="AA125" s="1902"/>
      <c r="AB125" s="2928">
        <f t="shared" ref="AB125:AB131" si="32">$Z125*$J125</f>
        <v>227336.10916307505</v>
      </c>
      <c r="AC125" s="2900">
        <f t="shared" ref="AC125:AC131" si="33">IF($AB125&gt;$AX$1,$AY$1+$AZ$1*$AB125,$AB125)</f>
        <v>205343.8040555678</v>
      </c>
      <c r="AD125" s="2931">
        <f t="shared" ref="AD125:AD131" si="34">MAX($AC125,$N125)</f>
        <v>1713480</v>
      </c>
      <c r="AE125" s="1903">
        <f t="shared" si="23"/>
        <v>1713480</v>
      </c>
      <c r="AF125" s="1926">
        <f t="shared" ref="AF125:AF131" si="35">$AE125*$X125</f>
        <v>0</v>
      </c>
      <c r="AG125" s="1921">
        <f t="shared" ref="AG125:AG131" si="36">$K125-$O125-$X125</f>
        <v>0</v>
      </c>
      <c r="AH125" s="2934">
        <f t="shared" ref="AH125:AH131" si="37">$L125</f>
        <v>413338.38029650005</v>
      </c>
      <c r="AI125" s="2934">
        <f t="shared" ref="AI125:AI131" si="38">ROUND(MAX($AK125,$N125)/120,0)*120</f>
        <v>1713480</v>
      </c>
      <c r="AJ125" s="1930">
        <f t="shared" ref="AJ125:AJ131" si="39">$AI125*$AG125</f>
        <v>0</v>
      </c>
      <c r="AK125" s="2859">
        <f t="shared" ref="AK125:AK131" si="40">IF($AH125&gt;$AX$1,$AY$1+$AZ$1*$AH125,$AH125)</f>
        <v>348565.55282830505</v>
      </c>
      <c r="AL125" s="2737"/>
      <c r="AM125" s="579"/>
    </row>
    <row r="126" spans="1:39">
      <c r="A126" s="550">
        <v>1164</v>
      </c>
      <c r="B126" s="550" t="s">
        <v>401</v>
      </c>
      <c r="C126" s="551"/>
      <c r="I126" s="500" t="s">
        <v>492</v>
      </c>
      <c r="J126" s="2897">
        <f t="shared" si="18"/>
        <v>505779</v>
      </c>
      <c r="K126" s="553">
        <f t="shared" si="19"/>
        <v>0</v>
      </c>
      <c r="L126" s="579">
        <f t="shared" si="20"/>
        <v>413338.38029650005</v>
      </c>
      <c r="M126" s="579"/>
      <c r="N126" s="2842">
        <f t="shared" si="24"/>
        <v>1713480</v>
      </c>
      <c r="O126" s="1889">
        <f>NDK!Y32</f>
        <v>0</v>
      </c>
      <c r="P126" s="1892">
        <f t="shared" si="21"/>
        <v>0.81723120235616753</v>
      </c>
      <c r="Q126" s="1892">
        <f t="shared" si="25"/>
        <v>0.67830189795561902</v>
      </c>
      <c r="R126" s="1889"/>
      <c r="S126" s="2917">
        <f t="shared" si="22"/>
        <v>343070.85564609501</v>
      </c>
      <c r="T126" s="2918">
        <f t="shared" si="26"/>
        <v>294459.55884749314</v>
      </c>
      <c r="U126" s="2924">
        <f t="shared" si="27"/>
        <v>1713480</v>
      </c>
      <c r="V126" s="2927">
        <f t="shared" si="28"/>
        <v>1713480</v>
      </c>
      <c r="W126" s="1912">
        <f t="shared" si="29"/>
        <v>0</v>
      </c>
      <c r="X126" s="1900">
        <f>NDK!Z32</f>
        <v>0</v>
      </c>
      <c r="Y126" s="1901">
        <f t="shared" si="30"/>
        <v>0.81723120235616753</v>
      </c>
      <c r="Z126" s="1901">
        <f t="shared" si="31"/>
        <v>0.44947716129589216</v>
      </c>
      <c r="AA126" s="1902"/>
      <c r="AB126" s="2928">
        <f t="shared" si="32"/>
        <v>227336.10916307505</v>
      </c>
      <c r="AC126" s="2900">
        <f t="shared" si="33"/>
        <v>205343.8040555678</v>
      </c>
      <c r="AD126" s="2931">
        <f t="shared" si="34"/>
        <v>1713480</v>
      </c>
      <c r="AE126" s="1903">
        <f t="shared" si="23"/>
        <v>1713480</v>
      </c>
      <c r="AF126" s="1926">
        <f t="shared" si="35"/>
        <v>0</v>
      </c>
      <c r="AG126" s="1921">
        <f t="shared" si="36"/>
        <v>0</v>
      </c>
      <c r="AH126" s="2934">
        <f t="shared" si="37"/>
        <v>413338.38029650005</v>
      </c>
      <c r="AI126" s="2934">
        <f t="shared" si="38"/>
        <v>1713480</v>
      </c>
      <c r="AJ126" s="1930">
        <f t="shared" si="39"/>
        <v>0</v>
      </c>
      <c r="AK126" s="2859">
        <f t="shared" si="40"/>
        <v>348565.55282830505</v>
      </c>
      <c r="AL126" s="2737"/>
      <c r="AM126" s="579"/>
    </row>
    <row r="127" spans="1:39">
      <c r="A127" s="550">
        <v>1165</v>
      </c>
      <c r="B127" s="550" t="s">
        <v>401</v>
      </c>
      <c r="C127" s="551"/>
      <c r="I127" s="500" t="s">
        <v>1179</v>
      </c>
      <c r="J127" s="2897">
        <f t="shared" si="18"/>
        <v>27084</v>
      </c>
      <c r="K127" s="553">
        <f t="shared" si="19"/>
        <v>0</v>
      </c>
      <c r="L127" s="579">
        <f t="shared" si="20"/>
        <v>26638.468200000003</v>
      </c>
      <c r="M127" s="579"/>
      <c r="N127" s="2842">
        <f t="shared" si="24"/>
        <v>12720</v>
      </c>
      <c r="O127" s="1889">
        <f>NDK!Y33</f>
        <v>0</v>
      </c>
      <c r="P127" s="1892">
        <f t="shared" si="21"/>
        <v>0.98355000000000015</v>
      </c>
      <c r="Q127" s="1892">
        <f t="shared" si="25"/>
        <v>0.81634650000000009</v>
      </c>
      <c r="R127" s="1889"/>
      <c r="S127" s="2917">
        <f t="shared" si="22"/>
        <v>22109.928606000001</v>
      </c>
      <c r="T127" s="2918">
        <f t="shared" si="26"/>
        <v>22109.928606000001</v>
      </c>
      <c r="U127" s="2924">
        <f t="shared" si="27"/>
        <v>22109.928606000001</v>
      </c>
      <c r="V127" s="2927">
        <f t="shared" si="28"/>
        <v>22080</v>
      </c>
      <c r="W127" s="1912">
        <f t="shared" si="29"/>
        <v>0</v>
      </c>
      <c r="X127" s="1900">
        <f>NDK!Z33</f>
        <v>0</v>
      </c>
      <c r="Y127" s="1901">
        <f t="shared" si="30"/>
        <v>0.98355000000000015</v>
      </c>
      <c r="Z127" s="1901">
        <f t="shared" si="31"/>
        <v>0.54095250000000017</v>
      </c>
      <c r="AA127" s="1902"/>
      <c r="AB127" s="2928">
        <f t="shared" si="32"/>
        <v>14651.157510000005</v>
      </c>
      <c r="AC127" s="2900">
        <f t="shared" si="33"/>
        <v>14651.157510000005</v>
      </c>
      <c r="AD127" s="2931">
        <f t="shared" si="34"/>
        <v>14651.157510000005</v>
      </c>
      <c r="AE127" s="1903">
        <f t="shared" si="23"/>
        <v>14640</v>
      </c>
      <c r="AF127" s="1926">
        <f t="shared" si="35"/>
        <v>0</v>
      </c>
      <c r="AG127" s="1921">
        <f t="shared" si="36"/>
        <v>0</v>
      </c>
      <c r="AH127" s="2934">
        <f t="shared" si="37"/>
        <v>26638.468200000003</v>
      </c>
      <c r="AI127" s="2934">
        <f t="shared" si="38"/>
        <v>26640</v>
      </c>
      <c r="AJ127" s="1930">
        <f t="shared" si="39"/>
        <v>0</v>
      </c>
      <c r="AK127" s="2859">
        <f t="shared" si="40"/>
        <v>26638.468200000003</v>
      </c>
      <c r="AL127" s="2737"/>
      <c r="AM127" s="579"/>
    </row>
    <row r="128" spans="1:39">
      <c r="A128" s="550">
        <v>1171</v>
      </c>
      <c r="B128" s="550" t="s">
        <v>401</v>
      </c>
      <c r="C128" s="551"/>
      <c r="I128" s="500" t="s">
        <v>3074</v>
      </c>
      <c r="J128" s="2897">
        <f t="shared" si="18"/>
        <v>13964</v>
      </c>
      <c r="K128" s="553">
        <f t="shared" si="19"/>
        <v>0</v>
      </c>
      <c r="L128" s="579">
        <f t="shared" si="20"/>
        <v>13734.292200000002</v>
      </c>
      <c r="M128" s="579"/>
      <c r="N128" s="2842">
        <f t="shared" si="24"/>
        <v>13200</v>
      </c>
      <c r="O128" s="1889">
        <f>NDK!Y34</f>
        <v>0</v>
      </c>
      <c r="P128" s="1892">
        <f t="shared" si="21"/>
        <v>0.98355000000000015</v>
      </c>
      <c r="Q128" s="1892">
        <f t="shared" si="25"/>
        <v>0.81634650000000009</v>
      </c>
      <c r="R128" s="1889"/>
      <c r="S128" s="2917">
        <f t="shared" si="22"/>
        <v>11399.462526000001</v>
      </c>
      <c r="T128" s="2918">
        <f t="shared" si="26"/>
        <v>11399.462526000001</v>
      </c>
      <c r="U128" s="2924">
        <f t="shared" si="27"/>
        <v>13200</v>
      </c>
      <c r="V128" s="2927">
        <f t="shared" si="28"/>
        <v>13200</v>
      </c>
      <c r="W128" s="1912">
        <f t="shared" si="29"/>
        <v>0</v>
      </c>
      <c r="X128" s="1900">
        <f>NDK!Z34</f>
        <v>0</v>
      </c>
      <c r="Y128" s="1901">
        <f t="shared" si="30"/>
        <v>0.98355000000000015</v>
      </c>
      <c r="Z128" s="1901">
        <f t="shared" si="31"/>
        <v>0.54095250000000017</v>
      </c>
      <c r="AA128" s="1902"/>
      <c r="AB128" s="2928">
        <f t="shared" si="32"/>
        <v>7553.8607100000027</v>
      </c>
      <c r="AC128" s="2900">
        <f t="shared" si="33"/>
        <v>7553.8607100000027</v>
      </c>
      <c r="AD128" s="2931">
        <f t="shared" si="34"/>
        <v>13200</v>
      </c>
      <c r="AE128" s="1903">
        <f t="shared" si="23"/>
        <v>13200</v>
      </c>
      <c r="AF128" s="1926">
        <f t="shared" si="35"/>
        <v>0</v>
      </c>
      <c r="AG128" s="1921">
        <f t="shared" si="36"/>
        <v>0</v>
      </c>
      <c r="AH128" s="2934">
        <f t="shared" si="37"/>
        <v>13734.292200000002</v>
      </c>
      <c r="AI128" s="2934">
        <f t="shared" si="38"/>
        <v>13680</v>
      </c>
      <c r="AJ128" s="1930">
        <f t="shared" si="39"/>
        <v>0</v>
      </c>
      <c r="AK128" s="2859">
        <f t="shared" si="40"/>
        <v>13734.292200000002</v>
      </c>
      <c r="AL128" s="2737"/>
      <c r="AM128" s="579"/>
    </row>
    <row r="129" spans="1:39">
      <c r="A129" s="550">
        <v>1172</v>
      </c>
      <c r="B129" s="550" t="s">
        <v>401</v>
      </c>
      <c r="C129" s="551"/>
      <c r="I129" s="500" t="s">
        <v>1234</v>
      </c>
      <c r="J129" s="2897">
        <f t="shared" si="18"/>
        <v>15547</v>
      </c>
      <c r="K129" s="553">
        <f t="shared" si="19"/>
        <v>0</v>
      </c>
      <c r="L129" s="579">
        <f t="shared" si="20"/>
        <v>15291.251850000002</v>
      </c>
      <c r="M129" s="579"/>
      <c r="N129" s="2842">
        <f t="shared" si="24"/>
        <v>13440</v>
      </c>
      <c r="O129" s="1889">
        <f>NDK!Y35</f>
        <v>0</v>
      </c>
      <c r="P129" s="1892">
        <f t="shared" si="21"/>
        <v>0.98355000000000015</v>
      </c>
      <c r="Q129" s="1892">
        <f t="shared" si="25"/>
        <v>0.81634650000000009</v>
      </c>
      <c r="R129" s="1889"/>
      <c r="S129" s="2917">
        <f t="shared" si="22"/>
        <v>12691.739035500001</v>
      </c>
      <c r="T129" s="2918">
        <f t="shared" si="26"/>
        <v>12691.739035500001</v>
      </c>
      <c r="U129" s="2924">
        <f t="shared" si="27"/>
        <v>13440</v>
      </c>
      <c r="V129" s="2927">
        <f t="shared" si="28"/>
        <v>13440</v>
      </c>
      <c r="W129" s="1912">
        <f t="shared" si="29"/>
        <v>0</v>
      </c>
      <c r="X129" s="1900">
        <f>NDK!Z35</f>
        <v>0</v>
      </c>
      <c r="Y129" s="1901">
        <f t="shared" si="30"/>
        <v>0.98355000000000015</v>
      </c>
      <c r="Z129" s="1901">
        <f t="shared" si="31"/>
        <v>0.54095250000000017</v>
      </c>
      <c r="AA129" s="1902"/>
      <c r="AB129" s="2928">
        <f t="shared" si="32"/>
        <v>8410.1885175000025</v>
      </c>
      <c r="AC129" s="2900">
        <f t="shared" si="33"/>
        <v>8410.1885175000025</v>
      </c>
      <c r="AD129" s="2931">
        <f t="shared" si="34"/>
        <v>13440</v>
      </c>
      <c r="AE129" s="1903">
        <f t="shared" si="23"/>
        <v>13440</v>
      </c>
      <c r="AF129" s="1926">
        <f t="shared" si="35"/>
        <v>0</v>
      </c>
      <c r="AG129" s="1921">
        <f t="shared" si="36"/>
        <v>0</v>
      </c>
      <c r="AH129" s="2934">
        <f t="shared" si="37"/>
        <v>15291.251850000002</v>
      </c>
      <c r="AI129" s="2934">
        <f t="shared" si="38"/>
        <v>15240</v>
      </c>
      <c r="AJ129" s="1930">
        <f t="shared" si="39"/>
        <v>0</v>
      </c>
      <c r="AK129" s="2859">
        <f t="shared" si="40"/>
        <v>15291.251850000002</v>
      </c>
      <c r="AL129" s="2737"/>
      <c r="AM129" s="579"/>
    </row>
    <row r="130" spans="1:39">
      <c r="A130" s="550">
        <v>1173</v>
      </c>
      <c r="B130" s="550" t="s">
        <v>401</v>
      </c>
      <c r="C130" s="551"/>
      <c r="I130" s="500" t="s">
        <v>1235</v>
      </c>
      <c r="J130" s="2897">
        <f t="shared" si="18"/>
        <v>19985</v>
      </c>
      <c r="K130" s="553">
        <f t="shared" si="19"/>
        <v>0</v>
      </c>
      <c r="L130" s="579">
        <f t="shared" si="20"/>
        <v>19656.246750000002</v>
      </c>
      <c r="M130" s="579"/>
      <c r="N130" s="2842">
        <f t="shared" si="24"/>
        <v>18480</v>
      </c>
      <c r="O130" s="1889">
        <f>NDK!Y36</f>
        <v>0</v>
      </c>
      <c r="P130" s="1892">
        <f t="shared" si="21"/>
        <v>0.98355000000000015</v>
      </c>
      <c r="Q130" s="1892">
        <f t="shared" si="25"/>
        <v>0.81634650000000009</v>
      </c>
      <c r="R130" s="1889"/>
      <c r="S130" s="2917">
        <f t="shared" si="22"/>
        <v>16314.684802500002</v>
      </c>
      <c r="T130" s="2918">
        <f t="shared" si="26"/>
        <v>16314.684802500002</v>
      </c>
      <c r="U130" s="2924">
        <f t="shared" si="27"/>
        <v>18480</v>
      </c>
      <c r="V130" s="2927">
        <f t="shared" si="28"/>
        <v>18480</v>
      </c>
      <c r="W130" s="1912">
        <f t="shared" si="29"/>
        <v>0</v>
      </c>
      <c r="X130" s="1900">
        <f>NDK!Z36</f>
        <v>0</v>
      </c>
      <c r="Y130" s="1901">
        <f t="shared" si="30"/>
        <v>0.98355000000000015</v>
      </c>
      <c r="Z130" s="1901">
        <f t="shared" si="31"/>
        <v>0.54095250000000017</v>
      </c>
      <c r="AA130" s="1902"/>
      <c r="AB130" s="2928">
        <f t="shared" si="32"/>
        <v>10810.935712500004</v>
      </c>
      <c r="AC130" s="2900">
        <f t="shared" si="33"/>
        <v>10810.935712500004</v>
      </c>
      <c r="AD130" s="2931">
        <f t="shared" si="34"/>
        <v>18480</v>
      </c>
      <c r="AE130" s="1903">
        <f t="shared" si="23"/>
        <v>18480</v>
      </c>
      <c r="AF130" s="1926">
        <f t="shared" si="35"/>
        <v>0</v>
      </c>
      <c r="AG130" s="1921">
        <f t="shared" si="36"/>
        <v>0</v>
      </c>
      <c r="AH130" s="2934">
        <f t="shared" si="37"/>
        <v>19656.246750000002</v>
      </c>
      <c r="AI130" s="2934">
        <f t="shared" si="38"/>
        <v>19680</v>
      </c>
      <c r="AJ130" s="1930">
        <f t="shared" si="39"/>
        <v>0</v>
      </c>
      <c r="AK130" s="2859">
        <f t="shared" si="40"/>
        <v>19656.246750000002</v>
      </c>
      <c r="AL130" s="2737"/>
      <c r="AM130" s="579"/>
    </row>
    <row r="131" spans="1:39">
      <c r="A131" s="550">
        <v>1174</v>
      </c>
      <c r="B131" s="550" t="s">
        <v>401</v>
      </c>
      <c r="C131" s="551"/>
      <c r="I131" s="500" t="s">
        <v>1236</v>
      </c>
      <c r="J131" s="2897">
        <f t="shared" si="18"/>
        <v>42000</v>
      </c>
      <c r="K131" s="553">
        <f t="shared" si="19"/>
        <v>0</v>
      </c>
      <c r="L131" s="579">
        <f t="shared" si="20"/>
        <v>41309.100000000006</v>
      </c>
      <c r="M131" s="579"/>
      <c r="N131" s="2842">
        <f t="shared" si="24"/>
        <v>22800</v>
      </c>
      <c r="O131" s="1889">
        <f>NDK!Y37</f>
        <v>0</v>
      </c>
      <c r="P131" s="1892">
        <f t="shared" si="21"/>
        <v>0.98355000000000015</v>
      </c>
      <c r="Q131" s="1892">
        <f t="shared" si="25"/>
        <v>0.81634650000000009</v>
      </c>
      <c r="R131" s="1889"/>
      <c r="S131" s="2917">
        <f t="shared" si="22"/>
        <v>34286.553000000007</v>
      </c>
      <c r="T131" s="2918">
        <f t="shared" si="26"/>
        <v>34286.553000000007</v>
      </c>
      <c r="U131" s="2924">
        <f t="shared" si="27"/>
        <v>34286.553000000007</v>
      </c>
      <c r="V131" s="2927">
        <f t="shared" si="28"/>
        <v>34320</v>
      </c>
      <c r="W131" s="1912">
        <f t="shared" si="29"/>
        <v>0</v>
      </c>
      <c r="X131" s="1900">
        <f>NDK!Z37</f>
        <v>0</v>
      </c>
      <c r="Y131" s="1901">
        <f t="shared" si="30"/>
        <v>0.98355000000000015</v>
      </c>
      <c r="Z131" s="1901">
        <f t="shared" si="31"/>
        <v>0.54095250000000017</v>
      </c>
      <c r="AA131" s="1902"/>
      <c r="AB131" s="2928">
        <f t="shared" si="32"/>
        <v>22720.005000000008</v>
      </c>
      <c r="AC131" s="2900">
        <f t="shared" si="33"/>
        <v>22720.005000000008</v>
      </c>
      <c r="AD131" s="2931">
        <f t="shared" si="34"/>
        <v>22800</v>
      </c>
      <c r="AE131" s="1903">
        <f t="shared" si="23"/>
        <v>22800</v>
      </c>
      <c r="AF131" s="1926">
        <f t="shared" si="35"/>
        <v>0</v>
      </c>
      <c r="AG131" s="1921">
        <f t="shared" si="36"/>
        <v>0</v>
      </c>
      <c r="AH131" s="2934">
        <f t="shared" si="37"/>
        <v>41309.100000000006</v>
      </c>
      <c r="AI131" s="2934">
        <f t="shared" si="38"/>
        <v>41280</v>
      </c>
      <c r="AJ131" s="1930">
        <f t="shared" si="39"/>
        <v>0</v>
      </c>
      <c r="AK131" s="2859">
        <f t="shared" si="40"/>
        <v>41309.100000000006</v>
      </c>
      <c r="AL131" s="2737"/>
      <c r="AM131" s="579"/>
    </row>
    <row r="132" spans="1:39">
      <c r="A132" s="550">
        <v>1181</v>
      </c>
      <c r="B132" s="550" t="s">
        <v>401</v>
      </c>
      <c r="C132" s="551"/>
      <c r="I132" s="505" t="s">
        <v>2710</v>
      </c>
      <c r="J132" s="2897">
        <f t="shared" si="18"/>
        <v>0</v>
      </c>
      <c r="K132" s="553">
        <f t="shared" si="19"/>
        <v>0</v>
      </c>
      <c r="L132" s="579">
        <f t="shared" si="20"/>
        <v>0</v>
      </c>
      <c r="M132" s="579"/>
      <c r="N132" s="2842"/>
      <c r="O132" s="1893"/>
      <c r="P132" s="1893"/>
      <c r="Q132" s="1893"/>
      <c r="R132" s="1893"/>
      <c r="S132" s="2919"/>
      <c r="T132" s="2920"/>
      <c r="U132" s="2925"/>
      <c r="V132" s="2925"/>
      <c r="W132" s="1913"/>
      <c r="X132" s="1904"/>
      <c r="Y132" s="1905"/>
      <c r="Z132" s="1905"/>
      <c r="AA132" s="1905"/>
      <c r="AB132" s="2929"/>
      <c r="AC132" s="2901"/>
      <c r="AD132" s="2932"/>
      <c r="AE132" s="1903">
        <f t="shared" si="23"/>
        <v>0</v>
      </c>
      <c r="AF132" s="1927"/>
      <c r="AG132" s="1922"/>
      <c r="AH132" s="2935"/>
      <c r="AI132" s="2935"/>
      <c r="AJ132" s="2937"/>
      <c r="AK132" s="2938"/>
      <c r="AL132" s="2737"/>
      <c r="AM132" s="579"/>
    </row>
    <row r="133" spans="1:39">
      <c r="A133" s="550">
        <v>1182</v>
      </c>
      <c r="B133" s="550" t="s">
        <v>401</v>
      </c>
      <c r="C133" s="551"/>
      <c r="I133" s="500" t="s">
        <v>1237</v>
      </c>
      <c r="J133" s="2897">
        <f t="shared" si="18"/>
        <v>45371</v>
      </c>
      <c r="K133" s="553">
        <f t="shared" si="19"/>
        <v>0</v>
      </c>
      <c r="L133" s="579">
        <f t="shared" si="20"/>
        <v>44624.647050000007</v>
      </c>
      <c r="M133" s="579"/>
      <c r="N133" s="2842">
        <f>$P35</f>
        <v>31080</v>
      </c>
      <c r="O133" s="1889">
        <f>NDK!Y39</f>
        <v>0</v>
      </c>
      <c r="P133" s="1892">
        <f t="shared" si="21"/>
        <v>0.98355000000000015</v>
      </c>
      <c r="Q133" s="1892">
        <f>$P133*$S$98</f>
        <v>0.81634650000000009</v>
      </c>
      <c r="R133" s="1889"/>
      <c r="S133" s="2917">
        <f t="shared" si="22"/>
        <v>37038.457051500001</v>
      </c>
      <c r="T133" s="2918">
        <f>IF($S133&gt;$AX$1,$AY$1+$AZ$1*$S133,$S133)</f>
        <v>37038.457051500001</v>
      </c>
      <c r="U133" s="2924">
        <f>MAX($N133,$T133)</f>
        <v>37038.457051500001</v>
      </c>
      <c r="V133" s="2927">
        <f>ROUND($U133/120,0)*120</f>
        <v>37080</v>
      </c>
      <c r="W133" s="1912">
        <f>$V133*$O133</f>
        <v>0</v>
      </c>
      <c r="X133" s="1900">
        <f>NDK!Z39</f>
        <v>0</v>
      </c>
      <c r="Y133" s="1901">
        <f>$P133</f>
        <v>0.98355000000000015</v>
      </c>
      <c r="Z133" s="1901">
        <f>$Y133*$Z$99</f>
        <v>0.54095250000000017</v>
      </c>
      <c r="AA133" s="1902"/>
      <c r="AB133" s="2928">
        <f>$Z133*$J133</f>
        <v>24543.555877500006</v>
      </c>
      <c r="AC133" s="2900">
        <f>IF($AB133&gt;$AX$1,$AY$1+$AZ$1*$AB133,$AB133)</f>
        <v>24543.555877500006</v>
      </c>
      <c r="AD133" s="2931">
        <f>MAX($AC133,$N133)</f>
        <v>31080</v>
      </c>
      <c r="AE133" s="1903">
        <f t="shared" si="23"/>
        <v>31080</v>
      </c>
      <c r="AF133" s="1926">
        <f>$AE133*$X133</f>
        <v>0</v>
      </c>
      <c r="AG133" s="1921">
        <f>$K133-$O133-$X133</f>
        <v>0</v>
      </c>
      <c r="AH133" s="2934">
        <f>$L133</f>
        <v>44624.647050000007</v>
      </c>
      <c r="AI133" s="2934">
        <f>ROUND(MAX($AK133,$N133)/120,0)*120</f>
        <v>44640</v>
      </c>
      <c r="AJ133" s="1930">
        <f>$AI133*$AG133</f>
        <v>0</v>
      </c>
      <c r="AK133" s="2859">
        <f>IF($AH133&gt;$AX$1,$AY$1+$AZ$1*$AH133,$AH133)</f>
        <v>44624.647050000007</v>
      </c>
      <c r="AL133" s="2737"/>
      <c r="AM133" s="579"/>
    </row>
    <row r="134" spans="1:39">
      <c r="A134" s="550">
        <v>1183</v>
      </c>
      <c r="B134" s="550" t="s">
        <v>401</v>
      </c>
      <c r="C134" s="551"/>
      <c r="I134" s="500" t="s">
        <v>1238</v>
      </c>
      <c r="J134" s="2897">
        <f t="shared" si="18"/>
        <v>12908</v>
      </c>
      <c r="K134" s="553">
        <f t="shared" si="19"/>
        <v>0</v>
      </c>
      <c r="L134" s="579">
        <f t="shared" si="20"/>
        <v>12695.663400000001</v>
      </c>
      <c r="M134" s="579"/>
      <c r="N134" s="2842"/>
      <c r="O134" s="1893"/>
      <c r="P134" s="1893"/>
      <c r="Q134" s="1893"/>
      <c r="R134" s="1893"/>
      <c r="S134" s="2919"/>
      <c r="T134" s="2920"/>
      <c r="U134" s="2925"/>
      <c r="V134" s="2925"/>
      <c r="W134" s="1913"/>
      <c r="X134" s="1904"/>
      <c r="Y134" s="1905"/>
      <c r="Z134" s="1905"/>
      <c r="AA134" s="1905"/>
      <c r="AB134" s="2929"/>
      <c r="AC134" s="2901"/>
      <c r="AD134" s="2932"/>
      <c r="AE134" s="1903">
        <f t="shared" si="23"/>
        <v>0</v>
      </c>
      <c r="AF134" s="1927"/>
      <c r="AG134" s="1922"/>
      <c r="AH134" s="2935"/>
      <c r="AI134" s="2935"/>
      <c r="AJ134" s="2937"/>
      <c r="AK134" s="2938"/>
      <c r="AL134" s="2737"/>
      <c r="AM134" s="579"/>
    </row>
    <row r="135" spans="1:39">
      <c r="A135" s="550">
        <v>1184</v>
      </c>
      <c r="B135" s="550" t="s">
        <v>401</v>
      </c>
      <c r="C135" s="551"/>
      <c r="I135" s="508" t="s">
        <v>497</v>
      </c>
      <c r="J135" s="2897">
        <f t="shared" si="18"/>
        <v>17633</v>
      </c>
      <c r="K135" s="553">
        <f t="shared" si="19"/>
        <v>0</v>
      </c>
      <c r="L135" s="579">
        <f t="shared" si="20"/>
        <v>17342.937150000002</v>
      </c>
      <c r="M135" s="579"/>
      <c r="N135" s="2842"/>
      <c r="O135" s="1893"/>
      <c r="P135" s="1893"/>
      <c r="Q135" s="1893"/>
      <c r="R135" s="1893"/>
      <c r="S135" s="2919"/>
      <c r="T135" s="2920"/>
      <c r="U135" s="2925"/>
      <c r="V135" s="2925"/>
      <c r="W135" s="1913"/>
      <c r="X135" s="1904"/>
      <c r="Y135" s="1905"/>
      <c r="Z135" s="1905"/>
      <c r="AA135" s="1905"/>
      <c r="AB135" s="2929"/>
      <c r="AC135" s="2901"/>
      <c r="AD135" s="2932"/>
      <c r="AE135" s="1903">
        <f t="shared" si="23"/>
        <v>0</v>
      </c>
      <c r="AF135" s="1927"/>
      <c r="AG135" s="1922"/>
      <c r="AH135" s="2935"/>
      <c r="AI135" s="2935"/>
      <c r="AJ135" s="2937"/>
      <c r="AK135" s="2938"/>
      <c r="AL135" s="2737"/>
      <c r="AM135" s="579"/>
    </row>
    <row r="136" spans="1:39">
      <c r="A136" s="550">
        <v>1185</v>
      </c>
      <c r="B136" s="550" t="s">
        <v>401</v>
      </c>
      <c r="C136" s="551"/>
      <c r="I136" s="500" t="s">
        <v>493</v>
      </c>
      <c r="J136" s="2897">
        <f t="shared" si="18"/>
        <v>18861</v>
      </c>
      <c r="K136" s="553">
        <f t="shared" si="19"/>
        <v>0</v>
      </c>
      <c r="L136" s="579">
        <f t="shared" si="20"/>
        <v>18550.736550000001</v>
      </c>
      <c r="M136" s="579"/>
      <c r="N136" s="2842"/>
      <c r="O136" s="1893"/>
      <c r="P136" s="1893"/>
      <c r="Q136" s="1893"/>
      <c r="R136" s="1893"/>
      <c r="S136" s="2919"/>
      <c r="T136" s="2920"/>
      <c r="U136" s="2925"/>
      <c r="V136" s="2925"/>
      <c r="W136" s="1913"/>
      <c r="X136" s="1904"/>
      <c r="Y136" s="1905"/>
      <c r="Z136" s="1905"/>
      <c r="AA136" s="1905"/>
      <c r="AB136" s="2929"/>
      <c r="AC136" s="2901"/>
      <c r="AD136" s="2932"/>
      <c r="AE136" s="1903">
        <f t="shared" si="23"/>
        <v>0</v>
      </c>
      <c r="AF136" s="1927"/>
      <c r="AG136" s="1922"/>
      <c r="AH136" s="2935"/>
      <c r="AI136" s="2935"/>
      <c r="AJ136" s="2937"/>
      <c r="AK136" s="2938"/>
      <c r="AL136" s="2737"/>
      <c r="AM136" s="579"/>
    </row>
    <row r="137" spans="1:39">
      <c r="A137" s="550">
        <v>1186</v>
      </c>
      <c r="B137" s="550" t="s">
        <v>401</v>
      </c>
      <c r="C137" s="551"/>
      <c r="I137" s="500" t="s">
        <v>494</v>
      </c>
      <c r="J137" s="2897">
        <f t="shared" si="18"/>
        <v>19650</v>
      </c>
      <c r="K137" s="553">
        <f t="shared" si="19"/>
        <v>0</v>
      </c>
      <c r="L137" s="579">
        <f t="shared" si="20"/>
        <v>19326.757500000003</v>
      </c>
      <c r="M137" s="579"/>
      <c r="N137" s="2842"/>
      <c r="O137" s="1893"/>
      <c r="P137" s="1893"/>
      <c r="Q137" s="1893"/>
      <c r="R137" s="1893"/>
      <c r="S137" s="2919"/>
      <c r="T137" s="2920"/>
      <c r="U137" s="2925"/>
      <c r="V137" s="2925"/>
      <c r="W137" s="1913"/>
      <c r="X137" s="1904"/>
      <c r="Y137" s="1905"/>
      <c r="Z137" s="1905"/>
      <c r="AA137" s="1905"/>
      <c r="AB137" s="2929"/>
      <c r="AC137" s="2901"/>
      <c r="AD137" s="2932"/>
      <c r="AE137" s="1903">
        <f t="shared" si="23"/>
        <v>0</v>
      </c>
      <c r="AF137" s="1927"/>
      <c r="AG137" s="1922"/>
      <c r="AH137" s="2935"/>
      <c r="AI137" s="2935"/>
      <c r="AJ137" s="2937"/>
      <c r="AK137" s="2938"/>
      <c r="AL137" s="2737"/>
      <c r="AM137" s="579"/>
    </row>
    <row r="138" spans="1:39">
      <c r="A138" s="550">
        <v>1188</v>
      </c>
      <c r="B138" s="550" t="s">
        <v>401</v>
      </c>
      <c r="C138" s="551"/>
      <c r="I138" s="500" t="s">
        <v>1178</v>
      </c>
      <c r="J138" s="2897">
        <f t="shared" si="18"/>
        <v>47357</v>
      </c>
      <c r="K138" s="553">
        <f t="shared" si="19"/>
        <v>0</v>
      </c>
      <c r="L138" s="579">
        <f t="shared" si="20"/>
        <v>46577.977350000008</v>
      </c>
      <c r="M138" s="579"/>
      <c r="N138" s="2842">
        <f>$P40</f>
        <v>131520</v>
      </c>
      <c r="O138" s="1889">
        <f>NDK!Y44</f>
        <v>0</v>
      </c>
      <c r="P138" s="1892">
        <f t="shared" si="21"/>
        <v>0.98355000000000015</v>
      </c>
      <c r="Q138" s="1892">
        <f>$P138*$S$98</f>
        <v>0.81634650000000009</v>
      </c>
      <c r="R138" s="1889"/>
      <c r="S138" s="2917">
        <f t="shared" si="22"/>
        <v>38659.721200500004</v>
      </c>
      <c r="T138" s="2918">
        <f>IF($S138&gt;$AX$1,$AY$1+$AZ$1*$S138,$S138)</f>
        <v>38659.721200500004</v>
      </c>
      <c r="U138" s="2924">
        <f>MAX($N138,$T138)</f>
        <v>131520</v>
      </c>
      <c r="V138" s="2927">
        <f>ROUND($U138/120,0)*120</f>
        <v>131520</v>
      </c>
      <c r="W138" s="1912">
        <f>$V138*$O138</f>
        <v>0</v>
      </c>
      <c r="X138" s="1900">
        <f>NDK!Z44</f>
        <v>0</v>
      </c>
      <c r="Y138" s="1901">
        <f>$P138</f>
        <v>0.98355000000000015</v>
      </c>
      <c r="Z138" s="1901">
        <f>$Y138*$Z$99</f>
        <v>0.54095250000000017</v>
      </c>
      <c r="AA138" s="1902"/>
      <c r="AB138" s="2928">
        <f>$Z138*$J138</f>
        <v>25617.887542500008</v>
      </c>
      <c r="AC138" s="2900">
        <f>IF($AB138&gt;$AX$1,$AY$1+$AZ$1*$AB138,$AB138)</f>
        <v>25617.887542500008</v>
      </c>
      <c r="AD138" s="2931">
        <f>MAX($AC138,$N138)</f>
        <v>131520</v>
      </c>
      <c r="AE138" s="1903">
        <f t="shared" si="23"/>
        <v>131520</v>
      </c>
      <c r="AF138" s="1926">
        <f>$AE138*$X138</f>
        <v>0</v>
      </c>
      <c r="AG138" s="1921">
        <f>$K138-$O138-$X138</f>
        <v>0</v>
      </c>
      <c r="AH138" s="2934">
        <f>$L138</f>
        <v>46577.977350000008</v>
      </c>
      <c r="AI138" s="2934">
        <f>ROUND(MAX($AK138,$N138)/120,0)*120</f>
        <v>131520</v>
      </c>
      <c r="AJ138" s="1930">
        <f>$AI138*$AG138</f>
        <v>0</v>
      </c>
      <c r="AK138" s="2859">
        <f>IF($AH138&gt;$AX$1,$AY$1+$AZ$1*$AH138,$AH138)</f>
        <v>46577.977350000008</v>
      </c>
      <c r="AL138" s="2737"/>
      <c r="AM138" s="579"/>
    </row>
    <row r="139" spans="1:39">
      <c r="A139" s="550">
        <v>1191</v>
      </c>
      <c r="B139" s="550" t="s">
        <v>401</v>
      </c>
      <c r="C139" s="551"/>
      <c r="I139" s="500" t="s">
        <v>1239</v>
      </c>
      <c r="J139" s="2897">
        <f t="shared" si="18"/>
        <v>75805</v>
      </c>
      <c r="K139" s="553">
        <f t="shared" si="19"/>
        <v>0</v>
      </c>
      <c r="L139" s="579">
        <f t="shared" si="20"/>
        <v>74558.007750000004</v>
      </c>
      <c r="M139" s="579"/>
      <c r="N139" s="2842">
        <f>$P41</f>
        <v>385560</v>
      </c>
      <c r="O139" s="1889">
        <f>NDK!Y45</f>
        <v>0</v>
      </c>
      <c r="P139" s="1892">
        <f t="shared" si="21"/>
        <v>0.98355000000000004</v>
      </c>
      <c r="Q139" s="1892">
        <f>$P139*$S$98</f>
        <v>0.81634649999999997</v>
      </c>
      <c r="R139" s="1889"/>
      <c r="S139" s="2917">
        <f t="shared" si="22"/>
        <v>61883.146432499998</v>
      </c>
      <c r="T139" s="2918">
        <f>IF($S139&gt;$AX$1,$AY$1+$AZ$1*$S139,$S139)</f>
        <v>61883.146432499998</v>
      </c>
      <c r="U139" s="2924">
        <f>MAX($N139,$T139)</f>
        <v>385560</v>
      </c>
      <c r="V139" s="2927">
        <f>ROUND($U139/120,0)*120</f>
        <v>385560</v>
      </c>
      <c r="W139" s="1912">
        <f>$V139*$O139</f>
        <v>0</v>
      </c>
      <c r="X139" s="1900">
        <f>NDK!Z45</f>
        <v>0</v>
      </c>
      <c r="Y139" s="1901">
        <f>$P139</f>
        <v>0.98355000000000004</v>
      </c>
      <c r="Z139" s="1901">
        <f>$Y139*$Z$99</f>
        <v>0.54095250000000006</v>
      </c>
      <c r="AA139" s="1902"/>
      <c r="AB139" s="2928">
        <f>$Z139*$J139</f>
        <v>41006.904262500007</v>
      </c>
      <c r="AC139" s="2900">
        <f>IF($AB139&gt;$AX$1,$AY$1+$AZ$1*$AB139,$AB139)</f>
        <v>41006.904262500007</v>
      </c>
      <c r="AD139" s="2931">
        <f>MAX($AC139,$N139)</f>
        <v>385560</v>
      </c>
      <c r="AE139" s="1903">
        <f t="shared" si="23"/>
        <v>385560</v>
      </c>
      <c r="AF139" s="1926">
        <f>$AE139*$X139</f>
        <v>0</v>
      </c>
      <c r="AG139" s="1921">
        <f>$K139-$O139-$X139</f>
        <v>0</v>
      </c>
      <c r="AH139" s="2934">
        <f>$L139</f>
        <v>74558.007750000004</v>
      </c>
      <c r="AI139" s="2934">
        <f>ROUND(MAX($AK139,$N139)/120,0)*120</f>
        <v>385560</v>
      </c>
      <c r="AJ139" s="1930">
        <f>$AI139*$AG139</f>
        <v>0</v>
      </c>
      <c r="AK139" s="2859">
        <f>IF($AH139&gt;$AX$1,$AY$1+$AZ$1*$AH139,$AH139)</f>
        <v>74558.007750000004</v>
      </c>
      <c r="AL139" s="2737"/>
      <c r="AM139" s="579"/>
    </row>
    <row r="140" spans="1:39">
      <c r="A140" s="550">
        <v>1192</v>
      </c>
      <c r="B140" s="550" t="s">
        <v>401</v>
      </c>
      <c r="C140" s="551"/>
      <c r="I140" s="500" t="s">
        <v>1240</v>
      </c>
      <c r="J140" s="2897">
        <f t="shared" si="18"/>
        <v>183525</v>
      </c>
      <c r="K140" s="553">
        <f t="shared" si="19"/>
        <v>0</v>
      </c>
      <c r="L140" s="579">
        <f t="shared" si="20"/>
        <v>169284.63058750003</v>
      </c>
      <c r="M140" s="579"/>
      <c r="N140" s="2842">
        <f>$P42</f>
        <v>1026840</v>
      </c>
      <c r="O140" s="1889">
        <f>NDK!Y46</f>
        <v>0</v>
      </c>
      <c r="P140" s="1892">
        <f t="shared" si="21"/>
        <v>0.92240637835444772</v>
      </c>
      <c r="Q140" s="1892">
        <f>$P140*$S$98</f>
        <v>0.76559729403419152</v>
      </c>
      <c r="R140" s="1889"/>
      <c r="S140" s="2917">
        <f t="shared" si="22"/>
        <v>140506.243387625</v>
      </c>
      <c r="T140" s="2918">
        <f>IF($S140&gt;$AX$1,$AY$1+$AZ$1*$S140,$S140)</f>
        <v>138484.80740847124</v>
      </c>
      <c r="U140" s="2924">
        <f>MAX($N140,$T140)</f>
        <v>1026840</v>
      </c>
      <c r="V140" s="2927">
        <f>ROUND($U140/120,0)*120</f>
        <v>1026840</v>
      </c>
      <c r="W140" s="1912">
        <f>$V140*$O140</f>
        <v>0</v>
      </c>
      <c r="X140" s="1900">
        <f>NDK!Z46</f>
        <v>0</v>
      </c>
      <c r="Y140" s="1901">
        <f>$P140</f>
        <v>0.92240637835444772</v>
      </c>
      <c r="Z140" s="1901">
        <f>$Y140*$Z$99</f>
        <v>0.50732350809494631</v>
      </c>
      <c r="AA140" s="1902"/>
      <c r="AB140" s="2928">
        <f>$Z140*$J140</f>
        <v>93106.546823125027</v>
      </c>
      <c r="AC140" s="2900">
        <f>IF($AB140&gt;$AX$1,$AY$1+$AZ$1*$AB140,$AB140)</f>
        <v>93106.546823125027</v>
      </c>
      <c r="AD140" s="2931">
        <f>MAX($AC140,$N140)</f>
        <v>1026840</v>
      </c>
      <c r="AE140" s="1903">
        <f t="shared" si="23"/>
        <v>1026840</v>
      </c>
      <c r="AF140" s="1926">
        <f>$AE140*$X140</f>
        <v>0</v>
      </c>
      <c r="AG140" s="1921">
        <f>$K140-$O140-$X140</f>
        <v>0</v>
      </c>
      <c r="AH140" s="2934">
        <f>$L140</f>
        <v>169284.63058750003</v>
      </c>
      <c r="AI140" s="2934">
        <f>ROUND(MAX($AK140,$N140)/120,0)*120</f>
        <v>1026840</v>
      </c>
      <c r="AJ140" s="1930">
        <f>$AI140*$AG140</f>
        <v>0</v>
      </c>
      <c r="AK140" s="2859">
        <f>IF($AH140&gt;$AX$1,$AY$1+$AZ$1*$AH140,$AH140)</f>
        <v>160644.16555237502</v>
      </c>
      <c r="AL140" s="2737"/>
      <c r="AM140" s="579"/>
    </row>
    <row r="141" spans="1:39">
      <c r="A141" s="550">
        <v>1193</v>
      </c>
      <c r="B141" s="550" t="s">
        <v>401</v>
      </c>
      <c r="C141" s="551"/>
      <c r="I141" s="500" t="s">
        <v>4873</v>
      </c>
      <c r="J141" s="2897">
        <f t="shared" si="18"/>
        <v>306323</v>
      </c>
      <c r="K141" s="553">
        <f t="shared" si="19"/>
        <v>0</v>
      </c>
      <c r="L141" s="579">
        <f t="shared" si="20"/>
        <v>262283.66972050001</v>
      </c>
      <c r="M141" s="579"/>
      <c r="N141" s="2842">
        <f>$P43</f>
        <v>1026840</v>
      </c>
      <c r="O141" s="1889">
        <f>NDK!Y47</f>
        <v>0</v>
      </c>
      <c r="P141" s="1892">
        <f t="shared" si="21"/>
        <v>0.85623237471721025</v>
      </c>
      <c r="Q141" s="1892">
        <f>$P141*$S$98</f>
        <v>0.71067287101528442</v>
      </c>
      <c r="R141" s="1889"/>
      <c r="S141" s="2917">
        <f t="shared" si="22"/>
        <v>217695.44586801497</v>
      </c>
      <c r="T141" s="2918">
        <f>IF($S141&gt;$AX$1,$AY$1+$AZ$1*$S141,$S141)</f>
        <v>197920.49331837153</v>
      </c>
      <c r="U141" s="2924">
        <f>MAX($N141,$T141)</f>
        <v>1026840</v>
      </c>
      <c r="V141" s="2927">
        <f>ROUND($U141/120,0)*120</f>
        <v>1026840</v>
      </c>
      <c r="W141" s="1912">
        <f>$V141*$O141</f>
        <v>0</v>
      </c>
      <c r="X141" s="1900">
        <f>NDK!Z47</f>
        <v>0</v>
      </c>
      <c r="Y141" s="1901">
        <f>$P141</f>
        <v>0.85623237471721025</v>
      </c>
      <c r="Z141" s="1901">
        <f>$Y141*$Z$99</f>
        <v>0.47092780609446566</v>
      </c>
      <c r="AA141" s="1902"/>
      <c r="AB141" s="2928">
        <f>$Z141*$J141</f>
        <v>144256.018346275</v>
      </c>
      <c r="AC141" s="2900">
        <f>IF($AB141&gt;$AX$1,$AY$1+$AZ$1*$AB141,$AB141)</f>
        <v>141372.13412663175</v>
      </c>
      <c r="AD141" s="2931">
        <f>MAX($AC141,$N141)</f>
        <v>1026840</v>
      </c>
      <c r="AE141" s="1903">
        <f t="shared" si="23"/>
        <v>1026840</v>
      </c>
      <c r="AF141" s="1926">
        <f>$AE141*$X141</f>
        <v>0</v>
      </c>
      <c r="AG141" s="1921">
        <f>$K141-$O141-$X141</f>
        <v>0</v>
      </c>
      <c r="AH141" s="2934">
        <f>$L141</f>
        <v>262283.66972050001</v>
      </c>
      <c r="AI141" s="2934">
        <f>ROUND(MAX($AK141,$N141)/120,0)*120</f>
        <v>1026840</v>
      </c>
      <c r="AJ141" s="1930">
        <f>$AI141*$AG141</f>
        <v>0</v>
      </c>
      <c r="AK141" s="2859">
        <f>IF($AH141&gt;$AX$1,$AY$1+$AZ$1*$AH141,$AH141)</f>
        <v>232253.425684785</v>
      </c>
      <c r="AL141" s="2737"/>
      <c r="AM141" s="579"/>
    </row>
    <row r="142" spans="1:39">
      <c r="A142" s="550">
        <v>1194</v>
      </c>
      <c r="B142" s="550" t="s">
        <v>401</v>
      </c>
      <c r="C142" s="551"/>
      <c r="I142" s="500" t="s">
        <v>490</v>
      </c>
      <c r="J142" s="2897">
        <f t="shared" si="18"/>
        <v>302535</v>
      </c>
      <c r="K142" s="553">
        <f t="shared" si="19"/>
        <v>0</v>
      </c>
      <c r="L142" s="579">
        <f t="shared" si="20"/>
        <v>259414.89042250003</v>
      </c>
      <c r="M142" s="579"/>
      <c r="N142" s="2842">
        <f>$P44</f>
        <v>1026840</v>
      </c>
      <c r="O142" s="1889">
        <f>NDK!Y48</f>
        <v>0</v>
      </c>
      <c r="P142" s="1892">
        <f t="shared" si="21"/>
        <v>0.85747067421124834</v>
      </c>
      <c r="Q142" s="1892">
        <f>$P142*$S$98</f>
        <v>0.71170065959533613</v>
      </c>
      <c r="R142" s="1889"/>
      <c r="S142" s="2917">
        <f t="shared" si="22"/>
        <v>215314.359050675</v>
      </c>
      <c r="T142" s="2918">
        <f>IF($S142&gt;$AX$1,$AY$1+$AZ$1*$S142,$S142)</f>
        <v>196087.05646901976</v>
      </c>
      <c r="U142" s="2924">
        <f>MAX($N142,$T142)</f>
        <v>1026840</v>
      </c>
      <c r="V142" s="2927">
        <f>ROUND($U142/120,0)*120</f>
        <v>1026840</v>
      </c>
      <c r="W142" s="1912">
        <f>$V142*$O142</f>
        <v>0</v>
      </c>
      <c r="X142" s="1900">
        <f>NDK!Z48</f>
        <v>0</v>
      </c>
      <c r="Y142" s="1901">
        <f>$P142</f>
        <v>0.85747067421124834</v>
      </c>
      <c r="Z142" s="1901">
        <f>$Y142*$Z$99</f>
        <v>0.47160887081618663</v>
      </c>
      <c r="AA142" s="1902"/>
      <c r="AB142" s="2928">
        <f>$Z142*$J142</f>
        <v>142678.18973237503</v>
      </c>
      <c r="AC142" s="2900">
        <f>IF($AB142&gt;$AX$1,$AY$1+$AZ$1*$AB142,$AB142)</f>
        <v>140157.20609392878</v>
      </c>
      <c r="AD142" s="2931">
        <f>MAX($AC142,$N142)</f>
        <v>1026840</v>
      </c>
      <c r="AE142" s="1903">
        <f t="shared" si="23"/>
        <v>1026840</v>
      </c>
      <c r="AF142" s="1926">
        <f>$AE142*$X142</f>
        <v>0</v>
      </c>
      <c r="AG142" s="1921">
        <f>$K142-$O142-$X142</f>
        <v>0</v>
      </c>
      <c r="AH142" s="2934">
        <f>$L142</f>
        <v>259414.89042250003</v>
      </c>
      <c r="AI142" s="2934">
        <f>ROUND(MAX($AK142,$N142)/120,0)*120</f>
        <v>1026840</v>
      </c>
      <c r="AJ142" s="1930">
        <f>$AI142*$AG142</f>
        <v>0</v>
      </c>
      <c r="AK142" s="2859">
        <f>IF($AH142&gt;$AX$1,$AY$1+$AZ$1*$AH142,$AH142)</f>
        <v>230044.46562532501</v>
      </c>
      <c r="AL142" s="2737"/>
      <c r="AM142" s="579"/>
    </row>
    <row r="143" spans="1:39">
      <c r="A143" s="550">
        <v>1195</v>
      </c>
      <c r="B143" s="550" t="s">
        <v>401</v>
      </c>
      <c r="C143" s="551"/>
      <c r="I143" s="500" t="s">
        <v>4874</v>
      </c>
      <c r="J143" s="2897">
        <f t="shared" si="18"/>
        <v>559674</v>
      </c>
      <c r="K143" s="553">
        <f t="shared" si="19"/>
        <v>0</v>
      </c>
      <c r="L143" s="579">
        <f t="shared" si="20"/>
        <v>454154.86927900004</v>
      </c>
      <c r="M143" s="579"/>
      <c r="N143" s="2842"/>
      <c r="O143" s="1893"/>
      <c r="P143" s="1893"/>
      <c r="Q143" s="1893"/>
      <c r="R143" s="1893"/>
      <c r="S143" s="2919"/>
      <c r="T143" s="2920"/>
      <c r="U143" s="2925"/>
      <c r="V143" s="2925"/>
      <c r="W143" s="1913"/>
      <c r="X143" s="1904"/>
      <c r="Y143" s="1905"/>
      <c r="Z143" s="1905"/>
      <c r="AA143" s="1905"/>
      <c r="AB143" s="2929"/>
      <c r="AC143" s="2901"/>
      <c r="AD143" s="2932"/>
      <c r="AE143" s="1903">
        <f t="shared" si="23"/>
        <v>0</v>
      </c>
      <c r="AF143" s="1927"/>
      <c r="AG143" s="1922"/>
      <c r="AH143" s="2935"/>
      <c r="AI143" s="2935"/>
      <c r="AJ143" s="2937"/>
      <c r="AK143" s="2938"/>
      <c r="AL143" s="2737"/>
      <c r="AM143" s="579"/>
    </row>
    <row r="144" spans="1:39">
      <c r="A144" s="550">
        <v>1196</v>
      </c>
      <c r="B144" s="550" t="s">
        <v>401</v>
      </c>
      <c r="C144" s="551"/>
      <c r="I144" s="1374" t="s">
        <v>220</v>
      </c>
      <c r="J144" s="2897">
        <f>$J48</f>
        <v>104810</v>
      </c>
      <c r="K144" s="553">
        <f>NDK!$T6</f>
        <v>0</v>
      </c>
      <c r="L144" s="553">
        <f>$L48</f>
        <v>103085.87550000001</v>
      </c>
      <c r="N144" s="2842">
        <f>$P48</f>
        <v>26760</v>
      </c>
      <c r="O144" s="1889">
        <f>NDK!V6</f>
        <v>0</v>
      </c>
      <c r="P144" s="1892">
        <f t="shared" si="21"/>
        <v>0.98355000000000004</v>
      </c>
      <c r="Q144" s="1892">
        <f>$P144*$S$98</f>
        <v>0.81634649999999997</v>
      </c>
      <c r="R144" s="1889"/>
      <c r="S144" s="2917">
        <f t="shared" si="22"/>
        <v>85561.276664999998</v>
      </c>
      <c r="T144" s="2918">
        <f>IF($S144&gt;$AX$1,$AY$1+$AZ$1*$S144,$S144)</f>
        <v>85561.276664999998</v>
      </c>
      <c r="U144" s="2924">
        <f>MAX($N144,$T144)</f>
        <v>85561.276664999998</v>
      </c>
      <c r="V144" s="2927">
        <f>ROUND($U144/120,0)*120</f>
        <v>85560</v>
      </c>
      <c r="W144" s="1912">
        <f>$V144*$O144</f>
        <v>0</v>
      </c>
      <c r="X144" s="1900">
        <f>NDK!W6</f>
        <v>0</v>
      </c>
      <c r="Y144" s="1901">
        <f>$P144</f>
        <v>0.98355000000000004</v>
      </c>
      <c r="Z144" s="1901">
        <f>$Y144*$Z$99</f>
        <v>0.54095250000000006</v>
      </c>
      <c r="AA144" s="1902"/>
      <c r="AB144" s="2928">
        <f>$Z144*$J144</f>
        <v>56697.231525000003</v>
      </c>
      <c r="AC144" s="2900">
        <f>IF($AB144&gt;$AX$1,$AY$1+$AZ$1*$AB144,$AB144)</f>
        <v>56697.231525000003</v>
      </c>
      <c r="AD144" s="2931">
        <f>MAX($AC144,$N144)</f>
        <v>56697.231525000003</v>
      </c>
      <c r="AE144" s="1903">
        <f t="shared" si="23"/>
        <v>56640</v>
      </c>
      <c r="AF144" s="1926">
        <f>$AE144*$X144</f>
        <v>0</v>
      </c>
      <c r="AG144" s="1921">
        <f>$K144-$O144-$X144</f>
        <v>0</v>
      </c>
      <c r="AH144" s="2934">
        <f>$L144</f>
        <v>103085.87550000001</v>
      </c>
      <c r="AI144" s="2934">
        <f>ROUND(MAX($AK144,$N144)/120,0)*120</f>
        <v>103080</v>
      </c>
      <c r="AJ144" s="1930">
        <f>$AI144*$AG144</f>
        <v>0</v>
      </c>
      <c r="AK144" s="2859">
        <f>IF($AH144&gt;$AX$1,$AY$1+$AZ$1*$AH144,$AH144)</f>
        <v>103085.87550000001</v>
      </c>
      <c r="AL144" s="2737"/>
    </row>
    <row r="145" spans="1:38">
      <c r="A145" s="550">
        <v>1201</v>
      </c>
      <c r="B145" s="550" t="s">
        <v>401</v>
      </c>
      <c r="C145" s="551"/>
      <c r="I145" s="1374" t="s">
        <v>221</v>
      </c>
      <c r="J145" s="2897">
        <f>$J49</f>
        <v>109803</v>
      </c>
      <c r="K145" s="553">
        <f>NDK!T7</f>
        <v>0</v>
      </c>
      <c r="L145" s="553">
        <f>$L49</f>
        <v>107996.74065000002</v>
      </c>
      <c r="N145" s="2842">
        <f>$P49</f>
        <v>27840</v>
      </c>
      <c r="O145" s="1889">
        <f>NDK!V7</f>
        <v>0</v>
      </c>
      <c r="P145" s="1892">
        <f t="shared" si="21"/>
        <v>0.98355000000000015</v>
      </c>
      <c r="Q145" s="1892">
        <f>$P145*$S$98</f>
        <v>0.81634650000000009</v>
      </c>
      <c r="R145" s="1889"/>
      <c r="S145" s="2917">
        <f t="shared" si="22"/>
        <v>89637.294739500008</v>
      </c>
      <c r="T145" s="2918">
        <f>IF($S145&gt;$AX$1,$AY$1+$AZ$1*$S145,$S145)</f>
        <v>89637.294739500008</v>
      </c>
      <c r="U145" s="2924">
        <f>MAX($N145,$T145)</f>
        <v>89637.294739500008</v>
      </c>
      <c r="V145" s="2927">
        <f>ROUND($U145/120,0)*120</f>
        <v>89640</v>
      </c>
      <c r="W145" s="1912">
        <f>$V145*$O145</f>
        <v>0</v>
      </c>
      <c r="X145" s="1900">
        <f>NDK!W7</f>
        <v>0</v>
      </c>
      <c r="Y145" s="1901">
        <f>$P145</f>
        <v>0.98355000000000015</v>
      </c>
      <c r="Z145" s="1901">
        <f>$Y145*$Z$99</f>
        <v>0.54095250000000017</v>
      </c>
      <c r="AA145" s="1902"/>
      <c r="AB145" s="2928">
        <f>$Z145*$J145</f>
        <v>59398.207357500018</v>
      </c>
      <c r="AC145" s="2900">
        <f>IF($AB145&gt;$AX$1,$AY$1+$AZ$1*$AB145,$AB145)</f>
        <v>59398.207357500018</v>
      </c>
      <c r="AD145" s="2931">
        <f>MAX($AC145,$N145)</f>
        <v>59398.207357500018</v>
      </c>
      <c r="AE145" s="1903">
        <f t="shared" si="23"/>
        <v>59400</v>
      </c>
      <c r="AF145" s="1926">
        <f>$AE145*$X145</f>
        <v>0</v>
      </c>
      <c r="AG145" s="1921">
        <f>$K145-$O145-$X145</f>
        <v>0</v>
      </c>
      <c r="AH145" s="2934">
        <f>$L145</f>
        <v>107996.74065000002</v>
      </c>
      <c r="AI145" s="2934">
        <f>ROUND(MAX($AK145,$N145)/120,0)*120</f>
        <v>108000</v>
      </c>
      <c r="AJ145" s="1930">
        <f>$AI145*$AG145</f>
        <v>0</v>
      </c>
      <c r="AK145" s="2859">
        <f>IF($AH145&gt;$AX$1,$AY$1+$AZ$1*$AH145,$AH145)</f>
        <v>107996.74065000002</v>
      </c>
      <c r="AL145" s="2737"/>
    </row>
    <row r="146" spans="1:38">
      <c r="A146" s="550">
        <v>1202</v>
      </c>
      <c r="B146" s="550" t="s">
        <v>401</v>
      </c>
      <c r="C146" s="551"/>
      <c r="I146" s="1371" t="s">
        <v>222</v>
      </c>
      <c r="J146" s="2897">
        <f>$J50</f>
        <v>106632</v>
      </c>
      <c r="K146" s="553">
        <f>NDK!T8</f>
        <v>0</v>
      </c>
      <c r="L146" s="553">
        <f>$L50</f>
        <v>104877.90360000002</v>
      </c>
      <c r="N146" s="2842">
        <f>$P50</f>
        <v>29160</v>
      </c>
      <c r="O146" s="1889">
        <f>NDK!V8</f>
        <v>0</v>
      </c>
      <c r="P146" s="1892">
        <f t="shared" si="21"/>
        <v>0.98355000000000015</v>
      </c>
      <c r="Q146" s="1892">
        <f>$P146*$S$98</f>
        <v>0.81634650000000009</v>
      </c>
      <c r="R146" s="1889"/>
      <c r="S146" s="2917">
        <f t="shared" si="22"/>
        <v>87048.659988000014</v>
      </c>
      <c r="T146" s="2918">
        <f>IF($S146&gt;$AX$1,$AY$1+$AZ$1*$S146,$S146)</f>
        <v>87048.659988000014</v>
      </c>
      <c r="U146" s="2924">
        <f>MAX($N146,$T146)</f>
        <v>87048.659988000014</v>
      </c>
      <c r="V146" s="2927">
        <f>ROUND($U146/120,0)*120</f>
        <v>87000</v>
      </c>
      <c r="W146" s="1912">
        <f>$V146*$O146</f>
        <v>0</v>
      </c>
      <c r="X146" s="1900">
        <f>NDK!W8</f>
        <v>0</v>
      </c>
      <c r="Y146" s="1901">
        <f>$P146</f>
        <v>0.98355000000000015</v>
      </c>
      <c r="Z146" s="1901">
        <f>$Y146*$Z$99</f>
        <v>0.54095250000000017</v>
      </c>
      <c r="AA146" s="1902"/>
      <c r="AB146" s="2928">
        <f>$Z146*$J146</f>
        <v>57682.846980000017</v>
      </c>
      <c r="AC146" s="2900">
        <f>IF($AB146&gt;$AX$1,$AY$1+$AZ$1*$AB146,$AB146)</f>
        <v>57682.846980000017</v>
      </c>
      <c r="AD146" s="2931">
        <f>MAX($AC146,$N146)</f>
        <v>57682.846980000017</v>
      </c>
      <c r="AE146" s="1903">
        <f t="shared" si="23"/>
        <v>57720</v>
      </c>
      <c r="AF146" s="1926">
        <f>$AE146*$X146</f>
        <v>0</v>
      </c>
      <c r="AG146" s="1921">
        <f>$K146-$O146-$X146</f>
        <v>0</v>
      </c>
      <c r="AH146" s="2934">
        <f>$L146</f>
        <v>104877.90360000002</v>
      </c>
      <c r="AI146" s="2934">
        <f>ROUND(MAX($AK146,$N146)/120,0)*120</f>
        <v>104880</v>
      </c>
      <c r="AJ146" s="1930">
        <f>$AI146*$AG146</f>
        <v>0</v>
      </c>
      <c r="AK146" s="2859">
        <f>IF($AH146&gt;$AX$1,$AY$1+$AZ$1*$AH146,$AH146)</f>
        <v>104877.90360000002</v>
      </c>
      <c r="AL146" s="2737"/>
    </row>
    <row r="147" spans="1:38" ht="13.5" thickBot="1">
      <c r="A147" s="550">
        <v>1203</v>
      </c>
      <c r="B147" s="550" t="s">
        <v>401</v>
      </c>
      <c r="C147" s="551"/>
      <c r="I147" s="1375" t="s">
        <v>223</v>
      </c>
      <c r="J147" s="2897">
        <f>$J51</f>
        <v>157230</v>
      </c>
      <c r="K147" s="553">
        <f>NDK!T9</f>
        <v>0</v>
      </c>
      <c r="L147" s="553">
        <f>$L51</f>
        <v>154643.56650000002</v>
      </c>
      <c r="N147" s="2842">
        <f>$P51</f>
        <v>44520</v>
      </c>
      <c r="O147" s="1889">
        <f>NDK!V9</f>
        <v>0</v>
      </c>
      <c r="P147" s="1892">
        <f t="shared" si="21"/>
        <v>0.98355000000000015</v>
      </c>
      <c r="Q147" s="1892">
        <f>$P147*$S$98</f>
        <v>0.81634650000000009</v>
      </c>
      <c r="R147" s="1889"/>
      <c r="S147" s="2917">
        <f t="shared" si="22"/>
        <v>128354.16019500002</v>
      </c>
      <c r="T147" s="2918">
        <f>IF($S147&gt;$AX$1,$AY$1+$AZ$1*$S147,$S147)</f>
        <v>128354.16019500002</v>
      </c>
      <c r="U147" s="2924">
        <f>MAX($N147,$T147)</f>
        <v>128354.16019500002</v>
      </c>
      <c r="V147" s="2927">
        <f>ROUND($U147/120,0)*120</f>
        <v>128400</v>
      </c>
      <c r="W147" s="1912">
        <f>$V147*$O147</f>
        <v>0</v>
      </c>
      <c r="X147" s="1908">
        <f>NDK!W9</f>
        <v>0</v>
      </c>
      <c r="Y147" s="1901">
        <f>$P147</f>
        <v>0.98355000000000015</v>
      </c>
      <c r="Z147" s="1901">
        <f>$Y147*$Z$99</f>
        <v>0.54095250000000017</v>
      </c>
      <c r="AA147" s="1909"/>
      <c r="AB147" s="2928">
        <f>$Z147*$J147</f>
        <v>85053.961575000023</v>
      </c>
      <c r="AC147" s="2900">
        <f>IF($AB147&gt;$AX$1,$AY$1+$AZ$1*$AB147,$AB147)</f>
        <v>85053.961575000023</v>
      </c>
      <c r="AD147" s="2931">
        <f>MAX($AC147,$N147)</f>
        <v>85053.961575000023</v>
      </c>
      <c r="AE147" s="1903">
        <f t="shared" si="23"/>
        <v>85080</v>
      </c>
      <c r="AF147" s="1926">
        <f>$AE147*$X147</f>
        <v>0</v>
      </c>
      <c r="AG147" s="1924">
        <f>$K147-$O147-$X147</f>
        <v>0</v>
      </c>
      <c r="AH147" s="2934">
        <f>$L147</f>
        <v>154643.56650000002</v>
      </c>
      <c r="AI147" s="2934">
        <f>ROUND(MAX($AK147,$N147)/120,0)*120</f>
        <v>149400</v>
      </c>
      <c r="AJ147" s="1930">
        <f>$AI147*$AG147</f>
        <v>0</v>
      </c>
      <c r="AK147" s="2859">
        <f>IF($AH147&gt;$AX$1,$AY$1+$AZ$1*$AH147,$AH147)</f>
        <v>149370.54620500002</v>
      </c>
      <c r="AL147" s="2737"/>
    </row>
    <row r="148" spans="1:38" ht="16.5" thickTop="1">
      <c r="A148" s="550">
        <v>1204</v>
      </c>
      <c r="B148" s="550" t="s">
        <v>401</v>
      </c>
      <c r="C148" s="551"/>
      <c r="V148" s="1911" t="s">
        <v>787</v>
      </c>
      <c r="W148" s="1915">
        <f>SUM(W101:W147)</f>
        <v>0</v>
      </c>
      <c r="AD148" s="1925" t="s">
        <v>790</v>
      </c>
      <c r="AE148" s="1925"/>
      <c r="AF148" s="1929">
        <f>SUM(AF101:AF147)</f>
        <v>0</v>
      </c>
      <c r="AH148" s="1925" t="s">
        <v>791</v>
      </c>
      <c r="AI148" s="1925"/>
      <c r="AJ148" s="1929">
        <f>SUM(AJ101:AJ147)</f>
        <v>0</v>
      </c>
      <c r="AK148" s="1929"/>
      <c r="AL148" s="1929"/>
    </row>
    <row r="149" spans="1:38">
      <c r="A149" s="550">
        <v>1205</v>
      </c>
      <c r="B149" s="550" t="s">
        <v>401</v>
      </c>
      <c r="C149" s="551"/>
      <c r="J149" s="553" t="s">
        <v>793</v>
      </c>
      <c r="O149" s="553" t="s">
        <v>794</v>
      </c>
      <c r="P149" s="1934">
        <f>$U$46</f>
        <v>0</v>
      </c>
    </row>
    <row r="150" spans="1:38">
      <c r="A150" s="550">
        <v>1211</v>
      </c>
      <c r="B150" s="550" t="s">
        <v>401</v>
      </c>
      <c r="C150" s="551"/>
      <c r="O150" s="553" t="s">
        <v>795</v>
      </c>
      <c r="P150" s="1934">
        <f>$W$148</f>
        <v>0</v>
      </c>
    </row>
    <row r="151" spans="1:38">
      <c r="A151" s="550">
        <v>1212</v>
      </c>
      <c r="B151" s="550" t="s">
        <v>401</v>
      </c>
      <c r="C151" s="551"/>
      <c r="O151" s="553" t="s">
        <v>796</v>
      </c>
      <c r="P151" s="1934">
        <f>$AF$148</f>
        <v>0</v>
      </c>
    </row>
    <row r="152" spans="1:38">
      <c r="A152" s="550">
        <v>1213</v>
      </c>
      <c r="B152" s="550" t="s">
        <v>401</v>
      </c>
      <c r="C152" s="551"/>
      <c r="O152" s="553" t="s">
        <v>797</v>
      </c>
      <c r="P152" s="1934">
        <f>$AJ$148</f>
        <v>0</v>
      </c>
    </row>
    <row r="153" spans="1:38">
      <c r="A153" s="550">
        <v>1214</v>
      </c>
      <c r="B153" s="550" t="s">
        <v>401</v>
      </c>
      <c r="C153" s="551"/>
      <c r="O153" s="1910" t="s">
        <v>798</v>
      </c>
      <c r="P153" s="1935">
        <f>SUM(P149:P152)</f>
        <v>0</v>
      </c>
    </row>
    <row r="154" spans="1:38">
      <c r="A154" s="550">
        <v>1215</v>
      </c>
      <c r="B154" s="550" t="s">
        <v>401</v>
      </c>
      <c r="C154" s="551"/>
    </row>
    <row r="155" spans="1:38">
      <c r="A155" s="550">
        <v>1221</v>
      </c>
      <c r="B155" s="550" t="s">
        <v>401</v>
      </c>
      <c r="C155" s="551"/>
    </row>
    <row r="156" spans="1:38">
      <c r="A156" s="550">
        <v>1222</v>
      </c>
      <c r="B156" s="550" t="s">
        <v>401</v>
      </c>
      <c r="C156" s="551"/>
    </row>
    <row r="157" spans="1:38">
      <c r="A157" s="550">
        <v>1223</v>
      </c>
      <c r="B157" s="550" t="s">
        <v>401</v>
      </c>
      <c r="C157" s="551"/>
    </row>
    <row r="158" spans="1:38">
      <c r="A158" s="550">
        <v>1224</v>
      </c>
      <c r="B158" s="550" t="s">
        <v>401</v>
      </c>
      <c r="C158" s="551"/>
    </row>
    <row r="159" spans="1:38">
      <c r="A159" s="550">
        <v>1225</v>
      </c>
      <c r="B159" s="550" t="s">
        <v>401</v>
      </c>
      <c r="C159" s="551"/>
    </row>
    <row r="160" spans="1:38">
      <c r="A160" s="550">
        <v>1237</v>
      </c>
      <c r="B160" s="550" t="s">
        <v>401</v>
      </c>
      <c r="C160" s="551"/>
    </row>
    <row r="161" spans="1:3">
      <c r="A161" s="550">
        <v>1238</v>
      </c>
      <c r="B161" s="550" t="s">
        <v>401</v>
      </c>
      <c r="C161" s="551"/>
    </row>
    <row r="162" spans="1:3">
      <c r="A162" s="550">
        <v>1239</v>
      </c>
      <c r="B162" s="550" t="s">
        <v>401</v>
      </c>
      <c r="C162" s="551"/>
    </row>
    <row r="163" spans="1:3">
      <c r="A163" s="550">
        <v>1529</v>
      </c>
      <c r="B163" s="550" t="s">
        <v>401</v>
      </c>
      <c r="C163" s="551"/>
    </row>
    <row r="164" spans="1:3">
      <c r="A164" s="627">
        <v>2000</v>
      </c>
      <c r="B164" s="628" t="s">
        <v>2819</v>
      </c>
      <c r="C164" s="629" t="s">
        <v>418</v>
      </c>
    </row>
    <row r="165" spans="1:3">
      <c r="A165" s="627">
        <v>2009</v>
      </c>
      <c r="B165" s="628" t="s">
        <v>2820</v>
      </c>
      <c r="C165" s="629" t="s">
        <v>418</v>
      </c>
    </row>
    <row r="166" spans="1:3">
      <c r="A166" s="627">
        <v>2011</v>
      </c>
      <c r="B166" s="628" t="s">
        <v>2821</v>
      </c>
      <c r="C166" s="629" t="s">
        <v>418</v>
      </c>
    </row>
    <row r="167" spans="1:3">
      <c r="A167" s="627">
        <v>2013</v>
      </c>
      <c r="B167" s="628" t="s">
        <v>2822</v>
      </c>
      <c r="C167" s="629" t="s">
        <v>418</v>
      </c>
    </row>
    <row r="168" spans="1:3">
      <c r="A168" s="627">
        <v>2014</v>
      </c>
      <c r="B168" s="628" t="s">
        <v>2823</v>
      </c>
      <c r="C168" s="629" t="s">
        <v>418</v>
      </c>
    </row>
    <row r="169" spans="1:3">
      <c r="A169" s="627">
        <v>2015</v>
      </c>
      <c r="B169" s="628" t="s">
        <v>2824</v>
      </c>
      <c r="C169" s="629" t="s">
        <v>418</v>
      </c>
    </row>
    <row r="170" spans="1:3">
      <c r="A170" s="627">
        <v>2016</v>
      </c>
      <c r="B170" s="628" t="s">
        <v>2825</v>
      </c>
      <c r="C170" s="629" t="s">
        <v>418</v>
      </c>
    </row>
    <row r="171" spans="1:3">
      <c r="A171" s="627">
        <v>2017</v>
      </c>
      <c r="B171" s="628" t="s">
        <v>3179</v>
      </c>
      <c r="C171" s="629" t="s">
        <v>418</v>
      </c>
    </row>
    <row r="172" spans="1:3">
      <c r="A172" s="627">
        <v>2021</v>
      </c>
      <c r="B172" s="628" t="s">
        <v>2829</v>
      </c>
      <c r="C172" s="629" t="s">
        <v>418</v>
      </c>
    </row>
    <row r="173" spans="1:3">
      <c r="A173" s="627">
        <v>2022</v>
      </c>
      <c r="B173" s="628" t="s">
        <v>2829</v>
      </c>
      <c r="C173" s="629" t="s">
        <v>418</v>
      </c>
    </row>
    <row r="174" spans="1:3">
      <c r="A174" s="627">
        <v>2023</v>
      </c>
      <c r="B174" s="628" t="s">
        <v>2830</v>
      </c>
      <c r="C174" s="629" t="s">
        <v>418</v>
      </c>
    </row>
    <row r="175" spans="1:3">
      <c r="A175" s="627">
        <v>2024</v>
      </c>
      <c r="B175" s="628" t="s">
        <v>2831</v>
      </c>
      <c r="C175" s="629" t="s">
        <v>418</v>
      </c>
    </row>
    <row r="176" spans="1:3">
      <c r="A176" s="627">
        <v>2025</v>
      </c>
      <c r="B176" s="628" t="s">
        <v>2832</v>
      </c>
      <c r="C176" s="629" t="s">
        <v>418</v>
      </c>
    </row>
    <row r="177" spans="1:3">
      <c r="A177" s="627">
        <v>2026</v>
      </c>
      <c r="B177" s="628" t="s">
        <v>2832</v>
      </c>
      <c r="C177" s="629" t="s">
        <v>418</v>
      </c>
    </row>
    <row r="178" spans="1:3">
      <c r="A178" s="627">
        <v>2027</v>
      </c>
      <c r="B178" s="628" t="s">
        <v>2833</v>
      </c>
      <c r="C178" s="629" t="s">
        <v>420</v>
      </c>
    </row>
    <row r="179" spans="1:3">
      <c r="A179" s="627">
        <v>2028</v>
      </c>
      <c r="B179" s="628" t="s">
        <v>2834</v>
      </c>
      <c r="C179" s="629" t="s">
        <v>420</v>
      </c>
    </row>
    <row r="180" spans="1:3">
      <c r="A180" s="627">
        <v>2030</v>
      </c>
      <c r="B180" s="628" t="s">
        <v>2835</v>
      </c>
      <c r="C180" s="629" t="s">
        <v>418</v>
      </c>
    </row>
    <row r="181" spans="1:3">
      <c r="A181" s="627">
        <v>2035</v>
      </c>
      <c r="B181" s="628" t="s">
        <v>2835</v>
      </c>
      <c r="C181" s="629" t="s">
        <v>418</v>
      </c>
    </row>
    <row r="182" spans="1:3">
      <c r="A182" s="627">
        <v>2036</v>
      </c>
      <c r="B182" s="628" t="s">
        <v>2835</v>
      </c>
      <c r="C182" s="629" t="s">
        <v>418</v>
      </c>
    </row>
    <row r="183" spans="1:3">
      <c r="A183" s="627">
        <v>2038</v>
      </c>
      <c r="B183" s="628" t="s">
        <v>2838</v>
      </c>
      <c r="C183" s="629" t="s">
        <v>418</v>
      </c>
    </row>
    <row r="184" spans="1:3">
      <c r="A184" s="627">
        <v>2039</v>
      </c>
      <c r="B184" s="628" t="s">
        <v>2839</v>
      </c>
      <c r="C184" s="629" t="s">
        <v>418</v>
      </c>
    </row>
    <row r="185" spans="1:3">
      <c r="A185" s="627">
        <v>2040</v>
      </c>
      <c r="B185" s="628" t="s">
        <v>2840</v>
      </c>
      <c r="C185" s="629" t="s">
        <v>418</v>
      </c>
    </row>
    <row r="186" spans="1:3">
      <c r="A186" s="635">
        <v>2042</v>
      </c>
      <c r="B186" s="636" t="s">
        <v>2840</v>
      </c>
      <c r="C186" s="629" t="s">
        <v>418</v>
      </c>
    </row>
    <row r="187" spans="1:3">
      <c r="A187" s="627">
        <v>2045</v>
      </c>
      <c r="B187" s="628" t="s">
        <v>2841</v>
      </c>
      <c r="C187" s="629" t="s">
        <v>418</v>
      </c>
    </row>
    <row r="188" spans="1:3">
      <c r="A188" s="627">
        <v>2049</v>
      </c>
      <c r="B188" s="628" t="s">
        <v>2842</v>
      </c>
      <c r="C188" s="629" t="s">
        <v>418</v>
      </c>
    </row>
    <row r="189" spans="1:3">
      <c r="A189" s="627">
        <v>2051</v>
      </c>
      <c r="B189" s="628" t="s">
        <v>2843</v>
      </c>
      <c r="C189" s="629" t="s">
        <v>418</v>
      </c>
    </row>
    <row r="190" spans="1:3">
      <c r="A190" s="627">
        <v>2053</v>
      </c>
      <c r="B190" s="628" t="s">
        <v>538</v>
      </c>
      <c r="C190" s="629" t="s">
        <v>418</v>
      </c>
    </row>
    <row r="191" spans="1:3">
      <c r="A191" s="627">
        <v>2060</v>
      </c>
      <c r="B191" s="628" t="s">
        <v>539</v>
      </c>
      <c r="C191" s="629" t="s">
        <v>402</v>
      </c>
    </row>
    <row r="192" spans="1:3">
      <c r="A192" s="627">
        <v>2063</v>
      </c>
      <c r="B192" s="628" t="s">
        <v>540</v>
      </c>
      <c r="C192" s="629" t="s">
        <v>402</v>
      </c>
    </row>
    <row r="193" spans="1:3">
      <c r="A193" s="627">
        <v>2064</v>
      </c>
      <c r="B193" s="628" t="s">
        <v>1079</v>
      </c>
      <c r="C193" s="629" t="s">
        <v>402</v>
      </c>
    </row>
    <row r="194" spans="1:3">
      <c r="A194" s="627">
        <v>2065</v>
      </c>
      <c r="B194" s="628" t="s">
        <v>542</v>
      </c>
      <c r="C194" s="629" t="s">
        <v>402</v>
      </c>
    </row>
    <row r="195" spans="1:3">
      <c r="A195" s="627">
        <v>2066</v>
      </c>
      <c r="B195" s="628" t="s">
        <v>1080</v>
      </c>
      <c r="C195" s="629" t="s">
        <v>402</v>
      </c>
    </row>
    <row r="196" spans="1:3">
      <c r="A196" s="627">
        <v>2066</v>
      </c>
      <c r="B196" s="628" t="s">
        <v>1081</v>
      </c>
      <c r="C196" s="629" t="s">
        <v>402</v>
      </c>
    </row>
    <row r="197" spans="1:3">
      <c r="A197" s="627">
        <v>2067</v>
      </c>
      <c r="B197" s="628" t="s">
        <v>1082</v>
      </c>
      <c r="C197" s="629" t="s">
        <v>420</v>
      </c>
    </row>
    <row r="198" spans="1:3">
      <c r="A198" s="627">
        <v>2071</v>
      </c>
      <c r="B198" s="628" t="s">
        <v>3981</v>
      </c>
      <c r="C198" s="629" t="s">
        <v>418</v>
      </c>
    </row>
    <row r="199" spans="1:3">
      <c r="A199" s="627">
        <v>2072</v>
      </c>
      <c r="B199" s="628" t="s">
        <v>3982</v>
      </c>
      <c r="C199" s="629" t="s">
        <v>418</v>
      </c>
    </row>
    <row r="200" spans="1:3">
      <c r="A200" s="627">
        <v>2073</v>
      </c>
      <c r="B200" s="628" t="s">
        <v>3983</v>
      </c>
      <c r="C200" s="629" t="s">
        <v>418</v>
      </c>
    </row>
    <row r="201" spans="1:3">
      <c r="A201" s="627">
        <v>2074</v>
      </c>
      <c r="B201" s="628" t="s">
        <v>3984</v>
      </c>
      <c r="C201" s="629" t="s">
        <v>418</v>
      </c>
    </row>
    <row r="202" spans="1:3">
      <c r="A202" s="627">
        <v>2080</v>
      </c>
      <c r="B202" s="628" t="s">
        <v>3985</v>
      </c>
      <c r="C202" s="629" t="s">
        <v>418</v>
      </c>
    </row>
    <row r="203" spans="1:3">
      <c r="A203" s="627">
        <v>2081</v>
      </c>
      <c r="B203" s="628" t="s">
        <v>3986</v>
      </c>
      <c r="C203" s="629" t="s">
        <v>418</v>
      </c>
    </row>
    <row r="204" spans="1:3">
      <c r="A204" s="627">
        <v>2083</v>
      </c>
      <c r="B204" s="628" t="s">
        <v>3987</v>
      </c>
      <c r="C204" s="629" t="s">
        <v>418</v>
      </c>
    </row>
    <row r="205" spans="1:3">
      <c r="A205" s="627">
        <v>2084</v>
      </c>
      <c r="B205" s="628" t="s">
        <v>3988</v>
      </c>
      <c r="C205" s="629" t="s">
        <v>418</v>
      </c>
    </row>
    <row r="206" spans="1:3">
      <c r="A206" s="627">
        <v>2085</v>
      </c>
      <c r="B206" s="628" t="s">
        <v>3989</v>
      </c>
      <c r="C206" s="629" t="s">
        <v>418</v>
      </c>
    </row>
    <row r="207" spans="1:3">
      <c r="A207" s="627">
        <v>2086</v>
      </c>
      <c r="B207" s="628" t="s">
        <v>3990</v>
      </c>
      <c r="C207" s="629" t="s">
        <v>418</v>
      </c>
    </row>
    <row r="208" spans="1:3">
      <c r="A208" s="627">
        <v>2087</v>
      </c>
      <c r="B208" s="628" t="s">
        <v>3986</v>
      </c>
      <c r="C208" s="629" t="s">
        <v>418</v>
      </c>
    </row>
    <row r="209" spans="1:3">
      <c r="A209" s="627">
        <v>2089</v>
      </c>
      <c r="B209" s="628" t="s">
        <v>3991</v>
      </c>
      <c r="C209" s="629" t="s">
        <v>418</v>
      </c>
    </row>
    <row r="210" spans="1:3">
      <c r="A210" s="627">
        <v>2091</v>
      </c>
      <c r="B210" s="628" t="s">
        <v>3993</v>
      </c>
      <c r="C210" s="629" t="s">
        <v>402</v>
      </c>
    </row>
    <row r="211" spans="1:3">
      <c r="A211" s="627">
        <v>2092</v>
      </c>
      <c r="B211" s="628" t="s">
        <v>3994</v>
      </c>
      <c r="C211" s="629" t="s">
        <v>418</v>
      </c>
    </row>
    <row r="212" spans="1:3">
      <c r="A212" s="627">
        <v>2093</v>
      </c>
      <c r="B212" s="628" t="s">
        <v>3995</v>
      </c>
      <c r="C212" s="629" t="s">
        <v>418</v>
      </c>
    </row>
    <row r="213" spans="1:3">
      <c r="A213" s="627">
        <v>2094</v>
      </c>
      <c r="B213" s="628" t="s">
        <v>1087</v>
      </c>
      <c r="C213" s="629" t="s">
        <v>418</v>
      </c>
    </row>
    <row r="214" spans="1:3">
      <c r="A214" s="627">
        <v>2094</v>
      </c>
      <c r="B214" s="628" t="s">
        <v>3992</v>
      </c>
      <c r="C214" s="629" t="s">
        <v>418</v>
      </c>
    </row>
    <row r="215" spans="1:3">
      <c r="A215" s="627">
        <v>2095</v>
      </c>
      <c r="B215" s="628" t="s">
        <v>3997</v>
      </c>
      <c r="C215" s="629" t="s">
        <v>418</v>
      </c>
    </row>
    <row r="216" spans="1:3">
      <c r="A216" s="627">
        <v>2096</v>
      </c>
      <c r="B216" s="628" t="s">
        <v>3998</v>
      </c>
      <c r="C216" s="629" t="s">
        <v>418</v>
      </c>
    </row>
    <row r="217" spans="1:3">
      <c r="A217" s="627">
        <v>2097</v>
      </c>
      <c r="B217" s="628" t="s">
        <v>3999</v>
      </c>
      <c r="C217" s="629" t="s">
        <v>418</v>
      </c>
    </row>
    <row r="218" spans="1:3">
      <c r="A218" s="627">
        <v>2098</v>
      </c>
      <c r="B218" s="628" t="s">
        <v>4000</v>
      </c>
      <c r="C218" s="629" t="s">
        <v>418</v>
      </c>
    </row>
    <row r="219" spans="1:3">
      <c r="A219" s="627">
        <v>2099</v>
      </c>
      <c r="B219" s="628" t="s">
        <v>4000</v>
      </c>
      <c r="C219" s="629" t="s">
        <v>418</v>
      </c>
    </row>
    <row r="220" spans="1:3">
      <c r="A220" s="627">
        <v>2100</v>
      </c>
      <c r="B220" s="628" t="s">
        <v>4002</v>
      </c>
      <c r="C220" s="629" t="s">
        <v>418</v>
      </c>
    </row>
    <row r="221" spans="1:3">
      <c r="A221" s="635">
        <v>2102</v>
      </c>
      <c r="B221" s="636" t="s">
        <v>4002</v>
      </c>
      <c r="C221" s="629" t="s">
        <v>418</v>
      </c>
    </row>
    <row r="222" spans="1:3">
      <c r="A222" s="627">
        <v>2111</v>
      </c>
      <c r="B222" s="628" t="s">
        <v>4003</v>
      </c>
      <c r="C222" s="629" t="s">
        <v>418</v>
      </c>
    </row>
    <row r="223" spans="1:3">
      <c r="A223" s="627">
        <v>2112</v>
      </c>
      <c r="B223" s="628" t="s">
        <v>4004</v>
      </c>
      <c r="C223" s="629" t="s">
        <v>418</v>
      </c>
    </row>
    <row r="224" spans="1:3">
      <c r="A224" s="627">
        <v>2113</v>
      </c>
      <c r="B224" s="628" t="s">
        <v>4005</v>
      </c>
      <c r="C224" s="629" t="s">
        <v>418</v>
      </c>
    </row>
    <row r="225" spans="1:3">
      <c r="A225" s="627">
        <v>2114</v>
      </c>
      <c r="B225" s="628" t="s">
        <v>4006</v>
      </c>
      <c r="C225" s="629" t="s">
        <v>418</v>
      </c>
    </row>
    <row r="226" spans="1:3">
      <c r="A226" s="627">
        <v>2115</v>
      </c>
      <c r="B226" s="628" t="s">
        <v>4007</v>
      </c>
      <c r="C226" s="629" t="s">
        <v>418</v>
      </c>
    </row>
    <row r="227" spans="1:3">
      <c r="A227" s="627">
        <v>2116</v>
      </c>
      <c r="B227" s="628" t="s">
        <v>4008</v>
      </c>
      <c r="C227" s="629" t="s">
        <v>418</v>
      </c>
    </row>
    <row r="228" spans="1:3">
      <c r="A228" s="627">
        <v>2117</v>
      </c>
      <c r="B228" s="628" t="s">
        <v>4009</v>
      </c>
      <c r="C228" s="629" t="s">
        <v>418</v>
      </c>
    </row>
    <row r="229" spans="1:3">
      <c r="A229" s="627">
        <v>2118</v>
      </c>
      <c r="B229" s="628" t="s">
        <v>4010</v>
      </c>
      <c r="C229" s="629" t="s">
        <v>418</v>
      </c>
    </row>
    <row r="230" spans="1:3">
      <c r="A230" s="627">
        <v>2119</v>
      </c>
      <c r="B230" s="628" t="s">
        <v>4011</v>
      </c>
      <c r="C230" s="629" t="s">
        <v>418</v>
      </c>
    </row>
    <row r="231" spans="1:3">
      <c r="A231" s="627">
        <v>2120</v>
      </c>
      <c r="B231" s="628" t="s">
        <v>4012</v>
      </c>
      <c r="C231" s="629" t="s">
        <v>418</v>
      </c>
    </row>
    <row r="232" spans="1:3">
      <c r="A232" s="627">
        <v>2131</v>
      </c>
      <c r="B232" s="628" t="s">
        <v>4013</v>
      </c>
      <c r="C232" s="629" t="s">
        <v>418</v>
      </c>
    </row>
    <row r="233" spans="1:3">
      <c r="A233" s="627">
        <v>2132</v>
      </c>
      <c r="B233" s="628" t="s">
        <v>4013</v>
      </c>
      <c r="C233" s="629" t="s">
        <v>418</v>
      </c>
    </row>
    <row r="234" spans="1:3">
      <c r="A234" s="627">
        <v>2133</v>
      </c>
      <c r="B234" s="628" t="s">
        <v>1092</v>
      </c>
      <c r="C234" s="629" t="s">
        <v>418</v>
      </c>
    </row>
    <row r="235" spans="1:3">
      <c r="A235" s="627">
        <v>2134</v>
      </c>
      <c r="B235" s="628" t="s">
        <v>4016</v>
      </c>
      <c r="C235" s="629" t="s">
        <v>418</v>
      </c>
    </row>
    <row r="236" spans="1:3">
      <c r="A236" s="627">
        <v>2135</v>
      </c>
      <c r="B236" s="628" t="s">
        <v>4017</v>
      </c>
      <c r="C236" s="629" t="s">
        <v>418</v>
      </c>
    </row>
    <row r="237" spans="1:3">
      <c r="A237" s="627">
        <v>2141</v>
      </c>
      <c r="B237" s="628" t="s">
        <v>4018</v>
      </c>
      <c r="C237" s="629" t="s">
        <v>418</v>
      </c>
    </row>
    <row r="238" spans="1:3">
      <c r="A238" s="627">
        <v>2142</v>
      </c>
      <c r="B238" s="628" t="s">
        <v>4019</v>
      </c>
      <c r="C238" s="629" t="s">
        <v>418</v>
      </c>
    </row>
    <row r="239" spans="1:3">
      <c r="A239" s="627">
        <v>2143</v>
      </c>
      <c r="B239" s="628" t="s">
        <v>1093</v>
      </c>
      <c r="C239" s="629" t="s">
        <v>418</v>
      </c>
    </row>
    <row r="240" spans="1:3">
      <c r="A240" s="627">
        <v>2144</v>
      </c>
      <c r="B240" s="628" t="s">
        <v>4022</v>
      </c>
      <c r="C240" s="629" t="s">
        <v>418</v>
      </c>
    </row>
    <row r="241" spans="1:3">
      <c r="A241" s="627">
        <v>2145</v>
      </c>
      <c r="B241" s="628" t="s">
        <v>2971</v>
      </c>
      <c r="C241" s="629" t="s">
        <v>420</v>
      </c>
    </row>
    <row r="242" spans="1:3">
      <c r="A242" s="627">
        <v>2146</v>
      </c>
      <c r="B242" s="628" t="s">
        <v>4023</v>
      </c>
      <c r="C242" s="629" t="s">
        <v>418</v>
      </c>
    </row>
    <row r="243" spans="1:3">
      <c r="A243" s="627">
        <v>2151</v>
      </c>
      <c r="B243" s="628" t="s">
        <v>1096</v>
      </c>
      <c r="C243" s="629" t="s">
        <v>418</v>
      </c>
    </row>
    <row r="244" spans="1:3">
      <c r="A244" s="627">
        <v>2161</v>
      </c>
      <c r="B244" s="628" t="s">
        <v>4025</v>
      </c>
      <c r="C244" s="629" t="s">
        <v>418</v>
      </c>
    </row>
    <row r="245" spans="1:3">
      <c r="A245" s="627">
        <v>2162</v>
      </c>
      <c r="B245" s="628" t="s">
        <v>4026</v>
      </c>
      <c r="C245" s="629" t="s">
        <v>418</v>
      </c>
    </row>
    <row r="246" spans="1:3">
      <c r="A246" s="627">
        <v>2163</v>
      </c>
      <c r="B246" s="628" t="s">
        <v>4027</v>
      </c>
      <c r="C246" s="629" t="s">
        <v>418</v>
      </c>
    </row>
    <row r="247" spans="1:3">
      <c r="A247" s="627">
        <v>2164</v>
      </c>
      <c r="B247" s="628" t="s">
        <v>4028</v>
      </c>
      <c r="C247" s="629" t="s">
        <v>418</v>
      </c>
    </row>
    <row r="248" spans="1:3">
      <c r="A248" s="627">
        <v>2165</v>
      </c>
      <c r="B248" s="628" t="s">
        <v>4029</v>
      </c>
      <c r="C248" s="629" t="s">
        <v>418</v>
      </c>
    </row>
    <row r="249" spans="1:3">
      <c r="A249" s="627">
        <v>2166</v>
      </c>
      <c r="B249" s="628" t="s">
        <v>4030</v>
      </c>
      <c r="C249" s="629" t="s">
        <v>418</v>
      </c>
    </row>
    <row r="250" spans="1:3">
      <c r="A250" s="627">
        <v>2167</v>
      </c>
      <c r="B250" s="628" t="s">
        <v>4031</v>
      </c>
      <c r="C250" s="629" t="s">
        <v>418</v>
      </c>
    </row>
    <row r="251" spans="1:3">
      <c r="A251" s="627">
        <v>2170</v>
      </c>
      <c r="B251" s="628" t="s">
        <v>4032</v>
      </c>
      <c r="C251" s="629" t="s">
        <v>418</v>
      </c>
    </row>
    <row r="252" spans="1:3">
      <c r="A252" s="627">
        <v>2173</v>
      </c>
      <c r="B252" s="628" t="s">
        <v>4033</v>
      </c>
      <c r="C252" s="629" t="s">
        <v>418</v>
      </c>
    </row>
    <row r="253" spans="1:3">
      <c r="A253" s="627">
        <v>2174</v>
      </c>
      <c r="B253" s="628" t="s">
        <v>4034</v>
      </c>
      <c r="C253" s="629" t="s">
        <v>418</v>
      </c>
    </row>
    <row r="254" spans="1:3">
      <c r="A254" s="627">
        <v>2175</v>
      </c>
      <c r="B254" s="628" t="s">
        <v>4035</v>
      </c>
      <c r="C254" s="629" t="s">
        <v>2808</v>
      </c>
    </row>
    <row r="255" spans="1:3">
      <c r="A255" s="627">
        <v>2176</v>
      </c>
      <c r="B255" s="628" t="s">
        <v>4036</v>
      </c>
      <c r="C255" s="629" t="s">
        <v>2808</v>
      </c>
    </row>
    <row r="256" spans="1:3">
      <c r="A256" s="627">
        <v>2177</v>
      </c>
      <c r="B256" s="628" t="s">
        <v>4037</v>
      </c>
      <c r="C256" s="629" t="s">
        <v>2808</v>
      </c>
    </row>
    <row r="257" spans="1:3">
      <c r="A257" s="627">
        <v>2181</v>
      </c>
      <c r="B257" s="628" t="s">
        <v>4038</v>
      </c>
      <c r="C257" s="629" t="s">
        <v>418</v>
      </c>
    </row>
    <row r="258" spans="1:3">
      <c r="A258" s="627">
        <v>2182</v>
      </c>
      <c r="B258" s="628" t="s">
        <v>4039</v>
      </c>
      <c r="C258" s="629" t="s">
        <v>418</v>
      </c>
    </row>
    <row r="259" spans="1:3">
      <c r="A259" s="627">
        <v>2183</v>
      </c>
      <c r="B259" s="628" t="s">
        <v>4040</v>
      </c>
      <c r="C259" s="629" t="s">
        <v>418</v>
      </c>
    </row>
    <row r="260" spans="1:3">
      <c r="A260" s="627">
        <v>2184</v>
      </c>
      <c r="B260" s="628" t="s">
        <v>4041</v>
      </c>
      <c r="C260" s="629" t="s">
        <v>418</v>
      </c>
    </row>
    <row r="261" spans="1:3">
      <c r="A261" s="627">
        <v>2185</v>
      </c>
      <c r="B261" s="628" t="s">
        <v>4042</v>
      </c>
      <c r="C261" s="629" t="s">
        <v>418</v>
      </c>
    </row>
    <row r="262" spans="1:3">
      <c r="A262" s="627">
        <v>2191</v>
      </c>
      <c r="B262" s="628" t="s">
        <v>4043</v>
      </c>
      <c r="C262" s="629" t="s">
        <v>418</v>
      </c>
    </row>
    <row r="263" spans="1:3">
      <c r="A263" s="627">
        <v>2192</v>
      </c>
      <c r="B263" s="628" t="s">
        <v>4044</v>
      </c>
      <c r="C263" s="629" t="s">
        <v>418</v>
      </c>
    </row>
    <row r="264" spans="1:3">
      <c r="A264" s="627">
        <v>2193</v>
      </c>
      <c r="B264" s="628" t="s">
        <v>4045</v>
      </c>
      <c r="C264" s="629" t="s">
        <v>418</v>
      </c>
    </row>
    <row r="265" spans="1:3">
      <c r="A265" s="627">
        <v>2194</v>
      </c>
      <c r="B265" s="628" t="s">
        <v>4046</v>
      </c>
      <c r="C265" s="629" t="s">
        <v>418</v>
      </c>
    </row>
    <row r="266" spans="1:3">
      <c r="A266" s="627">
        <v>2200</v>
      </c>
      <c r="B266" s="628" t="s">
        <v>4051</v>
      </c>
      <c r="C266" s="629" t="s">
        <v>418</v>
      </c>
    </row>
    <row r="267" spans="1:3">
      <c r="A267" s="627">
        <v>2209</v>
      </c>
      <c r="B267" s="628" t="s">
        <v>4048</v>
      </c>
      <c r="C267" s="629" t="s">
        <v>418</v>
      </c>
    </row>
    <row r="268" spans="1:3">
      <c r="A268" s="627">
        <v>2211</v>
      </c>
      <c r="B268" s="628" t="s">
        <v>4049</v>
      </c>
      <c r="C268" s="629" t="s">
        <v>418</v>
      </c>
    </row>
    <row r="269" spans="1:3">
      <c r="A269" s="627">
        <v>2212</v>
      </c>
      <c r="B269" s="628" t="s">
        <v>4050</v>
      </c>
      <c r="C269" s="629" t="s">
        <v>418</v>
      </c>
    </row>
    <row r="270" spans="1:3">
      <c r="A270" s="627">
        <v>2213</v>
      </c>
      <c r="B270" s="628" t="s">
        <v>4047</v>
      </c>
      <c r="C270" s="629" t="s">
        <v>418</v>
      </c>
    </row>
    <row r="271" spans="1:3">
      <c r="A271" s="627">
        <v>2214</v>
      </c>
      <c r="B271" s="628" t="s">
        <v>4052</v>
      </c>
      <c r="C271" s="629" t="s">
        <v>418</v>
      </c>
    </row>
    <row r="272" spans="1:3">
      <c r="A272" s="627">
        <v>2215</v>
      </c>
      <c r="B272" s="628" t="s">
        <v>4053</v>
      </c>
      <c r="C272" s="629" t="s">
        <v>418</v>
      </c>
    </row>
    <row r="273" spans="1:3">
      <c r="A273" s="627">
        <v>2216</v>
      </c>
      <c r="B273" s="628" t="s">
        <v>4054</v>
      </c>
      <c r="C273" s="629" t="s">
        <v>418</v>
      </c>
    </row>
    <row r="274" spans="1:3">
      <c r="A274" s="627">
        <v>2217</v>
      </c>
      <c r="B274" s="628" t="s">
        <v>4055</v>
      </c>
      <c r="C274" s="629" t="s">
        <v>418</v>
      </c>
    </row>
    <row r="275" spans="1:3">
      <c r="A275" s="627">
        <v>2220</v>
      </c>
      <c r="B275" s="628" t="s">
        <v>4056</v>
      </c>
      <c r="C275" s="629" t="s">
        <v>418</v>
      </c>
    </row>
    <row r="276" spans="1:3">
      <c r="A276" s="627">
        <v>2225</v>
      </c>
      <c r="B276" s="628" t="s">
        <v>4057</v>
      </c>
      <c r="C276" s="629" t="s">
        <v>418</v>
      </c>
    </row>
    <row r="277" spans="1:3">
      <c r="A277" s="627">
        <v>2230</v>
      </c>
      <c r="B277" s="628" t="s">
        <v>4058</v>
      </c>
      <c r="C277" s="629" t="s">
        <v>418</v>
      </c>
    </row>
    <row r="278" spans="1:3">
      <c r="A278" s="627">
        <v>2233</v>
      </c>
      <c r="B278" s="628" t="s">
        <v>4059</v>
      </c>
      <c r="C278" s="629" t="s">
        <v>418</v>
      </c>
    </row>
    <row r="279" spans="1:3">
      <c r="A279" s="627">
        <v>2234</v>
      </c>
      <c r="B279" s="628" t="s">
        <v>4060</v>
      </c>
      <c r="C279" s="629" t="s">
        <v>418</v>
      </c>
    </row>
    <row r="280" spans="1:3">
      <c r="A280" s="627">
        <v>2235</v>
      </c>
      <c r="B280" s="628" t="s">
        <v>4061</v>
      </c>
      <c r="C280" s="629" t="s">
        <v>418</v>
      </c>
    </row>
    <row r="281" spans="1:3">
      <c r="A281" s="627">
        <v>2241</v>
      </c>
      <c r="B281" s="628" t="s">
        <v>4063</v>
      </c>
      <c r="C281" s="629" t="s">
        <v>418</v>
      </c>
    </row>
    <row r="282" spans="1:3">
      <c r="A282" s="627">
        <v>2242</v>
      </c>
      <c r="B282" s="628" t="s">
        <v>4063</v>
      </c>
      <c r="C282" s="629" t="s">
        <v>418</v>
      </c>
    </row>
    <row r="283" spans="1:3">
      <c r="A283" s="627">
        <v>2243</v>
      </c>
      <c r="B283" s="628" t="s">
        <v>4064</v>
      </c>
      <c r="C283" s="629" t="s">
        <v>418</v>
      </c>
    </row>
    <row r="284" spans="1:3">
      <c r="A284" s="627">
        <v>2244</v>
      </c>
      <c r="B284" s="628" t="s">
        <v>4065</v>
      </c>
      <c r="C284" s="629" t="s">
        <v>418</v>
      </c>
    </row>
    <row r="285" spans="1:3">
      <c r="A285" s="627">
        <v>2251</v>
      </c>
      <c r="B285" s="628" t="s">
        <v>4066</v>
      </c>
      <c r="C285" s="629" t="s">
        <v>418</v>
      </c>
    </row>
    <row r="286" spans="1:3">
      <c r="A286" s="627">
        <v>2252</v>
      </c>
      <c r="B286" s="628" t="s">
        <v>4067</v>
      </c>
      <c r="C286" s="629" t="s">
        <v>418</v>
      </c>
    </row>
    <row r="287" spans="1:3">
      <c r="A287" s="627">
        <v>2253</v>
      </c>
      <c r="B287" s="628" t="s">
        <v>4068</v>
      </c>
      <c r="C287" s="629" t="s">
        <v>418</v>
      </c>
    </row>
    <row r="288" spans="1:3">
      <c r="A288" s="627">
        <v>2254</v>
      </c>
      <c r="B288" s="628" t="s">
        <v>4069</v>
      </c>
      <c r="C288" s="629" t="s">
        <v>418</v>
      </c>
    </row>
    <row r="289" spans="1:3">
      <c r="A289" s="627">
        <v>2255</v>
      </c>
      <c r="B289" s="628" t="s">
        <v>436</v>
      </c>
      <c r="C289" s="629" t="s">
        <v>418</v>
      </c>
    </row>
    <row r="290" spans="1:3">
      <c r="A290" s="627">
        <v>2300</v>
      </c>
      <c r="B290" s="628" t="s">
        <v>437</v>
      </c>
      <c r="C290" s="629" t="s">
        <v>418</v>
      </c>
    </row>
    <row r="291" spans="1:3">
      <c r="A291" s="627">
        <v>2309</v>
      </c>
      <c r="B291" s="628" t="s">
        <v>438</v>
      </c>
      <c r="C291" s="629" t="s">
        <v>418</v>
      </c>
    </row>
    <row r="292" spans="1:3">
      <c r="A292" s="627">
        <v>2310</v>
      </c>
      <c r="B292" s="628" t="s">
        <v>270</v>
      </c>
      <c r="C292" s="629" t="s">
        <v>418</v>
      </c>
    </row>
    <row r="293" spans="1:3">
      <c r="A293" s="627">
        <v>2314</v>
      </c>
      <c r="B293" s="628" t="s">
        <v>440</v>
      </c>
      <c r="C293" s="629" t="s">
        <v>418</v>
      </c>
    </row>
    <row r="294" spans="1:3">
      <c r="A294" s="627">
        <v>2315</v>
      </c>
      <c r="B294" s="628" t="s">
        <v>441</v>
      </c>
      <c r="C294" s="629" t="s">
        <v>418</v>
      </c>
    </row>
    <row r="295" spans="1:3">
      <c r="A295" s="627">
        <v>2316</v>
      </c>
      <c r="B295" s="628" t="s">
        <v>442</v>
      </c>
      <c r="C295" s="629" t="s">
        <v>418</v>
      </c>
    </row>
    <row r="296" spans="1:3">
      <c r="A296" s="627">
        <v>2317</v>
      </c>
      <c r="B296" s="628" t="s">
        <v>443</v>
      </c>
      <c r="C296" s="629" t="s">
        <v>418</v>
      </c>
    </row>
    <row r="297" spans="1:3">
      <c r="A297" s="627">
        <v>2318</v>
      </c>
      <c r="B297" s="628" t="s">
        <v>444</v>
      </c>
      <c r="C297" s="629" t="s">
        <v>418</v>
      </c>
    </row>
    <row r="298" spans="1:3">
      <c r="A298" s="627">
        <v>2319</v>
      </c>
      <c r="B298" s="628" t="s">
        <v>445</v>
      </c>
      <c r="C298" s="629" t="s">
        <v>418</v>
      </c>
    </row>
    <row r="299" spans="1:3">
      <c r="A299" s="627">
        <v>2321</v>
      </c>
      <c r="B299" s="628" t="s">
        <v>446</v>
      </c>
      <c r="C299" s="629" t="s">
        <v>418</v>
      </c>
    </row>
    <row r="300" spans="1:3">
      <c r="A300" s="627">
        <v>2322</v>
      </c>
      <c r="B300" s="628" t="s">
        <v>447</v>
      </c>
      <c r="C300" s="629" t="s">
        <v>418</v>
      </c>
    </row>
    <row r="301" spans="1:3">
      <c r="A301" s="627">
        <v>2330</v>
      </c>
      <c r="B301" s="628" t="s">
        <v>448</v>
      </c>
      <c r="C301" s="629" t="s">
        <v>418</v>
      </c>
    </row>
    <row r="302" spans="1:3">
      <c r="A302" s="627">
        <v>2335</v>
      </c>
      <c r="B302" s="628" t="s">
        <v>449</v>
      </c>
      <c r="C302" s="629" t="s">
        <v>418</v>
      </c>
    </row>
    <row r="303" spans="1:3">
      <c r="A303" s="627">
        <v>2336</v>
      </c>
      <c r="B303" s="628" t="s">
        <v>450</v>
      </c>
      <c r="C303" s="629" t="s">
        <v>418</v>
      </c>
    </row>
    <row r="304" spans="1:3">
      <c r="A304" s="627">
        <v>2337</v>
      </c>
      <c r="B304" s="628" t="s">
        <v>451</v>
      </c>
      <c r="C304" s="629" t="s">
        <v>418</v>
      </c>
    </row>
    <row r="305" spans="1:3">
      <c r="A305" s="627">
        <v>2338</v>
      </c>
      <c r="B305" s="628" t="s">
        <v>452</v>
      </c>
      <c r="C305" s="629" t="s">
        <v>418</v>
      </c>
    </row>
    <row r="306" spans="1:3">
      <c r="A306" s="627">
        <v>2339</v>
      </c>
      <c r="B306" s="628" t="s">
        <v>453</v>
      </c>
      <c r="C306" s="629" t="s">
        <v>418</v>
      </c>
    </row>
    <row r="307" spans="1:3">
      <c r="A307" s="627">
        <v>2340</v>
      </c>
      <c r="B307" s="628" t="s">
        <v>454</v>
      </c>
      <c r="C307" s="629" t="s">
        <v>418</v>
      </c>
    </row>
    <row r="308" spans="1:3">
      <c r="A308" s="627">
        <v>2344</v>
      </c>
      <c r="B308" s="628" t="s">
        <v>455</v>
      </c>
      <c r="C308" s="629" t="s">
        <v>418</v>
      </c>
    </row>
    <row r="309" spans="1:3">
      <c r="A309" s="627">
        <v>2345</v>
      </c>
      <c r="B309" s="628" t="s">
        <v>456</v>
      </c>
      <c r="C309" s="629" t="s">
        <v>418</v>
      </c>
    </row>
    <row r="310" spans="1:3">
      <c r="A310" s="627">
        <v>2347</v>
      </c>
      <c r="B310" s="628" t="s">
        <v>457</v>
      </c>
      <c r="C310" s="629" t="s">
        <v>418</v>
      </c>
    </row>
    <row r="311" spans="1:3">
      <c r="A311" s="627">
        <v>2351</v>
      </c>
      <c r="B311" s="628" t="s">
        <v>458</v>
      </c>
      <c r="C311" s="629" t="s">
        <v>418</v>
      </c>
    </row>
    <row r="312" spans="1:3">
      <c r="A312" s="627">
        <v>2360</v>
      </c>
      <c r="B312" s="628" t="s">
        <v>271</v>
      </c>
      <c r="C312" s="629" t="s">
        <v>418</v>
      </c>
    </row>
    <row r="313" spans="1:3">
      <c r="A313" s="627">
        <v>2363</v>
      </c>
      <c r="B313" s="628" t="s">
        <v>460</v>
      </c>
      <c r="C313" s="629" t="s">
        <v>418</v>
      </c>
    </row>
    <row r="314" spans="1:3">
      <c r="A314" s="627">
        <v>2364</v>
      </c>
      <c r="B314" s="628" t="s">
        <v>461</v>
      </c>
      <c r="C314" s="629" t="s">
        <v>418</v>
      </c>
    </row>
    <row r="315" spans="1:3">
      <c r="A315" s="627">
        <v>2365</v>
      </c>
      <c r="B315" s="628" t="s">
        <v>462</v>
      </c>
      <c r="C315" s="629" t="s">
        <v>418</v>
      </c>
    </row>
    <row r="316" spans="1:3">
      <c r="A316" s="627">
        <v>2366</v>
      </c>
      <c r="B316" s="628" t="s">
        <v>463</v>
      </c>
      <c r="C316" s="629" t="s">
        <v>418</v>
      </c>
    </row>
    <row r="317" spans="1:3">
      <c r="A317" s="627">
        <v>2367</v>
      </c>
      <c r="B317" s="628" t="s">
        <v>464</v>
      </c>
      <c r="C317" s="629" t="s">
        <v>418</v>
      </c>
    </row>
    <row r="318" spans="1:3">
      <c r="A318" s="627">
        <v>2370</v>
      </c>
      <c r="B318" s="628" t="s">
        <v>465</v>
      </c>
      <c r="C318" s="629" t="s">
        <v>418</v>
      </c>
    </row>
    <row r="319" spans="1:3">
      <c r="A319" s="627">
        <v>2371</v>
      </c>
      <c r="B319" s="628" t="s">
        <v>465</v>
      </c>
      <c r="C319" s="629" t="s">
        <v>418</v>
      </c>
    </row>
    <row r="320" spans="1:3">
      <c r="A320" s="627">
        <v>2373</v>
      </c>
      <c r="B320" s="628" t="s">
        <v>465</v>
      </c>
      <c r="C320" s="629" t="s">
        <v>418</v>
      </c>
    </row>
    <row r="321" spans="1:3">
      <c r="A321" s="627">
        <v>2375</v>
      </c>
      <c r="B321" s="628" t="s">
        <v>467</v>
      </c>
      <c r="C321" s="629" t="s">
        <v>418</v>
      </c>
    </row>
    <row r="322" spans="1:3">
      <c r="A322" s="627">
        <v>2376</v>
      </c>
      <c r="B322" s="628" t="s">
        <v>468</v>
      </c>
      <c r="C322" s="629" t="s">
        <v>418</v>
      </c>
    </row>
    <row r="323" spans="1:3">
      <c r="A323" s="627">
        <v>2377</v>
      </c>
      <c r="B323" s="628" t="s">
        <v>469</v>
      </c>
      <c r="C323" s="629" t="s">
        <v>418</v>
      </c>
    </row>
    <row r="324" spans="1:3">
      <c r="A324" s="627">
        <v>2378</v>
      </c>
      <c r="B324" s="628" t="s">
        <v>470</v>
      </c>
      <c r="C324" s="629" t="s">
        <v>418</v>
      </c>
    </row>
    <row r="325" spans="1:3">
      <c r="A325" s="627">
        <v>2381</v>
      </c>
      <c r="B325" s="628" t="s">
        <v>471</v>
      </c>
      <c r="C325" s="629" t="s">
        <v>418</v>
      </c>
    </row>
    <row r="326" spans="1:3">
      <c r="A326" s="627">
        <v>2400</v>
      </c>
      <c r="B326" s="628" t="s">
        <v>472</v>
      </c>
      <c r="C326" s="629" t="s">
        <v>402</v>
      </c>
    </row>
    <row r="327" spans="1:3">
      <c r="A327" s="627">
        <v>2407</v>
      </c>
      <c r="B327" s="628" t="s">
        <v>472</v>
      </c>
      <c r="C327" s="629" t="s">
        <v>402</v>
      </c>
    </row>
    <row r="328" spans="1:3">
      <c r="A328" s="627">
        <v>2421</v>
      </c>
      <c r="B328" s="628" t="s">
        <v>474</v>
      </c>
      <c r="C328" s="629" t="s">
        <v>402</v>
      </c>
    </row>
    <row r="329" spans="1:3">
      <c r="A329" s="627">
        <v>2422</v>
      </c>
      <c r="B329" s="628" t="s">
        <v>475</v>
      </c>
      <c r="C329" s="629" t="s">
        <v>402</v>
      </c>
    </row>
    <row r="330" spans="1:3">
      <c r="A330" s="627">
        <v>2423</v>
      </c>
      <c r="B330" s="628" t="s">
        <v>276</v>
      </c>
      <c r="C330" s="629" t="s">
        <v>402</v>
      </c>
    </row>
    <row r="331" spans="1:3">
      <c r="A331" s="627">
        <v>2424</v>
      </c>
      <c r="B331" s="628" t="s">
        <v>477</v>
      </c>
      <c r="C331" s="629" t="s">
        <v>402</v>
      </c>
    </row>
    <row r="332" spans="1:3">
      <c r="A332" s="627">
        <v>2425</v>
      </c>
      <c r="B332" s="628" t="s">
        <v>478</v>
      </c>
      <c r="C332" s="629" t="s">
        <v>402</v>
      </c>
    </row>
    <row r="333" spans="1:3">
      <c r="A333" s="627">
        <v>2426</v>
      </c>
      <c r="B333" s="628" t="s">
        <v>3025</v>
      </c>
      <c r="C333" s="629" t="s">
        <v>402</v>
      </c>
    </row>
    <row r="334" spans="1:3">
      <c r="A334" s="627">
        <v>2427</v>
      </c>
      <c r="B334" s="628" t="s">
        <v>3025</v>
      </c>
      <c r="C334" s="629" t="s">
        <v>402</v>
      </c>
    </row>
    <row r="335" spans="1:3">
      <c r="A335" s="627">
        <v>2428</v>
      </c>
      <c r="B335" s="628" t="s">
        <v>3027</v>
      </c>
      <c r="C335" s="629" t="s">
        <v>402</v>
      </c>
    </row>
    <row r="336" spans="1:3">
      <c r="A336" s="627">
        <v>2431</v>
      </c>
      <c r="B336" s="628" t="s">
        <v>3028</v>
      </c>
      <c r="C336" s="629" t="s">
        <v>402</v>
      </c>
    </row>
    <row r="337" spans="1:3">
      <c r="A337" s="627">
        <v>2432</v>
      </c>
      <c r="B337" s="628" t="s">
        <v>3029</v>
      </c>
      <c r="C337" s="629" t="s">
        <v>402</v>
      </c>
    </row>
    <row r="338" spans="1:3">
      <c r="A338" s="627">
        <v>2433</v>
      </c>
      <c r="B338" s="628" t="s">
        <v>3030</v>
      </c>
      <c r="C338" s="629" t="s">
        <v>402</v>
      </c>
    </row>
    <row r="339" spans="1:3">
      <c r="A339" s="627">
        <v>2434</v>
      </c>
      <c r="B339" s="628" t="s">
        <v>3031</v>
      </c>
      <c r="C339" s="629" t="s">
        <v>402</v>
      </c>
    </row>
    <row r="340" spans="1:3">
      <c r="A340" s="627">
        <v>2435</v>
      </c>
      <c r="B340" s="628" t="s">
        <v>3032</v>
      </c>
      <c r="C340" s="629" t="s">
        <v>402</v>
      </c>
    </row>
    <row r="341" spans="1:3">
      <c r="A341" s="627">
        <v>2440</v>
      </c>
      <c r="B341" s="628" t="s">
        <v>3033</v>
      </c>
      <c r="C341" s="629" t="s">
        <v>418</v>
      </c>
    </row>
    <row r="342" spans="1:3">
      <c r="A342" s="627">
        <v>2451</v>
      </c>
      <c r="B342" s="628" t="s">
        <v>3035</v>
      </c>
      <c r="C342" s="629" t="s">
        <v>402</v>
      </c>
    </row>
    <row r="343" spans="1:3">
      <c r="A343" s="627">
        <v>2453</v>
      </c>
      <c r="B343" s="628" t="s">
        <v>3035</v>
      </c>
      <c r="C343" s="629" t="s">
        <v>402</v>
      </c>
    </row>
    <row r="344" spans="1:3">
      <c r="A344" s="627">
        <v>2454</v>
      </c>
      <c r="B344" s="628" t="s">
        <v>3036</v>
      </c>
      <c r="C344" s="629" t="s">
        <v>402</v>
      </c>
    </row>
    <row r="345" spans="1:3">
      <c r="A345" s="627">
        <v>2455</v>
      </c>
      <c r="B345" s="628" t="s">
        <v>281</v>
      </c>
      <c r="C345" s="629" t="s">
        <v>402</v>
      </c>
    </row>
    <row r="346" spans="1:3">
      <c r="A346" s="627">
        <v>2456</v>
      </c>
      <c r="B346" s="628" t="s">
        <v>3037</v>
      </c>
      <c r="C346" s="629" t="s">
        <v>402</v>
      </c>
    </row>
    <row r="347" spans="1:3">
      <c r="A347" s="627">
        <v>2457</v>
      </c>
      <c r="B347" s="628" t="s">
        <v>3038</v>
      </c>
      <c r="C347" s="629" t="s">
        <v>402</v>
      </c>
    </row>
    <row r="348" spans="1:3">
      <c r="A348" s="627">
        <v>2458</v>
      </c>
      <c r="B348" s="628" t="s">
        <v>3039</v>
      </c>
      <c r="C348" s="629" t="s">
        <v>402</v>
      </c>
    </row>
    <row r="349" spans="1:3">
      <c r="A349" s="627">
        <v>2459</v>
      </c>
      <c r="B349" s="628" t="s">
        <v>3040</v>
      </c>
      <c r="C349" s="629" t="s">
        <v>402</v>
      </c>
    </row>
    <row r="350" spans="1:3">
      <c r="A350" s="627">
        <v>2461</v>
      </c>
      <c r="B350" s="628" t="s">
        <v>3041</v>
      </c>
      <c r="C350" s="629" t="s">
        <v>418</v>
      </c>
    </row>
    <row r="351" spans="1:3">
      <c r="A351" s="627">
        <v>2462</v>
      </c>
      <c r="B351" s="628" t="s">
        <v>3042</v>
      </c>
      <c r="C351" s="629" t="s">
        <v>402</v>
      </c>
    </row>
    <row r="352" spans="1:3">
      <c r="A352" s="627">
        <v>2463</v>
      </c>
      <c r="B352" s="628" t="s">
        <v>3043</v>
      </c>
      <c r="C352" s="629" t="s">
        <v>402</v>
      </c>
    </row>
    <row r="353" spans="1:3">
      <c r="A353" s="627">
        <v>2464</v>
      </c>
      <c r="B353" s="628" t="s">
        <v>3044</v>
      </c>
      <c r="C353" s="629" t="s">
        <v>402</v>
      </c>
    </row>
    <row r="354" spans="1:3">
      <c r="A354" s="627">
        <v>2465</v>
      </c>
      <c r="B354" s="628" t="s">
        <v>3045</v>
      </c>
      <c r="C354" s="629" t="s">
        <v>402</v>
      </c>
    </row>
    <row r="355" spans="1:3">
      <c r="A355" s="627">
        <v>2471</v>
      </c>
      <c r="B355" s="628" t="s">
        <v>3046</v>
      </c>
      <c r="C355" s="629" t="s">
        <v>402</v>
      </c>
    </row>
    <row r="356" spans="1:3">
      <c r="A356" s="627">
        <v>2472</v>
      </c>
      <c r="B356" s="628" t="s">
        <v>3047</v>
      </c>
      <c r="C356" s="629" t="s">
        <v>402</v>
      </c>
    </row>
    <row r="357" spans="1:3">
      <c r="A357" s="627">
        <v>2473</v>
      </c>
      <c r="B357" s="628" t="s">
        <v>1578</v>
      </c>
      <c r="C357" s="629" t="s">
        <v>402</v>
      </c>
    </row>
    <row r="358" spans="1:3">
      <c r="A358" s="627">
        <v>2475</v>
      </c>
      <c r="B358" s="628" t="s">
        <v>1579</v>
      </c>
      <c r="C358" s="629" t="s">
        <v>402</v>
      </c>
    </row>
    <row r="359" spans="1:3">
      <c r="A359" s="627">
        <v>2476</v>
      </c>
      <c r="B359" s="628" t="s">
        <v>1580</v>
      </c>
      <c r="C359" s="629" t="s">
        <v>402</v>
      </c>
    </row>
    <row r="360" spans="1:3">
      <c r="A360" s="627">
        <v>2477</v>
      </c>
      <c r="B360" s="628" t="s">
        <v>1581</v>
      </c>
      <c r="C360" s="629" t="s">
        <v>402</v>
      </c>
    </row>
    <row r="361" spans="1:3">
      <c r="A361" s="627">
        <v>2481</v>
      </c>
      <c r="B361" s="628" t="s">
        <v>1582</v>
      </c>
      <c r="C361" s="629" t="s">
        <v>402</v>
      </c>
    </row>
    <row r="362" spans="1:3">
      <c r="A362" s="627">
        <v>2483</v>
      </c>
      <c r="B362" s="628" t="s">
        <v>1585</v>
      </c>
      <c r="C362" s="629" t="s">
        <v>402</v>
      </c>
    </row>
    <row r="363" spans="1:3">
      <c r="A363" s="627">
        <v>2484</v>
      </c>
      <c r="B363" s="628" t="s">
        <v>1585</v>
      </c>
      <c r="C363" s="629" t="s">
        <v>402</v>
      </c>
    </row>
    <row r="364" spans="1:3">
      <c r="A364" s="627">
        <v>2485</v>
      </c>
      <c r="B364" s="628" t="s">
        <v>1585</v>
      </c>
      <c r="C364" s="629" t="s">
        <v>402</v>
      </c>
    </row>
    <row r="365" spans="1:3">
      <c r="A365" s="627">
        <v>2490</v>
      </c>
      <c r="B365" s="628" t="s">
        <v>1587</v>
      </c>
      <c r="C365" s="629" t="s">
        <v>402</v>
      </c>
    </row>
    <row r="366" spans="1:3">
      <c r="A366" s="627">
        <v>2500</v>
      </c>
      <c r="B366" s="628" t="s">
        <v>1589</v>
      </c>
      <c r="C366" s="629" t="s">
        <v>420</v>
      </c>
    </row>
    <row r="367" spans="1:3">
      <c r="A367" s="61">
        <v>2508</v>
      </c>
      <c r="B367" s="637" t="s">
        <v>1589</v>
      </c>
      <c r="C367" s="629" t="s">
        <v>420</v>
      </c>
    </row>
    <row r="368" spans="1:3">
      <c r="A368" s="627">
        <v>2509</v>
      </c>
      <c r="B368" s="628" t="s">
        <v>1589</v>
      </c>
      <c r="C368" s="629" t="s">
        <v>420</v>
      </c>
    </row>
    <row r="369" spans="1:3">
      <c r="A369" s="627">
        <v>2510</v>
      </c>
      <c r="B369" s="628" t="s">
        <v>1590</v>
      </c>
      <c r="C369" s="629" t="s">
        <v>420</v>
      </c>
    </row>
    <row r="370" spans="1:3">
      <c r="A370" s="627">
        <v>2517</v>
      </c>
      <c r="B370" s="628" t="s">
        <v>1591</v>
      </c>
      <c r="C370" s="629" t="s">
        <v>420</v>
      </c>
    </row>
    <row r="371" spans="1:3">
      <c r="A371" s="627">
        <v>2518</v>
      </c>
      <c r="B371" s="628" t="s">
        <v>2285</v>
      </c>
      <c r="C371" s="629" t="s">
        <v>420</v>
      </c>
    </row>
    <row r="372" spans="1:3">
      <c r="A372" s="627">
        <v>2519</v>
      </c>
      <c r="B372" s="628" t="s">
        <v>2286</v>
      </c>
      <c r="C372" s="629" t="s">
        <v>420</v>
      </c>
    </row>
    <row r="373" spans="1:3">
      <c r="A373" s="627">
        <v>2521</v>
      </c>
      <c r="B373" s="628" t="s">
        <v>2287</v>
      </c>
      <c r="C373" s="629" t="s">
        <v>420</v>
      </c>
    </row>
    <row r="374" spans="1:3">
      <c r="A374" s="627">
        <v>2522</v>
      </c>
      <c r="B374" s="628" t="s">
        <v>2288</v>
      </c>
      <c r="C374" s="629" t="s">
        <v>420</v>
      </c>
    </row>
    <row r="375" spans="1:3">
      <c r="A375" s="627">
        <v>2523</v>
      </c>
      <c r="B375" s="628" t="s">
        <v>4072</v>
      </c>
      <c r="C375" s="629" t="s">
        <v>420</v>
      </c>
    </row>
    <row r="376" spans="1:3">
      <c r="A376" s="627">
        <v>2524</v>
      </c>
      <c r="B376" s="628" t="s">
        <v>2290</v>
      </c>
      <c r="C376" s="629" t="s">
        <v>420</v>
      </c>
    </row>
    <row r="377" spans="1:3">
      <c r="A377" s="627">
        <v>2525</v>
      </c>
      <c r="B377" s="628" t="s">
        <v>2291</v>
      </c>
      <c r="C377" s="629" t="s">
        <v>420</v>
      </c>
    </row>
    <row r="378" spans="1:3">
      <c r="A378" s="627">
        <v>2526</v>
      </c>
      <c r="B378" s="628" t="s">
        <v>2292</v>
      </c>
      <c r="C378" s="629" t="s">
        <v>420</v>
      </c>
    </row>
    <row r="379" spans="1:3">
      <c r="A379" s="627">
        <v>2527</v>
      </c>
      <c r="B379" s="628" t="s">
        <v>2293</v>
      </c>
      <c r="C379" s="629" t="s">
        <v>420</v>
      </c>
    </row>
    <row r="380" spans="1:3">
      <c r="A380" s="627">
        <v>2528</v>
      </c>
      <c r="B380" s="628" t="s">
        <v>2294</v>
      </c>
      <c r="C380" s="629" t="s">
        <v>420</v>
      </c>
    </row>
    <row r="381" spans="1:3">
      <c r="A381" s="627">
        <v>2529</v>
      </c>
      <c r="B381" s="628" t="s">
        <v>2295</v>
      </c>
      <c r="C381" s="629" t="s">
        <v>420</v>
      </c>
    </row>
    <row r="382" spans="1:3">
      <c r="A382" s="627">
        <v>2531</v>
      </c>
      <c r="B382" s="628" t="s">
        <v>3181</v>
      </c>
      <c r="C382" s="629" t="s">
        <v>420</v>
      </c>
    </row>
    <row r="383" spans="1:3">
      <c r="A383" s="627">
        <v>2532</v>
      </c>
      <c r="B383" s="628" t="s">
        <v>2297</v>
      </c>
      <c r="C383" s="629" t="s">
        <v>420</v>
      </c>
    </row>
    <row r="384" spans="1:3">
      <c r="A384" s="627">
        <v>2533</v>
      </c>
      <c r="B384" s="628" t="s">
        <v>2298</v>
      </c>
      <c r="C384" s="629" t="s">
        <v>420</v>
      </c>
    </row>
    <row r="385" spans="1:3">
      <c r="A385" s="627">
        <v>2534</v>
      </c>
      <c r="B385" s="628" t="s">
        <v>2299</v>
      </c>
      <c r="C385" s="629" t="s">
        <v>420</v>
      </c>
    </row>
    <row r="386" spans="1:3">
      <c r="A386" s="627">
        <v>2535</v>
      </c>
      <c r="B386" s="628" t="s">
        <v>2300</v>
      </c>
      <c r="C386" s="629" t="s">
        <v>420</v>
      </c>
    </row>
    <row r="387" spans="1:3">
      <c r="A387" s="627">
        <v>2536</v>
      </c>
      <c r="B387" s="628" t="s">
        <v>2301</v>
      </c>
      <c r="C387" s="629" t="s">
        <v>420</v>
      </c>
    </row>
    <row r="388" spans="1:3">
      <c r="A388" s="627">
        <v>2537</v>
      </c>
      <c r="B388" s="628" t="s">
        <v>2301</v>
      </c>
      <c r="C388" s="629" t="s">
        <v>420</v>
      </c>
    </row>
    <row r="389" spans="1:3">
      <c r="A389" s="627">
        <v>2541</v>
      </c>
      <c r="B389" s="628" t="s">
        <v>2303</v>
      </c>
      <c r="C389" s="629" t="s">
        <v>420</v>
      </c>
    </row>
    <row r="390" spans="1:3">
      <c r="A390" s="627">
        <v>2543</v>
      </c>
      <c r="B390" s="628" t="s">
        <v>2304</v>
      </c>
      <c r="C390" s="629" t="s">
        <v>420</v>
      </c>
    </row>
    <row r="391" spans="1:3">
      <c r="A391" s="627">
        <v>2544</v>
      </c>
      <c r="B391" s="628" t="s">
        <v>2305</v>
      </c>
      <c r="C391" s="629" t="s">
        <v>420</v>
      </c>
    </row>
    <row r="392" spans="1:3">
      <c r="A392" s="627">
        <v>2545</v>
      </c>
      <c r="B392" s="628" t="s">
        <v>2306</v>
      </c>
      <c r="C392" s="629" t="s">
        <v>420</v>
      </c>
    </row>
    <row r="393" spans="1:3">
      <c r="A393" s="627">
        <v>2600</v>
      </c>
      <c r="B393" s="628" t="s">
        <v>2307</v>
      </c>
      <c r="C393" s="629" t="s">
        <v>418</v>
      </c>
    </row>
    <row r="394" spans="1:3">
      <c r="A394" s="627">
        <v>2610</v>
      </c>
      <c r="B394" s="628" t="s">
        <v>2308</v>
      </c>
      <c r="C394" s="629" t="s">
        <v>2808</v>
      </c>
    </row>
    <row r="395" spans="1:3">
      <c r="A395" s="627">
        <v>2610</v>
      </c>
      <c r="B395" s="628" t="s">
        <v>35</v>
      </c>
      <c r="C395" s="629" t="s">
        <v>2808</v>
      </c>
    </row>
    <row r="396" spans="1:3">
      <c r="A396" s="627">
        <v>2611</v>
      </c>
      <c r="B396" s="628" t="s">
        <v>2309</v>
      </c>
      <c r="C396" s="629" t="s">
        <v>2808</v>
      </c>
    </row>
    <row r="397" spans="1:3">
      <c r="A397" s="627">
        <v>2612</v>
      </c>
      <c r="B397" s="628" t="s">
        <v>2310</v>
      </c>
      <c r="C397" s="629" t="s">
        <v>418</v>
      </c>
    </row>
    <row r="398" spans="1:3">
      <c r="A398" s="627">
        <v>2613</v>
      </c>
      <c r="B398" s="628" t="s">
        <v>2311</v>
      </c>
      <c r="C398" s="629" t="s">
        <v>418</v>
      </c>
    </row>
    <row r="399" spans="1:3">
      <c r="A399" s="627">
        <v>2614</v>
      </c>
      <c r="B399" s="628" t="s">
        <v>2312</v>
      </c>
      <c r="C399" s="629" t="s">
        <v>418</v>
      </c>
    </row>
    <row r="400" spans="1:3">
      <c r="A400" s="627">
        <v>2615</v>
      </c>
      <c r="B400" s="628" t="s">
        <v>2313</v>
      </c>
      <c r="C400" s="629" t="s">
        <v>418</v>
      </c>
    </row>
    <row r="401" spans="1:3">
      <c r="A401" s="627">
        <v>2616</v>
      </c>
      <c r="B401" s="628" t="s">
        <v>36</v>
      </c>
      <c r="C401" s="629" t="s">
        <v>2808</v>
      </c>
    </row>
    <row r="402" spans="1:3">
      <c r="A402" s="627">
        <v>2617</v>
      </c>
      <c r="B402" s="628" t="s">
        <v>2315</v>
      </c>
      <c r="C402" s="629" t="s">
        <v>2808</v>
      </c>
    </row>
    <row r="403" spans="1:3">
      <c r="A403" s="627">
        <v>2618</v>
      </c>
      <c r="B403" s="628" t="s">
        <v>2316</v>
      </c>
      <c r="C403" s="629" t="s">
        <v>2808</v>
      </c>
    </row>
    <row r="404" spans="1:3">
      <c r="A404" s="627">
        <v>2619</v>
      </c>
      <c r="B404" s="628" t="s">
        <v>2317</v>
      </c>
      <c r="C404" s="629" t="s">
        <v>2808</v>
      </c>
    </row>
    <row r="405" spans="1:3">
      <c r="A405" s="627">
        <v>2621</v>
      </c>
      <c r="B405" s="628" t="s">
        <v>37</v>
      </c>
      <c r="C405" s="629" t="s">
        <v>418</v>
      </c>
    </row>
    <row r="406" spans="1:3">
      <c r="A406" s="627">
        <v>2623</v>
      </c>
      <c r="B406" s="628" t="s">
        <v>2319</v>
      </c>
      <c r="C406" s="629" t="s">
        <v>418</v>
      </c>
    </row>
    <row r="407" spans="1:3">
      <c r="A407" s="627">
        <v>2624</v>
      </c>
      <c r="B407" s="628" t="s">
        <v>2320</v>
      </c>
      <c r="C407" s="629" t="s">
        <v>418</v>
      </c>
    </row>
    <row r="408" spans="1:3">
      <c r="A408" s="627">
        <v>2625</v>
      </c>
      <c r="B408" s="628" t="s">
        <v>2321</v>
      </c>
      <c r="C408" s="629" t="s">
        <v>418</v>
      </c>
    </row>
    <row r="409" spans="1:3">
      <c r="A409" s="627">
        <v>2626</v>
      </c>
      <c r="B409" s="628" t="s">
        <v>2322</v>
      </c>
      <c r="C409" s="629" t="s">
        <v>418</v>
      </c>
    </row>
    <row r="410" spans="1:3">
      <c r="A410" s="627">
        <v>2627</v>
      </c>
      <c r="B410" s="628" t="s">
        <v>2323</v>
      </c>
      <c r="C410" s="629" t="s">
        <v>418</v>
      </c>
    </row>
    <row r="411" spans="1:3">
      <c r="A411" s="627">
        <v>2628</v>
      </c>
      <c r="B411" s="628" t="s">
        <v>2324</v>
      </c>
      <c r="C411" s="629" t="s">
        <v>418</v>
      </c>
    </row>
    <row r="412" spans="1:3">
      <c r="A412" s="627">
        <v>2629</v>
      </c>
      <c r="B412" s="628" t="s">
        <v>2325</v>
      </c>
      <c r="C412" s="629" t="s">
        <v>418</v>
      </c>
    </row>
    <row r="413" spans="1:3">
      <c r="A413" s="627">
        <v>2631</v>
      </c>
      <c r="B413" s="628" t="s">
        <v>2326</v>
      </c>
      <c r="C413" s="629" t="s">
        <v>418</v>
      </c>
    </row>
    <row r="414" spans="1:3">
      <c r="A414" s="627">
        <v>2632</v>
      </c>
      <c r="B414" s="628" t="s">
        <v>2327</v>
      </c>
      <c r="C414" s="629" t="s">
        <v>418</v>
      </c>
    </row>
    <row r="415" spans="1:3">
      <c r="A415" s="627">
        <v>2633</v>
      </c>
      <c r="B415" s="628" t="s">
        <v>2328</v>
      </c>
      <c r="C415" s="629" t="s">
        <v>418</v>
      </c>
    </row>
    <row r="416" spans="1:3">
      <c r="A416" s="627">
        <v>2634</v>
      </c>
      <c r="B416" s="628" t="s">
        <v>2329</v>
      </c>
      <c r="C416" s="629" t="s">
        <v>418</v>
      </c>
    </row>
    <row r="417" spans="1:3">
      <c r="A417" s="627">
        <v>2635</v>
      </c>
      <c r="B417" s="628" t="s">
        <v>2331</v>
      </c>
      <c r="C417" s="629" t="s">
        <v>418</v>
      </c>
    </row>
    <row r="418" spans="1:3">
      <c r="A418" s="627">
        <v>2635</v>
      </c>
      <c r="B418" s="628" t="s">
        <v>38</v>
      </c>
      <c r="C418" s="629" t="s">
        <v>418</v>
      </c>
    </row>
    <row r="419" spans="1:3">
      <c r="A419" s="627">
        <v>2637</v>
      </c>
      <c r="B419" s="628" t="s">
        <v>2332</v>
      </c>
      <c r="C419" s="629" t="s">
        <v>418</v>
      </c>
    </row>
    <row r="420" spans="1:3">
      <c r="A420" s="627">
        <v>2638</v>
      </c>
      <c r="B420" s="628" t="s">
        <v>2333</v>
      </c>
      <c r="C420" s="629" t="s">
        <v>418</v>
      </c>
    </row>
    <row r="421" spans="1:3">
      <c r="A421" s="627">
        <v>2639</v>
      </c>
      <c r="B421" s="628" t="s">
        <v>2334</v>
      </c>
      <c r="C421" s="629" t="s">
        <v>418</v>
      </c>
    </row>
    <row r="422" spans="1:3">
      <c r="A422" s="627">
        <v>2640</v>
      </c>
      <c r="B422" s="628" t="s">
        <v>2335</v>
      </c>
      <c r="C422" s="629" t="s">
        <v>2808</v>
      </c>
    </row>
    <row r="423" spans="1:3">
      <c r="A423" s="627">
        <v>2641</v>
      </c>
      <c r="B423" s="628" t="s">
        <v>2336</v>
      </c>
      <c r="C423" s="629" t="s">
        <v>2808</v>
      </c>
    </row>
    <row r="424" spans="1:3">
      <c r="A424" s="627">
        <v>2642</v>
      </c>
      <c r="B424" s="628" t="s">
        <v>2808</v>
      </c>
      <c r="C424" s="629" t="s">
        <v>2808</v>
      </c>
    </row>
    <row r="425" spans="1:3">
      <c r="A425" s="627">
        <v>2643</v>
      </c>
      <c r="B425" s="628" t="s">
        <v>2337</v>
      </c>
      <c r="C425" s="629" t="s">
        <v>2808</v>
      </c>
    </row>
    <row r="426" spans="1:3">
      <c r="A426" s="627">
        <v>2644</v>
      </c>
      <c r="B426" s="628" t="s">
        <v>2338</v>
      </c>
      <c r="C426" s="629" t="s">
        <v>2808</v>
      </c>
    </row>
    <row r="427" spans="1:3">
      <c r="A427" s="627">
        <v>2645</v>
      </c>
      <c r="B427" s="628" t="s">
        <v>2339</v>
      </c>
      <c r="C427" s="629" t="s">
        <v>2808</v>
      </c>
    </row>
    <row r="428" spans="1:3">
      <c r="A428" s="627">
        <v>2646</v>
      </c>
      <c r="B428" s="628" t="s">
        <v>2340</v>
      </c>
      <c r="C428" s="629" t="s">
        <v>2808</v>
      </c>
    </row>
    <row r="429" spans="1:3">
      <c r="A429" s="627">
        <v>2647</v>
      </c>
      <c r="B429" s="628" t="s">
        <v>2341</v>
      </c>
      <c r="C429" s="629" t="s">
        <v>2808</v>
      </c>
    </row>
    <row r="430" spans="1:3">
      <c r="A430" s="627">
        <v>2648</v>
      </c>
      <c r="B430" s="628" t="s">
        <v>2342</v>
      </c>
      <c r="C430" s="629" t="s">
        <v>2808</v>
      </c>
    </row>
    <row r="431" spans="1:3">
      <c r="A431" s="627">
        <v>2649</v>
      </c>
      <c r="B431" s="628" t="s">
        <v>2343</v>
      </c>
      <c r="C431" s="629" t="s">
        <v>2808</v>
      </c>
    </row>
    <row r="432" spans="1:3">
      <c r="A432" s="627">
        <v>2651</v>
      </c>
      <c r="B432" s="628" t="s">
        <v>2344</v>
      </c>
      <c r="C432" s="629" t="s">
        <v>2808</v>
      </c>
    </row>
    <row r="433" spans="1:3">
      <c r="A433" s="627">
        <v>2652</v>
      </c>
      <c r="B433" s="628" t="s">
        <v>2345</v>
      </c>
      <c r="C433" s="629" t="s">
        <v>2808</v>
      </c>
    </row>
    <row r="434" spans="1:3">
      <c r="A434" s="627">
        <v>2653</v>
      </c>
      <c r="B434" s="628" t="s">
        <v>2346</v>
      </c>
      <c r="C434" s="629" t="s">
        <v>2808</v>
      </c>
    </row>
    <row r="435" spans="1:3">
      <c r="A435" s="627">
        <v>2654</v>
      </c>
      <c r="B435" s="628" t="s">
        <v>2347</v>
      </c>
      <c r="C435" s="629" t="s">
        <v>2808</v>
      </c>
    </row>
    <row r="436" spans="1:3">
      <c r="A436" s="627">
        <v>2655</v>
      </c>
      <c r="B436" s="628" t="s">
        <v>39</v>
      </c>
      <c r="C436" s="629" t="s">
        <v>2808</v>
      </c>
    </row>
    <row r="437" spans="1:3">
      <c r="A437" s="627">
        <v>2655</v>
      </c>
      <c r="B437" s="628" t="s">
        <v>40</v>
      </c>
      <c r="C437" s="629" t="s">
        <v>2808</v>
      </c>
    </row>
    <row r="438" spans="1:3">
      <c r="A438" s="627">
        <v>2655</v>
      </c>
      <c r="B438" s="628" t="s">
        <v>41</v>
      </c>
      <c r="C438" s="629" t="s">
        <v>2808</v>
      </c>
    </row>
    <row r="439" spans="1:3">
      <c r="A439" s="627">
        <v>2656</v>
      </c>
      <c r="B439" s="628" t="s">
        <v>2349</v>
      </c>
      <c r="C439" s="629" t="s">
        <v>2808</v>
      </c>
    </row>
    <row r="440" spans="1:3">
      <c r="A440" s="627">
        <v>2657</v>
      </c>
      <c r="B440" s="628" t="s">
        <v>2350</v>
      </c>
      <c r="C440" s="629" t="s">
        <v>2808</v>
      </c>
    </row>
    <row r="441" spans="1:3">
      <c r="A441" s="627">
        <v>2658</v>
      </c>
      <c r="B441" s="628" t="s">
        <v>42</v>
      </c>
      <c r="C441" s="629" t="s">
        <v>2808</v>
      </c>
    </row>
    <row r="442" spans="1:3">
      <c r="A442" s="627">
        <v>2658</v>
      </c>
      <c r="B442" s="628" t="s">
        <v>43</v>
      </c>
      <c r="C442" s="629" t="s">
        <v>2808</v>
      </c>
    </row>
    <row r="443" spans="1:3">
      <c r="A443" s="627">
        <v>2659</v>
      </c>
      <c r="B443" s="628" t="s">
        <v>2352</v>
      </c>
      <c r="C443" s="629" t="s">
        <v>2808</v>
      </c>
    </row>
    <row r="444" spans="1:3">
      <c r="A444" s="627">
        <v>2660</v>
      </c>
      <c r="B444" s="628" t="s">
        <v>44</v>
      </c>
      <c r="C444" s="629" t="s">
        <v>2808</v>
      </c>
    </row>
    <row r="445" spans="1:3">
      <c r="A445" s="627">
        <v>2660</v>
      </c>
      <c r="B445" s="628" t="s">
        <v>45</v>
      </c>
      <c r="C445" s="629" t="s">
        <v>2808</v>
      </c>
    </row>
    <row r="446" spans="1:3">
      <c r="A446" s="627">
        <v>2668</v>
      </c>
      <c r="B446" s="628" t="s">
        <v>2354</v>
      </c>
      <c r="C446" s="629" t="s">
        <v>2808</v>
      </c>
    </row>
    <row r="447" spans="1:3">
      <c r="A447" s="627">
        <v>2669</v>
      </c>
      <c r="B447" s="628" t="s">
        <v>2355</v>
      </c>
      <c r="C447" s="629" t="s">
        <v>2808</v>
      </c>
    </row>
    <row r="448" spans="1:3">
      <c r="A448" s="627">
        <v>2671</v>
      </c>
      <c r="B448" s="628" t="s">
        <v>2356</v>
      </c>
      <c r="C448" s="629" t="s">
        <v>2808</v>
      </c>
    </row>
    <row r="449" spans="1:3">
      <c r="A449" s="627">
        <v>2672</v>
      </c>
      <c r="B449" s="628" t="s">
        <v>2357</v>
      </c>
      <c r="C449" s="629" t="s">
        <v>2808</v>
      </c>
    </row>
    <row r="450" spans="1:3">
      <c r="A450" s="627">
        <v>2673</v>
      </c>
      <c r="B450" s="628" t="s">
        <v>46</v>
      </c>
      <c r="C450" s="629" t="s">
        <v>2808</v>
      </c>
    </row>
    <row r="451" spans="1:3">
      <c r="A451" s="627">
        <v>2675</v>
      </c>
      <c r="B451" s="628" t="s">
        <v>47</v>
      </c>
      <c r="C451" s="629" t="s">
        <v>2808</v>
      </c>
    </row>
    <row r="452" spans="1:3">
      <c r="A452" s="627">
        <v>2675</v>
      </c>
      <c r="B452" s="628" t="s">
        <v>48</v>
      </c>
      <c r="C452" s="629" t="s">
        <v>2808</v>
      </c>
    </row>
    <row r="453" spans="1:3">
      <c r="A453" s="627">
        <v>2676</v>
      </c>
      <c r="B453" s="628" t="s">
        <v>2360</v>
      </c>
      <c r="C453" s="629" t="s">
        <v>2808</v>
      </c>
    </row>
    <row r="454" spans="1:3">
      <c r="A454" s="627">
        <v>2677</v>
      </c>
      <c r="B454" s="628" t="s">
        <v>2361</v>
      </c>
      <c r="C454" s="629" t="s">
        <v>2808</v>
      </c>
    </row>
    <row r="455" spans="1:3">
      <c r="A455" s="627">
        <v>2678</v>
      </c>
      <c r="B455" s="628" t="s">
        <v>2362</v>
      </c>
      <c r="C455" s="629" t="s">
        <v>2808</v>
      </c>
    </row>
    <row r="456" spans="1:3">
      <c r="A456" s="627">
        <v>2681</v>
      </c>
      <c r="B456" s="628" t="s">
        <v>2363</v>
      </c>
      <c r="C456" s="629" t="s">
        <v>418</v>
      </c>
    </row>
    <row r="457" spans="1:3">
      <c r="A457" s="627">
        <v>2682</v>
      </c>
      <c r="B457" s="628" t="s">
        <v>2364</v>
      </c>
      <c r="C457" s="629" t="s">
        <v>418</v>
      </c>
    </row>
    <row r="458" spans="1:3">
      <c r="A458" s="627">
        <v>2683</v>
      </c>
      <c r="B458" s="628" t="s">
        <v>2365</v>
      </c>
      <c r="C458" s="629" t="s">
        <v>418</v>
      </c>
    </row>
    <row r="459" spans="1:3">
      <c r="A459" s="627">
        <v>2685</v>
      </c>
      <c r="B459" s="628" t="s">
        <v>2366</v>
      </c>
      <c r="C459" s="629" t="s">
        <v>2808</v>
      </c>
    </row>
    <row r="460" spans="1:3">
      <c r="A460" s="627">
        <v>2686</v>
      </c>
      <c r="B460" s="628" t="s">
        <v>2367</v>
      </c>
      <c r="C460" s="629" t="s">
        <v>2808</v>
      </c>
    </row>
    <row r="461" spans="1:3">
      <c r="A461" s="627">
        <v>2687</v>
      </c>
      <c r="B461" s="628" t="s">
        <v>2368</v>
      </c>
      <c r="C461" s="629" t="s">
        <v>2808</v>
      </c>
    </row>
    <row r="462" spans="1:3">
      <c r="A462" s="627">
        <v>2688</v>
      </c>
      <c r="B462" s="628" t="s">
        <v>2369</v>
      </c>
      <c r="C462" s="629" t="s">
        <v>2808</v>
      </c>
    </row>
    <row r="463" spans="1:3">
      <c r="A463" s="627">
        <v>2691</v>
      </c>
      <c r="B463" s="628" t="s">
        <v>2370</v>
      </c>
      <c r="C463" s="629" t="s">
        <v>2808</v>
      </c>
    </row>
    <row r="464" spans="1:3">
      <c r="A464" s="627">
        <v>2692</v>
      </c>
      <c r="B464" s="628" t="s">
        <v>2371</v>
      </c>
      <c r="C464" s="629" t="s">
        <v>2808</v>
      </c>
    </row>
    <row r="465" spans="1:3">
      <c r="A465" s="627">
        <v>2693</v>
      </c>
      <c r="B465" s="628" t="s">
        <v>2372</v>
      </c>
      <c r="C465" s="629" t="s">
        <v>2808</v>
      </c>
    </row>
    <row r="466" spans="1:3">
      <c r="A466" s="627">
        <v>2694</v>
      </c>
      <c r="B466" s="628" t="s">
        <v>49</v>
      </c>
      <c r="C466" s="629" t="s">
        <v>2808</v>
      </c>
    </row>
    <row r="467" spans="1:3">
      <c r="A467" s="627">
        <v>2694</v>
      </c>
      <c r="B467" s="628" t="s">
        <v>50</v>
      </c>
      <c r="C467" s="629" t="s">
        <v>2808</v>
      </c>
    </row>
    <row r="468" spans="1:3">
      <c r="A468" s="627">
        <v>2694</v>
      </c>
      <c r="B468" s="628" t="s">
        <v>51</v>
      </c>
      <c r="C468" s="629" t="s">
        <v>2808</v>
      </c>
    </row>
    <row r="469" spans="1:3">
      <c r="A469" s="627">
        <v>2696</v>
      </c>
      <c r="B469" s="628" t="s">
        <v>2917</v>
      </c>
      <c r="C469" s="629" t="s">
        <v>2808</v>
      </c>
    </row>
    <row r="470" spans="1:3">
      <c r="A470" s="627">
        <v>2697</v>
      </c>
      <c r="B470" s="628" t="s">
        <v>52</v>
      </c>
      <c r="C470" s="629" t="s">
        <v>2808</v>
      </c>
    </row>
    <row r="471" spans="1:3">
      <c r="A471" s="627">
        <v>2698</v>
      </c>
      <c r="B471" s="628" t="s">
        <v>2919</v>
      </c>
      <c r="C471" s="629" t="s">
        <v>2808</v>
      </c>
    </row>
    <row r="472" spans="1:3">
      <c r="A472" s="627">
        <v>2699</v>
      </c>
      <c r="B472" s="628" t="s">
        <v>2920</v>
      </c>
      <c r="C472" s="629" t="s">
        <v>2808</v>
      </c>
    </row>
    <row r="473" spans="1:3">
      <c r="A473" s="627">
        <v>2700</v>
      </c>
      <c r="B473" s="628" t="s">
        <v>2921</v>
      </c>
      <c r="C473" s="629" t="s">
        <v>418</v>
      </c>
    </row>
    <row r="474" spans="1:3">
      <c r="A474" s="627">
        <v>2711</v>
      </c>
      <c r="B474" s="628" t="s">
        <v>2922</v>
      </c>
      <c r="C474" s="629" t="s">
        <v>418</v>
      </c>
    </row>
    <row r="475" spans="1:3">
      <c r="A475" s="627">
        <v>2712</v>
      </c>
      <c r="B475" s="628" t="s">
        <v>2923</v>
      </c>
      <c r="C475" s="629" t="s">
        <v>418</v>
      </c>
    </row>
    <row r="476" spans="1:3">
      <c r="A476" s="627">
        <v>2713</v>
      </c>
      <c r="B476" s="628" t="s">
        <v>2924</v>
      </c>
      <c r="C476" s="629" t="s">
        <v>418</v>
      </c>
    </row>
    <row r="477" spans="1:3">
      <c r="A477" s="627">
        <v>2721</v>
      </c>
      <c r="B477" s="628" t="s">
        <v>2925</v>
      </c>
      <c r="C477" s="629" t="s">
        <v>418</v>
      </c>
    </row>
    <row r="478" spans="1:3">
      <c r="A478" s="627">
        <v>2723</v>
      </c>
      <c r="B478" s="628" t="s">
        <v>2926</v>
      </c>
      <c r="C478" s="629" t="s">
        <v>418</v>
      </c>
    </row>
    <row r="479" spans="1:3">
      <c r="A479" s="627">
        <v>2724</v>
      </c>
      <c r="B479" s="628" t="s">
        <v>2927</v>
      </c>
      <c r="C479" s="629" t="s">
        <v>418</v>
      </c>
    </row>
    <row r="480" spans="1:3">
      <c r="A480" s="627">
        <v>2730</v>
      </c>
      <c r="B480" s="628" t="s">
        <v>2928</v>
      </c>
      <c r="C480" s="629" t="s">
        <v>418</v>
      </c>
    </row>
    <row r="481" spans="1:3">
      <c r="A481" s="627">
        <v>2735</v>
      </c>
      <c r="B481" s="628" t="s">
        <v>2929</v>
      </c>
      <c r="C481" s="629" t="s">
        <v>418</v>
      </c>
    </row>
    <row r="482" spans="1:3">
      <c r="A482" s="627">
        <v>2736</v>
      </c>
      <c r="B482" s="628" t="s">
        <v>2930</v>
      </c>
      <c r="C482" s="629" t="s">
        <v>418</v>
      </c>
    </row>
    <row r="483" spans="1:3">
      <c r="A483" s="627">
        <v>2737</v>
      </c>
      <c r="B483" s="628" t="s">
        <v>2931</v>
      </c>
      <c r="C483" s="629" t="s">
        <v>418</v>
      </c>
    </row>
    <row r="484" spans="1:3">
      <c r="A484" s="627">
        <v>2738</v>
      </c>
      <c r="B484" s="628" t="s">
        <v>2921</v>
      </c>
      <c r="C484" s="629" t="s">
        <v>418</v>
      </c>
    </row>
    <row r="485" spans="1:3">
      <c r="A485" s="627">
        <v>2740</v>
      </c>
      <c r="B485" s="628" t="s">
        <v>2932</v>
      </c>
      <c r="C485" s="629" t="s">
        <v>418</v>
      </c>
    </row>
    <row r="486" spans="1:3">
      <c r="A486" s="627">
        <v>2745</v>
      </c>
      <c r="B486" s="628" t="s">
        <v>54</v>
      </c>
      <c r="C486" s="629" t="s">
        <v>418</v>
      </c>
    </row>
    <row r="487" spans="1:3">
      <c r="A487" s="627">
        <v>2746</v>
      </c>
      <c r="B487" s="628" t="s">
        <v>2934</v>
      </c>
      <c r="C487" s="629" t="s">
        <v>418</v>
      </c>
    </row>
    <row r="488" spans="1:3">
      <c r="A488" s="627">
        <v>2747</v>
      </c>
      <c r="B488" s="628" t="s">
        <v>2935</v>
      </c>
      <c r="C488" s="629" t="s">
        <v>418</v>
      </c>
    </row>
    <row r="489" spans="1:3">
      <c r="A489" s="627">
        <v>2750</v>
      </c>
      <c r="B489" s="628" t="s">
        <v>2936</v>
      </c>
      <c r="C489" s="629" t="s">
        <v>418</v>
      </c>
    </row>
    <row r="490" spans="1:3">
      <c r="A490" s="627">
        <v>2755</v>
      </c>
      <c r="B490" s="628" t="s">
        <v>2937</v>
      </c>
      <c r="C490" s="629" t="s">
        <v>418</v>
      </c>
    </row>
    <row r="491" spans="1:3">
      <c r="A491" s="627">
        <v>2760</v>
      </c>
      <c r="B491" s="628" t="s">
        <v>2938</v>
      </c>
      <c r="C491" s="629" t="s">
        <v>418</v>
      </c>
    </row>
    <row r="492" spans="1:3">
      <c r="A492" s="627">
        <v>2764</v>
      </c>
      <c r="B492" s="628" t="s">
        <v>2939</v>
      </c>
      <c r="C492" s="629" t="s">
        <v>418</v>
      </c>
    </row>
    <row r="493" spans="1:3">
      <c r="A493" s="627">
        <v>2765</v>
      </c>
      <c r="B493" s="628" t="s">
        <v>2940</v>
      </c>
      <c r="C493" s="629" t="s">
        <v>418</v>
      </c>
    </row>
    <row r="494" spans="1:3">
      <c r="A494" s="627">
        <v>2766</v>
      </c>
      <c r="B494" s="630" t="s">
        <v>2941</v>
      </c>
      <c r="C494" s="630" t="s">
        <v>418</v>
      </c>
    </row>
    <row r="495" spans="1:3">
      <c r="A495" s="627">
        <v>2767</v>
      </c>
      <c r="B495" s="628" t="s">
        <v>2942</v>
      </c>
      <c r="C495" s="629" t="s">
        <v>418</v>
      </c>
    </row>
    <row r="496" spans="1:3">
      <c r="A496" s="627">
        <v>2768</v>
      </c>
      <c r="B496" s="628" t="s">
        <v>2943</v>
      </c>
      <c r="C496" s="629" t="s">
        <v>418</v>
      </c>
    </row>
    <row r="497" spans="1:3">
      <c r="A497" s="627">
        <v>2769</v>
      </c>
      <c r="B497" s="628" t="s">
        <v>2944</v>
      </c>
      <c r="C497" s="629" t="s">
        <v>418</v>
      </c>
    </row>
    <row r="498" spans="1:3">
      <c r="A498" s="627">
        <v>2800</v>
      </c>
      <c r="B498" s="630" t="s">
        <v>2945</v>
      </c>
      <c r="C498" s="630" t="s">
        <v>420</v>
      </c>
    </row>
    <row r="499" spans="1:3">
      <c r="A499" s="627">
        <v>2821</v>
      </c>
      <c r="B499" s="628" t="s">
        <v>2946</v>
      </c>
      <c r="C499" s="629" t="s">
        <v>420</v>
      </c>
    </row>
    <row r="500" spans="1:3">
      <c r="A500" s="627">
        <v>2822</v>
      </c>
      <c r="B500" s="628" t="s">
        <v>2947</v>
      </c>
      <c r="C500" s="629" t="s">
        <v>420</v>
      </c>
    </row>
    <row r="501" spans="1:3">
      <c r="A501" s="627">
        <v>2823</v>
      </c>
      <c r="B501" s="628" t="s">
        <v>2948</v>
      </c>
      <c r="C501" s="629" t="s">
        <v>420</v>
      </c>
    </row>
    <row r="502" spans="1:3">
      <c r="A502" s="627">
        <v>2824</v>
      </c>
      <c r="B502" s="628" t="s">
        <v>2949</v>
      </c>
      <c r="C502" s="629" t="s">
        <v>420</v>
      </c>
    </row>
    <row r="503" spans="1:3">
      <c r="A503" s="627">
        <v>2831</v>
      </c>
      <c r="B503" s="628" t="s">
        <v>2950</v>
      </c>
      <c r="C503" s="629" t="s">
        <v>420</v>
      </c>
    </row>
    <row r="504" spans="1:3">
      <c r="A504" s="627">
        <v>2832</v>
      </c>
      <c r="B504" s="630" t="s">
        <v>2951</v>
      </c>
      <c r="C504" s="630" t="s">
        <v>420</v>
      </c>
    </row>
    <row r="505" spans="1:3">
      <c r="A505" s="627">
        <v>2833</v>
      </c>
      <c r="B505" s="630" t="s">
        <v>2952</v>
      </c>
      <c r="C505" s="630" t="s">
        <v>420</v>
      </c>
    </row>
    <row r="506" spans="1:3">
      <c r="A506" s="627">
        <v>2834</v>
      </c>
      <c r="B506" s="628" t="s">
        <v>305</v>
      </c>
      <c r="C506" s="629" t="s">
        <v>420</v>
      </c>
    </row>
    <row r="507" spans="1:3">
      <c r="A507" s="627">
        <v>2835</v>
      </c>
      <c r="B507" s="628" t="s">
        <v>2979</v>
      </c>
      <c r="C507" s="629" t="s">
        <v>420</v>
      </c>
    </row>
    <row r="508" spans="1:3">
      <c r="A508" s="627">
        <v>2836</v>
      </c>
      <c r="B508" s="628" t="s">
        <v>2955</v>
      </c>
      <c r="C508" s="629" t="s">
        <v>420</v>
      </c>
    </row>
    <row r="509" spans="1:3">
      <c r="A509" s="627">
        <v>2837</v>
      </c>
      <c r="B509" s="628" t="s">
        <v>2956</v>
      </c>
      <c r="C509" s="629" t="s">
        <v>420</v>
      </c>
    </row>
    <row r="510" spans="1:3">
      <c r="A510" s="627">
        <v>2840</v>
      </c>
      <c r="B510" s="628" t="s">
        <v>2957</v>
      </c>
      <c r="C510" s="629" t="s">
        <v>420</v>
      </c>
    </row>
    <row r="511" spans="1:3">
      <c r="A511" s="627">
        <v>2851</v>
      </c>
      <c r="B511" s="628" t="s">
        <v>2958</v>
      </c>
      <c r="C511" s="629" t="s">
        <v>420</v>
      </c>
    </row>
    <row r="512" spans="1:3">
      <c r="A512" s="627">
        <v>2852</v>
      </c>
      <c r="B512" s="628" t="s">
        <v>2959</v>
      </c>
      <c r="C512" s="629" t="s">
        <v>420</v>
      </c>
    </row>
    <row r="513" spans="1:3">
      <c r="A513" s="627">
        <v>2853</v>
      </c>
      <c r="B513" s="628" t="s">
        <v>2960</v>
      </c>
      <c r="C513" s="629" t="s">
        <v>420</v>
      </c>
    </row>
    <row r="514" spans="1:3">
      <c r="A514" s="627">
        <v>2854</v>
      </c>
      <c r="B514" s="628" t="s">
        <v>2961</v>
      </c>
      <c r="C514" s="629" t="s">
        <v>420</v>
      </c>
    </row>
    <row r="515" spans="1:3">
      <c r="A515" s="627">
        <v>2855</v>
      </c>
      <c r="B515" s="628" t="s">
        <v>2962</v>
      </c>
      <c r="C515" s="629" t="s">
        <v>420</v>
      </c>
    </row>
    <row r="516" spans="1:3">
      <c r="A516" s="627">
        <v>2856</v>
      </c>
      <c r="B516" s="628" t="s">
        <v>307</v>
      </c>
      <c r="C516" s="629" t="s">
        <v>420</v>
      </c>
    </row>
    <row r="517" spans="1:3">
      <c r="A517" s="627">
        <v>2858</v>
      </c>
      <c r="B517" s="628" t="s">
        <v>2964</v>
      </c>
      <c r="C517" s="629" t="s">
        <v>420</v>
      </c>
    </row>
    <row r="518" spans="1:3">
      <c r="A518" s="627">
        <v>2859</v>
      </c>
      <c r="B518" s="628" t="s">
        <v>2965</v>
      </c>
      <c r="C518" s="629" t="s">
        <v>420</v>
      </c>
    </row>
    <row r="519" spans="1:3">
      <c r="A519" s="627">
        <v>2861</v>
      </c>
      <c r="B519" s="628" t="s">
        <v>2966</v>
      </c>
      <c r="C519" s="629" t="s">
        <v>420</v>
      </c>
    </row>
    <row r="520" spans="1:3">
      <c r="A520" s="627">
        <v>2862</v>
      </c>
      <c r="B520" s="628" t="s">
        <v>2967</v>
      </c>
      <c r="C520" s="629" t="s">
        <v>420</v>
      </c>
    </row>
    <row r="521" spans="1:3">
      <c r="A521" s="627">
        <v>2870</v>
      </c>
      <c r="B521" s="628" t="s">
        <v>2968</v>
      </c>
      <c r="C521" s="629" t="s">
        <v>420</v>
      </c>
    </row>
    <row r="522" spans="1:3">
      <c r="A522" s="627">
        <v>2879</v>
      </c>
      <c r="B522" s="628" t="s">
        <v>2968</v>
      </c>
      <c r="C522" s="629" t="s">
        <v>420</v>
      </c>
    </row>
    <row r="523" spans="1:3">
      <c r="A523" s="627">
        <v>2881</v>
      </c>
      <c r="B523" s="630" t="s">
        <v>2970</v>
      </c>
      <c r="C523" s="630" t="s">
        <v>420</v>
      </c>
    </row>
    <row r="524" spans="1:3">
      <c r="A524" s="627">
        <v>2882</v>
      </c>
      <c r="B524" s="628" t="s">
        <v>2165</v>
      </c>
      <c r="C524" s="629" t="s">
        <v>423</v>
      </c>
    </row>
    <row r="525" spans="1:3">
      <c r="A525" s="627">
        <v>2883</v>
      </c>
      <c r="B525" s="628" t="s">
        <v>2972</v>
      </c>
      <c r="C525" s="629" t="s">
        <v>420</v>
      </c>
    </row>
    <row r="526" spans="1:3">
      <c r="A526" s="627">
        <v>2884</v>
      </c>
      <c r="B526" s="630" t="s">
        <v>2973</v>
      </c>
      <c r="C526" s="630" t="s">
        <v>420</v>
      </c>
    </row>
    <row r="527" spans="1:3">
      <c r="A527" s="627">
        <v>2885</v>
      </c>
      <c r="B527" s="628" t="s">
        <v>2974</v>
      </c>
      <c r="C527" s="629" t="s">
        <v>420</v>
      </c>
    </row>
    <row r="528" spans="1:3">
      <c r="A528" s="627">
        <v>2886</v>
      </c>
      <c r="B528" s="628" t="s">
        <v>2975</v>
      </c>
      <c r="C528" s="629" t="s">
        <v>420</v>
      </c>
    </row>
    <row r="529" spans="1:3">
      <c r="A529" s="627">
        <v>2887</v>
      </c>
      <c r="B529" s="628" t="s">
        <v>2976</v>
      </c>
      <c r="C529" s="629" t="s">
        <v>420</v>
      </c>
    </row>
    <row r="530" spans="1:3">
      <c r="A530" s="627">
        <v>2888</v>
      </c>
      <c r="B530" s="630" t="s">
        <v>2977</v>
      </c>
      <c r="C530" s="630" t="s">
        <v>420</v>
      </c>
    </row>
    <row r="531" spans="1:3">
      <c r="A531" s="627">
        <v>2889</v>
      </c>
      <c r="B531" s="628" t="s">
        <v>2978</v>
      </c>
      <c r="C531" s="629" t="s">
        <v>420</v>
      </c>
    </row>
    <row r="532" spans="1:3">
      <c r="A532" s="627">
        <v>2890</v>
      </c>
      <c r="B532" s="630" t="s">
        <v>2979</v>
      </c>
      <c r="C532" s="630" t="s">
        <v>420</v>
      </c>
    </row>
    <row r="533" spans="1:3">
      <c r="A533" s="627">
        <v>2896</v>
      </c>
      <c r="B533" s="628" t="s">
        <v>2980</v>
      </c>
      <c r="C533" s="629" t="s">
        <v>420</v>
      </c>
    </row>
    <row r="534" spans="1:3">
      <c r="A534" s="627">
        <v>2897</v>
      </c>
      <c r="B534" s="628" t="s">
        <v>2981</v>
      </c>
      <c r="C534" s="629" t="s">
        <v>420</v>
      </c>
    </row>
    <row r="535" spans="1:3">
      <c r="A535" s="627">
        <v>2898</v>
      </c>
      <c r="B535" s="628" t="s">
        <v>2982</v>
      </c>
      <c r="C535" s="629" t="s">
        <v>420</v>
      </c>
    </row>
    <row r="536" spans="1:3">
      <c r="A536" s="627">
        <v>2899</v>
      </c>
      <c r="B536" s="628" t="s">
        <v>2983</v>
      </c>
      <c r="C536" s="629" t="s">
        <v>420</v>
      </c>
    </row>
    <row r="537" spans="1:3">
      <c r="A537" s="627">
        <v>2900</v>
      </c>
      <c r="B537" s="628" t="s">
        <v>2984</v>
      </c>
      <c r="C537" s="629" t="s">
        <v>420</v>
      </c>
    </row>
    <row r="538" spans="1:3">
      <c r="A538" s="627">
        <v>2903</v>
      </c>
      <c r="B538" s="628" t="s">
        <v>2984</v>
      </c>
      <c r="C538" s="629" t="s">
        <v>420</v>
      </c>
    </row>
    <row r="539" spans="1:3">
      <c r="A539" s="627">
        <v>2911</v>
      </c>
      <c r="B539" s="628" t="s">
        <v>2986</v>
      </c>
      <c r="C539" s="629" t="s">
        <v>420</v>
      </c>
    </row>
    <row r="540" spans="1:3">
      <c r="A540" s="627">
        <v>2921</v>
      </c>
      <c r="B540" s="628" t="s">
        <v>2984</v>
      </c>
      <c r="C540" s="629" t="s">
        <v>420</v>
      </c>
    </row>
    <row r="541" spans="1:3">
      <c r="A541" s="627">
        <v>2931</v>
      </c>
      <c r="B541" s="628" t="s">
        <v>3182</v>
      </c>
      <c r="C541" s="629" t="s">
        <v>420</v>
      </c>
    </row>
    <row r="542" spans="1:3">
      <c r="A542" s="627">
        <v>2941</v>
      </c>
      <c r="B542" s="630" t="s">
        <v>2989</v>
      </c>
      <c r="C542" s="630" t="s">
        <v>420</v>
      </c>
    </row>
    <row r="543" spans="1:3">
      <c r="A543" s="627">
        <v>2942</v>
      </c>
      <c r="B543" s="630" t="s">
        <v>2990</v>
      </c>
      <c r="C543" s="630" t="s">
        <v>420</v>
      </c>
    </row>
    <row r="544" spans="1:3">
      <c r="A544" s="627">
        <v>2943</v>
      </c>
      <c r="B544" s="628" t="s">
        <v>2991</v>
      </c>
      <c r="C544" s="629" t="s">
        <v>420</v>
      </c>
    </row>
    <row r="545" spans="1:3">
      <c r="A545" s="627">
        <v>2944</v>
      </c>
      <c r="B545" s="630" t="s">
        <v>2992</v>
      </c>
      <c r="C545" s="630" t="s">
        <v>420</v>
      </c>
    </row>
    <row r="546" spans="1:3">
      <c r="A546" s="627">
        <v>2945</v>
      </c>
      <c r="B546" s="628" t="s">
        <v>2993</v>
      </c>
      <c r="C546" s="629" t="s">
        <v>420</v>
      </c>
    </row>
    <row r="547" spans="1:3">
      <c r="A547" s="627">
        <v>2946</v>
      </c>
      <c r="B547" s="630" t="s">
        <v>2994</v>
      </c>
      <c r="C547" s="630" t="s">
        <v>420</v>
      </c>
    </row>
    <row r="548" spans="1:3">
      <c r="A548" s="627">
        <v>2947</v>
      </c>
      <c r="B548" s="628" t="s">
        <v>2995</v>
      </c>
      <c r="C548" s="629" t="s">
        <v>420</v>
      </c>
    </row>
    <row r="549" spans="1:3">
      <c r="A549" s="627">
        <v>2948</v>
      </c>
      <c r="B549" s="628" t="s">
        <v>2996</v>
      </c>
      <c r="C549" s="629" t="s">
        <v>420</v>
      </c>
    </row>
    <row r="550" spans="1:3">
      <c r="A550" s="627">
        <v>2949</v>
      </c>
      <c r="B550" s="628" t="s">
        <v>2997</v>
      </c>
      <c r="C550" s="629" t="s">
        <v>420</v>
      </c>
    </row>
    <row r="551" spans="1:3">
      <c r="A551" s="627">
        <v>3000</v>
      </c>
      <c r="B551" s="628" t="s">
        <v>312</v>
      </c>
      <c r="C551" s="629" t="s">
        <v>410</v>
      </c>
    </row>
    <row r="552" spans="1:3">
      <c r="A552" s="61">
        <v>3009</v>
      </c>
      <c r="B552" s="637" t="s">
        <v>2999</v>
      </c>
      <c r="C552" s="629" t="s">
        <v>410</v>
      </c>
    </row>
    <row r="553" spans="1:3">
      <c r="A553" s="627">
        <v>3011</v>
      </c>
      <c r="B553" s="628" t="s">
        <v>3000</v>
      </c>
      <c r="C553" s="629" t="s">
        <v>410</v>
      </c>
    </row>
    <row r="554" spans="1:3">
      <c r="A554" s="627">
        <v>3012</v>
      </c>
      <c r="B554" s="628" t="s">
        <v>3001</v>
      </c>
      <c r="C554" s="629" t="s">
        <v>410</v>
      </c>
    </row>
    <row r="555" spans="1:3">
      <c r="A555" s="627">
        <v>3013</v>
      </c>
      <c r="B555" s="628" t="s">
        <v>3002</v>
      </c>
      <c r="C555" s="629" t="s">
        <v>410</v>
      </c>
    </row>
    <row r="556" spans="1:3">
      <c r="A556" s="627">
        <v>3014</v>
      </c>
      <c r="B556" s="628" t="s">
        <v>1702</v>
      </c>
      <c r="C556" s="629" t="s">
        <v>410</v>
      </c>
    </row>
    <row r="557" spans="1:3">
      <c r="A557" s="627">
        <v>3015</v>
      </c>
      <c r="B557" s="628" t="s">
        <v>1703</v>
      </c>
      <c r="C557" s="629" t="s">
        <v>410</v>
      </c>
    </row>
    <row r="558" spans="1:3">
      <c r="A558" s="627">
        <v>3016</v>
      </c>
      <c r="B558" s="628" t="s">
        <v>1704</v>
      </c>
      <c r="C558" s="629" t="s">
        <v>410</v>
      </c>
    </row>
    <row r="559" spans="1:3">
      <c r="A559" s="627">
        <v>3021</v>
      </c>
      <c r="B559" s="628" t="s">
        <v>1705</v>
      </c>
      <c r="C559" s="629" t="s">
        <v>410</v>
      </c>
    </row>
    <row r="560" spans="1:3">
      <c r="A560" s="627">
        <v>3022</v>
      </c>
      <c r="B560" s="628" t="s">
        <v>1705</v>
      </c>
      <c r="C560" s="629" t="s">
        <v>410</v>
      </c>
    </row>
    <row r="561" spans="1:3">
      <c r="A561" s="627">
        <v>3023</v>
      </c>
      <c r="B561" s="628" t="s">
        <v>1706</v>
      </c>
      <c r="C561" s="629" t="s">
        <v>410</v>
      </c>
    </row>
    <row r="562" spans="1:3">
      <c r="A562" s="627">
        <v>3024</v>
      </c>
      <c r="B562" s="628" t="s">
        <v>1705</v>
      </c>
      <c r="C562" s="629" t="s">
        <v>410</v>
      </c>
    </row>
    <row r="563" spans="1:3">
      <c r="A563" s="627">
        <v>3031</v>
      </c>
      <c r="B563" s="628" t="s">
        <v>971</v>
      </c>
      <c r="C563" s="629" t="s">
        <v>410</v>
      </c>
    </row>
    <row r="564" spans="1:3">
      <c r="A564" s="627">
        <v>3032</v>
      </c>
      <c r="B564" s="628" t="s">
        <v>972</v>
      </c>
      <c r="C564" s="629" t="s">
        <v>410</v>
      </c>
    </row>
    <row r="565" spans="1:3">
      <c r="A565" s="627">
        <v>3033</v>
      </c>
      <c r="B565" s="628" t="s">
        <v>973</v>
      </c>
      <c r="C565" s="629" t="s">
        <v>410</v>
      </c>
    </row>
    <row r="566" spans="1:3">
      <c r="A566" s="627">
        <v>3034</v>
      </c>
      <c r="B566" s="628" t="s">
        <v>316</v>
      </c>
      <c r="C566" s="629" t="s">
        <v>410</v>
      </c>
    </row>
    <row r="567" spans="1:3">
      <c r="A567" s="627">
        <v>3035</v>
      </c>
      <c r="B567" s="628" t="s">
        <v>975</v>
      </c>
      <c r="C567" s="629" t="s">
        <v>410</v>
      </c>
    </row>
    <row r="568" spans="1:3">
      <c r="A568" s="627">
        <v>3036</v>
      </c>
      <c r="B568" s="628" t="s">
        <v>976</v>
      </c>
      <c r="C568" s="629" t="s">
        <v>410</v>
      </c>
    </row>
    <row r="569" spans="1:3">
      <c r="A569" s="627">
        <v>3041</v>
      </c>
      <c r="B569" s="628" t="s">
        <v>977</v>
      </c>
      <c r="C569" s="629" t="s">
        <v>2808</v>
      </c>
    </row>
    <row r="570" spans="1:3">
      <c r="A570" s="627">
        <v>3042</v>
      </c>
      <c r="B570" s="628" t="s">
        <v>978</v>
      </c>
      <c r="C570" s="629" t="s">
        <v>2808</v>
      </c>
    </row>
    <row r="571" spans="1:3">
      <c r="A571" s="627">
        <v>3043</v>
      </c>
      <c r="B571" s="628" t="s">
        <v>979</v>
      </c>
      <c r="C571" s="629" t="s">
        <v>2808</v>
      </c>
    </row>
    <row r="572" spans="1:3">
      <c r="A572" s="627">
        <v>3044</v>
      </c>
      <c r="B572" s="630" t="s">
        <v>980</v>
      </c>
      <c r="C572" s="630" t="s">
        <v>2808</v>
      </c>
    </row>
    <row r="573" spans="1:3">
      <c r="A573" s="627">
        <v>3045</v>
      </c>
      <c r="B573" s="628" t="s">
        <v>981</v>
      </c>
      <c r="C573" s="629" t="s">
        <v>2808</v>
      </c>
    </row>
    <row r="574" spans="1:3">
      <c r="A574" s="627">
        <v>3046</v>
      </c>
      <c r="B574" s="628" t="s">
        <v>982</v>
      </c>
      <c r="C574" s="629" t="s">
        <v>2808</v>
      </c>
    </row>
    <row r="575" spans="1:3">
      <c r="A575" s="627">
        <v>3047</v>
      </c>
      <c r="B575" s="628" t="s">
        <v>983</v>
      </c>
      <c r="C575" s="629" t="s">
        <v>2808</v>
      </c>
    </row>
    <row r="576" spans="1:3">
      <c r="A576" s="627">
        <v>3051</v>
      </c>
      <c r="B576" s="628" t="s">
        <v>985</v>
      </c>
      <c r="C576" s="629" t="s">
        <v>2808</v>
      </c>
    </row>
    <row r="577" spans="1:3">
      <c r="A577" s="627">
        <v>3052</v>
      </c>
      <c r="B577" s="628" t="s">
        <v>986</v>
      </c>
      <c r="C577" s="629" t="s">
        <v>2808</v>
      </c>
    </row>
    <row r="578" spans="1:3">
      <c r="A578" s="627">
        <v>3053</v>
      </c>
      <c r="B578" s="628" t="s">
        <v>317</v>
      </c>
      <c r="C578" s="629" t="s">
        <v>2808</v>
      </c>
    </row>
    <row r="579" spans="1:3">
      <c r="A579" s="627">
        <v>3053</v>
      </c>
      <c r="B579" s="628" t="s">
        <v>318</v>
      </c>
      <c r="C579" s="629" t="s">
        <v>2808</v>
      </c>
    </row>
    <row r="580" spans="1:3">
      <c r="A580" s="627">
        <v>3060</v>
      </c>
      <c r="B580" s="628" t="s">
        <v>988</v>
      </c>
      <c r="C580" s="629" t="s">
        <v>2808</v>
      </c>
    </row>
    <row r="581" spans="1:3">
      <c r="A581" s="627">
        <v>3063</v>
      </c>
      <c r="B581" s="628" t="s">
        <v>989</v>
      </c>
      <c r="C581" s="629" t="s">
        <v>2808</v>
      </c>
    </row>
    <row r="582" spans="1:3">
      <c r="A582" s="627">
        <v>3064</v>
      </c>
      <c r="B582" s="628" t="s">
        <v>990</v>
      </c>
      <c r="C582" s="629" t="s">
        <v>2808</v>
      </c>
    </row>
    <row r="583" spans="1:3">
      <c r="A583" s="627">
        <v>3065</v>
      </c>
      <c r="B583" s="628" t="s">
        <v>988</v>
      </c>
      <c r="C583" s="629" t="s">
        <v>2808</v>
      </c>
    </row>
    <row r="584" spans="1:3">
      <c r="A584" s="627">
        <v>3066</v>
      </c>
      <c r="B584" s="628" t="s">
        <v>320</v>
      </c>
      <c r="C584" s="629" t="s">
        <v>2808</v>
      </c>
    </row>
    <row r="585" spans="1:3">
      <c r="A585" s="627">
        <v>3066</v>
      </c>
      <c r="B585" s="628" t="s">
        <v>321</v>
      </c>
      <c r="C585" s="629" t="s">
        <v>2808</v>
      </c>
    </row>
    <row r="586" spans="1:3">
      <c r="A586" s="627">
        <v>3066</v>
      </c>
      <c r="B586" s="628" t="s">
        <v>322</v>
      </c>
      <c r="C586" s="629" t="s">
        <v>2808</v>
      </c>
    </row>
    <row r="587" spans="1:3">
      <c r="A587" s="627">
        <v>3067</v>
      </c>
      <c r="B587" s="628" t="s">
        <v>323</v>
      </c>
      <c r="C587" s="629" t="s">
        <v>2808</v>
      </c>
    </row>
    <row r="588" spans="1:3">
      <c r="A588" s="627">
        <v>3067</v>
      </c>
      <c r="B588" s="628" t="s">
        <v>324</v>
      </c>
      <c r="C588" s="629" t="s">
        <v>2808</v>
      </c>
    </row>
    <row r="589" spans="1:3">
      <c r="A589" s="627">
        <v>3068</v>
      </c>
      <c r="B589" s="628" t="s">
        <v>3337</v>
      </c>
      <c r="C589" s="629" t="s">
        <v>2808</v>
      </c>
    </row>
    <row r="590" spans="1:3">
      <c r="A590" s="627">
        <v>3069</v>
      </c>
      <c r="B590" s="628" t="s">
        <v>3338</v>
      </c>
      <c r="C590" s="629" t="s">
        <v>2808</v>
      </c>
    </row>
    <row r="591" spans="1:3">
      <c r="A591" s="627">
        <v>3070</v>
      </c>
      <c r="B591" s="628" t="s">
        <v>3340</v>
      </c>
      <c r="C591" s="629" t="s">
        <v>2808</v>
      </c>
    </row>
    <row r="592" spans="1:3">
      <c r="A592" s="627">
        <v>3073</v>
      </c>
      <c r="B592" s="628" t="s">
        <v>3341</v>
      </c>
      <c r="C592" s="629" t="s">
        <v>2808</v>
      </c>
    </row>
    <row r="593" spans="1:3">
      <c r="A593" s="627">
        <v>3074</v>
      </c>
      <c r="B593" s="628" t="s">
        <v>3342</v>
      </c>
      <c r="C593" s="629" t="s">
        <v>2808</v>
      </c>
    </row>
    <row r="594" spans="1:3">
      <c r="A594" s="627">
        <v>3075</v>
      </c>
      <c r="B594" s="628" t="s">
        <v>325</v>
      </c>
      <c r="C594" s="629" t="s">
        <v>2808</v>
      </c>
    </row>
    <row r="595" spans="1:3">
      <c r="A595" s="627">
        <v>3075</v>
      </c>
      <c r="B595" s="628" t="s">
        <v>326</v>
      </c>
      <c r="C595" s="629" t="s">
        <v>2808</v>
      </c>
    </row>
    <row r="596" spans="1:3">
      <c r="A596" s="627">
        <v>3075</v>
      </c>
      <c r="B596" s="628" t="s">
        <v>532</v>
      </c>
      <c r="C596" s="629" t="s">
        <v>2808</v>
      </c>
    </row>
    <row r="597" spans="1:3">
      <c r="A597" s="627">
        <v>3077</v>
      </c>
      <c r="B597" s="628" t="s">
        <v>3344</v>
      </c>
      <c r="C597" s="629" t="s">
        <v>2808</v>
      </c>
    </row>
    <row r="598" spans="1:3">
      <c r="A598" s="627">
        <v>3078</v>
      </c>
      <c r="B598" s="628" t="s">
        <v>3340</v>
      </c>
      <c r="C598" s="629" t="s">
        <v>2808</v>
      </c>
    </row>
    <row r="599" spans="1:3">
      <c r="A599" s="627">
        <v>3082</v>
      </c>
      <c r="B599" s="628" t="s">
        <v>988</v>
      </c>
      <c r="C599" s="629" t="s">
        <v>2808</v>
      </c>
    </row>
    <row r="600" spans="1:3">
      <c r="A600" s="627">
        <v>3100</v>
      </c>
      <c r="B600" s="628" t="s">
        <v>3346</v>
      </c>
      <c r="C600" s="629" t="s">
        <v>2808</v>
      </c>
    </row>
    <row r="601" spans="1:3">
      <c r="A601" s="627">
        <v>3102</v>
      </c>
      <c r="B601" s="628" t="s">
        <v>3346</v>
      </c>
      <c r="C601" s="629" t="s">
        <v>2808</v>
      </c>
    </row>
    <row r="602" spans="1:3">
      <c r="A602" s="627">
        <v>3104</v>
      </c>
      <c r="B602" s="628" t="s">
        <v>3346</v>
      </c>
      <c r="C602" s="629" t="s">
        <v>2808</v>
      </c>
    </row>
    <row r="603" spans="1:3">
      <c r="A603" s="627">
        <v>3109</v>
      </c>
      <c r="B603" s="628" t="s">
        <v>3346</v>
      </c>
      <c r="C603" s="629" t="s">
        <v>2808</v>
      </c>
    </row>
    <row r="604" spans="1:3">
      <c r="A604" s="627">
        <v>3121</v>
      </c>
      <c r="B604" s="628" t="s">
        <v>3346</v>
      </c>
      <c r="C604" s="629" t="s">
        <v>2808</v>
      </c>
    </row>
    <row r="605" spans="1:3">
      <c r="A605" s="627">
        <v>3121</v>
      </c>
      <c r="B605" s="628" t="s">
        <v>3349</v>
      </c>
      <c r="C605" s="629" t="s">
        <v>2808</v>
      </c>
    </row>
    <row r="606" spans="1:3">
      <c r="A606" s="627">
        <v>3123</v>
      </c>
      <c r="B606" s="628" t="s">
        <v>3350</v>
      </c>
      <c r="C606" s="629" t="s">
        <v>2808</v>
      </c>
    </row>
    <row r="607" spans="1:3">
      <c r="A607" s="627">
        <v>3124</v>
      </c>
      <c r="B607" s="628" t="s">
        <v>3351</v>
      </c>
      <c r="C607" s="629" t="s">
        <v>2808</v>
      </c>
    </row>
    <row r="608" spans="1:3">
      <c r="A608" s="627">
        <v>3125</v>
      </c>
      <c r="B608" s="628" t="s">
        <v>3352</v>
      </c>
      <c r="C608" s="629" t="s">
        <v>2808</v>
      </c>
    </row>
    <row r="609" spans="1:3">
      <c r="A609" s="627">
        <v>3126</v>
      </c>
      <c r="B609" s="628" t="s">
        <v>3353</v>
      </c>
      <c r="C609" s="629" t="s">
        <v>2808</v>
      </c>
    </row>
    <row r="610" spans="1:3">
      <c r="A610" s="627">
        <v>3127</v>
      </c>
      <c r="B610" s="628" t="s">
        <v>3354</v>
      </c>
      <c r="C610" s="629" t="s">
        <v>2808</v>
      </c>
    </row>
    <row r="611" spans="1:3">
      <c r="A611" s="627">
        <v>3128</v>
      </c>
      <c r="B611" s="628" t="s">
        <v>3294</v>
      </c>
      <c r="C611" s="629" t="s">
        <v>2808</v>
      </c>
    </row>
    <row r="612" spans="1:3">
      <c r="A612" s="627">
        <v>3129</v>
      </c>
      <c r="B612" s="628" t="s">
        <v>537</v>
      </c>
      <c r="C612" s="629" t="s">
        <v>2808</v>
      </c>
    </row>
    <row r="613" spans="1:3">
      <c r="A613" s="627">
        <v>3129</v>
      </c>
      <c r="B613" s="630" t="s">
        <v>2460</v>
      </c>
      <c r="C613" s="630" t="s">
        <v>2808</v>
      </c>
    </row>
    <row r="614" spans="1:3">
      <c r="A614" s="627">
        <v>3131</v>
      </c>
      <c r="B614" s="628" t="s">
        <v>3296</v>
      </c>
      <c r="C614" s="629" t="s">
        <v>2808</v>
      </c>
    </row>
    <row r="615" spans="1:3">
      <c r="A615" s="627">
        <v>3132</v>
      </c>
      <c r="B615" s="628" t="s">
        <v>3297</v>
      </c>
      <c r="C615" s="629" t="s">
        <v>2808</v>
      </c>
    </row>
    <row r="616" spans="1:3">
      <c r="A616" s="627">
        <v>3133</v>
      </c>
      <c r="B616" s="628" t="s">
        <v>3298</v>
      </c>
      <c r="C616" s="629" t="s">
        <v>2808</v>
      </c>
    </row>
    <row r="617" spans="1:3">
      <c r="A617" s="627">
        <v>3134</v>
      </c>
      <c r="B617" s="628" t="s">
        <v>3299</v>
      </c>
      <c r="C617" s="629" t="s">
        <v>2808</v>
      </c>
    </row>
    <row r="618" spans="1:3">
      <c r="A618" s="627">
        <v>3135</v>
      </c>
      <c r="B618" s="628" t="s">
        <v>3300</v>
      </c>
      <c r="C618" s="629" t="s">
        <v>2808</v>
      </c>
    </row>
    <row r="619" spans="1:3">
      <c r="A619" s="627">
        <v>3136</v>
      </c>
      <c r="B619" s="628" t="s">
        <v>3301</v>
      </c>
      <c r="C619" s="629" t="s">
        <v>2808</v>
      </c>
    </row>
    <row r="620" spans="1:3">
      <c r="A620" s="627">
        <v>3137</v>
      </c>
      <c r="B620" s="628" t="s">
        <v>3302</v>
      </c>
      <c r="C620" s="629" t="s">
        <v>2808</v>
      </c>
    </row>
    <row r="621" spans="1:3">
      <c r="A621" s="627">
        <v>3138</v>
      </c>
      <c r="B621" s="628" t="s">
        <v>3303</v>
      </c>
      <c r="C621" s="629" t="s">
        <v>2808</v>
      </c>
    </row>
    <row r="622" spans="1:3">
      <c r="A622" s="627">
        <v>3141</v>
      </c>
      <c r="B622" s="628" t="s">
        <v>3346</v>
      </c>
      <c r="C622" s="629" t="s">
        <v>2808</v>
      </c>
    </row>
    <row r="623" spans="1:3">
      <c r="A623" s="627">
        <v>3142</v>
      </c>
      <c r="B623" s="628" t="s">
        <v>3305</v>
      </c>
      <c r="C623" s="629" t="s">
        <v>2808</v>
      </c>
    </row>
    <row r="624" spans="1:3">
      <c r="A624" s="627">
        <v>3143</v>
      </c>
      <c r="B624" s="628" t="s">
        <v>3306</v>
      </c>
      <c r="C624" s="629" t="s">
        <v>2808</v>
      </c>
    </row>
    <row r="625" spans="1:3">
      <c r="A625" s="627">
        <v>3144</v>
      </c>
      <c r="B625" s="628" t="s">
        <v>3306</v>
      </c>
      <c r="C625" s="629" t="s">
        <v>2808</v>
      </c>
    </row>
    <row r="626" spans="1:3">
      <c r="A626" s="627">
        <v>3145</v>
      </c>
      <c r="B626" s="628" t="s">
        <v>3309</v>
      </c>
      <c r="C626" s="629" t="s">
        <v>2808</v>
      </c>
    </row>
    <row r="627" spans="1:3">
      <c r="A627" s="627">
        <v>3146</v>
      </c>
      <c r="B627" s="628" t="s">
        <v>3309</v>
      </c>
      <c r="C627" s="629" t="s">
        <v>2808</v>
      </c>
    </row>
    <row r="628" spans="1:3">
      <c r="A628" s="627">
        <v>3147</v>
      </c>
      <c r="B628" s="628" t="s">
        <v>3354</v>
      </c>
      <c r="C628" s="629" t="s">
        <v>2808</v>
      </c>
    </row>
    <row r="629" spans="1:3">
      <c r="A629" s="627">
        <v>3151</v>
      </c>
      <c r="B629" s="628" t="s">
        <v>2466</v>
      </c>
      <c r="C629" s="629" t="s">
        <v>2808</v>
      </c>
    </row>
    <row r="630" spans="1:3">
      <c r="A630" s="627">
        <v>3152</v>
      </c>
      <c r="B630" s="628" t="s">
        <v>3357</v>
      </c>
      <c r="C630" s="629" t="s">
        <v>2808</v>
      </c>
    </row>
    <row r="631" spans="1:3">
      <c r="A631" s="627">
        <v>3153</v>
      </c>
      <c r="B631" s="628" t="s">
        <v>3358</v>
      </c>
      <c r="C631" s="629" t="s">
        <v>2808</v>
      </c>
    </row>
    <row r="632" spans="1:3">
      <c r="A632" s="627">
        <v>3154</v>
      </c>
      <c r="B632" s="628" t="s">
        <v>3359</v>
      </c>
      <c r="C632" s="629" t="s">
        <v>2808</v>
      </c>
    </row>
    <row r="633" spans="1:3">
      <c r="A633" s="627">
        <v>3155</v>
      </c>
      <c r="B633" s="628" t="s">
        <v>3360</v>
      </c>
      <c r="C633" s="629" t="s">
        <v>2808</v>
      </c>
    </row>
    <row r="634" spans="1:3">
      <c r="A634" s="627">
        <v>3161</v>
      </c>
      <c r="B634" s="628" t="s">
        <v>3361</v>
      </c>
      <c r="C634" s="629" t="s">
        <v>2808</v>
      </c>
    </row>
    <row r="635" spans="1:3">
      <c r="A635" s="627">
        <v>3162</v>
      </c>
      <c r="B635" s="628" t="s">
        <v>3362</v>
      </c>
      <c r="C635" s="629" t="s">
        <v>2808</v>
      </c>
    </row>
    <row r="636" spans="1:3">
      <c r="A636" s="627">
        <v>3163</v>
      </c>
      <c r="B636" s="628" t="s">
        <v>612</v>
      </c>
      <c r="C636" s="629" t="s">
        <v>2808</v>
      </c>
    </row>
    <row r="637" spans="1:3">
      <c r="A637" s="627">
        <v>3163</v>
      </c>
      <c r="B637" s="628" t="s">
        <v>613</v>
      </c>
      <c r="C637" s="629" t="s">
        <v>2808</v>
      </c>
    </row>
    <row r="638" spans="1:3">
      <c r="A638" s="627">
        <v>3165</v>
      </c>
      <c r="B638" s="628" t="s">
        <v>3364</v>
      </c>
      <c r="C638" s="629" t="s">
        <v>2808</v>
      </c>
    </row>
    <row r="639" spans="1:3">
      <c r="A639" s="627">
        <v>3170</v>
      </c>
      <c r="B639" s="628" t="s">
        <v>3365</v>
      </c>
      <c r="C639" s="629" t="s">
        <v>2808</v>
      </c>
    </row>
    <row r="640" spans="1:3">
      <c r="A640" s="627">
        <v>3175</v>
      </c>
      <c r="B640" s="628" t="s">
        <v>3366</v>
      </c>
      <c r="C640" s="629" t="s">
        <v>2808</v>
      </c>
    </row>
    <row r="641" spans="1:3">
      <c r="A641" s="627">
        <v>3176</v>
      </c>
      <c r="B641" s="628" t="s">
        <v>3367</v>
      </c>
      <c r="C641" s="629" t="s">
        <v>2808</v>
      </c>
    </row>
    <row r="642" spans="1:3">
      <c r="A642" s="627">
        <v>3177</v>
      </c>
      <c r="B642" s="628" t="s">
        <v>3368</v>
      </c>
      <c r="C642" s="629" t="s">
        <v>2808</v>
      </c>
    </row>
    <row r="643" spans="1:3">
      <c r="A643" s="627">
        <v>3178</v>
      </c>
      <c r="B643" s="628" t="s">
        <v>3369</v>
      </c>
      <c r="C643" s="629" t="s">
        <v>2808</v>
      </c>
    </row>
    <row r="644" spans="1:3">
      <c r="A644" s="627">
        <v>3179</v>
      </c>
      <c r="B644" s="628" t="s">
        <v>3370</v>
      </c>
      <c r="C644" s="629" t="s">
        <v>2808</v>
      </c>
    </row>
    <row r="645" spans="1:3">
      <c r="A645" s="627">
        <v>3181</v>
      </c>
      <c r="B645" s="628" t="s">
        <v>3371</v>
      </c>
      <c r="C645" s="629" t="s">
        <v>2808</v>
      </c>
    </row>
    <row r="646" spans="1:3">
      <c r="A646" s="627">
        <v>3182</v>
      </c>
      <c r="B646" s="628" t="s">
        <v>3372</v>
      </c>
      <c r="C646" s="629" t="s">
        <v>2808</v>
      </c>
    </row>
    <row r="647" spans="1:3">
      <c r="A647" s="627">
        <v>3183</v>
      </c>
      <c r="B647" s="628" t="s">
        <v>3373</v>
      </c>
      <c r="C647" s="629" t="s">
        <v>2808</v>
      </c>
    </row>
    <row r="648" spans="1:3">
      <c r="A648" s="627">
        <v>3184</v>
      </c>
      <c r="B648" s="628" t="s">
        <v>3374</v>
      </c>
      <c r="C648" s="629" t="s">
        <v>2808</v>
      </c>
    </row>
    <row r="649" spans="1:3">
      <c r="A649" s="627">
        <v>3185</v>
      </c>
      <c r="B649" s="628" t="s">
        <v>3529</v>
      </c>
      <c r="C649" s="629" t="s">
        <v>2808</v>
      </c>
    </row>
    <row r="650" spans="1:3">
      <c r="A650" s="627">
        <v>3186</v>
      </c>
      <c r="B650" s="628" t="s">
        <v>3530</v>
      </c>
      <c r="C650" s="629" t="s">
        <v>2808</v>
      </c>
    </row>
    <row r="651" spans="1:3">
      <c r="A651" s="627">
        <v>3187</v>
      </c>
      <c r="B651" s="628" t="s">
        <v>3531</v>
      </c>
      <c r="C651" s="629" t="s">
        <v>2808</v>
      </c>
    </row>
    <row r="652" spans="1:3">
      <c r="A652" s="627">
        <v>3188</v>
      </c>
      <c r="B652" s="628" t="s">
        <v>3532</v>
      </c>
      <c r="C652" s="629" t="s">
        <v>2808</v>
      </c>
    </row>
    <row r="653" spans="1:3">
      <c r="A653" s="627">
        <v>3200</v>
      </c>
      <c r="B653" s="628" t="s">
        <v>3533</v>
      </c>
      <c r="C653" s="629" t="s">
        <v>410</v>
      </c>
    </row>
    <row r="654" spans="1:3">
      <c r="A654" s="627">
        <v>3211</v>
      </c>
      <c r="B654" s="628" t="s">
        <v>3534</v>
      </c>
      <c r="C654" s="629" t="s">
        <v>410</v>
      </c>
    </row>
    <row r="655" spans="1:3">
      <c r="A655" s="627">
        <v>3212</v>
      </c>
      <c r="B655" s="628" t="s">
        <v>3535</v>
      </c>
      <c r="C655" s="629" t="s">
        <v>410</v>
      </c>
    </row>
    <row r="656" spans="1:3">
      <c r="A656" s="627">
        <v>3213</v>
      </c>
      <c r="B656" s="628" t="s">
        <v>3536</v>
      </c>
      <c r="C656" s="629" t="s">
        <v>410</v>
      </c>
    </row>
    <row r="657" spans="1:3">
      <c r="A657" s="627">
        <v>3214</v>
      </c>
      <c r="B657" s="628" t="s">
        <v>3537</v>
      </c>
      <c r="C657" s="629" t="s">
        <v>410</v>
      </c>
    </row>
    <row r="658" spans="1:3">
      <c r="A658" s="627">
        <v>3221</v>
      </c>
      <c r="B658" s="628" t="s">
        <v>3533</v>
      </c>
      <c r="C658" s="629" t="s">
        <v>410</v>
      </c>
    </row>
    <row r="659" spans="1:3">
      <c r="A659" s="627">
        <v>3231</v>
      </c>
      <c r="B659" s="628" t="s">
        <v>615</v>
      </c>
      <c r="C659" s="629" t="s">
        <v>410</v>
      </c>
    </row>
    <row r="660" spans="1:3">
      <c r="A660" s="627">
        <v>3232</v>
      </c>
      <c r="B660" s="628" t="s">
        <v>3533</v>
      </c>
      <c r="C660" s="629" t="s">
        <v>410</v>
      </c>
    </row>
    <row r="661" spans="1:3">
      <c r="A661" s="627">
        <v>3233</v>
      </c>
      <c r="B661" s="628" t="s">
        <v>3533</v>
      </c>
      <c r="C661" s="629" t="s">
        <v>410</v>
      </c>
    </row>
    <row r="662" spans="1:3">
      <c r="A662" s="627">
        <v>3234</v>
      </c>
      <c r="B662" s="628" t="s">
        <v>619</v>
      </c>
      <c r="C662" s="629" t="s">
        <v>410</v>
      </c>
    </row>
    <row r="663" spans="1:3">
      <c r="A663" s="627">
        <v>3235</v>
      </c>
      <c r="B663" s="628" t="s">
        <v>619</v>
      </c>
      <c r="C663" s="629" t="s">
        <v>410</v>
      </c>
    </row>
    <row r="664" spans="1:3">
      <c r="A664" s="627">
        <v>3240</v>
      </c>
      <c r="B664" s="628" t="s">
        <v>1000</v>
      </c>
      <c r="C664" s="629" t="s">
        <v>410</v>
      </c>
    </row>
    <row r="665" spans="1:3">
      <c r="A665" s="627">
        <v>3242</v>
      </c>
      <c r="B665" s="628" t="s">
        <v>1001</v>
      </c>
      <c r="C665" s="629" t="s">
        <v>410</v>
      </c>
    </row>
    <row r="666" spans="1:3">
      <c r="A666" s="627">
        <v>3243</v>
      </c>
      <c r="B666" s="628" t="s">
        <v>1002</v>
      </c>
      <c r="C666" s="629" t="s">
        <v>410</v>
      </c>
    </row>
    <row r="667" spans="1:3">
      <c r="A667" s="627">
        <v>3244</v>
      </c>
      <c r="B667" s="628" t="s">
        <v>1000</v>
      </c>
      <c r="C667" s="629" t="s">
        <v>410</v>
      </c>
    </row>
    <row r="668" spans="1:3">
      <c r="A668" s="627">
        <v>3245</v>
      </c>
      <c r="B668" s="628" t="s">
        <v>1004</v>
      </c>
      <c r="C668" s="629" t="s">
        <v>410</v>
      </c>
    </row>
    <row r="669" spans="1:3">
      <c r="A669" s="627">
        <v>3246</v>
      </c>
      <c r="B669" s="628" t="s">
        <v>1005</v>
      </c>
      <c r="C669" s="629" t="s">
        <v>410</v>
      </c>
    </row>
    <row r="670" spans="1:3">
      <c r="A670" s="627">
        <v>3247</v>
      </c>
      <c r="B670" s="628" t="s">
        <v>1006</v>
      </c>
      <c r="C670" s="629" t="s">
        <v>410</v>
      </c>
    </row>
    <row r="671" spans="1:3">
      <c r="A671" s="627">
        <v>3248</v>
      </c>
      <c r="B671" s="628" t="s">
        <v>1007</v>
      </c>
      <c r="C671" s="629" t="s">
        <v>410</v>
      </c>
    </row>
    <row r="672" spans="1:3">
      <c r="A672" s="627">
        <v>3250</v>
      </c>
      <c r="B672" s="628" t="s">
        <v>1008</v>
      </c>
      <c r="C672" s="629" t="s">
        <v>410</v>
      </c>
    </row>
    <row r="673" spans="1:3">
      <c r="A673" s="627">
        <v>3252</v>
      </c>
      <c r="B673" s="628" t="s">
        <v>1009</v>
      </c>
      <c r="C673" s="629" t="s">
        <v>410</v>
      </c>
    </row>
    <row r="674" spans="1:3">
      <c r="A674" s="627">
        <v>3253</v>
      </c>
      <c r="B674" s="628" t="s">
        <v>1010</v>
      </c>
      <c r="C674" s="629" t="s">
        <v>410</v>
      </c>
    </row>
    <row r="675" spans="1:3">
      <c r="A675" s="627">
        <v>3254</v>
      </c>
      <c r="B675" s="628" t="s">
        <v>1011</v>
      </c>
      <c r="C675" s="629" t="s">
        <v>410</v>
      </c>
    </row>
    <row r="676" spans="1:3">
      <c r="A676" s="627">
        <v>3255</v>
      </c>
      <c r="B676" s="628" t="s">
        <v>1012</v>
      </c>
      <c r="C676" s="629" t="s">
        <v>410</v>
      </c>
    </row>
    <row r="677" spans="1:3">
      <c r="A677" s="627">
        <v>3256</v>
      </c>
      <c r="B677" s="628" t="s">
        <v>1013</v>
      </c>
      <c r="C677" s="629" t="s">
        <v>410</v>
      </c>
    </row>
    <row r="678" spans="1:3">
      <c r="A678" s="627">
        <v>3257</v>
      </c>
      <c r="B678" s="628" t="s">
        <v>1014</v>
      </c>
      <c r="C678" s="629" t="s">
        <v>410</v>
      </c>
    </row>
    <row r="679" spans="1:3">
      <c r="A679" s="627">
        <v>3258</v>
      </c>
      <c r="B679" s="628" t="s">
        <v>1015</v>
      </c>
      <c r="C679" s="629" t="s">
        <v>410</v>
      </c>
    </row>
    <row r="680" spans="1:3">
      <c r="A680" s="627">
        <v>3259</v>
      </c>
      <c r="B680" s="628" t="s">
        <v>1016</v>
      </c>
      <c r="C680" s="629" t="s">
        <v>410</v>
      </c>
    </row>
    <row r="681" spans="1:3">
      <c r="A681" s="627">
        <v>3261</v>
      </c>
      <c r="B681" s="628" t="s">
        <v>1017</v>
      </c>
      <c r="C681" s="629" t="s">
        <v>410</v>
      </c>
    </row>
    <row r="682" spans="1:3">
      <c r="A682" s="627">
        <v>3261</v>
      </c>
      <c r="B682" s="628" t="s">
        <v>621</v>
      </c>
      <c r="C682" s="629" t="s">
        <v>410</v>
      </c>
    </row>
    <row r="683" spans="1:3">
      <c r="A683" s="627">
        <v>3262</v>
      </c>
      <c r="B683" s="628" t="s">
        <v>1018</v>
      </c>
      <c r="C683" s="629" t="s">
        <v>410</v>
      </c>
    </row>
    <row r="684" spans="1:3">
      <c r="A684" s="627">
        <v>3263</v>
      </c>
      <c r="B684" s="628" t="s">
        <v>1019</v>
      </c>
      <c r="C684" s="629" t="s">
        <v>410</v>
      </c>
    </row>
    <row r="685" spans="1:3">
      <c r="A685" s="627">
        <v>3264</v>
      </c>
      <c r="B685" s="628" t="s">
        <v>1020</v>
      </c>
      <c r="C685" s="629" t="s">
        <v>410</v>
      </c>
    </row>
    <row r="686" spans="1:3">
      <c r="A686" s="627">
        <v>3265</v>
      </c>
      <c r="B686" s="628" t="s">
        <v>1021</v>
      </c>
      <c r="C686" s="629" t="s">
        <v>410</v>
      </c>
    </row>
    <row r="687" spans="1:3">
      <c r="A687" s="627">
        <v>3271</v>
      </c>
      <c r="B687" s="628" t="s">
        <v>1022</v>
      </c>
      <c r="C687" s="629" t="s">
        <v>410</v>
      </c>
    </row>
    <row r="688" spans="1:3">
      <c r="A688" s="627">
        <v>3272</v>
      </c>
      <c r="B688" s="628" t="s">
        <v>1022</v>
      </c>
      <c r="C688" s="629" t="s">
        <v>410</v>
      </c>
    </row>
    <row r="689" spans="1:3">
      <c r="A689" s="627">
        <v>3273</v>
      </c>
      <c r="B689" s="628" t="s">
        <v>1023</v>
      </c>
      <c r="C689" s="629" t="s">
        <v>410</v>
      </c>
    </row>
    <row r="690" spans="1:3">
      <c r="A690" s="627">
        <v>3274</v>
      </c>
      <c r="B690" s="628" t="s">
        <v>1024</v>
      </c>
      <c r="C690" s="629" t="s">
        <v>410</v>
      </c>
    </row>
    <row r="691" spans="1:3">
      <c r="A691" s="627">
        <v>3275</v>
      </c>
      <c r="B691" s="628" t="s">
        <v>1025</v>
      </c>
      <c r="C691" s="629" t="s">
        <v>410</v>
      </c>
    </row>
    <row r="692" spans="1:3">
      <c r="A692" s="627">
        <v>3281</v>
      </c>
      <c r="B692" s="628" t="s">
        <v>1026</v>
      </c>
      <c r="C692" s="629" t="s">
        <v>410</v>
      </c>
    </row>
    <row r="693" spans="1:3">
      <c r="A693" s="627">
        <v>3282</v>
      </c>
      <c r="B693" s="628" t="s">
        <v>1027</v>
      </c>
      <c r="C693" s="629" t="s">
        <v>410</v>
      </c>
    </row>
    <row r="694" spans="1:3">
      <c r="A694" s="627">
        <v>3283</v>
      </c>
      <c r="B694" s="628" t="s">
        <v>1028</v>
      </c>
      <c r="C694" s="629" t="s">
        <v>410</v>
      </c>
    </row>
    <row r="695" spans="1:3">
      <c r="A695" s="627">
        <v>3284</v>
      </c>
      <c r="B695" s="628" t="s">
        <v>1029</v>
      </c>
      <c r="C695" s="629" t="s">
        <v>410</v>
      </c>
    </row>
    <row r="696" spans="1:3">
      <c r="A696" s="627">
        <v>3291</v>
      </c>
      <c r="B696" s="628" t="s">
        <v>1030</v>
      </c>
      <c r="C696" s="629" t="s">
        <v>410</v>
      </c>
    </row>
    <row r="697" spans="1:3">
      <c r="A697" s="627">
        <v>3292</v>
      </c>
      <c r="B697" s="628" t="s">
        <v>1031</v>
      </c>
      <c r="C697" s="629" t="s">
        <v>410</v>
      </c>
    </row>
    <row r="698" spans="1:3">
      <c r="A698" s="627">
        <v>3293</v>
      </c>
      <c r="B698" s="628" t="s">
        <v>1032</v>
      </c>
      <c r="C698" s="629" t="s">
        <v>410</v>
      </c>
    </row>
    <row r="699" spans="1:3">
      <c r="A699" s="627">
        <v>3294</v>
      </c>
      <c r="B699" s="628" t="s">
        <v>1033</v>
      </c>
      <c r="C699" s="629" t="s">
        <v>410</v>
      </c>
    </row>
    <row r="700" spans="1:3">
      <c r="A700" s="627">
        <v>3295</v>
      </c>
      <c r="B700" s="628" t="s">
        <v>1034</v>
      </c>
      <c r="C700" s="629" t="s">
        <v>410</v>
      </c>
    </row>
    <row r="701" spans="1:3">
      <c r="A701" s="627">
        <v>3296</v>
      </c>
      <c r="B701" s="628" t="s">
        <v>1035</v>
      </c>
      <c r="C701" s="629" t="s">
        <v>410</v>
      </c>
    </row>
    <row r="702" spans="1:3">
      <c r="A702" s="627">
        <v>3300</v>
      </c>
      <c r="B702" s="628" t="s">
        <v>1036</v>
      </c>
      <c r="C702" s="629" t="s">
        <v>410</v>
      </c>
    </row>
    <row r="703" spans="1:3">
      <c r="A703" s="627">
        <v>3304</v>
      </c>
      <c r="B703" s="628" t="s">
        <v>1036</v>
      </c>
      <c r="C703" s="629" t="s">
        <v>410</v>
      </c>
    </row>
    <row r="704" spans="1:3">
      <c r="A704" s="627">
        <v>3321</v>
      </c>
      <c r="B704" s="628" t="s">
        <v>1038</v>
      </c>
      <c r="C704" s="629" t="s">
        <v>410</v>
      </c>
    </row>
    <row r="705" spans="1:3">
      <c r="A705" s="627">
        <v>3322</v>
      </c>
      <c r="B705" s="628" t="s">
        <v>1039</v>
      </c>
      <c r="C705" s="629" t="s">
        <v>410</v>
      </c>
    </row>
    <row r="706" spans="1:3">
      <c r="A706" s="627">
        <v>3323</v>
      </c>
      <c r="B706" s="630" t="s">
        <v>625</v>
      </c>
      <c r="C706" s="630" t="s">
        <v>410</v>
      </c>
    </row>
    <row r="707" spans="1:3">
      <c r="A707" s="627">
        <v>3324</v>
      </c>
      <c r="B707" s="630" t="s">
        <v>1041</v>
      </c>
      <c r="C707" s="630" t="s">
        <v>410</v>
      </c>
    </row>
    <row r="708" spans="1:3">
      <c r="A708" s="627">
        <v>3325</v>
      </c>
      <c r="B708" s="628" t="s">
        <v>1042</v>
      </c>
      <c r="C708" s="629" t="s">
        <v>410</v>
      </c>
    </row>
    <row r="709" spans="1:3">
      <c r="A709" s="627">
        <v>3326</v>
      </c>
      <c r="B709" s="628" t="s">
        <v>1043</v>
      </c>
      <c r="C709" s="629" t="s">
        <v>410</v>
      </c>
    </row>
    <row r="710" spans="1:3">
      <c r="A710" s="627">
        <v>3327</v>
      </c>
      <c r="B710" s="628" t="s">
        <v>4558</v>
      </c>
      <c r="C710" s="629" t="s">
        <v>412</v>
      </c>
    </row>
    <row r="711" spans="1:3">
      <c r="A711" s="627">
        <v>3328</v>
      </c>
      <c r="B711" s="628" t="s">
        <v>968</v>
      </c>
      <c r="C711" s="629" t="s">
        <v>412</v>
      </c>
    </row>
    <row r="712" spans="1:3">
      <c r="A712" s="627">
        <v>3331</v>
      </c>
      <c r="B712" s="628" t="s">
        <v>1046</v>
      </c>
      <c r="C712" s="629" t="s">
        <v>410</v>
      </c>
    </row>
    <row r="713" spans="1:3">
      <c r="A713" s="627">
        <v>3332</v>
      </c>
      <c r="B713" s="628" t="s">
        <v>1047</v>
      </c>
      <c r="C713" s="629" t="s">
        <v>410</v>
      </c>
    </row>
    <row r="714" spans="1:3">
      <c r="A714" s="627">
        <v>3334</v>
      </c>
      <c r="B714" s="628" t="s">
        <v>1049</v>
      </c>
      <c r="C714" s="629" t="s">
        <v>410</v>
      </c>
    </row>
    <row r="715" spans="1:3">
      <c r="A715" s="627">
        <v>3334</v>
      </c>
      <c r="B715" s="628" t="s">
        <v>1048</v>
      </c>
      <c r="C715" s="629" t="s">
        <v>410</v>
      </c>
    </row>
    <row r="716" spans="1:3">
      <c r="A716" s="627">
        <v>3335</v>
      </c>
      <c r="B716" s="628" t="s">
        <v>1050</v>
      </c>
      <c r="C716" s="629" t="s">
        <v>410</v>
      </c>
    </row>
    <row r="717" spans="1:3">
      <c r="A717" s="627">
        <v>3336</v>
      </c>
      <c r="B717" s="628" t="s">
        <v>1051</v>
      </c>
      <c r="C717" s="629" t="s">
        <v>410</v>
      </c>
    </row>
    <row r="718" spans="1:3">
      <c r="A718" s="627">
        <v>3337</v>
      </c>
      <c r="B718" s="628" t="s">
        <v>1052</v>
      </c>
      <c r="C718" s="629" t="s">
        <v>410</v>
      </c>
    </row>
    <row r="719" spans="1:3">
      <c r="A719" s="627">
        <v>3341</v>
      </c>
      <c r="B719" s="628" t="s">
        <v>1054</v>
      </c>
      <c r="C719" s="629" t="s">
        <v>410</v>
      </c>
    </row>
    <row r="720" spans="1:3">
      <c r="A720" s="627">
        <v>3341</v>
      </c>
      <c r="B720" s="628" t="s">
        <v>1053</v>
      </c>
      <c r="C720" s="629" t="s">
        <v>410</v>
      </c>
    </row>
    <row r="721" spans="1:3">
      <c r="A721" s="627">
        <v>3343</v>
      </c>
      <c r="B721" s="628" t="s">
        <v>1055</v>
      </c>
      <c r="C721" s="629" t="s">
        <v>410</v>
      </c>
    </row>
    <row r="722" spans="1:3">
      <c r="A722" s="627">
        <v>3344</v>
      </c>
      <c r="B722" s="628" t="s">
        <v>1056</v>
      </c>
      <c r="C722" s="629" t="s">
        <v>410</v>
      </c>
    </row>
    <row r="723" spans="1:3">
      <c r="A723" s="627">
        <v>3345</v>
      </c>
      <c r="B723" s="628" t="s">
        <v>1057</v>
      </c>
      <c r="C723" s="629" t="s">
        <v>410</v>
      </c>
    </row>
    <row r="724" spans="1:3">
      <c r="A724" s="627">
        <v>3346</v>
      </c>
      <c r="B724" s="628" t="s">
        <v>626</v>
      </c>
      <c r="C724" s="629" t="s">
        <v>410</v>
      </c>
    </row>
    <row r="725" spans="1:3">
      <c r="A725" s="627">
        <v>3346</v>
      </c>
      <c r="B725" s="628" t="s">
        <v>627</v>
      </c>
      <c r="C725" s="629" t="s">
        <v>410</v>
      </c>
    </row>
    <row r="726" spans="1:3">
      <c r="A726" s="627">
        <v>3347</v>
      </c>
      <c r="B726" s="628" t="s">
        <v>1059</v>
      </c>
      <c r="C726" s="629" t="s">
        <v>410</v>
      </c>
    </row>
    <row r="727" spans="1:3">
      <c r="A727" s="627">
        <v>3348</v>
      </c>
      <c r="B727" s="628" t="s">
        <v>561</v>
      </c>
      <c r="C727" s="629" t="s">
        <v>423</v>
      </c>
    </row>
    <row r="728" spans="1:3">
      <c r="A728" s="627">
        <v>3349</v>
      </c>
      <c r="B728" s="628" t="s">
        <v>1061</v>
      </c>
      <c r="C728" s="629" t="s">
        <v>410</v>
      </c>
    </row>
    <row r="729" spans="1:3">
      <c r="A729" s="627">
        <v>3350</v>
      </c>
      <c r="B729" s="628" t="s">
        <v>1062</v>
      </c>
      <c r="C729" s="629" t="s">
        <v>410</v>
      </c>
    </row>
    <row r="730" spans="1:3">
      <c r="A730" s="627">
        <v>3351</v>
      </c>
      <c r="B730" s="628" t="s">
        <v>1063</v>
      </c>
      <c r="C730" s="629" t="s">
        <v>410</v>
      </c>
    </row>
    <row r="731" spans="1:3">
      <c r="A731" s="627">
        <v>3352</v>
      </c>
      <c r="B731" s="628" t="s">
        <v>1064</v>
      </c>
      <c r="C731" s="629" t="s">
        <v>410</v>
      </c>
    </row>
    <row r="732" spans="1:3">
      <c r="A732" s="627">
        <v>3353</v>
      </c>
      <c r="B732" s="628" t="s">
        <v>1065</v>
      </c>
      <c r="C732" s="629" t="s">
        <v>410</v>
      </c>
    </row>
    <row r="733" spans="1:3">
      <c r="A733" s="627">
        <v>3354</v>
      </c>
      <c r="B733" s="628" t="s">
        <v>874</v>
      </c>
      <c r="C733" s="629" t="s">
        <v>410</v>
      </c>
    </row>
    <row r="734" spans="1:3">
      <c r="A734" s="627">
        <v>3355</v>
      </c>
      <c r="B734" s="628" t="s">
        <v>875</v>
      </c>
      <c r="C734" s="629" t="s">
        <v>410</v>
      </c>
    </row>
    <row r="735" spans="1:3">
      <c r="A735" s="627">
        <v>3356</v>
      </c>
      <c r="B735" s="628" t="s">
        <v>876</v>
      </c>
      <c r="C735" s="629" t="s">
        <v>410</v>
      </c>
    </row>
    <row r="736" spans="1:3">
      <c r="A736" s="627">
        <v>3357</v>
      </c>
      <c r="B736" s="628" t="s">
        <v>877</v>
      </c>
      <c r="C736" s="629" t="s">
        <v>410</v>
      </c>
    </row>
    <row r="737" spans="1:3">
      <c r="A737" s="627">
        <v>3358</v>
      </c>
      <c r="B737" s="628" t="s">
        <v>878</v>
      </c>
      <c r="C737" s="629" t="s">
        <v>410</v>
      </c>
    </row>
    <row r="738" spans="1:3">
      <c r="A738" s="627">
        <v>3359</v>
      </c>
      <c r="B738" s="628" t="s">
        <v>879</v>
      </c>
      <c r="C738" s="629" t="s">
        <v>410</v>
      </c>
    </row>
    <row r="739" spans="1:3">
      <c r="A739" s="627">
        <v>3360</v>
      </c>
      <c r="B739" s="630" t="s">
        <v>410</v>
      </c>
      <c r="C739" s="630" t="s">
        <v>410</v>
      </c>
    </row>
    <row r="740" spans="1:3">
      <c r="A740" s="627">
        <v>3368</v>
      </c>
      <c r="B740" s="628" t="s">
        <v>880</v>
      </c>
      <c r="C740" s="629" t="s">
        <v>410</v>
      </c>
    </row>
    <row r="741" spans="1:3">
      <c r="A741" s="627">
        <v>3369</v>
      </c>
      <c r="B741" s="628" t="s">
        <v>881</v>
      </c>
      <c r="C741" s="629" t="s">
        <v>410</v>
      </c>
    </row>
    <row r="742" spans="1:3">
      <c r="A742" s="627">
        <v>3371</v>
      </c>
      <c r="B742" s="628" t="s">
        <v>882</v>
      </c>
      <c r="C742" s="629" t="s">
        <v>410</v>
      </c>
    </row>
    <row r="743" spans="1:3">
      <c r="A743" s="627">
        <v>3372</v>
      </c>
      <c r="B743" s="628" t="s">
        <v>883</v>
      </c>
      <c r="C743" s="629" t="s">
        <v>410</v>
      </c>
    </row>
    <row r="744" spans="1:3">
      <c r="A744" s="627">
        <v>3373</v>
      </c>
      <c r="B744" s="628" t="s">
        <v>884</v>
      </c>
      <c r="C744" s="629" t="s">
        <v>410</v>
      </c>
    </row>
    <row r="745" spans="1:3">
      <c r="A745" s="627">
        <v>3374</v>
      </c>
      <c r="B745" s="628" t="s">
        <v>885</v>
      </c>
      <c r="C745" s="629" t="s">
        <v>410</v>
      </c>
    </row>
    <row r="746" spans="1:3">
      <c r="A746" s="627">
        <v>3375</v>
      </c>
      <c r="B746" s="628" t="s">
        <v>886</v>
      </c>
      <c r="C746" s="629" t="s">
        <v>410</v>
      </c>
    </row>
    <row r="747" spans="1:3">
      <c r="A747" s="627">
        <v>3377</v>
      </c>
      <c r="B747" s="628" t="s">
        <v>887</v>
      </c>
      <c r="C747" s="629" t="s">
        <v>410</v>
      </c>
    </row>
    <row r="748" spans="1:3">
      <c r="A748" s="627">
        <v>3378</v>
      </c>
      <c r="B748" s="628" t="s">
        <v>888</v>
      </c>
      <c r="C748" s="629" t="s">
        <v>410</v>
      </c>
    </row>
    <row r="749" spans="1:3">
      <c r="A749" s="627">
        <v>3379</v>
      </c>
      <c r="B749" s="628" t="s">
        <v>889</v>
      </c>
      <c r="C749" s="629" t="s">
        <v>410</v>
      </c>
    </row>
    <row r="750" spans="1:3">
      <c r="A750" s="627">
        <v>3381</v>
      </c>
      <c r="B750" s="628" t="s">
        <v>890</v>
      </c>
      <c r="C750" s="629" t="s">
        <v>410</v>
      </c>
    </row>
    <row r="751" spans="1:3">
      <c r="A751" s="627">
        <v>3382</v>
      </c>
      <c r="B751" s="628" t="s">
        <v>891</v>
      </c>
      <c r="C751" s="629" t="s">
        <v>410</v>
      </c>
    </row>
    <row r="752" spans="1:3">
      <c r="A752" s="627">
        <v>3383</v>
      </c>
      <c r="B752" s="628" t="s">
        <v>892</v>
      </c>
      <c r="C752" s="629" t="s">
        <v>410</v>
      </c>
    </row>
    <row r="753" spans="1:3">
      <c r="A753" s="627">
        <v>3384</v>
      </c>
      <c r="B753" s="637" t="s">
        <v>893</v>
      </c>
      <c r="C753" s="629" t="s">
        <v>410</v>
      </c>
    </row>
    <row r="754" spans="1:3">
      <c r="A754" s="627">
        <v>3385</v>
      </c>
      <c r="B754" s="628" t="s">
        <v>894</v>
      </c>
      <c r="C754" s="629" t="s">
        <v>410</v>
      </c>
    </row>
    <row r="755" spans="1:3">
      <c r="A755" s="627">
        <v>3386</v>
      </c>
      <c r="B755" s="628" t="s">
        <v>895</v>
      </c>
      <c r="C755" s="629" t="s">
        <v>410</v>
      </c>
    </row>
    <row r="756" spans="1:3">
      <c r="A756" s="627">
        <v>3387</v>
      </c>
      <c r="B756" s="628" t="s">
        <v>896</v>
      </c>
      <c r="C756" s="629" t="s">
        <v>410</v>
      </c>
    </row>
    <row r="757" spans="1:3">
      <c r="A757" s="627">
        <v>3388</v>
      </c>
      <c r="B757" s="628" t="s">
        <v>897</v>
      </c>
      <c r="C757" s="629" t="s">
        <v>410</v>
      </c>
    </row>
    <row r="758" spans="1:3">
      <c r="A758" s="627">
        <v>3390</v>
      </c>
      <c r="B758" s="628" t="s">
        <v>898</v>
      </c>
      <c r="C758" s="629" t="s">
        <v>410</v>
      </c>
    </row>
    <row r="759" spans="1:3">
      <c r="A759" s="627">
        <v>3394</v>
      </c>
      <c r="B759" s="628" t="s">
        <v>899</v>
      </c>
      <c r="C759" s="629" t="s">
        <v>410</v>
      </c>
    </row>
    <row r="760" spans="1:3">
      <c r="A760" s="627">
        <v>3395</v>
      </c>
      <c r="B760" s="628" t="s">
        <v>900</v>
      </c>
      <c r="C760" s="629" t="s">
        <v>410</v>
      </c>
    </row>
    <row r="761" spans="1:3">
      <c r="A761" s="627">
        <v>3396</v>
      </c>
      <c r="B761" s="628" t="s">
        <v>901</v>
      </c>
      <c r="C761" s="629" t="s">
        <v>410</v>
      </c>
    </row>
    <row r="762" spans="1:3">
      <c r="A762" s="627">
        <v>3397</v>
      </c>
      <c r="B762" s="628" t="s">
        <v>902</v>
      </c>
      <c r="C762" s="629" t="s">
        <v>410</v>
      </c>
    </row>
    <row r="763" spans="1:3">
      <c r="A763" s="627">
        <v>3398</v>
      </c>
      <c r="B763" s="628" t="s">
        <v>903</v>
      </c>
      <c r="C763" s="629" t="s">
        <v>410</v>
      </c>
    </row>
    <row r="764" spans="1:3">
      <c r="A764" s="627">
        <v>3399</v>
      </c>
      <c r="B764" s="628" t="s">
        <v>904</v>
      </c>
      <c r="C764" s="629" t="s">
        <v>410</v>
      </c>
    </row>
    <row r="765" spans="1:3">
      <c r="A765" s="627">
        <v>3400</v>
      </c>
      <c r="B765" s="628" t="s">
        <v>905</v>
      </c>
      <c r="C765" s="629" t="s">
        <v>412</v>
      </c>
    </row>
    <row r="766" spans="1:3">
      <c r="A766" s="627">
        <v>3411</v>
      </c>
      <c r="B766" s="628" t="s">
        <v>906</v>
      </c>
      <c r="C766" s="629" t="s">
        <v>412</v>
      </c>
    </row>
    <row r="767" spans="1:3">
      <c r="A767" s="627">
        <v>3412</v>
      </c>
      <c r="B767" s="628" t="s">
        <v>907</v>
      </c>
      <c r="C767" s="629" t="s">
        <v>412</v>
      </c>
    </row>
    <row r="768" spans="1:3">
      <c r="A768" s="627">
        <v>3413</v>
      </c>
      <c r="B768" s="628" t="s">
        <v>908</v>
      </c>
      <c r="C768" s="629" t="s">
        <v>412</v>
      </c>
    </row>
    <row r="769" spans="1:3">
      <c r="A769" s="627">
        <v>3414</v>
      </c>
      <c r="B769" s="628" t="s">
        <v>637</v>
      </c>
      <c r="C769" s="629" t="s">
        <v>412</v>
      </c>
    </row>
    <row r="770" spans="1:3">
      <c r="A770" s="627">
        <v>3416</v>
      </c>
      <c r="B770" s="628" t="s">
        <v>638</v>
      </c>
      <c r="C770" s="629" t="s">
        <v>412</v>
      </c>
    </row>
    <row r="771" spans="1:3">
      <c r="A771" s="627">
        <v>3417</v>
      </c>
      <c r="B771" s="628" t="s">
        <v>639</v>
      </c>
      <c r="C771" s="629" t="s">
        <v>412</v>
      </c>
    </row>
    <row r="772" spans="1:3">
      <c r="A772" s="627">
        <v>3418</v>
      </c>
      <c r="B772" s="628" t="s">
        <v>640</v>
      </c>
      <c r="C772" s="629" t="s">
        <v>412</v>
      </c>
    </row>
    <row r="773" spans="1:3">
      <c r="A773" s="627">
        <v>3421</v>
      </c>
      <c r="B773" s="628" t="s">
        <v>641</v>
      </c>
      <c r="C773" s="629" t="s">
        <v>412</v>
      </c>
    </row>
    <row r="774" spans="1:3">
      <c r="A774" s="627">
        <v>3422</v>
      </c>
      <c r="B774" s="628" t="s">
        <v>642</v>
      </c>
      <c r="C774" s="629" t="s">
        <v>412</v>
      </c>
    </row>
    <row r="775" spans="1:3">
      <c r="A775" s="627">
        <v>3423</v>
      </c>
      <c r="B775" s="628" t="s">
        <v>3205</v>
      </c>
      <c r="C775" s="629" t="s">
        <v>412</v>
      </c>
    </row>
    <row r="776" spans="1:3">
      <c r="A776" s="627">
        <v>3424</v>
      </c>
      <c r="B776" s="628" t="s">
        <v>3206</v>
      </c>
      <c r="C776" s="629" t="s">
        <v>412</v>
      </c>
    </row>
    <row r="777" spans="1:3">
      <c r="A777" s="627">
        <v>3425</v>
      </c>
      <c r="B777" s="628" t="s">
        <v>3207</v>
      </c>
      <c r="C777" s="629" t="s">
        <v>412</v>
      </c>
    </row>
    <row r="778" spans="1:3">
      <c r="A778" s="627">
        <v>3426</v>
      </c>
      <c r="B778" s="628" t="s">
        <v>3208</v>
      </c>
      <c r="C778" s="629" t="s">
        <v>412</v>
      </c>
    </row>
    <row r="779" spans="1:3">
      <c r="A779" s="627">
        <v>3431</v>
      </c>
      <c r="B779" s="628" t="s">
        <v>3209</v>
      </c>
      <c r="C779" s="629" t="s">
        <v>412</v>
      </c>
    </row>
    <row r="780" spans="1:3">
      <c r="A780" s="627">
        <v>3432</v>
      </c>
      <c r="B780" s="628" t="s">
        <v>3210</v>
      </c>
      <c r="C780" s="629" t="s">
        <v>412</v>
      </c>
    </row>
    <row r="781" spans="1:3">
      <c r="A781" s="627">
        <v>3433</v>
      </c>
      <c r="B781" s="628" t="s">
        <v>3211</v>
      </c>
      <c r="C781" s="629" t="s">
        <v>412</v>
      </c>
    </row>
    <row r="782" spans="1:3">
      <c r="A782" s="627">
        <v>3434</v>
      </c>
      <c r="B782" s="628" t="s">
        <v>3212</v>
      </c>
      <c r="C782" s="629" t="s">
        <v>412</v>
      </c>
    </row>
    <row r="783" spans="1:3">
      <c r="A783" s="627">
        <v>3441</v>
      </c>
      <c r="B783" s="628" t="s">
        <v>3183</v>
      </c>
      <c r="C783" s="629" t="s">
        <v>412</v>
      </c>
    </row>
    <row r="784" spans="1:3">
      <c r="A784" s="627">
        <v>3442</v>
      </c>
      <c r="B784" s="628" t="s">
        <v>3214</v>
      </c>
      <c r="C784" s="629" t="s">
        <v>412</v>
      </c>
    </row>
    <row r="785" spans="1:3">
      <c r="A785" s="627">
        <v>3443</v>
      </c>
      <c r="B785" s="628" t="s">
        <v>3215</v>
      </c>
      <c r="C785" s="629" t="s">
        <v>412</v>
      </c>
    </row>
    <row r="786" spans="1:3">
      <c r="A786" s="627">
        <v>3444</v>
      </c>
      <c r="B786" s="628" t="s">
        <v>3216</v>
      </c>
      <c r="C786" s="629" t="s">
        <v>412</v>
      </c>
    </row>
    <row r="787" spans="1:3">
      <c r="A787" s="627">
        <v>3450</v>
      </c>
      <c r="B787" s="628" t="s">
        <v>3217</v>
      </c>
      <c r="C787" s="629" t="s">
        <v>412</v>
      </c>
    </row>
    <row r="788" spans="1:3">
      <c r="A788" s="627">
        <v>3458</v>
      </c>
      <c r="B788" s="628" t="s">
        <v>3769</v>
      </c>
      <c r="C788" s="629" t="s">
        <v>412</v>
      </c>
    </row>
    <row r="789" spans="1:3">
      <c r="A789" s="627">
        <v>3459</v>
      </c>
      <c r="B789" s="628" t="s">
        <v>3770</v>
      </c>
      <c r="C789" s="629" t="s">
        <v>412</v>
      </c>
    </row>
    <row r="790" spans="1:3">
      <c r="A790" s="627">
        <v>3461</v>
      </c>
      <c r="B790" s="628" t="s">
        <v>3771</v>
      </c>
      <c r="C790" s="629" t="s">
        <v>412</v>
      </c>
    </row>
    <row r="791" spans="1:3">
      <c r="A791" s="627">
        <v>3462</v>
      </c>
      <c r="B791" s="628" t="s">
        <v>3772</v>
      </c>
      <c r="C791" s="629" t="s">
        <v>412</v>
      </c>
    </row>
    <row r="792" spans="1:3">
      <c r="A792" s="627">
        <v>3463</v>
      </c>
      <c r="B792" s="628" t="s">
        <v>3773</v>
      </c>
      <c r="C792" s="629" t="s">
        <v>412</v>
      </c>
    </row>
    <row r="793" spans="1:3">
      <c r="A793" s="627">
        <v>3464</v>
      </c>
      <c r="B793" s="628" t="s">
        <v>3774</v>
      </c>
      <c r="C793" s="629" t="s">
        <v>412</v>
      </c>
    </row>
    <row r="794" spans="1:3">
      <c r="A794" s="627">
        <v>3465</v>
      </c>
      <c r="B794" s="628" t="s">
        <v>3775</v>
      </c>
      <c r="C794" s="629" t="s">
        <v>412</v>
      </c>
    </row>
    <row r="795" spans="1:3">
      <c r="A795" s="627">
        <v>3466</v>
      </c>
      <c r="B795" s="628" t="s">
        <v>3776</v>
      </c>
      <c r="C795" s="629" t="s">
        <v>412</v>
      </c>
    </row>
    <row r="796" spans="1:3">
      <c r="A796" s="627">
        <v>3467</v>
      </c>
      <c r="B796" s="628" t="s">
        <v>3777</v>
      </c>
      <c r="C796" s="629" t="s">
        <v>412</v>
      </c>
    </row>
    <row r="797" spans="1:3">
      <c r="A797" s="627">
        <v>3500</v>
      </c>
      <c r="B797" s="628" t="s">
        <v>3778</v>
      </c>
      <c r="C797" s="629" t="s">
        <v>412</v>
      </c>
    </row>
    <row r="798" spans="1:3">
      <c r="A798" s="627">
        <v>3501</v>
      </c>
      <c r="B798" s="628" t="s">
        <v>3778</v>
      </c>
      <c r="C798" s="629" t="s">
        <v>412</v>
      </c>
    </row>
    <row r="799" spans="1:3">
      <c r="A799" s="627">
        <v>3508</v>
      </c>
      <c r="B799" s="628" t="s">
        <v>3778</v>
      </c>
      <c r="C799" s="629" t="s">
        <v>412</v>
      </c>
    </row>
    <row r="800" spans="1:3">
      <c r="A800" s="627">
        <v>3510</v>
      </c>
      <c r="B800" s="628" t="s">
        <v>3778</v>
      </c>
      <c r="C800" s="629" t="s">
        <v>412</v>
      </c>
    </row>
    <row r="801" spans="1:3">
      <c r="A801" s="627">
        <v>3515</v>
      </c>
      <c r="B801" s="628" t="s">
        <v>3778</v>
      </c>
      <c r="C801" s="629" t="s">
        <v>412</v>
      </c>
    </row>
    <row r="802" spans="1:3">
      <c r="A802" s="627">
        <v>3516</v>
      </c>
      <c r="B802" s="628" t="s">
        <v>3778</v>
      </c>
      <c r="C802" s="629" t="s">
        <v>412</v>
      </c>
    </row>
    <row r="803" spans="1:3">
      <c r="A803" s="627">
        <v>3517</v>
      </c>
      <c r="B803" s="628" t="s">
        <v>3778</v>
      </c>
      <c r="C803" s="629" t="s">
        <v>412</v>
      </c>
    </row>
    <row r="804" spans="1:3">
      <c r="A804" s="627">
        <v>3518</v>
      </c>
      <c r="B804" s="628" t="s">
        <v>3778</v>
      </c>
      <c r="C804" s="629" t="s">
        <v>412</v>
      </c>
    </row>
    <row r="805" spans="1:3">
      <c r="A805" s="627">
        <v>3519</v>
      </c>
      <c r="B805" s="628" t="s">
        <v>3778</v>
      </c>
      <c r="C805" s="629" t="s">
        <v>412</v>
      </c>
    </row>
    <row r="806" spans="1:3">
      <c r="A806" s="627">
        <v>3521</v>
      </c>
      <c r="B806" s="628" t="s">
        <v>3778</v>
      </c>
      <c r="C806" s="629" t="s">
        <v>412</v>
      </c>
    </row>
    <row r="807" spans="1:3">
      <c r="A807" s="627">
        <v>3524</v>
      </c>
      <c r="B807" s="628" t="s">
        <v>3778</v>
      </c>
      <c r="C807" s="629" t="s">
        <v>412</v>
      </c>
    </row>
    <row r="808" spans="1:3">
      <c r="A808" s="627">
        <v>3525</v>
      </c>
      <c r="B808" s="628" t="s">
        <v>3778</v>
      </c>
      <c r="C808" s="629" t="s">
        <v>412</v>
      </c>
    </row>
    <row r="809" spans="1:3">
      <c r="A809" s="627">
        <v>3526</v>
      </c>
      <c r="B809" s="628" t="s">
        <v>3778</v>
      </c>
      <c r="C809" s="629" t="s">
        <v>412</v>
      </c>
    </row>
    <row r="810" spans="1:3">
      <c r="A810" s="627">
        <v>3527</v>
      </c>
      <c r="B810" s="628" t="s">
        <v>3778</v>
      </c>
      <c r="C810" s="629" t="s">
        <v>412</v>
      </c>
    </row>
    <row r="811" spans="1:3">
      <c r="A811" s="627">
        <v>3528</v>
      </c>
      <c r="B811" s="628" t="s">
        <v>3778</v>
      </c>
      <c r="C811" s="629" t="s">
        <v>412</v>
      </c>
    </row>
    <row r="812" spans="1:3">
      <c r="A812" s="627">
        <v>3529</v>
      </c>
      <c r="B812" s="628" t="s">
        <v>3778</v>
      </c>
      <c r="C812" s="629" t="s">
        <v>412</v>
      </c>
    </row>
    <row r="813" spans="1:3">
      <c r="A813" s="627">
        <v>3530</v>
      </c>
      <c r="B813" s="628" t="s">
        <v>3778</v>
      </c>
      <c r="C813" s="629" t="s">
        <v>412</v>
      </c>
    </row>
    <row r="814" spans="1:3">
      <c r="A814" s="627">
        <v>3531</v>
      </c>
      <c r="B814" s="628" t="s">
        <v>3778</v>
      </c>
      <c r="C814" s="629" t="s">
        <v>412</v>
      </c>
    </row>
    <row r="815" spans="1:3">
      <c r="A815" s="627">
        <v>3532</v>
      </c>
      <c r="B815" s="628" t="s">
        <v>3778</v>
      </c>
      <c r="C815" s="629" t="s">
        <v>412</v>
      </c>
    </row>
    <row r="816" spans="1:3">
      <c r="A816" s="627">
        <v>3533</v>
      </c>
      <c r="B816" s="628" t="s">
        <v>3778</v>
      </c>
      <c r="C816" s="629" t="s">
        <v>412</v>
      </c>
    </row>
    <row r="817" spans="1:3">
      <c r="A817" s="627">
        <v>3534</v>
      </c>
      <c r="B817" s="628" t="s">
        <v>3778</v>
      </c>
      <c r="C817" s="629" t="s">
        <v>412</v>
      </c>
    </row>
    <row r="818" spans="1:3">
      <c r="A818" s="627">
        <v>3535</v>
      </c>
      <c r="B818" s="628" t="s">
        <v>3778</v>
      </c>
      <c r="C818" s="629" t="s">
        <v>412</v>
      </c>
    </row>
    <row r="819" spans="1:3">
      <c r="A819" s="627">
        <v>3551</v>
      </c>
      <c r="B819" s="628" t="s">
        <v>3786</v>
      </c>
      <c r="C819" s="629" t="s">
        <v>412</v>
      </c>
    </row>
    <row r="820" spans="1:3">
      <c r="A820" s="627">
        <v>3552</v>
      </c>
      <c r="B820" s="628" t="s">
        <v>3787</v>
      </c>
      <c r="C820" s="629" t="s">
        <v>412</v>
      </c>
    </row>
    <row r="821" spans="1:3">
      <c r="A821" s="627">
        <v>3553</v>
      </c>
      <c r="B821" s="628" t="s">
        <v>3788</v>
      </c>
      <c r="C821" s="629" t="s">
        <v>412</v>
      </c>
    </row>
    <row r="822" spans="1:3">
      <c r="A822" s="627">
        <v>3554</v>
      </c>
      <c r="B822" s="628" t="s">
        <v>3789</v>
      </c>
      <c r="C822" s="629" t="s">
        <v>412</v>
      </c>
    </row>
    <row r="823" spans="1:3">
      <c r="A823" s="627">
        <v>3555</v>
      </c>
      <c r="B823" s="628" t="s">
        <v>3790</v>
      </c>
      <c r="C823" s="629" t="s">
        <v>412</v>
      </c>
    </row>
    <row r="824" spans="1:3">
      <c r="A824" s="627">
        <v>3556</v>
      </c>
      <c r="B824" s="628" t="s">
        <v>3791</v>
      </c>
      <c r="C824" s="629" t="s">
        <v>412</v>
      </c>
    </row>
    <row r="825" spans="1:3">
      <c r="A825" s="627">
        <v>3557</v>
      </c>
      <c r="B825" s="628" t="s">
        <v>3792</v>
      </c>
      <c r="C825" s="629" t="s">
        <v>412</v>
      </c>
    </row>
    <row r="826" spans="1:3">
      <c r="A826" s="61">
        <v>3558</v>
      </c>
      <c r="B826" s="637" t="s">
        <v>3778</v>
      </c>
      <c r="C826" s="61" t="s">
        <v>3780</v>
      </c>
    </row>
    <row r="827" spans="1:3">
      <c r="A827" s="627">
        <v>3559</v>
      </c>
      <c r="B827" s="628" t="s">
        <v>3793</v>
      </c>
      <c r="C827" s="629" t="s">
        <v>412</v>
      </c>
    </row>
    <row r="828" spans="1:3">
      <c r="A828" s="627">
        <v>3561</v>
      </c>
      <c r="B828" s="628" t="s">
        <v>3794</v>
      </c>
      <c r="C828" s="629" t="s">
        <v>412</v>
      </c>
    </row>
    <row r="829" spans="1:3">
      <c r="A829" s="627">
        <v>3562</v>
      </c>
      <c r="B829" s="628" t="s">
        <v>3795</v>
      </c>
      <c r="C829" s="629" t="s">
        <v>412</v>
      </c>
    </row>
    <row r="830" spans="1:3">
      <c r="A830" s="627">
        <v>3563</v>
      </c>
      <c r="B830" s="628" t="s">
        <v>3796</v>
      </c>
      <c r="C830" s="629" t="s">
        <v>412</v>
      </c>
    </row>
    <row r="831" spans="1:3">
      <c r="A831" s="627">
        <v>3564</v>
      </c>
      <c r="B831" s="628" t="s">
        <v>3797</v>
      </c>
      <c r="C831" s="629" t="s">
        <v>412</v>
      </c>
    </row>
    <row r="832" spans="1:3">
      <c r="A832" s="627">
        <v>3565</v>
      </c>
      <c r="B832" s="628" t="s">
        <v>3798</v>
      </c>
      <c r="C832" s="629" t="s">
        <v>412</v>
      </c>
    </row>
    <row r="833" spans="1:3">
      <c r="A833" s="627">
        <v>3571</v>
      </c>
      <c r="B833" s="628" t="s">
        <v>3799</v>
      </c>
      <c r="C833" s="629" t="s">
        <v>412</v>
      </c>
    </row>
    <row r="834" spans="1:3">
      <c r="A834" s="627">
        <v>3572</v>
      </c>
      <c r="B834" s="628" t="s">
        <v>3800</v>
      </c>
      <c r="C834" s="629" t="s">
        <v>412</v>
      </c>
    </row>
    <row r="835" spans="1:3">
      <c r="A835" s="627">
        <v>3573</v>
      </c>
      <c r="B835" s="628" t="s">
        <v>3801</v>
      </c>
      <c r="C835" s="629" t="s">
        <v>412</v>
      </c>
    </row>
    <row r="836" spans="1:3">
      <c r="A836" s="627">
        <v>3574</v>
      </c>
      <c r="B836" s="631" t="s">
        <v>3802</v>
      </c>
      <c r="C836" s="632" t="s">
        <v>432</v>
      </c>
    </row>
    <row r="837" spans="1:3">
      <c r="A837" s="627">
        <v>3574</v>
      </c>
      <c r="B837" s="628" t="s">
        <v>3802</v>
      </c>
      <c r="C837" s="629" t="s">
        <v>412</v>
      </c>
    </row>
    <row r="838" spans="1:3">
      <c r="A838" s="627">
        <v>3575</v>
      </c>
      <c r="B838" s="628" t="s">
        <v>3803</v>
      </c>
      <c r="C838" s="629" t="s">
        <v>412</v>
      </c>
    </row>
    <row r="839" spans="1:3">
      <c r="A839" s="627">
        <v>3576</v>
      </c>
      <c r="B839" s="628" t="s">
        <v>243</v>
      </c>
      <c r="C839" s="629" t="s">
        <v>412</v>
      </c>
    </row>
    <row r="840" spans="1:3">
      <c r="A840" s="627">
        <v>3577</v>
      </c>
      <c r="B840" s="628" t="s">
        <v>3805</v>
      </c>
      <c r="C840" s="629" t="s">
        <v>412</v>
      </c>
    </row>
    <row r="841" spans="1:3">
      <c r="A841" s="627">
        <v>3578</v>
      </c>
      <c r="B841" s="628" t="s">
        <v>244</v>
      </c>
      <c r="C841" s="629" t="s">
        <v>412</v>
      </c>
    </row>
    <row r="842" spans="1:3">
      <c r="A842" s="627">
        <v>3578</v>
      </c>
      <c r="B842" s="628" t="s">
        <v>245</v>
      </c>
      <c r="C842" s="629" t="s">
        <v>412</v>
      </c>
    </row>
    <row r="843" spans="1:3">
      <c r="A843" s="627">
        <v>3579</v>
      </c>
      <c r="B843" s="628" t="s">
        <v>2416</v>
      </c>
      <c r="C843" s="629" t="s">
        <v>412</v>
      </c>
    </row>
    <row r="844" spans="1:3">
      <c r="A844" s="627">
        <v>3580</v>
      </c>
      <c r="B844" s="628" t="s">
        <v>2418</v>
      </c>
      <c r="C844" s="629" t="s">
        <v>412</v>
      </c>
    </row>
    <row r="845" spans="1:3">
      <c r="A845" s="627">
        <v>3586</v>
      </c>
      <c r="B845" s="628" t="s">
        <v>2419</v>
      </c>
      <c r="C845" s="629" t="s">
        <v>412</v>
      </c>
    </row>
    <row r="846" spans="1:3">
      <c r="A846" s="627">
        <v>3587</v>
      </c>
      <c r="B846" s="628" t="s">
        <v>2420</v>
      </c>
      <c r="C846" s="629" t="s">
        <v>412</v>
      </c>
    </row>
    <row r="847" spans="1:3">
      <c r="A847" s="627">
        <v>3588</v>
      </c>
      <c r="B847" s="628" t="s">
        <v>2421</v>
      </c>
      <c r="C847" s="629" t="s">
        <v>412</v>
      </c>
    </row>
    <row r="848" spans="1:3">
      <c r="A848" s="627">
        <v>3589</v>
      </c>
      <c r="B848" s="628" t="s">
        <v>2422</v>
      </c>
      <c r="C848" s="629" t="s">
        <v>412</v>
      </c>
    </row>
    <row r="849" spans="1:3">
      <c r="A849" s="627">
        <v>3591</v>
      </c>
      <c r="B849" s="628" t="s">
        <v>2423</v>
      </c>
      <c r="C849" s="629" t="s">
        <v>412</v>
      </c>
    </row>
    <row r="850" spans="1:3">
      <c r="A850" s="627">
        <v>3592</v>
      </c>
      <c r="B850" s="628" t="s">
        <v>2424</v>
      </c>
      <c r="C850" s="629" t="s">
        <v>412</v>
      </c>
    </row>
    <row r="851" spans="1:3">
      <c r="A851" s="627">
        <v>3593</v>
      </c>
      <c r="B851" s="628" t="s">
        <v>2425</v>
      </c>
      <c r="C851" s="629" t="s">
        <v>412</v>
      </c>
    </row>
    <row r="852" spans="1:3">
      <c r="A852" s="627">
        <v>3594</v>
      </c>
      <c r="B852" s="628" t="s">
        <v>2426</v>
      </c>
      <c r="C852" s="629" t="s">
        <v>412</v>
      </c>
    </row>
    <row r="853" spans="1:3">
      <c r="A853" s="627">
        <v>3595</v>
      </c>
      <c r="B853" s="628" t="s">
        <v>2427</v>
      </c>
      <c r="C853" s="629" t="s">
        <v>412</v>
      </c>
    </row>
    <row r="854" spans="1:3">
      <c r="A854" s="627">
        <v>3596</v>
      </c>
      <c r="B854" s="628" t="s">
        <v>2428</v>
      </c>
      <c r="C854" s="629" t="s">
        <v>412</v>
      </c>
    </row>
    <row r="855" spans="1:3">
      <c r="A855" s="627">
        <v>3597</v>
      </c>
      <c r="B855" s="628" t="s">
        <v>2429</v>
      </c>
      <c r="C855" s="629" t="s">
        <v>412</v>
      </c>
    </row>
    <row r="856" spans="1:3">
      <c r="A856" s="627">
        <v>3598</v>
      </c>
      <c r="B856" s="628" t="s">
        <v>2430</v>
      </c>
      <c r="C856" s="629" t="s">
        <v>412</v>
      </c>
    </row>
    <row r="857" spans="1:3">
      <c r="A857" s="627">
        <v>3599</v>
      </c>
      <c r="B857" s="628" t="s">
        <v>2431</v>
      </c>
      <c r="C857" s="629" t="s">
        <v>412</v>
      </c>
    </row>
    <row r="858" spans="1:3">
      <c r="A858" s="627">
        <v>3600</v>
      </c>
      <c r="B858" s="628" t="s">
        <v>2432</v>
      </c>
      <c r="C858" s="629" t="s">
        <v>412</v>
      </c>
    </row>
    <row r="859" spans="1:3">
      <c r="A859" s="627">
        <v>3603</v>
      </c>
      <c r="B859" s="628" t="s">
        <v>2432</v>
      </c>
      <c r="C859" s="629" t="s">
        <v>412</v>
      </c>
    </row>
    <row r="860" spans="1:3">
      <c r="A860" s="627">
        <v>3604</v>
      </c>
      <c r="B860" s="628" t="s">
        <v>2432</v>
      </c>
      <c r="C860" s="629" t="s">
        <v>412</v>
      </c>
    </row>
    <row r="861" spans="1:3">
      <c r="A861" s="627">
        <v>3608</v>
      </c>
      <c r="B861" s="628" t="s">
        <v>2435</v>
      </c>
      <c r="C861" s="629" t="s">
        <v>412</v>
      </c>
    </row>
    <row r="862" spans="1:3">
      <c r="A862" s="627">
        <v>3621</v>
      </c>
      <c r="B862" s="628" t="s">
        <v>2432</v>
      </c>
      <c r="C862" s="629" t="s">
        <v>412</v>
      </c>
    </row>
    <row r="863" spans="1:3">
      <c r="A863" s="627">
        <v>3622</v>
      </c>
      <c r="B863" s="628" t="s">
        <v>2437</v>
      </c>
      <c r="C863" s="629" t="s">
        <v>412</v>
      </c>
    </row>
    <row r="864" spans="1:3">
      <c r="A864" s="627">
        <v>3623</v>
      </c>
      <c r="B864" s="628" t="s">
        <v>3280</v>
      </c>
      <c r="C864" s="629" t="s">
        <v>412</v>
      </c>
    </row>
    <row r="865" spans="1:3">
      <c r="A865" s="627">
        <v>3625</v>
      </c>
      <c r="B865" s="628" t="s">
        <v>2432</v>
      </c>
      <c r="C865" s="629" t="s">
        <v>412</v>
      </c>
    </row>
    <row r="866" spans="1:3">
      <c r="A866" s="627">
        <v>3626</v>
      </c>
      <c r="B866" s="628" t="s">
        <v>3282</v>
      </c>
      <c r="C866" s="629" t="s">
        <v>412</v>
      </c>
    </row>
    <row r="867" spans="1:3">
      <c r="A867" s="627">
        <v>3627</v>
      </c>
      <c r="B867" s="628" t="s">
        <v>927</v>
      </c>
      <c r="C867" s="629" t="s">
        <v>412</v>
      </c>
    </row>
    <row r="868" spans="1:3">
      <c r="A868" s="627">
        <v>3627</v>
      </c>
      <c r="B868" s="628" t="s">
        <v>928</v>
      </c>
      <c r="C868" s="629" t="s">
        <v>412</v>
      </c>
    </row>
    <row r="869" spans="1:3">
      <c r="A869" s="627">
        <v>3630</v>
      </c>
      <c r="B869" s="628" t="s">
        <v>3284</v>
      </c>
      <c r="C869" s="629" t="s">
        <v>412</v>
      </c>
    </row>
    <row r="870" spans="1:3">
      <c r="A870" s="627">
        <v>3635</v>
      </c>
      <c r="B870" s="628" t="s">
        <v>3285</v>
      </c>
      <c r="C870" s="629" t="s">
        <v>412</v>
      </c>
    </row>
    <row r="871" spans="1:3">
      <c r="A871" s="627">
        <v>3636</v>
      </c>
      <c r="B871" s="628" t="s">
        <v>929</v>
      </c>
      <c r="C871" s="629" t="s">
        <v>412</v>
      </c>
    </row>
    <row r="872" spans="1:3">
      <c r="A872" s="627">
        <v>3636</v>
      </c>
      <c r="B872" s="628" t="s">
        <v>930</v>
      </c>
      <c r="C872" s="629" t="s">
        <v>412</v>
      </c>
    </row>
    <row r="873" spans="1:3">
      <c r="A873" s="627">
        <v>3641</v>
      </c>
      <c r="B873" s="628" t="s">
        <v>3287</v>
      </c>
      <c r="C873" s="629" t="s">
        <v>412</v>
      </c>
    </row>
    <row r="874" spans="1:3">
      <c r="A874" s="627">
        <v>3642</v>
      </c>
      <c r="B874" s="628" t="s">
        <v>3288</v>
      </c>
      <c r="C874" s="629" t="s">
        <v>412</v>
      </c>
    </row>
    <row r="875" spans="1:3">
      <c r="A875" s="627">
        <v>3643</v>
      </c>
      <c r="B875" s="628" t="s">
        <v>3289</v>
      </c>
      <c r="C875" s="629" t="s">
        <v>412</v>
      </c>
    </row>
    <row r="876" spans="1:3">
      <c r="A876" s="627">
        <v>3644</v>
      </c>
      <c r="B876" s="628" t="s">
        <v>3290</v>
      </c>
      <c r="C876" s="629" t="s">
        <v>412</v>
      </c>
    </row>
    <row r="877" spans="1:3">
      <c r="A877" s="627">
        <v>3645</v>
      </c>
      <c r="B877" s="628" t="s">
        <v>3375</v>
      </c>
      <c r="C877" s="629" t="s">
        <v>412</v>
      </c>
    </row>
    <row r="878" spans="1:3">
      <c r="A878" s="627">
        <v>3646</v>
      </c>
      <c r="B878" s="628" t="s">
        <v>3376</v>
      </c>
      <c r="C878" s="629" t="s">
        <v>412</v>
      </c>
    </row>
    <row r="879" spans="1:3">
      <c r="A879" s="627">
        <v>3647</v>
      </c>
      <c r="B879" s="628" t="s">
        <v>3377</v>
      </c>
      <c r="C879" s="629" t="s">
        <v>412</v>
      </c>
    </row>
    <row r="880" spans="1:3">
      <c r="A880" s="627">
        <v>3648</v>
      </c>
      <c r="B880" s="628" t="s">
        <v>931</v>
      </c>
      <c r="C880" s="629" t="s">
        <v>412</v>
      </c>
    </row>
    <row r="881" spans="1:3">
      <c r="A881" s="627">
        <v>3648</v>
      </c>
      <c r="B881" s="628" t="s">
        <v>932</v>
      </c>
      <c r="C881" s="629" t="s">
        <v>412</v>
      </c>
    </row>
    <row r="882" spans="1:3">
      <c r="A882" s="627">
        <v>3648</v>
      </c>
      <c r="B882" s="628" t="s">
        <v>933</v>
      </c>
      <c r="C882" s="629" t="s">
        <v>412</v>
      </c>
    </row>
    <row r="883" spans="1:3">
      <c r="A883" s="627">
        <v>3651</v>
      </c>
      <c r="B883" s="628" t="s">
        <v>2432</v>
      </c>
      <c r="C883" s="629" t="s">
        <v>412</v>
      </c>
    </row>
    <row r="884" spans="1:3">
      <c r="A884" s="627">
        <v>3652</v>
      </c>
      <c r="B884" s="628" t="s">
        <v>1408</v>
      </c>
      <c r="C884" s="629" t="s">
        <v>412</v>
      </c>
    </row>
    <row r="885" spans="1:3">
      <c r="A885" s="627">
        <v>3653</v>
      </c>
      <c r="B885" s="628" t="s">
        <v>1409</v>
      </c>
      <c r="C885" s="629" t="s">
        <v>412</v>
      </c>
    </row>
    <row r="886" spans="1:3">
      <c r="A886" s="627">
        <v>3654</v>
      </c>
      <c r="B886" s="628" t="s">
        <v>1410</v>
      </c>
      <c r="C886" s="629" t="s">
        <v>412</v>
      </c>
    </row>
    <row r="887" spans="1:3">
      <c r="A887" s="627">
        <v>3655</v>
      </c>
      <c r="B887" s="628" t="s">
        <v>1411</v>
      </c>
      <c r="C887" s="629" t="s">
        <v>412</v>
      </c>
    </row>
    <row r="888" spans="1:3">
      <c r="A888" s="627">
        <v>3656</v>
      </c>
      <c r="B888" s="628" t="s">
        <v>934</v>
      </c>
      <c r="C888" s="629" t="s">
        <v>412</v>
      </c>
    </row>
    <row r="889" spans="1:3">
      <c r="A889" s="627">
        <v>3656</v>
      </c>
      <c r="B889" s="628" t="s">
        <v>935</v>
      </c>
      <c r="C889" s="629" t="s">
        <v>412</v>
      </c>
    </row>
    <row r="890" spans="1:3">
      <c r="A890" s="627">
        <v>3657</v>
      </c>
      <c r="B890" s="628" t="s">
        <v>1413</v>
      </c>
      <c r="C890" s="629" t="s">
        <v>412</v>
      </c>
    </row>
    <row r="891" spans="1:3">
      <c r="A891" s="627">
        <v>3658</v>
      </c>
      <c r="B891" s="628" t="s">
        <v>1414</v>
      </c>
      <c r="C891" s="629" t="s">
        <v>412</v>
      </c>
    </row>
    <row r="892" spans="1:3">
      <c r="A892" s="627">
        <v>3659</v>
      </c>
      <c r="B892" s="628" t="s">
        <v>1415</v>
      </c>
      <c r="C892" s="629" t="s">
        <v>412</v>
      </c>
    </row>
    <row r="893" spans="1:3">
      <c r="A893" s="627">
        <v>3661</v>
      </c>
      <c r="B893" s="628" t="s">
        <v>2432</v>
      </c>
      <c r="C893" s="629" t="s">
        <v>412</v>
      </c>
    </row>
    <row r="894" spans="1:3">
      <c r="A894" s="627">
        <v>3662</v>
      </c>
      <c r="B894" s="628" t="s">
        <v>2432</v>
      </c>
      <c r="C894" s="629" t="s">
        <v>412</v>
      </c>
    </row>
    <row r="895" spans="1:3">
      <c r="A895" s="627">
        <v>3663</v>
      </c>
      <c r="B895" s="628" t="s">
        <v>1418</v>
      </c>
      <c r="C895" s="629" t="s">
        <v>412</v>
      </c>
    </row>
    <row r="896" spans="1:3">
      <c r="A896" s="627">
        <v>3664</v>
      </c>
      <c r="B896" s="628" t="s">
        <v>1419</v>
      </c>
      <c r="C896" s="629" t="s">
        <v>412</v>
      </c>
    </row>
    <row r="897" spans="1:3">
      <c r="A897" s="627">
        <v>3671</v>
      </c>
      <c r="B897" s="628" t="s">
        <v>1420</v>
      </c>
      <c r="C897" s="629" t="s">
        <v>412</v>
      </c>
    </row>
    <row r="898" spans="1:3">
      <c r="A898" s="627">
        <v>3672</v>
      </c>
      <c r="B898" s="628" t="s">
        <v>1420</v>
      </c>
      <c r="C898" s="629" t="s">
        <v>412</v>
      </c>
    </row>
    <row r="899" spans="1:3">
      <c r="A899" s="627">
        <v>3700</v>
      </c>
      <c r="B899" s="628" t="s">
        <v>1421</v>
      </c>
      <c r="C899" s="629" t="s">
        <v>412</v>
      </c>
    </row>
    <row r="900" spans="1:3">
      <c r="A900" s="627">
        <v>3704</v>
      </c>
      <c r="B900" s="628" t="s">
        <v>939</v>
      </c>
      <c r="C900" s="629" t="s">
        <v>412</v>
      </c>
    </row>
    <row r="901" spans="1:3">
      <c r="A901" s="627">
        <v>3711</v>
      </c>
      <c r="B901" s="628" t="s">
        <v>909</v>
      </c>
      <c r="C901" s="629" t="s">
        <v>412</v>
      </c>
    </row>
    <row r="902" spans="1:3">
      <c r="A902" s="627">
        <v>3712</v>
      </c>
      <c r="B902" s="628" t="s">
        <v>940</v>
      </c>
      <c r="C902" s="629" t="s">
        <v>412</v>
      </c>
    </row>
    <row r="903" spans="1:3">
      <c r="A903" s="627">
        <v>3712</v>
      </c>
      <c r="B903" s="628" t="s">
        <v>941</v>
      </c>
      <c r="C903" s="629" t="s">
        <v>412</v>
      </c>
    </row>
    <row r="904" spans="1:3">
      <c r="A904" s="627">
        <v>3713</v>
      </c>
      <c r="B904" s="628" t="s">
        <v>911</v>
      </c>
      <c r="C904" s="629" t="s">
        <v>412</v>
      </c>
    </row>
    <row r="905" spans="1:3">
      <c r="A905" s="627">
        <v>3714</v>
      </c>
      <c r="B905" s="628" t="s">
        <v>942</v>
      </c>
      <c r="C905" s="629" t="s">
        <v>412</v>
      </c>
    </row>
    <row r="906" spans="1:3">
      <c r="A906" s="627">
        <v>3715</v>
      </c>
      <c r="B906" s="628" t="s">
        <v>913</v>
      </c>
      <c r="C906" s="629" t="s">
        <v>412</v>
      </c>
    </row>
    <row r="907" spans="1:3">
      <c r="A907" s="627">
        <v>3716</v>
      </c>
      <c r="B907" s="628" t="s">
        <v>943</v>
      </c>
      <c r="C907" s="629" t="s">
        <v>412</v>
      </c>
    </row>
    <row r="908" spans="1:3">
      <c r="A908" s="627">
        <v>3716</v>
      </c>
      <c r="B908" s="628" t="s">
        <v>944</v>
      </c>
      <c r="C908" s="629" t="s">
        <v>412</v>
      </c>
    </row>
    <row r="909" spans="1:3">
      <c r="A909" s="627">
        <v>3717</v>
      </c>
      <c r="B909" s="628" t="s">
        <v>915</v>
      </c>
      <c r="C909" s="629" t="s">
        <v>412</v>
      </c>
    </row>
    <row r="910" spans="1:3">
      <c r="A910" s="627">
        <v>3718</v>
      </c>
      <c r="B910" s="628" t="s">
        <v>916</v>
      </c>
      <c r="C910" s="629" t="s">
        <v>412</v>
      </c>
    </row>
    <row r="911" spans="1:3">
      <c r="A911" s="627">
        <v>3720</v>
      </c>
      <c r="B911" s="628" t="s">
        <v>945</v>
      </c>
      <c r="C911" s="629" t="s">
        <v>412</v>
      </c>
    </row>
    <row r="912" spans="1:3">
      <c r="A912" s="627">
        <v>3720</v>
      </c>
      <c r="B912" s="628" t="s">
        <v>946</v>
      </c>
      <c r="C912" s="629" t="s">
        <v>412</v>
      </c>
    </row>
    <row r="913" spans="1:3">
      <c r="A913" s="627">
        <v>3721</v>
      </c>
      <c r="B913" s="628" t="s">
        <v>947</v>
      </c>
      <c r="C913" s="629" t="s">
        <v>412</v>
      </c>
    </row>
    <row r="914" spans="1:3">
      <c r="A914" s="627">
        <v>3721</v>
      </c>
      <c r="B914" s="628" t="s">
        <v>948</v>
      </c>
      <c r="C914" s="629" t="s">
        <v>412</v>
      </c>
    </row>
    <row r="915" spans="1:3">
      <c r="A915" s="627">
        <v>3721</v>
      </c>
      <c r="B915" s="628" t="s">
        <v>949</v>
      </c>
      <c r="C915" s="629" t="s">
        <v>412</v>
      </c>
    </row>
    <row r="916" spans="1:3">
      <c r="A916" s="627">
        <v>3722</v>
      </c>
      <c r="B916" s="628" t="s">
        <v>1101</v>
      </c>
      <c r="C916" s="629" t="s">
        <v>412</v>
      </c>
    </row>
    <row r="917" spans="1:3">
      <c r="A917" s="627">
        <v>3723</v>
      </c>
      <c r="B917" s="628" t="s">
        <v>1102</v>
      </c>
      <c r="C917" s="629" t="s">
        <v>412</v>
      </c>
    </row>
    <row r="918" spans="1:3">
      <c r="A918" s="627">
        <v>3724</v>
      </c>
      <c r="B918" s="628" t="s">
        <v>950</v>
      </c>
      <c r="C918" s="629" t="s">
        <v>412</v>
      </c>
    </row>
    <row r="919" spans="1:3">
      <c r="A919" s="627">
        <v>3724</v>
      </c>
      <c r="B919" s="628" t="s">
        <v>951</v>
      </c>
      <c r="C919" s="629" t="s">
        <v>412</v>
      </c>
    </row>
    <row r="920" spans="1:3">
      <c r="A920" s="627">
        <v>3724</v>
      </c>
      <c r="B920" s="628" t="s">
        <v>952</v>
      </c>
      <c r="C920" s="629" t="s">
        <v>412</v>
      </c>
    </row>
    <row r="921" spans="1:3">
      <c r="A921" s="627">
        <v>3726</v>
      </c>
      <c r="B921" s="628" t="s">
        <v>1106</v>
      </c>
      <c r="C921" s="629" t="s">
        <v>412</v>
      </c>
    </row>
    <row r="922" spans="1:3">
      <c r="A922" s="627">
        <v>3726</v>
      </c>
      <c r="B922" s="628" t="s">
        <v>953</v>
      </c>
      <c r="C922" s="629" t="s">
        <v>412</v>
      </c>
    </row>
    <row r="923" spans="1:3">
      <c r="A923" s="627">
        <v>3726</v>
      </c>
      <c r="B923" s="628" t="s">
        <v>954</v>
      </c>
      <c r="C923" s="629" t="s">
        <v>412</v>
      </c>
    </row>
    <row r="924" spans="1:3">
      <c r="A924" s="627">
        <v>3728</v>
      </c>
      <c r="B924" s="628" t="s">
        <v>955</v>
      </c>
      <c r="C924" s="629" t="s">
        <v>412</v>
      </c>
    </row>
    <row r="925" spans="1:3">
      <c r="A925" s="627">
        <v>3728</v>
      </c>
      <c r="B925" s="628" t="s">
        <v>956</v>
      </c>
      <c r="C925" s="629" t="s">
        <v>412</v>
      </c>
    </row>
    <row r="926" spans="1:3">
      <c r="A926" s="627">
        <v>3729</v>
      </c>
      <c r="B926" s="628" t="s">
        <v>1108</v>
      </c>
      <c r="C926" s="629" t="s">
        <v>412</v>
      </c>
    </row>
    <row r="927" spans="1:3">
      <c r="A927" s="627">
        <v>3731</v>
      </c>
      <c r="B927" s="628" t="s">
        <v>957</v>
      </c>
      <c r="C927" s="629" t="s">
        <v>412</v>
      </c>
    </row>
    <row r="928" spans="1:3">
      <c r="A928" s="627">
        <v>3732</v>
      </c>
      <c r="B928" s="628" t="s">
        <v>1110</v>
      </c>
      <c r="C928" s="629" t="s">
        <v>412</v>
      </c>
    </row>
    <row r="929" spans="1:3">
      <c r="A929" s="627">
        <v>3733</v>
      </c>
      <c r="B929" s="628" t="s">
        <v>1111</v>
      </c>
      <c r="C929" s="629" t="s">
        <v>412</v>
      </c>
    </row>
    <row r="930" spans="1:3">
      <c r="A930" s="627">
        <v>3734</v>
      </c>
      <c r="B930" s="628" t="s">
        <v>1112</v>
      </c>
      <c r="C930" s="629" t="s">
        <v>412</v>
      </c>
    </row>
    <row r="931" spans="1:3">
      <c r="A931" s="627">
        <v>3735</v>
      </c>
      <c r="B931" s="628" t="s">
        <v>958</v>
      </c>
      <c r="C931" s="629" t="s">
        <v>412</v>
      </c>
    </row>
    <row r="932" spans="1:3">
      <c r="A932" s="627">
        <v>3735</v>
      </c>
      <c r="B932" s="628" t="s">
        <v>959</v>
      </c>
      <c r="C932" s="629" t="s">
        <v>412</v>
      </c>
    </row>
    <row r="933" spans="1:3">
      <c r="A933" s="627">
        <v>3735</v>
      </c>
      <c r="B933" s="628" t="s">
        <v>960</v>
      </c>
      <c r="C933" s="629" t="s">
        <v>412</v>
      </c>
    </row>
    <row r="934" spans="1:3">
      <c r="A934" s="627">
        <v>3741</v>
      </c>
      <c r="B934" s="628" t="s">
        <v>1114</v>
      </c>
      <c r="C934" s="629" t="s">
        <v>412</v>
      </c>
    </row>
    <row r="935" spans="1:3">
      <c r="A935" s="627">
        <v>3742</v>
      </c>
      <c r="B935" s="628" t="s">
        <v>1115</v>
      </c>
      <c r="C935" s="629" t="s">
        <v>412</v>
      </c>
    </row>
    <row r="936" spans="1:3">
      <c r="A936" s="627">
        <v>3743</v>
      </c>
      <c r="B936" s="628" t="s">
        <v>1116</v>
      </c>
      <c r="C936" s="629" t="s">
        <v>412</v>
      </c>
    </row>
    <row r="937" spans="1:3">
      <c r="A937" s="627">
        <v>3744</v>
      </c>
      <c r="B937" s="628" t="s">
        <v>1117</v>
      </c>
      <c r="C937" s="629" t="s">
        <v>412</v>
      </c>
    </row>
    <row r="938" spans="1:3">
      <c r="A938" s="627">
        <v>3751</v>
      </c>
      <c r="B938" s="628" t="s">
        <v>1118</v>
      </c>
      <c r="C938" s="629" t="s">
        <v>412</v>
      </c>
    </row>
    <row r="939" spans="1:3">
      <c r="A939" s="627">
        <v>3752</v>
      </c>
      <c r="B939" s="628" t="s">
        <v>961</v>
      </c>
      <c r="C939" s="629" t="s">
        <v>412</v>
      </c>
    </row>
    <row r="940" spans="1:3">
      <c r="A940" s="627">
        <v>3752</v>
      </c>
      <c r="B940" s="628" t="s">
        <v>962</v>
      </c>
      <c r="C940" s="629" t="s">
        <v>412</v>
      </c>
    </row>
    <row r="941" spans="1:3">
      <c r="A941" s="627">
        <v>3753</v>
      </c>
      <c r="B941" s="628" t="s">
        <v>963</v>
      </c>
      <c r="C941" s="629" t="s">
        <v>412</v>
      </c>
    </row>
    <row r="942" spans="1:3">
      <c r="A942" s="627">
        <v>3754</v>
      </c>
      <c r="B942" s="628" t="s">
        <v>964</v>
      </c>
      <c r="C942" s="629" t="s">
        <v>412</v>
      </c>
    </row>
    <row r="943" spans="1:3">
      <c r="A943" s="627">
        <v>3754</v>
      </c>
      <c r="B943" s="628" t="s">
        <v>965</v>
      </c>
      <c r="C943" s="629" t="s">
        <v>412</v>
      </c>
    </row>
    <row r="944" spans="1:3">
      <c r="A944" s="627">
        <v>3755</v>
      </c>
      <c r="B944" s="628" t="s">
        <v>1122</v>
      </c>
      <c r="C944" s="629" t="s">
        <v>412</v>
      </c>
    </row>
    <row r="945" spans="1:3">
      <c r="A945" s="627">
        <v>3756</v>
      </c>
      <c r="B945" s="628" t="s">
        <v>966</v>
      </c>
      <c r="C945" s="629" t="s">
        <v>412</v>
      </c>
    </row>
    <row r="946" spans="1:3">
      <c r="A946" s="627">
        <v>3756</v>
      </c>
      <c r="B946" s="628" t="s">
        <v>967</v>
      </c>
      <c r="C946" s="629" t="s">
        <v>412</v>
      </c>
    </row>
    <row r="947" spans="1:3">
      <c r="A947" s="627">
        <v>3757</v>
      </c>
      <c r="B947" s="628" t="s">
        <v>1045</v>
      </c>
      <c r="C947" s="629" t="s">
        <v>410</v>
      </c>
    </row>
    <row r="948" spans="1:3">
      <c r="A948" s="627">
        <v>3757</v>
      </c>
      <c r="B948" s="628" t="s">
        <v>969</v>
      </c>
      <c r="C948" s="629" t="s">
        <v>412</v>
      </c>
    </row>
    <row r="949" spans="1:3">
      <c r="A949" s="627">
        <v>3757</v>
      </c>
      <c r="B949" s="628" t="s">
        <v>175</v>
      </c>
      <c r="C949" s="629" t="s">
        <v>412</v>
      </c>
    </row>
    <row r="950" spans="1:3">
      <c r="A950" s="627">
        <v>3758</v>
      </c>
      <c r="B950" s="628" t="s">
        <v>1125</v>
      </c>
      <c r="C950" s="629" t="s">
        <v>412</v>
      </c>
    </row>
    <row r="951" spans="1:3">
      <c r="A951" s="627">
        <v>3759</v>
      </c>
      <c r="B951" s="628" t="s">
        <v>1126</v>
      </c>
      <c r="C951" s="629" t="s">
        <v>412</v>
      </c>
    </row>
    <row r="952" spans="1:3">
      <c r="A952" s="627">
        <v>3761</v>
      </c>
      <c r="B952" s="628" t="s">
        <v>176</v>
      </c>
      <c r="C952" s="629" t="s">
        <v>412</v>
      </c>
    </row>
    <row r="953" spans="1:3">
      <c r="A953" s="627">
        <v>3761</v>
      </c>
      <c r="B953" s="628" t="s">
        <v>177</v>
      </c>
      <c r="C953" s="629" t="s">
        <v>412</v>
      </c>
    </row>
    <row r="954" spans="1:3">
      <c r="A954" s="627">
        <v>3761</v>
      </c>
      <c r="B954" s="628" t="s">
        <v>178</v>
      </c>
      <c r="C954" s="629" t="s">
        <v>412</v>
      </c>
    </row>
    <row r="955" spans="1:3">
      <c r="A955" s="627">
        <v>3762</v>
      </c>
      <c r="B955" s="628" t="s">
        <v>1128</v>
      </c>
      <c r="C955" s="629" t="s">
        <v>412</v>
      </c>
    </row>
    <row r="956" spans="1:3">
      <c r="A956" s="627">
        <v>3763</v>
      </c>
      <c r="B956" s="628" t="s">
        <v>1129</v>
      </c>
      <c r="C956" s="629" t="s">
        <v>412</v>
      </c>
    </row>
    <row r="957" spans="1:3">
      <c r="A957" s="627">
        <v>3764</v>
      </c>
      <c r="B957" s="628" t="s">
        <v>1130</v>
      </c>
      <c r="C957" s="629" t="s">
        <v>412</v>
      </c>
    </row>
    <row r="958" spans="1:3">
      <c r="A958" s="627">
        <v>3765</v>
      </c>
      <c r="B958" s="628" t="s">
        <v>179</v>
      </c>
      <c r="C958" s="629" t="s">
        <v>412</v>
      </c>
    </row>
    <row r="959" spans="1:3">
      <c r="A959" s="627">
        <v>3765</v>
      </c>
      <c r="B959" s="628" t="s">
        <v>180</v>
      </c>
      <c r="C959" s="629" t="s">
        <v>412</v>
      </c>
    </row>
    <row r="960" spans="1:3">
      <c r="A960" s="627">
        <v>3765</v>
      </c>
      <c r="B960" s="628" t="s">
        <v>181</v>
      </c>
      <c r="C960" s="629" t="s">
        <v>412</v>
      </c>
    </row>
    <row r="961" spans="1:3">
      <c r="A961" s="627">
        <v>3767</v>
      </c>
      <c r="B961" s="628" t="s">
        <v>1516</v>
      </c>
      <c r="C961" s="629" t="s">
        <v>412</v>
      </c>
    </row>
    <row r="962" spans="1:3">
      <c r="A962" s="627">
        <v>3768</v>
      </c>
      <c r="B962" s="628" t="s">
        <v>182</v>
      </c>
      <c r="C962" s="629" t="s">
        <v>412</v>
      </c>
    </row>
    <row r="963" spans="1:3">
      <c r="A963" s="627">
        <v>3768</v>
      </c>
      <c r="B963" s="628" t="s">
        <v>183</v>
      </c>
      <c r="C963" s="629" t="s">
        <v>412</v>
      </c>
    </row>
    <row r="964" spans="1:3">
      <c r="A964" s="627">
        <v>3768</v>
      </c>
      <c r="B964" s="628" t="s">
        <v>184</v>
      </c>
      <c r="C964" s="629" t="s">
        <v>412</v>
      </c>
    </row>
    <row r="965" spans="1:3">
      <c r="A965" s="627">
        <v>3769</v>
      </c>
      <c r="B965" s="628" t="s">
        <v>1518</v>
      </c>
      <c r="C965" s="629" t="s">
        <v>412</v>
      </c>
    </row>
    <row r="966" spans="1:3">
      <c r="A966" s="627">
        <v>3770</v>
      </c>
      <c r="B966" s="628" t="s">
        <v>1519</v>
      </c>
      <c r="C966" s="629" t="s">
        <v>412</v>
      </c>
    </row>
    <row r="967" spans="1:3">
      <c r="A967" s="627">
        <v>3773</v>
      </c>
      <c r="B967" s="628" t="s">
        <v>185</v>
      </c>
      <c r="C967" s="629" t="s">
        <v>412</v>
      </c>
    </row>
    <row r="968" spans="1:3">
      <c r="A968" s="627">
        <v>3773</v>
      </c>
      <c r="B968" s="628" t="s">
        <v>186</v>
      </c>
      <c r="C968" s="629" t="s">
        <v>412</v>
      </c>
    </row>
    <row r="969" spans="1:3">
      <c r="A969" s="627">
        <v>3775</v>
      </c>
      <c r="B969" s="628" t="s">
        <v>1521</v>
      </c>
      <c r="C969" s="629" t="s">
        <v>412</v>
      </c>
    </row>
    <row r="970" spans="1:3">
      <c r="A970" s="627">
        <v>3776</v>
      </c>
      <c r="B970" s="628" t="s">
        <v>1522</v>
      </c>
      <c r="C970" s="629" t="s">
        <v>412</v>
      </c>
    </row>
    <row r="971" spans="1:3">
      <c r="A971" s="627">
        <v>3777</v>
      </c>
      <c r="B971" s="628" t="s">
        <v>479</v>
      </c>
      <c r="C971" s="629" t="s">
        <v>412</v>
      </c>
    </row>
    <row r="972" spans="1:3">
      <c r="A972" s="627">
        <v>3778</v>
      </c>
      <c r="B972" s="628" t="s">
        <v>480</v>
      </c>
      <c r="C972" s="629" t="s">
        <v>412</v>
      </c>
    </row>
    <row r="973" spans="1:3">
      <c r="A973" s="627">
        <v>3779</v>
      </c>
      <c r="B973" s="628" t="s">
        <v>481</v>
      </c>
      <c r="C973" s="629" t="s">
        <v>412</v>
      </c>
    </row>
    <row r="974" spans="1:3">
      <c r="A974" s="627">
        <v>3780</v>
      </c>
      <c r="B974" s="628" t="s">
        <v>187</v>
      </c>
      <c r="C974" s="629" t="s">
        <v>412</v>
      </c>
    </row>
    <row r="975" spans="1:3">
      <c r="A975" s="627">
        <v>3780</v>
      </c>
      <c r="B975" s="628" t="s">
        <v>188</v>
      </c>
      <c r="C975" s="629" t="s">
        <v>412</v>
      </c>
    </row>
    <row r="976" spans="1:3">
      <c r="A976" s="627">
        <v>3780</v>
      </c>
      <c r="B976" s="628" t="s">
        <v>1120</v>
      </c>
      <c r="C976" s="629" t="s">
        <v>412</v>
      </c>
    </row>
    <row r="977" spans="1:3">
      <c r="A977" s="627">
        <v>3780</v>
      </c>
      <c r="B977" s="628" t="s">
        <v>190</v>
      </c>
      <c r="C977" s="629" t="s">
        <v>412</v>
      </c>
    </row>
    <row r="978" spans="1:3">
      <c r="A978" s="627">
        <v>3783</v>
      </c>
      <c r="B978" s="628" t="s">
        <v>1120</v>
      </c>
      <c r="C978" s="629" t="s">
        <v>412</v>
      </c>
    </row>
    <row r="979" spans="1:3">
      <c r="A979" s="627">
        <v>3786</v>
      </c>
      <c r="B979" s="628" t="s">
        <v>192</v>
      </c>
      <c r="C979" s="629" t="s">
        <v>412</v>
      </c>
    </row>
    <row r="980" spans="1:3">
      <c r="A980" s="627">
        <v>3786</v>
      </c>
      <c r="B980" s="628" t="s">
        <v>193</v>
      </c>
      <c r="C980" s="629" t="s">
        <v>412</v>
      </c>
    </row>
    <row r="981" spans="1:3">
      <c r="A981" s="627">
        <v>3786</v>
      </c>
      <c r="B981" s="628" t="s">
        <v>194</v>
      </c>
      <c r="C981" s="629" t="s">
        <v>412</v>
      </c>
    </row>
    <row r="982" spans="1:3">
      <c r="A982" s="627">
        <v>3786</v>
      </c>
      <c r="B982" s="628" t="s">
        <v>195</v>
      </c>
      <c r="C982" s="629" t="s">
        <v>412</v>
      </c>
    </row>
    <row r="983" spans="1:3">
      <c r="A983" s="627">
        <v>3787</v>
      </c>
      <c r="B983" s="628" t="s">
        <v>485</v>
      </c>
      <c r="C983" s="629" t="s">
        <v>412</v>
      </c>
    </row>
    <row r="984" spans="1:3">
      <c r="A984" s="627">
        <v>3791</v>
      </c>
      <c r="B984" s="628" t="s">
        <v>486</v>
      </c>
      <c r="C984" s="629" t="s">
        <v>412</v>
      </c>
    </row>
    <row r="985" spans="1:3">
      <c r="A985" s="627">
        <v>3792</v>
      </c>
      <c r="B985" s="628" t="s">
        <v>487</v>
      </c>
      <c r="C985" s="629" t="s">
        <v>412</v>
      </c>
    </row>
    <row r="986" spans="1:3">
      <c r="A986" s="627">
        <v>3793</v>
      </c>
      <c r="B986" s="628" t="s">
        <v>488</v>
      </c>
      <c r="C986" s="629" t="s">
        <v>412</v>
      </c>
    </row>
    <row r="987" spans="1:3">
      <c r="A987" s="627">
        <v>3794</v>
      </c>
      <c r="B987" s="628" t="s">
        <v>196</v>
      </c>
      <c r="C987" s="629" t="s">
        <v>412</v>
      </c>
    </row>
    <row r="988" spans="1:3">
      <c r="A988" s="627">
        <v>3794</v>
      </c>
      <c r="B988" s="628" t="s">
        <v>197</v>
      </c>
      <c r="C988" s="629" t="s">
        <v>412</v>
      </c>
    </row>
    <row r="989" spans="1:3">
      <c r="A989" s="627">
        <v>3795</v>
      </c>
      <c r="B989" s="628" t="s">
        <v>198</v>
      </c>
      <c r="C989" s="629" t="s">
        <v>412</v>
      </c>
    </row>
    <row r="990" spans="1:3">
      <c r="A990" s="627">
        <v>3795</v>
      </c>
      <c r="B990" s="628" t="s">
        <v>4141</v>
      </c>
      <c r="C990" s="629" t="s">
        <v>421</v>
      </c>
    </row>
    <row r="991" spans="1:3">
      <c r="A991" s="627">
        <v>3796</v>
      </c>
      <c r="B991" s="628" t="s">
        <v>2721</v>
      </c>
      <c r="C991" s="629" t="s">
        <v>412</v>
      </c>
    </row>
    <row r="992" spans="1:3">
      <c r="A992" s="627">
        <v>3800</v>
      </c>
      <c r="B992" s="628" t="s">
        <v>2722</v>
      </c>
      <c r="C992" s="629" t="s">
        <v>412</v>
      </c>
    </row>
    <row r="993" spans="1:3">
      <c r="A993" s="627">
        <v>3809</v>
      </c>
      <c r="B993" s="628" t="s">
        <v>200</v>
      </c>
      <c r="C993" s="629" t="s">
        <v>412</v>
      </c>
    </row>
    <row r="994" spans="1:3">
      <c r="A994" s="627">
        <v>3809</v>
      </c>
      <c r="B994" s="628" t="s">
        <v>3157</v>
      </c>
      <c r="C994" s="629" t="s">
        <v>412</v>
      </c>
    </row>
    <row r="995" spans="1:3">
      <c r="A995" s="627">
        <v>3809</v>
      </c>
      <c r="B995" s="628" t="s">
        <v>3158</v>
      </c>
      <c r="C995" s="629" t="s">
        <v>412</v>
      </c>
    </row>
    <row r="996" spans="1:3">
      <c r="A996" s="627">
        <v>3811</v>
      </c>
      <c r="B996" s="628" t="s">
        <v>2724</v>
      </c>
      <c r="C996" s="629" t="s">
        <v>412</v>
      </c>
    </row>
    <row r="997" spans="1:3">
      <c r="A997" s="627">
        <v>3812</v>
      </c>
      <c r="B997" s="628" t="s">
        <v>3159</v>
      </c>
      <c r="C997" s="629" t="s">
        <v>412</v>
      </c>
    </row>
    <row r="998" spans="1:3">
      <c r="A998" s="627">
        <v>3812</v>
      </c>
      <c r="B998" s="628" t="s">
        <v>3160</v>
      </c>
      <c r="C998" s="629" t="s">
        <v>412</v>
      </c>
    </row>
    <row r="999" spans="1:3">
      <c r="A999" s="627">
        <v>3813</v>
      </c>
      <c r="B999" s="628" t="s">
        <v>2726</v>
      </c>
      <c r="C999" s="629" t="s">
        <v>412</v>
      </c>
    </row>
    <row r="1000" spans="1:3">
      <c r="A1000" s="627">
        <v>3814</v>
      </c>
      <c r="B1000" s="628" t="s">
        <v>2727</v>
      </c>
      <c r="C1000" s="629" t="s">
        <v>412</v>
      </c>
    </row>
    <row r="1001" spans="1:3">
      <c r="A1001" s="627">
        <v>3815</v>
      </c>
      <c r="B1001" s="628" t="s">
        <v>3161</v>
      </c>
      <c r="C1001" s="629" t="s">
        <v>412</v>
      </c>
    </row>
    <row r="1002" spans="1:3">
      <c r="A1002" s="627">
        <v>3815</v>
      </c>
      <c r="B1002" s="628" t="s">
        <v>3162</v>
      </c>
      <c r="C1002" s="629" t="s">
        <v>412</v>
      </c>
    </row>
    <row r="1003" spans="1:3">
      <c r="A1003" s="627">
        <v>3816</v>
      </c>
      <c r="B1003" s="628" t="s">
        <v>2729</v>
      </c>
      <c r="C1003" s="629" t="s">
        <v>412</v>
      </c>
    </row>
    <row r="1004" spans="1:3">
      <c r="A1004" s="627">
        <v>3817</v>
      </c>
      <c r="B1004" s="628" t="s">
        <v>2730</v>
      </c>
      <c r="C1004" s="629" t="s">
        <v>412</v>
      </c>
    </row>
    <row r="1005" spans="1:3">
      <c r="A1005" s="627">
        <v>3821</v>
      </c>
      <c r="B1005" s="628" t="s">
        <v>3163</v>
      </c>
      <c r="C1005" s="629" t="s">
        <v>412</v>
      </c>
    </row>
    <row r="1006" spans="1:3">
      <c r="A1006" s="627">
        <v>3821</v>
      </c>
      <c r="B1006" s="628" t="s">
        <v>3164</v>
      </c>
      <c r="C1006" s="629" t="s">
        <v>412</v>
      </c>
    </row>
    <row r="1007" spans="1:3">
      <c r="A1007" s="627">
        <v>3821</v>
      </c>
      <c r="B1007" s="628" t="s">
        <v>3165</v>
      </c>
      <c r="C1007" s="629" t="s">
        <v>412</v>
      </c>
    </row>
    <row r="1008" spans="1:3">
      <c r="A1008" s="627">
        <v>3821</v>
      </c>
      <c r="B1008" s="628" t="s">
        <v>3166</v>
      </c>
      <c r="C1008" s="629" t="s">
        <v>412</v>
      </c>
    </row>
    <row r="1009" spans="1:3">
      <c r="A1009" s="627">
        <v>3821</v>
      </c>
      <c r="B1009" s="628" t="s">
        <v>3167</v>
      </c>
      <c r="C1009" s="629" t="s">
        <v>412</v>
      </c>
    </row>
    <row r="1010" spans="1:3">
      <c r="A1010" s="627">
        <v>3821</v>
      </c>
      <c r="B1010" s="628" t="s">
        <v>3168</v>
      </c>
      <c r="C1010" s="629" t="s">
        <v>412</v>
      </c>
    </row>
    <row r="1011" spans="1:3">
      <c r="A1011" s="627">
        <v>3821</v>
      </c>
      <c r="B1011" s="628" t="s">
        <v>3169</v>
      </c>
      <c r="C1011" s="629" t="s">
        <v>412</v>
      </c>
    </row>
    <row r="1012" spans="1:3">
      <c r="A1012" s="627">
        <v>3825</v>
      </c>
      <c r="B1012" s="628" t="s">
        <v>3170</v>
      </c>
      <c r="C1012" s="629" t="s">
        <v>412</v>
      </c>
    </row>
    <row r="1013" spans="1:3">
      <c r="A1013" s="627">
        <v>3825</v>
      </c>
      <c r="B1013" s="628" t="s">
        <v>3171</v>
      </c>
      <c r="C1013" s="629" t="s">
        <v>412</v>
      </c>
    </row>
    <row r="1014" spans="1:3">
      <c r="A1014" s="627">
        <v>3825</v>
      </c>
      <c r="B1014" s="628" t="s">
        <v>3172</v>
      </c>
      <c r="C1014" s="629" t="s">
        <v>412</v>
      </c>
    </row>
    <row r="1015" spans="1:3">
      <c r="A1015" s="627">
        <v>3826</v>
      </c>
      <c r="B1015" s="628" t="s">
        <v>2733</v>
      </c>
      <c r="C1015" s="629" t="s">
        <v>412</v>
      </c>
    </row>
    <row r="1016" spans="1:3">
      <c r="A1016" s="627">
        <v>3831</v>
      </c>
      <c r="B1016" s="628" t="s">
        <v>2734</v>
      </c>
      <c r="C1016" s="629" t="s">
        <v>412</v>
      </c>
    </row>
    <row r="1017" spans="1:3">
      <c r="A1017" s="627">
        <v>3832</v>
      </c>
      <c r="B1017" s="628" t="s">
        <v>2735</v>
      </c>
      <c r="C1017" s="629" t="s">
        <v>412</v>
      </c>
    </row>
    <row r="1018" spans="1:3">
      <c r="A1018" s="627">
        <v>3833</v>
      </c>
      <c r="B1018" s="628" t="s">
        <v>2736</v>
      </c>
      <c r="C1018" s="629" t="s">
        <v>412</v>
      </c>
    </row>
    <row r="1019" spans="1:3">
      <c r="A1019" s="627">
        <v>3834</v>
      </c>
      <c r="B1019" s="628" t="s">
        <v>3173</v>
      </c>
      <c r="C1019" s="629" t="s">
        <v>412</v>
      </c>
    </row>
    <row r="1020" spans="1:3">
      <c r="A1020" s="627">
        <v>3834</v>
      </c>
      <c r="B1020" s="628" t="s">
        <v>3174</v>
      </c>
      <c r="C1020" s="629" t="s">
        <v>412</v>
      </c>
    </row>
    <row r="1021" spans="1:3">
      <c r="A1021" s="627">
        <v>3836</v>
      </c>
      <c r="B1021" s="628" t="s">
        <v>2738</v>
      </c>
      <c r="C1021" s="629" t="s">
        <v>412</v>
      </c>
    </row>
    <row r="1022" spans="1:3">
      <c r="A1022" s="627">
        <v>3837</v>
      </c>
      <c r="B1022" s="628" t="s">
        <v>3175</v>
      </c>
      <c r="C1022" s="629" t="s">
        <v>412</v>
      </c>
    </row>
    <row r="1023" spans="1:3">
      <c r="A1023" s="627">
        <v>3837</v>
      </c>
      <c r="B1023" s="628" t="s">
        <v>3176</v>
      </c>
      <c r="C1023" s="629" t="s">
        <v>412</v>
      </c>
    </row>
    <row r="1024" spans="1:3">
      <c r="A1024" s="627">
        <v>3837</v>
      </c>
      <c r="B1024" s="628" t="s">
        <v>3177</v>
      </c>
      <c r="C1024" s="629" t="s">
        <v>412</v>
      </c>
    </row>
    <row r="1025" spans="1:3">
      <c r="A1025" s="627">
        <v>3837</v>
      </c>
      <c r="B1025" s="628" t="s">
        <v>3178</v>
      </c>
      <c r="C1025" s="629" t="s">
        <v>412</v>
      </c>
    </row>
    <row r="1026" spans="1:3">
      <c r="A1026" s="627">
        <v>3841</v>
      </c>
      <c r="B1026" s="628" t="s">
        <v>2740</v>
      </c>
      <c r="C1026" s="629" t="s">
        <v>412</v>
      </c>
    </row>
    <row r="1027" spans="1:3">
      <c r="A1027" s="627">
        <v>3842</v>
      </c>
      <c r="B1027" s="628" t="s">
        <v>2741</v>
      </c>
      <c r="C1027" s="629" t="s">
        <v>412</v>
      </c>
    </row>
    <row r="1028" spans="1:3">
      <c r="A1028" s="627">
        <v>3843</v>
      </c>
      <c r="B1028" s="628" t="s">
        <v>2742</v>
      </c>
      <c r="C1028" s="629" t="s">
        <v>412</v>
      </c>
    </row>
    <row r="1029" spans="1:3">
      <c r="A1029" s="627">
        <v>3844</v>
      </c>
      <c r="B1029" s="628" t="s">
        <v>4079</v>
      </c>
      <c r="C1029" s="629" t="s">
        <v>412</v>
      </c>
    </row>
    <row r="1030" spans="1:3">
      <c r="A1030" s="627">
        <v>3844</v>
      </c>
      <c r="B1030" s="628" t="s">
        <v>4080</v>
      </c>
      <c r="C1030" s="629" t="s">
        <v>412</v>
      </c>
    </row>
    <row r="1031" spans="1:3">
      <c r="A1031" s="627">
        <v>3846</v>
      </c>
      <c r="B1031" s="628" t="s">
        <v>4541</v>
      </c>
      <c r="C1031" s="629" t="s">
        <v>412</v>
      </c>
    </row>
    <row r="1032" spans="1:3">
      <c r="A1032" s="627">
        <v>3847</v>
      </c>
      <c r="B1032" s="628" t="s">
        <v>4542</v>
      </c>
      <c r="C1032" s="629" t="s">
        <v>412</v>
      </c>
    </row>
    <row r="1033" spans="1:3">
      <c r="A1033" s="627">
        <v>3848</v>
      </c>
      <c r="B1033" s="628" t="s">
        <v>4543</v>
      </c>
      <c r="C1033" s="629" t="s">
        <v>412</v>
      </c>
    </row>
    <row r="1034" spans="1:3">
      <c r="A1034" s="627">
        <v>3849</v>
      </c>
      <c r="B1034" s="628" t="s">
        <v>4544</v>
      </c>
      <c r="C1034" s="629" t="s">
        <v>412</v>
      </c>
    </row>
    <row r="1035" spans="1:3">
      <c r="A1035" s="627">
        <v>3851</v>
      </c>
      <c r="B1035" s="628" t="s">
        <v>4545</v>
      </c>
      <c r="C1035" s="629" t="s">
        <v>412</v>
      </c>
    </row>
    <row r="1036" spans="1:3">
      <c r="A1036" s="627">
        <v>3852</v>
      </c>
      <c r="B1036" s="628" t="s">
        <v>4546</v>
      </c>
      <c r="C1036" s="629" t="s">
        <v>412</v>
      </c>
    </row>
    <row r="1037" spans="1:3">
      <c r="A1037" s="627">
        <v>3853</v>
      </c>
      <c r="B1037" s="628" t="s">
        <v>4081</v>
      </c>
      <c r="C1037" s="629" t="s">
        <v>412</v>
      </c>
    </row>
    <row r="1038" spans="1:3">
      <c r="A1038" s="627">
        <v>3853</v>
      </c>
      <c r="B1038" s="628" t="s">
        <v>4082</v>
      </c>
      <c r="C1038" s="629" t="s">
        <v>412</v>
      </c>
    </row>
    <row r="1039" spans="1:3">
      <c r="A1039" s="627">
        <v>3854</v>
      </c>
      <c r="B1039" s="628" t="s">
        <v>4083</v>
      </c>
      <c r="C1039" s="629" t="s">
        <v>412</v>
      </c>
    </row>
    <row r="1040" spans="1:3">
      <c r="A1040" s="627">
        <v>3855</v>
      </c>
      <c r="B1040" s="628" t="s">
        <v>4549</v>
      </c>
      <c r="C1040" s="629" t="s">
        <v>412</v>
      </c>
    </row>
    <row r="1041" spans="1:3">
      <c r="A1041" s="627">
        <v>3860</v>
      </c>
      <c r="B1041" s="628" t="s">
        <v>4084</v>
      </c>
      <c r="C1041" s="629" t="s">
        <v>412</v>
      </c>
    </row>
    <row r="1042" spans="1:3">
      <c r="A1042" s="627">
        <v>3863</v>
      </c>
      <c r="B1042" s="628" t="s">
        <v>4551</v>
      </c>
      <c r="C1042" s="629" t="s">
        <v>412</v>
      </c>
    </row>
    <row r="1043" spans="1:3">
      <c r="A1043" s="627">
        <v>3864</v>
      </c>
      <c r="B1043" s="628" t="s">
        <v>4552</v>
      </c>
      <c r="C1043" s="629" t="s">
        <v>412</v>
      </c>
    </row>
    <row r="1044" spans="1:3">
      <c r="A1044" s="627">
        <v>3865</v>
      </c>
      <c r="B1044" s="628" t="s">
        <v>4553</v>
      </c>
      <c r="C1044" s="629" t="s">
        <v>412</v>
      </c>
    </row>
    <row r="1045" spans="1:3">
      <c r="A1045" s="627">
        <v>3866</v>
      </c>
      <c r="B1045" s="628" t="s">
        <v>4085</v>
      </c>
      <c r="C1045" s="629" t="s">
        <v>412</v>
      </c>
    </row>
    <row r="1046" spans="1:3">
      <c r="A1046" s="627">
        <v>3866</v>
      </c>
      <c r="B1046" s="628" t="s">
        <v>4086</v>
      </c>
      <c r="C1046" s="629" t="s">
        <v>412</v>
      </c>
    </row>
    <row r="1047" spans="1:3">
      <c r="A1047" s="627">
        <v>3871</v>
      </c>
      <c r="B1047" s="628" t="s">
        <v>4557</v>
      </c>
      <c r="C1047" s="629" t="s">
        <v>412</v>
      </c>
    </row>
    <row r="1048" spans="1:3">
      <c r="A1048" s="627">
        <v>3872</v>
      </c>
      <c r="B1048" s="628" t="s">
        <v>2308</v>
      </c>
      <c r="C1048" s="629" t="s">
        <v>2808</v>
      </c>
    </row>
    <row r="1049" spans="1:3">
      <c r="A1049" s="627">
        <v>3873</v>
      </c>
      <c r="B1049" s="628" t="s">
        <v>4559</v>
      </c>
      <c r="C1049" s="629" t="s">
        <v>412</v>
      </c>
    </row>
    <row r="1050" spans="1:3">
      <c r="A1050" s="627">
        <v>3874</v>
      </c>
      <c r="B1050" s="628" t="s">
        <v>4087</v>
      </c>
      <c r="C1050" s="629" t="s">
        <v>412</v>
      </c>
    </row>
    <row r="1051" spans="1:3">
      <c r="A1051" s="627">
        <v>3874</v>
      </c>
      <c r="B1051" s="628" t="s">
        <v>4088</v>
      </c>
      <c r="C1051" s="629" t="s">
        <v>412</v>
      </c>
    </row>
    <row r="1052" spans="1:3">
      <c r="A1052" s="627">
        <v>3874</v>
      </c>
      <c r="B1052" s="628" t="s">
        <v>4089</v>
      </c>
      <c r="C1052" s="629" t="s">
        <v>412</v>
      </c>
    </row>
    <row r="1053" spans="1:3">
      <c r="A1053" s="627">
        <v>3875</v>
      </c>
      <c r="B1053" s="628" t="s">
        <v>4561</v>
      </c>
      <c r="C1053" s="629" t="s">
        <v>412</v>
      </c>
    </row>
    <row r="1054" spans="1:3">
      <c r="A1054" s="627">
        <v>3876</v>
      </c>
      <c r="B1054" s="628" t="s">
        <v>4562</v>
      </c>
      <c r="C1054" s="629" t="s">
        <v>412</v>
      </c>
    </row>
    <row r="1055" spans="1:3">
      <c r="A1055" s="627">
        <v>3877</v>
      </c>
      <c r="B1055" s="628" t="s">
        <v>4563</v>
      </c>
      <c r="C1055" s="629" t="s">
        <v>412</v>
      </c>
    </row>
    <row r="1056" spans="1:3">
      <c r="A1056" s="627">
        <v>3881</v>
      </c>
      <c r="B1056" s="628" t="s">
        <v>4090</v>
      </c>
      <c r="C1056" s="629" t="s">
        <v>412</v>
      </c>
    </row>
    <row r="1057" spans="1:3">
      <c r="A1057" s="627">
        <v>3881</v>
      </c>
      <c r="B1057" s="628" t="s">
        <v>4091</v>
      </c>
      <c r="C1057" s="629" t="s">
        <v>412</v>
      </c>
    </row>
    <row r="1058" spans="1:3">
      <c r="A1058" s="627">
        <v>3881</v>
      </c>
      <c r="B1058" s="628" t="s">
        <v>4092</v>
      </c>
      <c r="C1058" s="629" t="s">
        <v>412</v>
      </c>
    </row>
    <row r="1059" spans="1:3">
      <c r="A1059" s="627">
        <v>3882</v>
      </c>
      <c r="B1059" s="628" t="s">
        <v>4093</v>
      </c>
      <c r="C1059" s="629" t="s">
        <v>412</v>
      </c>
    </row>
    <row r="1060" spans="1:3">
      <c r="A1060" s="627">
        <v>3882</v>
      </c>
      <c r="B1060" s="628" t="s">
        <v>4094</v>
      </c>
      <c r="C1060" s="629" t="s">
        <v>412</v>
      </c>
    </row>
    <row r="1061" spans="1:3">
      <c r="A1061" s="627">
        <v>3884</v>
      </c>
      <c r="B1061" s="628" t="s">
        <v>4566</v>
      </c>
      <c r="C1061" s="629" t="s">
        <v>412</v>
      </c>
    </row>
    <row r="1062" spans="1:3">
      <c r="A1062" s="627">
        <v>3885</v>
      </c>
      <c r="B1062" s="628" t="s">
        <v>4095</v>
      </c>
      <c r="C1062" s="629" t="s">
        <v>412</v>
      </c>
    </row>
    <row r="1063" spans="1:3">
      <c r="A1063" s="627">
        <v>3885</v>
      </c>
      <c r="B1063" s="628" t="s">
        <v>4096</v>
      </c>
      <c r="C1063" s="629" t="s">
        <v>412</v>
      </c>
    </row>
    <row r="1064" spans="1:3">
      <c r="A1064" s="627">
        <v>3886</v>
      </c>
      <c r="B1064" s="628" t="s">
        <v>4568</v>
      </c>
      <c r="C1064" s="629" t="s">
        <v>412</v>
      </c>
    </row>
    <row r="1065" spans="1:3">
      <c r="A1065" s="627">
        <v>3887</v>
      </c>
      <c r="B1065" s="628" t="s">
        <v>4569</v>
      </c>
      <c r="C1065" s="629" t="s">
        <v>412</v>
      </c>
    </row>
    <row r="1066" spans="1:3">
      <c r="A1066" s="627">
        <v>3888</v>
      </c>
      <c r="B1066" s="628" t="s">
        <v>4570</v>
      </c>
      <c r="C1066" s="629" t="s">
        <v>412</v>
      </c>
    </row>
    <row r="1067" spans="1:3">
      <c r="A1067" s="627">
        <v>3891</v>
      </c>
      <c r="B1067" s="628" t="s">
        <v>4571</v>
      </c>
      <c r="C1067" s="629" t="s">
        <v>412</v>
      </c>
    </row>
    <row r="1068" spans="1:3">
      <c r="A1068" s="627">
        <v>3892</v>
      </c>
      <c r="B1068" s="628" t="s">
        <v>4572</v>
      </c>
      <c r="C1068" s="629" t="s">
        <v>412</v>
      </c>
    </row>
    <row r="1069" spans="1:3">
      <c r="A1069" s="627">
        <v>3893</v>
      </c>
      <c r="B1069" s="628" t="s">
        <v>4097</v>
      </c>
      <c r="C1069" s="629" t="s">
        <v>412</v>
      </c>
    </row>
    <row r="1070" spans="1:3">
      <c r="A1070" s="627">
        <v>3893</v>
      </c>
      <c r="B1070" s="628" t="s">
        <v>4098</v>
      </c>
      <c r="C1070" s="629" t="s">
        <v>412</v>
      </c>
    </row>
    <row r="1071" spans="1:3">
      <c r="A1071" s="627">
        <v>3893</v>
      </c>
      <c r="B1071" s="628" t="s">
        <v>4099</v>
      </c>
      <c r="C1071" s="629" t="s">
        <v>412</v>
      </c>
    </row>
    <row r="1072" spans="1:3">
      <c r="A1072" s="627">
        <v>3894</v>
      </c>
      <c r="B1072" s="628" t="s">
        <v>4574</v>
      </c>
      <c r="C1072" s="629" t="s">
        <v>412</v>
      </c>
    </row>
    <row r="1073" spans="1:3">
      <c r="A1073" s="627">
        <v>3895</v>
      </c>
      <c r="B1073" s="628" t="s">
        <v>4575</v>
      </c>
      <c r="C1073" s="629" t="s">
        <v>412</v>
      </c>
    </row>
    <row r="1074" spans="1:3">
      <c r="A1074" s="627">
        <v>3896</v>
      </c>
      <c r="B1074" s="628" t="s">
        <v>4576</v>
      </c>
      <c r="C1074" s="629" t="s">
        <v>412</v>
      </c>
    </row>
    <row r="1075" spans="1:3">
      <c r="A1075" s="627">
        <v>3897</v>
      </c>
      <c r="B1075" s="628" t="s">
        <v>4577</v>
      </c>
      <c r="C1075" s="629" t="s">
        <v>412</v>
      </c>
    </row>
    <row r="1076" spans="1:3">
      <c r="A1076" s="627">
        <v>3898</v>
      </c>
      <c r="B1076" s="628" t="s">
        <v>4100</v>
      </c>
      <c r="C1076" s="629" t="s">
        <v>412</v>
      </c>
    </row>
    <row r="1077" spans="1:3">
      <c r="A1077" s="627">
        <v>3898</v>
      </c>
      <c r="B1077" s="628" t="s">
        <v>4101</v>
      </c>
      <c r="C1077" s="629" t="s">
        <v>412</v>
      </c>
    </row>
    <row r="1078" spans="1:3">
      <c r="A1078" s="627">
        <v>3899</v>
      </c>
      <c r="B1078" s="628" t="s">
        <v>4579</v>
      </c>
      <c r="C1078" s="629" t="s">
        <v>412</v>
      </c>
    </row>
    <row r="1079" spans="1:3">
      <c r="A1079" s="627">
        <v>3900</v>
      </c>
      <c r="B1079" s="628" t="s">
        <v>4102</v>
      </c>
      <c r="C1079" s="629" t="s">
        <v>412</v>
      </c>
    </row>
    <row r="1080" spans="1:3">
      <c r="A1080" s="627">
        <v>3903</v>
      </c>
      <c r="B1080" s="628" t="s">
        <v>4581</v>
      </c>
      <c r="C1080" s="629" t="s">
        <v>412</v>
      </c>
    </row>
    <row r="1081" spans="1:3">
      <c r="A1081" s="627">
        <v>3904</v>
      </c>
      <c r="B1081" s="628" t="s">
        <v>4582</v>
      </c>
      <c r="C1081" s="629" t="s">
        <v>412</v>
      </c>
    </row>
    <row r="1082" spans="1:3">
      <c r="A1082" s="627">
        <v>3905</v>
      </c>
      <c r="B1082" s="628" t="s">
        <v>4583</v>
      </c>
      <c r="C1082" s="629" t="s">
        <v>412</v>
      </c>
    </row>
    <row r="1083" spans="1:3">
      <c r="A1083" s="627">
        <v>3906</v>
      </c>
      <c r="B1083" s="628" t="s">
        <v>4584</v>
      </c>
      <c r="C1083" s="629" t="s">
        <v>412</v>
      </c>
    </row>
    <row r="1084" spans="1:3">
      <c r="A1084" s="627">
        <v>3907</v>
      </c>
      <c r="B1084" s="628" t="s">
        <v>4585</v>
      </c>
      <c r="C1084" s="629" t="s">
        <v>412</v>
      </c>
    </row>
    <row r="1085" spans="1:3">
      <c r="A1085" s="627">
        <v>3908</v>
      </c>
      <c r="B1085" s="628" t="s">
        <v>4586</v>
      </c>
      <c r="C1085" s="629" t="s">
        <v>412</v>
      </c>
    </row>
    <row r="1086" spans="1:3">
      <c r="A1086" s="627">
        <v>3909</v>
      </c>
      <c r="B1086" s="628" t="s">
        <v>4587</v>
      </c>
      <c r="C1086" s="629" t="s">
        <v>412</v>
      </c>
    </row>
    <row r="1087" spans="1:3">
      <c r="A1087" s="627">
        <v>3910</v>
      </c>
      <c r="B1087" s="628" t="s">
        <v>4588</v>
      </c>
      <c r="C1087" s="629" t="s">
        <v>412</v>
      </c>
    </row>
    <row r="1088" spans="1:3">
      <c r="A1088" s="627">
        <v>3915</v>
      </c>
      <c r="B1088" s="628" t="s">
        <v>4589</v>
      </c>
      <c r="C1088" s="629" t="s">
        <v>412</v>
      </c>
    </row>
    <row r="1089" spans="1:3">
      <c r="A1089" s="627">
        <v>3916</v>
      </c>
      <c r="B1089" s="628" t="s">
        <v>4590</v>
      </c>
      <c r="C1089" s="629" t="s">
        <v>412</v>
      </c>
    </row>
    <row r="1090" spans="1:3">
      <c r="A1090" s="627">
        <v>3917</v>
      </c>
      <c r="B1090" s="628" t="s">
        <v>4591</v>
      </c>
      <c r="C1090" s="629" t="s">
        <v>412</v>
      </c>
    </row>
    <row r="1091" spans="1:3">
      <c r="A1091" s="627">
        <v>3918</v>
      </c>
      <c r="B1091" s="628" t="s">
        <v>4103</v>
      </c>
      <c r="C1091" s="629" t="s">
        <v>412</v>
      </c>
    </row>
    <row r="1092" spans="1:3">
      <c r="A1092" s="627">
        <v>3918</v>
      </c>
      <c r="B1092" s="628" t="s">
        <v>4104</v>
      </c>
      <c r="C1092" s="629" t="s">
        <v>412</v>
      </c>
    </row>
    <row r="1093" spans="1:3">
      <c r="A1093" s="627">
        <v>3921</v>
      </c>
      <c r="B1093" s="628" t="s">
        <v>4593</v>
      </c>
      <c r="C1093" s="629" t="s">
        <v>412</v>
      </c>
    </row>
    <row r="1094" spans="1:3">
      <c r="A1094" s="627">
        <v>3922</v>
      </c>
      <c r="B1094" s="628" t="s">
        <v>4594</v>
      </c>
      <c r="C1094" s="629" t="s">
        <v>412</v>
      </c>
    </row>
    <row r="1095" spans="1:3">
      <c r="A1095" s="627">
        <v>3923</v>
      </c>
      <c r="B1095" s="628" t="s">
        <v>913</v>
      </c>
      <c r="C1095" s="629" t="s">
        <v>412</v>
      </c>
    </row>
    <row r="1096" spans="1:3">
      <c r="A1096" s="627">
        <v>3924</v>
      </c>
      <c r="B1096" s="628" t="s">
        <v>4596</v>
      </c>
      <c r="C1096" s="629" t="s">
        <v>412</v>
      </c>
    </row>
    <row r="1097" spans="1:3">
      <c r="A1097" s="627">
        <v>3925</v>
      </c>
      <c r="B1097" s="628" t="s">
        <v>4597</v>
      </c>
      <c r="C1097" s="629" t="s">
        <v>412</v>
      </c>
    </row>
    <row r="1098" spans="1:3">
      <c r="A1098" s="627">
        <v>3926</v>
      </c>
      <c r="B1098" s="628" t="s">
        <v>4598</v>
      </c>
      <c r="C1098" s="629" t="s">
        <v>412</v>
      </c>
    </row>
    <row r="1099" spans="1:3">
      <c r="A1099" s="627">
        <v>3927</v>
      </c>
      <c r="B1099" s="628" t="s">
        <v>4599</v>
      </c>
      <c r="C1099" s="629" t="s">
        <v>412</v>
      </c>
    </row>
    <row r="1100" spans="1:3">
      <c r="A1100" s="627">
        <v>3928</v>
      </c>
      <c r="B1100" s="628" t="s">
        <v>4600</v>
      </c>
      <c r="C1100" s="629" t="s">
        <v>412</v>
      </c>
    </row>
    <row r="1101" spans="1:3">
      <c r="A1101" s="627">
        <v>3929</v>
      </c>
      <c r="B1101" s="628" t="s">
        <v>4601</v>
      </c>
      <c r="C1101" s="629" t="s">
        <v>412</v>
      </c>
    </row>
    <row r="1102" spans="1:3">
      <c r="A1102" s="627">
        <v>3931</v>
      </c>
      <c r="B1102" s="628" t="s">
        <v>4602</v>
      </c>
      <c r="C1102" s="629" t="s">
        <v>412</v>
      </c>
    </row>
    <row r="1103" spans="1:3">
      <c r="A1103" s="627">
        <v>3932</v>
      </c>
      <c r="B1103" s="628" t="s">
        <v>4603</v>
      </c>
      <c r="C1103" s="629" t="s">
        <v>412</v>
      </c>
    </row>
    <row r="1104" spans="1:3">
      <c r="A1104" s="627">
        <v>3933</v>
      </c>
      <c r="B1104" s="628" t="s">
        <v>4604</v>
      </c>
      <c r="C1104" s="629" t="s">
        <v>412</v>
      </c>
    </row>
    <row r="1105" spans="1:3">
      <c r="A1105" s="627">
        <v>3934</v>
      </c>
      <c r="B1105" s="628" t="s">
        <v>4605</v>
      </c>
      <c r="C1105" s="629" t="s">
        <v>412</v>
      </c>
    </row>
    <row r="1106" spans="1:3">
      <c r="A1106" s="627">
        <v>3935</v>
      </c>
      <c r="B1106" s="628" t="s">
        <v>4606</v>
      </c>
      <c r="C1106" s="629" t="s">
        <v>412</v>
      </c>
    </row>
    <row r="1107" spans="1:3">
      <c r="A1107" s="627">
        <v>3936</v>
      </c>
      <c r="B1107" s="628" t="s">
        <v>4106</v>
      </c>
      <c r="C1107" s="629" t="s">
        <v>412</v>
      </c>
    </row>
    <row r="1108" spans="1:3">
      <c r="A1108" s="627">
        <v>3937</v>
      </c>
      <c r="B1108" s="628" t="s">
        <v>4608</v>
      </c>
      <c r="C1108" s="629" t="s">
        <v>412</v>
      </c>
    </row>
    <row r="1109" spans="1:3">
      <c r="A1109" s="627">
        <v>3941</v>
      </c>
      <c r="B1109" s="628" t="s">
        <v>4609</v>
      </c>
      <c r="C1109" s="629" t="s">
        <v>412</v>
      </c>
    </row>
    <row r="1110" spans="1:3">
      <c r="A1110" s="627">
        <v>3942</v>
      </c>
      <c r="B1110" s="628" t="s">
        <v>4610</v>
      </c>
      <c r="C1110" s="629" t="s">
        <v>412</v>
      </c>
    </row>
    <row r="1111" spans="1:3">
      <c r="A1111" s="627">
        <v>3943</v>
      </c>
      <c r="B1111" s="628" t="s">
        <v>4611</v>
      </c>
      <c r="C1111" s="629" t="s">
        <v>412</v>
      </c>
    </row>
    <row r="1112" spans="1:3">
      <c r="A1112" s="627">
        <v>3944</v>
      </c>
      <c r="B1112" s="628" t="s">
        <v>4634</v>
      </c>
      <c r="C1112" s="629" t="s">
        <v>412</v>
      </c>
    </row>
    <row r="1113" spans="1:3">
      <c r="A1113" s="627">
        <v>3945</v>
      </c>
      <c r="B1113" s="628" t="s">
        <v>4634</v>
      </c>
      <c r="C1113" s="629" t="s">
        <v>412</v>
      </c>
    </row>
    <row r="1114" spans="1:3">
      <c r="A1114" s="627">
        <v>3950</v>
      </c>
      <c r="B1114" s="628" t="s">
        <v>4614</v>
      </c>
      <c r="C1114" s="629" t="s">
        <v>412</v>
      </c>
    </row>
    <row r="1115" spans="1:3">
      <c r="A1115" s="627">
        <v>3952</v>
      </c>
      <c r="B1115" s="628" t="s">
        <v>4614</v>
      </c>
      <c r="C1115" s="629" t="s">
        <v>412</v>
      </c>
    </row>
    <row r="1116" spans="1:3">
      <c r="A1116" s="627">
        <v>3954</v>
      </c>
      <c r="B1116" s="628" t="s">
        <v>4615</v>
      </c>
      <c r="C1116" s="629" t="s">
        <v>412</v>
      </c>
    </row>
    <row r="1117" spans="1:3">
      <c r="A1117" s="627">
        <v>3955</v>
      </c>
      <c r="B1117" s="628" t="s">
        <v>4616</v>
      </c>
      <c r="C1117" s="629" t="s">
        <v>412</v>
      </c>
    </row>
    <row r="1118" spans="1:3">
      <c r="A1118" s="627">
        <v>3956</v>
      </c>
      <c r="B1118" s="628" t="s">
        <v>4617</v>
      </c>
      <c r="C1118" s="629" t="s">
        <v>412</v>
      </c>
    </row>
    <row r="1119" spans="1:3">
      <c r="A1119" s="627">
        <v>3957</v>
      </c>
      <c r="B1119" s="628" t="s">
        <v>4618</v>
      </c>
      <c r="C1119" s="629" t="s">
        <v>412</v>
      </c>
    </row>
    <row r="1120" spans="1:3">
      <c r="A1120" s="627">
        <v>3958</v>
      </c>
      <c r="B1120" s="628" t="s">
        <v>4619</v>
      </c>
      <c r="C1120" s="629" t="s">
        <v>412</v>
      </c>
    </row>
    <row r="1121" spans="1:3">
      <c r="A1121" s="627">
        <v>3959</v>
      </c>
      <c r="B1121" s="628" t="s">
        <v>4620</v>
      </c>
      <c r="C1121" s="629" t="s">
        <v>412</v>
      </c>
    </row>
    <row r="1122" spans="1:3">
      <c r="A1122" s="627">
        <v>3961</v>
      </c>
      <c r="B1122" s="628" t="s">
        <v>4621</v>
      </c>
      <c r="C1122" s="629" t="s">
        <v>412</v>
      </c>
    </row>
    <row r="1123" spans="1:3">
      <c r="A1123" s="627">
        <v>3962</v>
      </c>
      <c r="B1123" s="628" t="s">
        <v>4622</v>
      </c>
      <c r="C1123" s="629" t="s">
        <v>412</v>
      </c>
    </row>
    <row r="1124" spans="1:3">
      <c r="A1124" s="627">
        <v>3963</v>
      </c>
      <c r="B1124" s="628" t="s">
        <v>4623</v>
      </c>
      <c r="C1124" s="629" t="s">
        <v>412</v>
      </c>
    </row>
    <row r="1125" spans="1:3">
      <c r="A1125" s="627">
        <v>3964</v>
      </c>
      <c r="B1125" s="628" t="s">
        <v>4624</v>
      </c>
      <c r="C1125" s="629" t="s">
        <v>412</v>
      </c>
    </row>
    <row r="1126" spans="1:3">
      <c r="A1126" s="627">
        <v>3965</v>
      </c>
      <c r="B1126" s="628" t="s">
        <v>4109</v>
      </c>
      <c r="C1126" s="629" t="s">
        <v>412</v>
      </c>
    </row>
    <row r="1127" spans="1:3">
      <c r="A1127" s="627">
        <v>3965</v>
      </c>
      <c r="B1127" s="628" t="s">
        <v>4110</v>
      </c>
      <c r="C1127" s="629" t="s">
        <v>412</v>
      </c>
    </row>
    <row r="1128" spans="1:3">
      <c r="A1128" s="627">
        <v>3967</v>
      </c>
      <c r="B1128" s="628" t="s">
        <v>4626</v>
      </c>
      <c r="C1128" s="629" t="s">
        <v>412</v>
      </c>
    </row>
    <row r="1129" spans="1:3">
      <c r="A1129" s="627">
        <v>3971</v>
      </c>
      <c r="B1129" s="628" t="s">
        <v>4111</v>
      </c>
      <c r="C1129" s="629" t="s">
        <v>412</v>
      </c>
    </row>
    <row r="1130" spans="1:3">
      <c r="A1130" s="627">
        <v>3972</v>
      </c>
      <c r="B1130" s="628" t="s">
        <v>4628</v>
      </c>
      <c r="C1130" s="629" t="s">
        <v>412</v>
      </c>
    </row>
    <row r="1131" spans="1:3">
      <c r="A1131" s="627">
        <v>3973</v>
      </c>
      <c r="B1131" s="628" t="s">
        <v>1201</v>
      </c>
      <c r="C1131" s="629" t="s">
        <v>435</v>
      </c>
    </row>
    <row r="1132" spans="1:3">
      <c r="A1132" s="627">
        <v>3974</v>
      </c>
      <c r="B1132" s="628" t="s">
        <v>4112</v>
      </c>
      <c r="C1132" s="629" t="s">
        <v>412</v>
      </c>
    </row>
    <row r="1133" spans="1:3">
      <c r="A1133" s="627">
        <v>3974</v>
      </c>
      <c r="B1133" s="628" t="s">
        <v>4113</v>
      </c>
      <c r="C1133" s="629" t="s">
        <v>412</v>
      </c>
    </row>
    <row r="1134" spans="1:3">
      <c r="A1134" s="627">
        <v>3976</v>
      </c>
      <c r="B1134" s="628" t="s">
        <v>4631</v>
      </c>
      <c r="C1134" s="629" t="s">
        <v>412</v>
      </c>
    </row>
    <row r="1135" spans="1:3">
      <c r="A1135" s="627">
        <v>3977</v>
      </c>
      <c r="B1135" s="628" t="s">
        <v>4632</v>
      </c>
      <c r="C1135" s="629" t="s">
        <v>412</v>
      </c>
    </row>
    <row r="1136" spans="1:3">
      <c r="A1136" s="627">
        <v>3978</v>
      </c>
      <c r="B1136" s="628" t="s">
        <v>4114</v>
      </c>
      <c r="C1136" s="629" t="s">
        <v>412</v>
      </c>
    </row>
    <row r="1137" spans="1:3">
      <c r="A1137" s="627">
        <v>3980</v>
      </c>
      <c r="B1137" s="628" t="s">
        <v>4634</v>
      </c>
      <c r="C1137" s="629" t="s">
        <v>412</v>
      </c>
    </row>
    <row r="1138" spans="1:3">
      <c r="A1138" s="627">
        <v>3985</v>
      </c>
      <c r="B1138" s="628" t="s">
        <v>4115</v>
      </c>
      <c r="C1138" s="629" t="s">
        <v>412</v>
      </c>
    </row>
    <row r="1139" spans="1:3">
      <c r="A1139" s="627">
        <v>3985</v>
      </c>
      <c r="B1139" s="628" t="s">
        <v>4116</v>
      </c>
      <c r="C1139" s="629" t="s">
        <v>412</v>
      </c>
    </row>
    <row r="1140" spans="1:3">
      <c r="A1140" s="627">
        <v>3987</v>
      </c>
      <c r="B1140" s="628" t="s">
        <v>4636</v>
      </c>
      <c r="C1140" s="629" t="s">
        <v>412</v>
      </c>
    </row>
    <row r="1141" spans="1:3">
      <c r="A1141" s="627">
        <v>3988</v>
      </c>
      <c r="B1141" s="628" t="s">
        <v>4634</v>
      </c>
      <c r="C1141" s="629" t="s">
        <v>412</v>
      </c>
    </row>
    <row r="1142" spans="1:3">
      <c r="A1142" s="627">
        <v>3989</v>
      </c>
      <c r="B1142" s="628" t="s">
        <v>4118</v>
      </c>
      <c r="C1142" s="629" t="s">
        <v>412</v>
      </c>
    </row>
    <row r="1143" spans="1:3">
      <c r="A1143" s="627">
        <v>3989</v>
      </c>
      <c r="B1143" s="628" t="s">
        <v>4119</v>
      </c>
      <c r="C1143" s="629" t="s">
        <v>412</v>
      </c>
    </row>
    <row r="1144" spans="1:3">
      <c r="A1144" s="627">
        <v>3989</v>
      </c>
      <c r="B1144" s="628" t="s">
        <v>4120</v>
      </c>
      <c r="C1144" s="629" t="s">
        <v>412</v>
      </c>
    </row>
    <row r="1145" spans="1:3">
      <c r="A1145" s="627">
        <v>3991</v>
      </c>
      <c r="B1145" s="628" t="s">
        <v>4639</v>
      </c>
      <c r="C1145" s="629" t="s">
        <v>412</v>
      </c>
    </row>
    <row r="1146" spans="1:3">
      <c r="A1146" s="627">
        <v>3992</v>
      </c>
      <c r="B1146" s="628" t="s">
        <v>4121</v>
      </c>
      <c r="C1146" s="629" t="s">
        <v>412</v>
      </c>
    </row>
    <row r="1147" spans="1:3">
      <c r="A1147" s="627">
        <v>3992</v>
      </c>
      <c r="B1147" s="628" t="s">
        <v>4122</v>
      </c>
      <c r="C1147" s="629" t="s">
        <v>412</v>
      </c>
    </row>
    <row r="1148" spans="1:3">
      <c r="A1148" s="627">
        <v>3993</v>
      </c>
      <c r="B1148" s="628" t="s">
        <v>4641</v>
      </c>
      <c r="C1148" s="629" t="s">
        <v>412</v>
      </c>
    </row>
    <row r="1149" spans="1:3">
      <c r="A1149" s="627">
        <v>3994</v>
      </c>
      <c r="B1149" s="628" t="s">
        <v>4123</v>
      </c>
      <c r="C1149" s="629" t="s">
        <v>412</v>
      </c>
    </row>
    <row r="1150" spans="1:3">
      <c r="A1150" s="627">
        <v>3994</v>
      </c>
      <c r="B1150" s="628" t="s">
        <v>4124</v>
      </c>
      <c r="C1150" s="629" t="s">
        <v>412</v>
      </c>
    </row>
    <row r="1151" spans="1:3">
      <c r="A1151" s="627">
        <v>3994</v>
      </c>
      <c r="B1151" s="628" t="s">
        <v>4125</v>
      </c>
      <c r="C1151" s="629" t="s">
        <v>412</v>
      </c>
    </row>
    <row r="1152" spans="1:3">
      <c r="A1152" s="627">
        <v>3994</v>
      </c>
      <c r="B1152" s="628" t="s">
        <v>4126</v>
      </c>
      <c r="C1152" s="629" t="s">
        <v>412</v>
      </c>
    </row>
    <row r="1153" spans="1:3">
      <c r="A1153" s="627">
        <v>3994</v>
      </c>
      <c r="B1153" s="628" t="s">
        <v>4127</v>
      </c>
      <c r="C1153" s="629" t="s">
        <v>412</v>
      </c>
    </row>
    <row r="1154" spans="1:3">
      <c r="A1154" s="627">
        <v>3994</v>
      </c>
      <c r="B1154" s="628" t="s">
        <v>4128</v>
      </c>
      <c r="C1154" s="629" t="s">
        <v>412</v>
      </c>
    </row>
    <row r="1155" spans="1:3">
      <c r="A1155" s="627">
        <v>3995</v>
      </c>
      <c r="B1155" s="628" t="s">
        <v>4643</v>
      </c>
      <c r="C1155" s="629" t="s">
        <v>412</v>
      </c>
    </row>
    <row r="1156" spans="1:3">
      <c r="A1156" s="627">
        <v>3996</v>
      </c>
      <c r="B1156" s="628" t="s">
        <v>4644</v>
      </c>
      <c r="C1156" s="629" t="s">
        <v>412</v>
      </c>
    </row>
    <row r="1157" spans="1:3">
      <c r="A1157" s="627">
        <v>3997</v>
      </c>
      <c r="B1157" s="628" t="s">
        <v>4645</v>
      </c>
      <c r="C1157" s="629" t="s">
        <v>412</v>
      </c>
    </row>
    <row r="1158" spans="1:3">
      <c r="A1158" s="627">
        <v>3997</v>
      </c>
      <c r="B1158" s="628" t="s">
        <v>4646</v>
      </c>
      <c r="C1158" s="629" t="s">
        <v>412</v>
      </c>
    </row>
    <row r="1159" spans="1:3">
      <c r="A1159" s="627">
        <v>3999</v>
      </c>
      <c r="B1159" s="628" t="s">
        <v>4647</v>
      </c>
      <c r="C1159" s="629" t="s">
        <v>412</v>
      </c>
    </row>
    <row r="1160" spans="1:3">
      <c r="A1160" s="627">
        <v>4000</v>
      </c>
      <c r="B1160" s="628" t="s">
        <v>4648</v>
      </c>
      <c r="C1160" s="629" t="s">
        <v>434</v>
      </c>
    </row>
    <row r="1161" spans="1:3">
      <c r="A1161" s="627">
        <v>4002</v>
      </c>
      <c r="B1161" s="628" t="s">
        <v>4648</v>
      </c>
      <c r="C1161" s="629" t="s">
        <v>434</v>
      </c>
    </row>
    <row r="1162" spans="1:3">
      <c r="A1162" s="627">
        <v>4024</v>
      </c>
      <c r="B1162" s="628" t="s">
        <v>4648</v>
      </c>
      <c r="C1162" s="629" t="s">
        <v>434</v>
      </c>
    </row>
    <row r="1163" spans="1:3">
      <c r="A1163" s="627">
        <v>4025</v>
      </c>
      <c r="B1163" s="628" t="s">
        <v>4648</v>
      </c>
      <c r="C1163" s="629" t="s">
        <v>434</v>
      </c>
    </row>
    <row r="1164" spans="1:3">
      <c r="A1164" s="627">
        <v>4026</v>
      </c>
      <c r="B1164" s="628" t="s">
        <v>4648</v>
      </c>
      <c r="C1164" s="629" t="s">
        <v>434</v>
      </c>
    </row>
    <row r="1165" spans="1:3">
      <c r="A1165" s="627">
        <v>4027</v>
      </c>
      <c r="B1165" s="628" t="s">
        <v>4648</v>
      </c>
      <c r="C1165" s="629" t="s">
        <v>434</v>
      </c>
    </row>
    <row r="1166" spans="1:3">
      <c r="A1166" s="627">
        <v>4028</v>
      </c>
      <c r="B1166" s="628" t="s">
        <v>4648</v>
      </c>
      <c r="C1166" s="629" t="s">
        <v>434</v>
      </c>
    </row>
    <row r="1167" spans="1:3">
      <c r="A1167" s="627">
        <v>4029</v>
      </c>
      <c r="B1167" s="628" t="s">
        <v>4648</v>
      </c>
      <c r="C1167" s="629" t="s">
        <v>434</v>
      </c>
    </row>
    <row r="1168" spans="1:3">
      <c r="A1168" s="627">
        <v>4030</v>
      </c>
      <c r="B1168" s="628" t="s">
        <v>4648</v>
      </c>
      <c r="C1168" s="629" t="s">
        <v>434</v>
      </c>
    </row>
    <row r="1169" spans="1:3">
      <c r="A1169" s="627">
        <v>4031</v>
      </c>
      <c r="B1169" s="628" t="s">
        <v>4648</v>
      </c>
      <c r="C1169" s="629" t="s">
        <v>434</v>
      </c>
    </row>
    <row r="1170" spans="1:3">
      <c r="A1170" s="627">
        <v>4032</v>
      </c>
      <c r="B1170" s="628" t="s">
        <v>4648</v>
      </c>
      <c r="C1170" s="629" t="s">
        <v>434</v>
      </c>
    </row>
    <row r="1171" spans="1:3">
      <c r="A1171" s="627">
        <v>4033</v>
      </c>
      <c r="B1171" s="628" t="s">
        <v>4648</v>
      </c>
      <c r="C1171" s="629" t="s">
        <v>434</v>
      </c>
    </row>
    <row r="1172" spans="1:3">
      <c r="A1172" s="627">
        <v>4034</v>
      </c>
      <c r="B1172" s="628" t="s">
        <v>4648</v>
      </c>
      <c r="C1172" s="629" t="s">
        <v>434</v>
      </c>
    </row>
    <row r="1173" spans="1:3">
      <c r="A1173" s="627">
        <v>4060</v>
      </c>
      <c r="B1173" s="628" t="s">
        <v>4652</v>
      </c>
      <c r="C1173" s="629" t="s">
        <v>434</v>
      </c>
    </row>
    <row r="1174" spans="1:3">
      <c r="A1174" s="627">
        <v>4063</v>
      </c>
      <c r="B1174" s="628" t="s">
        <v>4648</v>
      </c>
      <c r="C1174" s="629" t="s">
        <v>434</v>
      </c>
    </row>
    <row r="1175" spans="1:3">
      <c r="A1175" s="627">
        <v>4064</v>
      </c>
      <c r="B1175" s="628" t="s">
        <v>4654</v>
      </c>
      <c r="C1175" s="629" t="s">
        <v>434</v>
      </c>
    </row>
    <row r="1176" spans="1:3">
      <c r="A1176" s="627">
        <v>4065</v>
      </c>
      <c r="B1176" s="628" t="s">
        <v>4655</v>
      </c>
      <c r="C1176" s="629" t="s">
        <v>434</v>
      </c>
    </row>
    <row r="1177" spans="1:3">
      <c r="A1177" s="627">
        <v>4066</v>
      </c>
      <c r="B1177" s="628" t="s">
        <v>4656</v>
      </c>
      <c r="C1177" s="629" t="s">
        <v>434</v>
      </c>
    </row>
    <row r="1178" spans="1:3">
      <c r="A1178" s="627">
        <v>4067</v>
      </c>
      <c r="B1178" s="628" t="s">
        <v>4658</v>
      </c>
      <c r="C1178" s="629" t="s">
        <v>434</v>
      </c>
    </row>
    <row r="1179" spans="1:3">
      <c r="A1179" s="627">
        <v>4069</v>
      </c>
      <c r="B1179" s="628" t="s">
        <v>4658</v>
      </c>
      <c r="C1179" s="629" t="s">
        <v>434</v>
      </c>
    </row>
    <row r="1180" spans="1:3">
      <c r="A1180" s="627">
        <v>4071</v>
      </c>
      <c r="B1180" s="628" t="s">
        <v>4659</v>
      </c>
      <c r="C1180" s="629" t="s">
        <v>434</v>
      </c>
    </row>
    <row r="1181" spans="1:3">
      <c r="A1181" s="627">
        <v>4074</v>
      </c>
      <c r="B1181" s="628" t="s">
        <v>4673</v>
      </c>
      <c r="C1181" s="629" t="s">
        <v>434</v>
      </c>
    </row>
    <row r="1182" spans="1:3">
      <c r="A1182" s="627">
        <v>4075</v>
      </c>
      <c r="B1182" s="628" t="s">
        <v>4668</v>
      </c>
      <c r="C1182" s="629" t="s">
        <v>434</v>
      </c>
    </row>
    <row r="1183" spans="1:3">
      <c r="A1183" s="627">
        <v>4078</v>
      </c>
      <c r="B1183" s="628" t="s">
        <v>4648</v>
      </c>
      <c r="C1183" s="629" t="s">
        <v>434</v>
      </c>
    </row>
    <row r="1184" spans="1:3">
      <c r="A1184" s="627">
        <v>4079</v>
      </c>
      <c r="B1184" s="628" t="s">
        <v>4648</v>
      </c>
      <c r="C1184" s="629" t="s">
        <v>434</v>
      </c>
    </row>
    <row r="1185" spans="1:3">
      <c r="A1185" s="627">
        <v>4080</v>
      </c>
      <c r="B1185" s="628" t="s">
        <v>4671</v>
      </c>
      <c r="C1185" s="629" t="s">
        <v>434</v>
      </c>
    </row>
    <row r="1186" spans="1:3">
      <c r="A1186" s="627">
        <v>4085</v>
      </c>
      <c r="B1186" s="630" t="s">
        <v>4671</v>
      </c>
      <c r="C1186" s="630" t="s">
        <v>434</v>
      </c>
    </row>
    <row r="1187" spans="1:3">
      <c r="A1187" s="627">
        <v>4086</v>
      </c>
      <c r="B1187" s="628" t="s">
        <v>4673</v>
      </c>
      <c r="C1187" s="629" t="s">
        <v>434</v>
      </c>
    </row>
    <row r="1188" spans="1:3">
      <c r="A1188" s="627">
        <v>4087</v>
      </c>
      <c r="B1188" s="628" t="s">
        <v>4674</v>
      </c>
      <c r="C1188" s="629" t="s">
        <v>434</v>
      </c>
    </row>
    <row r="1189" spans="1:3">
      <c r="A1189" s="627">
        <v>4090</v>
      </c>
      <c r="B1189" s="628" t="s">
        <v>4675</v>
      </c>
      <c r="C1189" s="629" t="s">
        <v>434</v>
      </c>
    </row>
    <row r="1190" spans="1:3">
      <c r="A1190" s="627">
        <v>4090</v>
      </c>
      <c r="B1190" s="628" t="s">
        <v>3321</v>
      </c>
      <c r="C1190" s="629" t="s">
        <v>434</v>
      </c>
    </row>
    <row r="1191" spans="1:3">
      <c r="A1191" s="627">
        <v>4096</v>
      </c>
      <c r="B1191" s="628" t="s">
        <v>4676</v>
      </c>
      <c r="C1191" s="629" t="s">
        <v>434</v>
      </c>
    </row>
    <row r="1192" spans="1:3">
      <c r="A1192" s="627">
        <v>4097</v>
      </c>
      <c r="B1192" s="628" t="s">
        <v>4677</v>
      </c>
      <c r="C1192" s="629" t="s">
        <v>434</v>
      </c>
    </row>
    <row r="1193" spans="1:3">
      <c r="A1193" s="627">
        <v>4100</v>
      </c>
      <c r="B1193" s="628" t="s">
        <v>4678</v>
      </c>
      <c r="C1193" s="629" t="s">
        <v>434</v>
      </c>
    </row>
    <row r="1194" spans="1:3">
      <c r="A1194" s="627">
        <v>4103</v>
      </c>
      <c r="B1194" s="628" t="s">
        <v>4678</v>
      </c>
      <c r="C1194" s="629" t="s">
        <v>434</v>
      </c>
    </row>
    <row r="1195" spans="1:3">
      <c r="A1195" s="627">
        <v>4110</v>
      </c>
      <c r="B1195" s="628" t="s">
        <v>2663</v>
      </c>
      <c r="C1195" s="629" t="s">
        <v>434</v>
      </c>
    </row>
    <row r="1196" spans="1:3">
      <c r="A1196" s="627">
        <v>4114</v>
      </c>
      <c r="B1196" s="628" t="s">
        <v>2664</v>
      </c>
      <c r="C1196" s="629" t="s">
        <v>434</v>
      </c>
    </row>
    <row r="1197" spans="1:3">
      <c r="A1197" s="627">
        <v>4115</v>
      </c>
      <c r="B1197" s="628" t="s">
        <v>2665</v>
      </c>
      <c r="C1197" s="629" t="s">
        <v>434</v>
      </c>
    </row>
    <row r="1198" spans="1:3">
      <c r="A1198" s="627">
        <v>4116</v>
      </c>
      <c r="B1198" s="628" t="s">
        <v>2666</v>
      </c>
      <c r="C1198" s="629" t="s">
        <v>434</v>
      </c>
    </row>
    <row r="1199" spans="1:3">
      <c r="A1199" s="627">
        <v>4117</v>
      </c>
      <c r="B1199" s="628" t="s">
        <v>2667</v>
      </c>
      <c r="C1199" s="629" t="s">
        <v>434</v>
      </c>
    </row>
    <row r="1200" spans="1:3">
      <c r="A1200" s="627">
        <v>4118</v>
      </c>
      <c r="B1200" s="628" t="s">
        <v>2668</v>
      </c>
      <c r="C1200" s="629" t="s">
        <v>434</v>
      </c>
    </row>
    <row r="1201" spans="1:3">
      <c r="A1201" s="627">
        <v>4119</v>
      </c>
      <c r="B1201" s="628" t="s">
        <v>2669</v>
      </c>
      <c r="C1201" s="629" t="s">
        <v>434</v>
      </c>
    </row>
    <row r="1202" spans="1:3">
      <c r="A1202" s="627">
        <v>4121</v>
      </c>
      <c r="B1202" s="628" t="s">
        <v>2670</v>
      </c>
      <c r="C1202" s="629" t="s">
        <v>434</v>
      </c>
    </row>
    <row r="1203" spans="1:3">
      <c r="A1203" s="627">
        <v>4122</v>
      </c>
      <c r="B1203" s="628" t="s">
        <v>2671</v>
      </c>
      <c r="C1203" s="629" t="s">
        <v>434</v>
      </c>
    </row>
    <row r="1204" spans="1:3">
      <c r="A1204" s="627">
        <v>4123</v>
      </c>
      <c r="B1204" s="628" t="s">
        <v>2672</v>
      </c>
      <c r="C1204" s="629" t="s">
        <v>434</v>
      </c>
    </row>
    <row r="1205" spans="1:3">
      <c r="A1205" s="627">
        <v>4124</v>
      </c>
      <c r="B1205" s="628" t="s">
        <v>2673</v>
      </c>
      <c r="C1205" s="629" t="s">
        <v>434</v>
      </c>
    </row>
    <row r="1206" spans="1:3">
      <c r="A1206" s="627">
        <v>4125</v>
      </c>
      <c r="B1206" s="628" t="s">
        <v>2674</v>
      </c>
      <c r="C1206" s="629" t="s">
        <v>434</v>
      </c>
    </row>
    <row r="1207" spans="1:3">
      <c r="A1207" s="627">
        <v>4126</v>
      </c>
      <c r="B1207" s="628" t="s">
        <v>2675</v>
      </c>
      <c r="C1207" s="629" t="s">
        <v>434</v>
      </c>
    </row>
    <row r="1208" spans="1:3">
      <c r="A1208" s="627">
        <v>4127</v>
      </c>
      <c r="B1208" s="628" t="s">
        <v>2676</v>
      </c>
      <c r="C1208" s="629" t="s">
        <v>434</v>
      </c>
    </row>
    <row r="1209" spans="1:3">
      <c r="A1209" s="627">
        <v>4128</v>
      </c>
      <c r="B1209" s="628" t="s">
        <v>2677</v>
      </c>
      <c r="C1209" s="629" t="s">
        <v>434</v>
      </c>
    </row>
    <row r="1210" spans="1:3">
      <c r="A1210" s="627">
        <v>4130</v>
      </c>
      <c r="B1210" s="628" t="s">
        <v>2678</v>
      </c>
      <c r="C1210" s="629" t="s">
        <v>434</v>
      </c>
    </row>
    <row r="1211" spans="1:3">
      <c r="A1211" s="627">
        <v>4132</v>
      </c>
      <c r="B1211" s="628" t="s">
        <v>2679</v>
      </c>
      <c r="C1211" s="629" t="s">
        <v>434</v>
      </c>
    </row>
    <row r="1212" spans="1:3">
      <c r="A1212" s="627">
        <v>4133</v>
      </c>
      <c r="B1212" s="628" t="s">
        <v>2680</v>
      </c>
      <c r="C1212" s="629" t="s">
        <v>434</v>
      </c>
    </row>
    <row r="1213" spans="1:3">
      <c r="A1213" s="627">
        <v>4134</v>
      </c>
      <c r="B1213" s="628" t="s">
        <v>2681</v>
      </c>
      <c r="C1213" s="629" t="s">
        <v>434</v>
      </c>
    </row>
    <row r="1214" spans="1:3">
      <c r="A1214" s="627">
        <v>4135</v>
      </c>
      <c r="B1214" s="628" t="s">
        <v>3433</v>
      </c>
      <c r="C1214" s="629" t="s">
        <v>434</v>
      </c>
    </row>
    <row r="1215" spans="1:3">
      <c r="A1215" s="627">
        <v>4136</v>
      </c>
      <c r="B1215" s="628" t="s">
        <v>3434</v>
      </c>
      <c r="C1215" s="629" t="s">
        <v>434</v>
      </c>
    </row>
    <row r="1216" spans="1:3">
      <c r="A1216" s="627">
        <v>4137</v>
      </c>
      <c r="B1216" s="628" t="s">
        <v>3435</v>
      </c>
      <c r="C1216" s="629" t="s">
        <v>434</v>
      </c>
    </row>
    <row r="1217" spans="1:3">
      <c r="A1217" s="627">
        <v>4138</v>
      </c>
      <c r="B1217" s="628" t="s">
        <v>3436</v>
      </c>
      <c r="C1217" s="629" t="s">
        <v>434</v>
      </c>
    </row>
    <row r="1218" spans="1:3">
      <c r="A1218" s="627">
        <v>4141</v>
      </c>
      <c r="B1218" s="628" t="s">
        <v>3437</v>
      </c>
      <c r="C1218" s="629" t="s">
        <v>434</v>
      </c>
    </row>
    <row r="1219" spans="1:3">
      <c r="A1219" s="627">
        <v>4142</v>
      </c>
      <c r="B1219" s="628" t="s">
        <v>3438</v>
      </c>
      <c r="C1219" s="629" t="s">
        <v>434</v>
      </c>
    </row>
    <row r="1220" spans="1:3">
      <c r="A1220" s="627">
        <v>4143</v>
      </c>
      <c r="B1220" s="628" t="s">
        <v>3439</v>
      </c>
      <c r="C1220" s="629" t="s">
        <v>434</v>
      </c>
    </row>
    <row r="1221" spans="1:3">
      <c r="A1221" s="627">
        <v>4144</v>
      </c>
      <c r="B1221" s="628" t="s">
        <v>3440</v>
      </c>
      <c r="C1221" s="629" t="s">
        <v>434</v>
      </c>
    </row>
    <row r="1222" spans="1:3">
      <c r="A1222" s="627">
        <v>4145</v>
      </c>
      <c r="B1222" s="628" t="s">
        <v>3441</v>
      </c>
      <c r="C1222" s="629" t="s">
        <v>434</v>
      </c>
    </row>
    <row r="1223" spans="1:3">
      <c r="A1223" s="627">
        <v>4146</v>
      </c>
      <c r="B1223" s="628" t="s">
        <v>3442</v>
      </c>
      <c r="C1223" s="629" t="s">
        <v>434</v>
      </c>
    </row>
    <row r="1224" spans="1:3">
      <c r="A1224" s="627">
        <v>4150</v>
      </c>
      <c r="B1224" s="628" t="s">
        <v>3443</v>
      </c>
      <c r="C1224" s="629" t="s">
        <v>434</v>
      </c>
    </row>
    <row r="1225" spans="1:3">
      <c r="A1225" s="627">
        <v>4161</v>
      </c>
      <c r="B1225" s="628" t="s">
        <v>3444</v>
      </c>
      <c r="C1225" s="629" t="s">
        <v>434</v>
      </c>
    </row>
    <row r="1226" spans="1:3">
      <c r="A1226" s="627">
        <v>4162</v>
      </c>
      <c r="B1226" s="628" t="s">
        <v>3446</v>
      </c>
      <c r="C1226" s="629" t="s">
        <v>434</v>
      </c>
    </row>
    <row r="1227" spans="1:3">
      <c r="A1227" s="627">
        <v>4163</v>
      </c>
      <c r="B1227" s="628" t="s">
        <v>3446</v>
      </c>
      <c r="C1227" s="629" t="s">
        <v>434</v>
      </c>
    </row>
    <row r="1228" spans="1:3">
      <c r="A1228" s="627">
        <v>4164</v>
      </c>
      <c r="B1228" s="628" t="s">
        <v>3447</v>
      </c>
      <c r="C1228" s="629" t="s">
        <v>434</v>
      </c>
    </row>
    <row r="1229" spans="1:3">
      <c r="A1229" s="627">
        <v>4171</v>
      </c>
      <c r="B1229" s="628" t="s">
        <v>3448</v>
      </c>
      <c r="C1229" s="629" t="s">
        <v>434</v>
      </c>
    </row>
    <row r="1230" spans="1:3">
      <c r="A1230" s="627">
        <v>4172</v>
      </c>
      <c r="B1230" s="628" t="s">
        <v>1834</v>
      </c>
      <c r="C1230" s="629" t="s">
        <v>434</v>
      </c>
    </row>
    <row r="1231" spans="1:3">
      <c r="A1231" s="627">
        <v>4173</v>
      </c>
      <c r="B1231" s="628" t="s">
        <v>1835</v>
      </c>
      <c r="C1231" s="629" t="s">
        <v>434</v>
      </c>
    </row>
    <row r="1232" spans="1:3">
      <c r="A1232" s="627">
        <v>4174</v>
      </c>
      <c r="B1232" s="628" t="s">
        <v>1836</v>
      </c>
      <c r="C1232" s="629" t="s">
        <v>434</v>
      </c>
    </row>
    <row r="1233" spans="1:3">
      <c r="A1233" s="627">
        <v>4175</v>
      </c>
      <c r="B1233" s="628" t="s">
        <v>1837</v>
      </c>
      <c r="C1233" s="629" t="s">
        <v>434</v>
      </c>
    </row>
    <row r="1234" spans="1:3">
      <c r="A1234" s="627">
        <v>4176</v>
      </c>
      <c r="B1234" s="628" t="s">
        <v>1838</v>
      </c>
      <c r="C1234" s="629" t="s">
        <v>434</v>
      </c>
    </row>
    <row r="1235" spans="1:3">
      <c r="A1235" s="627">
        <v>4177</v>
      </c>
      <c r="B1235" s="628" t="s">
        <v>1839</v>
      </c>
      <c r="C1235" s="629" t="s">
        <v>434</v>
      </c>
    </row>
    <row r="1236" spans="1:3">
      <c r="A1236" s="627">
        <v>4181</v>
      </c>
      <c r="B1236" s="628" t="s">
        <v>1840</v>
      </c>
      <c r="C1236" s="629" t="s">
        <v>434</v>
      </c>
    </row>
    <row r="1237" spans="1:3">
      <c r="A1237" s="627">
        <v>4183</v>
      </c>
      <c r="B1237" s="628" t="s">
        <v>1841</v>
      </c>
      <c r="C1237" s="629" t="s">
        <v>434</v>
      </c>
    </row>
    <row r="1238" spans="1:3">
      <c r="A1238" s="627">
        <v>4184</v>
      </c>
      <c r="B1238" s="628" t="s">
        <v>1842</v>
      </c>
      <c r="C1238" s="629" t="s">
        <v>434</v>
      </c>
    </row>
    <row r="1239" spans="1:3">
      <c r="A1239" s="627">
        <v>4200</v>
      </c>
      <c r="B1239" s="628" t="s">
        <v>1843</v>
      </c>
      <c r="C1239" s="629" t="s">
        <v>434</v>
      </c>
    </row>
    <row r="1240" spans="1:3">
      <c r="A1240" s="627">
        <v>4211</v>
      </c>
      <c r="B1240" s="628" t="s">
        <v>1844</v>
      </c>
      <c r="C1240" s="629" t="s">
        <v>434</v>
      </c>
    </row>
    <row r="1241" spans="1:3">
      <c r="A1241" s="627">
        <v>4212</v>
      </c>
      <c r="B1241" s="628" t="s">
        <v>1845</v>
      </c>
      <c r="C1241" s="629" t="s">
        <v>434</v>
      </c>
    </row>
    <row r="1242" spans="1:3">
      <c r="A1242" s="627">
        <v>4220</v>
      </c>
      <c r="B1242" s="628" t="s">
        <v>4673</v>
      </c>
      <c r="C1242" s="629" t="s">
        <v>434</v>
      </c>
    </row>
    <row r="1243" spans="1:3">
      <c r="A1243" s="627">
        <v>4224</v>
      </c>
      <c r="B1243" s="628" t="s">
        <v>4673</v>
      </c>
      <c r="C1243" s="629" t="s">
        <v>434</v>
      </c>
    </row>
    <row r="1244" spans="1:3">
      <c r="A1244" s="627">
        <v>4225</v>
      </c>
      <c r="B1244" s="628" t="s">
        <v>4648</v>
      </c>
      <c r="C1244" s="629" t="s">
        <v>434</v>
      </c>
    </row>
    <row r="1245" spans="1:3">
      <c r="A1245" s="627">
        <v>4231</v>
      </c>
      <c r="B1245" s="628" t="s">
        <v>1848</v>
      </c>
      <c r="C1245" s="629" t="s">
        <v>428</v>
      </c>
    </row>
    <row r="1246" spans="1:3">
      <c r="A1246" s="627">
        <v>4232</v>
      </c>
      <c r="B1246" s="628" t="s">
        <v>1849</v>
      </c>
      <c r="C1246" s="629" t="s">
        <v>428</v>
      </c>
    </row>
    <row r="1247" spans="1:3">
      <c r="A1247" s="627">
        <v>4233</v>
      </c>
      <c r="B1247" s="628" t="s">
        <v>1850</v>
      </c>
      <c r="C1247" s="629" t="s">
        <v>428</v>
      </c>
    </row>
    <row r="1248" spans="1:3">
      <c r="A1248" s="627">
        <v>4234</v>
      </c>
      <c r="B1248" s="628" t="s">
        <v>1851</v>
      </c>
      <c r="C1248" s="629" t="s">
        <v>428</v>
      </c>
    </row>
    <row r="1249" spans="1:3">
      <c r="A1249" s="627">
        <v>4235</v>
      </c>
      <c r="B1249" s="628" t="s">
        <v>1852</v>
      </c>
      <c r="C1249" s="629" t="s">
        <v>428</v>
      </c>
    </row>
    <row r="1250" spans="1:3">
      <c r="A1250" s="627">
        <v>4241</v>
      </c>
      <c r="B1250" s="628" t="s">
        <v>1853</v>
      </c>
      <c r="C1250" s="629" t="s">
        <v>434</v>
      </c>
    </row>
    <row r="1251" spans="1:3">
      <c r="A1251" s="627">
        <v>4242</v>
      </c>
      <c r="B1251" s="628" t="s">
        <v>1854</v>
      </c>
      <c r="C1251" s="629" t="s">
        <v>434</v>
      </c>
    </row>
    <row r="1252" spans="1:3">
      <c r="A1252" s="627">
        <v>4243</v>
      </c>
      <c r="B1252" s="628" t="s">
        <v>1855</v>
      </c>
      <c r="C1252" s="629" t="s">
        <v>434</v>
      </c>
    </row>
    <row r="1253" spans="1:3">
      <c r="A1253" s="627">
        <v>4244</v>
      </c>
      <c r="B1253" s="628" t="s">
        <v>1856</v>
      </c>
      <c r="C1253" s="629" t="s">
        <v>428</v>
      </c>
    </row>
    <row r="1254" spans="1:3">
      <c r="A1254" s="627">
        <v>4245</v>
      </c>
      <c r="B1254" s="628" t="s">
        <v>2533</v>
      </c>
      <c r="C1254" s="629" t="s">
        <v>428</v>
      </c>
    </row>
    <row r="1255" spans="1:3">
      <c r="A1255" s="627">
        <v>4246</v>
      </c>
      <c r="B1255" s="628" t="s">
        <v>2589</v>
      </c>
      <c r="C1255" s="629" t="s">
        <v>428</v>
      </c>
    </row>
    <row r="1256" spans="1:3">
      <c r="A1256" s="627">
        <v>4251</v>
      </c>
      <c r="B1256" s="628" t="s">
        <v>2535</v>
      </c>
      <c r="C1256" s="629" t="s">
        <v>434</v>
      </c>
    </row>
    <row r="1257" spans="1:3">
      <c r="A1257" s="627">
        <v>4252</v>
      </c>
      <c r="B1257" s="628" t="s">
        <v>2538</v>
      </c>
      <c r="C1257" s="629" t="s">
        <v>434</v>
      </c>
    </row>
    <row r="1258" spans="1:3">
      <c r="A1258" s="627">
        <v>4253</v>
      </c>
      <c r="B1258" s="628" t="s">
        <v>2538</v>
      </c>
      <c r="C1258" s="629" t="s">
        <v>434</v>
      </c>
    </row>
    <row r="1259" spans="1:3">
      <c r="A1259" s="627">
        <v>4254</v>
      </c>
      <c r="B1259" s="628" t="s">
        <v>2538</v>
      </c>
      <c r="C1259" s="629" t="s">
        <v>434</v>
      </c>
    </row>
    <row r="1260" spans="1:3">
      <c r="A1260" s="627">
        <v>4262</v>
      </c>
      <c r="B1260" s="628" t="s">
        <v>2539</v>
      </c>
      <c r="C1260" s="629" t="s">
        <v>434</v>
      </c>
    </row>
    <row r="1261" spans="1:3">
      <c r="A1261" s="627">
        <v>4263</v>
      </c>
      <c r="B1261" s="628" t="s">
        <v>2540</v>
      </c>
      <c r="C1261" s="629" t="s">
        <v>434</v>
      </c>
    </row>
    <row r="1262" spans="1:3">
      <c r="A1262" s="627">
        <v>4264</v>
      </c>
      <c r="B1262" s="628" t="s">
        <v>2541</v>
      </c>
      <c r="C1262" s="629" t="s">
        <v>434</v>
      </c>
    </row>
    <row r="1263" spans="1:3">
      <c r="A1263" s="627">
        <v>4266</v>
      </c>
      <c r="B1263" s="628" t="s">
        <v>2542</v>
      </c>
      <c r="C1263" s="629" t="s">
        <v>434</v>
      </c>
    </row>
    <row r="1264" spans="1:3">
      <c r="A1264" s="627">
        <v>4267</v>
      </c>
      <c r="B1264" s="628" t="s">
        <v>2543</v>
      </c>
      <c r="C1264" s="629" t="s">
        <v>428</v>
      </c>
    </row>
    <row r="1265" spans="1:3">
      <c r="A1265" s="627">
        <v>4271</v>
      </c>
      <c r="B1265" s="628" t="s">
        <v>2544</v>
      </c>
      <c r="C1265" s="629" t="s">
        <v>434</v>
      </c>
    </row>
    <row r="1266" spans="1:3">
      <c r="A1266" s="627">
        <v>4272</v>
      </c>
      <c r="B1266" s="628" t="s">
        <v>2545</v>
      </c>
      <c r="C1266" s="629" t="s">
        <v>434</v>
      </c>
    </row>
    <row r="1267" spans="1:3">
      <c r="A1267" s="627">
        <v>4273</v>
      </c>
      <c r="B1267" s="628" t="s">
        <v>2546</v>
      </c>
      <c r="C1267" s="629" t="s">
        <v>434</v>
      </c>
    </row>
    <row r="1268" spans="1:3">
      <c r="A1268" s="627">
        <v>4274</v>
      </c>
      <c r="B1268" s="628" t="s">
        <v>2547</v>
      </c>
      <c r="C1268" s="629" t="s">
        <v>434</v>
      </c>
    </row>
    <row r="1269" spans="1:3">
      <c r="A1269" s="627">
        <v>4275</v>
      </c>
      <c r="B1269" s="628" t="s">
        <v>2548</v>
      </c>
      <c r="C1269" s="629" t="s">
        <v>434</v>
      </c>
    </row>
    <row r="1270" spans="1:3">
      <c r="A1270" s="627">
        <v>4281</v>
      </c>
      <c r="B1270" s="628" t="s">
        <v>2550</v>
      </c>
      <c r="C1270" s="629" t="s">
        <v>434</v>
      </c>
    </row>
    <row r="1271" spans="1:3">
      <c r="A1271" s="627">
        <v>4283</v>
      </c>
      <c r="B1271" s="628" t="s">
        <v>2550</v>
      </c>
      <c r="C1271" s="629" t="s">
        <v>434</v>
      </c>
    </row>
    <row r="1272" spans="1:3">
      <c r="A1272" s="627">
        <v>4284</v>
      </c>
      <c r="B1272" s="628" t="s">
        <v>2551</v>
      </c>
      <c r="C1272" s="629" t="s">
        <v>434</v>
      </c>
    </row>
    <row r="1273" spans="1:3">
      <c r="A1273" s="627">
        <v>4285</v>
      </c>
      <c r="B1273" s="628" t="s">
        <v>2552</v>
      </c>
      <c r="C1273" s="629" t="s">
        <v>434</v>
      </c>
    </row>
    <row r="1274" spans="1:3">
      <c r="A1274" s="627">
        <v>4286</v>
      </c>
      <c r="B1274" s="628" t="s">
        <v>2553</v>
      </c>
      <c r="C1274" s="629" t="s">
        <v>434</v>
      </c>
    </row>
    <row r="1275" spans="1:3">
      <c r="A1275" s="627">
        <v>4287</v>
      </c>
      <c r="B1275" s="628" t="s">
        <v>2554</v>
      </c>
      <c r="C1275" s="629" t="s">
        <v>434</v>
      </c>
    </row>
    <row r="1276" spans="1:3">
      <c r="A1276" s="627">
        <v>4288</v>
      </c>
      <c r="B1276" s="628" t="s">
        <v>2555</v>
      </c>
      <c r="C1276" s="629" t="s">
        <v>434</v>
      </c>
    </row>
    <row r="1277" spans="1:3">
      <c r="A1277" s="627">
        <v>4300</v>
      </c>
      <c r="B1277" s="628" t="s">
        <v>2556</v>
      </c>
      <c r="C1277" s="629" t="s">
        <v>428</v>
      </c>
    </row>
    <row r="1278" spans="1:3">
      <c r="A1278" s="627">
        <v>4311</v>
      </c>
      <c r="B1278" s="628" t="s">
        <v>2557</v>
      </c>
      <c r="C1278" s="629" t="s">
        <v>428</v>
      </c>
    </row>
    <row r="1279" spans="1:3">
      <c r="A1279" s="627">
        <v>4320</v>
      </c>
      <c r="B1279" s="628" t="s">
        <v>2558</v>
      </c>
      <c r="C1279" s="629" t="s">
        <v>428</v>
      </c>
    </row>
    <row r="1280" spans="1:3">
      <c r="A1280" s="627">
        <v>4324</v>
      </c>
      <c r="B1280" s="628" t="s">
        <v>2559</v>
      </c>
      <c r="C1280" s="629" t="s">
        <v>428</v>
      </c>
    </row>
    <row r="1281" spans="1:3">
      <c r="A1281" s="627">
        <v>4325</v>
      </c>
      <c r="B1281" s="628" t="s">
        <v>2560</v>
      </c>
      <c r="C1281" s="629" t="s">
        <v>428</v>
      </c>
    </row>
    <row r="1282" spans="1:3">
      <c r="A1282" s="627">
        <v>4326</v>
      </c>
      <c r="B1282" s="628" t="s">
        <v>2561</v>
      </c>
      <c r="C1282" s="629" t="s">
        <v>428</v>
      </c>
    </row>
    <row r="1283" spans="1:3">
      <c r="A1283" s="627">
        <v>4327</v>
      </c>
      <c r="B1283" s="628" t="s">
        <v>2562</v>
      </c>
      <c r="C1283" s="629" t="s">
        <v>428</v>
      </c>
    </row>
    <row r="1284" spans="1:3">
      <c r="A1284" s="627">
        <v>4331</v>
      </c>
      <c r="B1284" s="628" t="s">
        <v>2563</v>
      </c>
      <c r="C1284" s="629" t="s">
        <v>428</v>
      </c>
    </row>
    <row r="1285" spans="1:3">
      <c r="A1285" s="627">
        <v>4332</v>
      </c>
      <c r="B1285" s="628" t="s">
        <v>2564</v>
      </c>
      <c r="C1285" s="629" t="s">
        <v>428</v>
      </c>
    </row>
    <row r="1286" spans="1:3">
      <c r="A1286" s="627">
        <v>4333</v>
      </c>
      <c r="B1286" s="628" t="s">
        <v>2565</v>
      </c>
      <c r="C1286" s="629" t="s">
        <v>428</v>
      </c>
    </row>
    <row r="1287" spans="1:3">
      <c r="A1287" s="627">
        <v>4334</v>
      </c>
      <c r="B1287" s="628" t="s">
        <v>2566</v>
      </c>
      <c r="C1287" s="629" t="s">
        <v>428</v>
      </c>
    </row>
    <row r="1288" spans="1:3">
      <c r="A1288" s="627">
        <v>4335</v>
      </c>
      <c r="B1288" s="628" t="s">
        <v>2567</v>
      </c>
      <c r="C1288" s="629" t="s">
        <v>428</v>
      </c>
    </row>
    <row r="1289" spans="1:3">
      <c r="A1289" s="627">
        <v>4336</v>
      </c>
      <c r="B1289" s="628" t="s">
        <v>2568</v>
      </c>
      <c r="C1289" s="629" t="s">
        <v>428</v>
      </c>
    </row>
    <row r="1290" spans="1:3">
      <c r="A1290" s="627">
        <v>4337</v>
      </c>
      <c r="B1290" s="628" t="s">
        <v>2569</v>
      </c>
      <c r="C1290" s="629" t="s">
        <v>428</v>
      </c>
    </row>
    <row r="1291" spans="1:3">
      <c r="A1291" s="627">
        <v>4338</v>
      </c>
      <c r="B1291" s="628" t="s">
        <v>2570</v>
      </c>
      <c r="C1291" s="629" t="s">
        <v>428</v>
      </c>
    </row>
    <row r="1292" spans="1:3">
      <c r="A1292" s="627">
        <v>4341</v>
      </c>
      <c r="B1292" s="628" t="s">
        <v>2571</v>
      </c>
      <c r="C1292" s="629" t="s">
        <v>428</v>
      </c>
    </row>
    <row r="1293" spans="1:3">
      <c r="A1293" s="627">
        <v>4342</v>
      </c>
      <c r="B1293" s="628" t="s">
        <v>2572</v>
      </c>
      <c r="C1293" s="629" t="s">
        <v>428</v>
      </c>
    </row>
    <row r="1294" spans="1:3">
      <c r="A1294" s="627">
        <v>4343</v>
      </c>
      <c r="B1294" s="628" t="s">
        <v>2573</v>
      </c>
      <c r="C1294" s="629" t="s">
        <v>428</v>
      </c>
    </row>
    <row r="1295" spans="1:3">
      <c r="A1295" s="627">
        <v>4351</v>
      </c>
      <c r="B1295" s="628" t="s">
        <v>2574</v>
      </c>
      <c r="C1295" s="629" t="s">
        <v>428</v>
      </c>
    </row>
    <row r="1296" spans="1:3">
      <c r="A1296" s="627">
        <v>4352</v>
      </c>
      <c r="B1296" s="628" t="s">
        <v>2575</v>
      </c>
      <c r="C1296" s="629" t="s">
        <v>428</v>
      </c>
    </row>
    <row r="1297" spans="1:3">
      <c r="A1297" s="627">
        <v>4353</v>
      </c>
      <c r="B1297" s="628" t="s">
        <v>2576</v>
      </c>
      <c r="C1297" s="629" t="s">
        <v>428</v>
      </c>
    </row>
    <row r="1298" spans="1:3">
      <c r="A1298" s="627">
        <v>4354</v>
      </c>
      <c r="B1298" s="628" t="s">
        <v>2577</v>
      </c>
      <c r="C1298" s="629" t="s">
        <v>428</v>
      </c>
    </row>
    <row r="1299" spans="1:3">
      <c r="A1299" s="627">
        <v>4355</v>
      </c>
      <c r="B1299" s="628" t="s">
        <v>2578</v>
      </c>
      <c r="C1299" s="629" t="s">
        <v>428</v>
      </c>
    </row>
    <row r="1300" spans="1:3">
      <c r="A1300" s="627">
        <v>4356</v>
      </c>
      <c r="B1300" s="628" t="s">
        <v>2579</v>
      </c>
      <c r="C1300" s="629" t="s">
        <v>428</v>
      </c>
    </row>
    <row r="1301" spans="1:3">
      <c r="A1301" s="627">
        <v>4361</v>
      </c>
      <c r="B1301" s="628" t="s">
        <v>2580</v>
      </c>
      <c r="C1301" s="629" t="s">
        <v>428</v>
      </c>
    </row>
    <row r="1302" spans="1:3">
      <c r="A1302" s="627">
        <v>4362</v>
      </c>
      <c r="B1302" s="628" t="s">
        <v>2581</v>
      </c>
      <c r="C1302" s="629" t="s">
        <v>428</v>
      </c>
    </row>
    <row r="1303" spans="1:3">
      <c r="A1303" s="627">
        <v>4363</v>
      </c>
      <c r="B1303" s="628" t="s">
        <v>2582</v>
      </c>
      <c r="C1303" s="629" t="s">
        <v>428</v>
      </c>
    </row>
    <row r="1304" spans="1:3">
      <c r="A1304" s="627">
        <v>4371</v>
      </c>
      <c r="B1304" s="628" t="s">
        <v>2583</v>
      </c>
      <c r="C1304" s="629" t="s">
        <v>428</v>
      </c>
    </row>
    <row r="1305" spans="1:3">
      <c r="A1305" s="627">
        <v>4372</v>
      </c>
      <c r="B1305" s="628" t="s">
        <v>2584</v>
      </c>
      <c r="C1305" s="629" t="s">
        <v>428</v>
      </c>
    </row>
    <row r="1306" spans="1:3">
      <c r="A1306" s="627">
        <v>4373</v>
      </c>
      <c r="B1306" s="628" t="s">
        <v>2585</v>
      </c>
      <c r="C1306" s="629" t="s">
        <v>428</v>
      </c>
    </row>
    <row r="1307" spans="1:3">
      <c r="A1307" s="627">
        <v>4374</v>
      </c>
      <c r="B1307" s="628" t="s">
        <v>2586</v>
      </c>
      <c r="C1307" s="629" t="s">
        <v>428</v>
      </c>
    </row>
    <row r="1308" spans="1:3">
      <c r="A1308" s="627">
        <v>4375</v>
      </c>
      <c r="B1308" s="628" t="s">
        <v>2587</v>
      </c>
      <c r="C1308" s="629" t="s">
        <v>428</v>
      </c>
    </row>
    <row r="1309" spans="1:3">
      <c r="A1309" s="627">
        <v>4376</v>
      </c>
      <c r="B1309" s="628" t="s">
        <v>2588</v>
      </c>
      <c r="C1309" s="629" t="s">
        <v>428</v>
      </c>
    </row>
    <row r="1310" spans="1:3">
      <c r="A1310" s="627">
        <v>4400</v>
      </c>
      <c r="B1310" s="628" t="s">
        <v>2589</v>
      </c>
      <c r="C1310" s="629" t="s">
        <v>428</v>
      </c>
    </row>
    <row r="1311" spans="1:3">
      <c r="A1311" s="627">
        <v>4405</v>
      </c>
      <c r="B1311" s="628" t="s">
        <v>2589</v>
      </c>
      <c r="C1311" s="629" t="s">
        <v>428</v>
      </c>
    </row>
    <row r="1312" spans="1:3">
      <c r="A1312" s="627">
        <v>4412</v>
      </c>
      <c r="B1312" s="630" t="s">
        <v>2589</v>
      </c>
      <c r="C1312" s="629" t="s">
        <v>428</v>
      </c>
    </row>
    <row r="1313" spans="1:3">
      <c r="A1313" s="61">
        <v>4413</v>
      </c>
      <c r="B1313" s="638" t="s">
        <v>984</v>
      </c>
      <c r="C1313" s="629" t="s">
        <v>428</v>
      </c>
    </row>
    <row r="1314" spans="1:3">
      <c r="A1314" s="627">
        <v>4431</v>
      </c>
      <c r="B1314" s="628" t="s">
        <v>2589</v>
      </c>
      <c r="C1314" s="629" t="s">
        <v>428</v>
      </c>
    </row>
    <row r="1315" spans="1:3">
      <c r="A1315" s="627">
        <v>4432</v>
      </c>
      <c r="B1315" s="628" t="s">
        <v>2589</v>
      </c>
      <c r="C1315" s="629" t="s">
        <v>428</v>
      </c>
    </row>
    <row r="1316" spans="1:3">
      <c r="A1316" s="627">
        <v>4433</v>
      </c>
      <c r="B1316" s="628" t="s">
        <v>2589</v>
      </c>
      <c r="C1316" s="629" t="s">
        <v>428</v>
      </c>
    </row>
    <row r="1317" spans="1:3">
      <c r="A1317" s="627">
        <v>4434</v>
      </c>
      <c r="B1317" s="628" t="s">
        <v>2593</v>
      </c>
      <c r="C1317" s="629" t="s">
        <v>428</v>
      </c>
    </row>
    <row r="1318" spans="1:3">
      <c r="A1318" s="61">
        <v>4435</v>
      </c>
      <c r="B1318" s="637" t="s">
        <v>2589</v>
      </c>
      <c r="C1318" s="629" t="s">
        <v>428</v>
      </c>
    </row>
    <row r="1319" spans="1:3">
      <c r="A1319" s="627">
        <v>4440</v>
      </c>
      <c r="B1319" s="628" t="s">
        <v>2594</v>
      </c>
      <c r="C1319" s="629" t="s">
        <v>428</v>
      </c>
    </row>
    <row r="1320" spans="1:3">
      <c r="A1320" s="627">
        <v>4441</v>
      </c>
      <c r="B1320" s="628" t="s">
        <v>2595</v>
      </c>
      <c r="C1320" s="629" t="s">
        <v>428</v>
      </c>
    </row>
    <row r="1321" spans="1:3">
      <c r="A1321" s="627">
        <v>4445</v>
      </c>
      <c r="B1321" s="628" t="s">
        <v>2596</v>
      </c>
      <c r="C1321" s="629" t="s">
        <v>428</v>
      </c>
    </row>
    <row r="1322" spans="1:3">
      <c r="A1322" s="627">
        <v>4446</v>
      </c>
      <c r="B1322" s="628" t="s">
        <v>4232</v>
      </c>
      <c r="C1322" s="629" t="s">
        <v>428</v>
      </c>
    </row>
    <row r="1323" spans="1:3">
      <c r="A1323" s="627">
        <v>4447</v>
      </c>
      <c r="B1323" s="628" t="s">
        <v>2599</v>
      </c>
      <c r="C1323" s="629" t="s">
        <v>428</v>
      </c>
    </row>
    <row r="1324" spans="1:3">
      <c r="A1324" s="627">
        <v>4450</v>
      </c>
      <c r="B1324" s="628" t="s">
        <v>2599</v>
      </c>
      <c r="C1324" s="629" t="s">
        <v>428</v>
      </c>
    </row>
    <row r="1325" spans="1:3">
      <c r="A1325" s="627">
        <v>4455</v>
      </c>
      <c r="B1325" s="628" t="s">
        <v>2600</v>
      </c>
      <c r="C1325" s="629" t="s">
        <v>428</v>
      </c>
    </row>
    <row r="1326" spans="1:3">
      <c r="A1326" s="627">
        <v>4456</v>
      </c>
      <c r="B1326" s="628" t="s">
        <v>2601</v>
      </c>
      <c r="C1326" s="629" t="s">
        <v>428</v>
      </c>
    </row>
    <row r="1327" spans="1:3">
      <c r="A1327" s="627">
        <v>4461</v>
      </c>
      <c r="B1327" s="628" t="s">
        <v>2602</v>
      </c>
      <c r="C1327" s="629" t="s">
        <v>428</v>
      </c>
    </row>
    <row r="1328" spans="1:3">
      <c r="A1328" s="627">
        <v>4463</v>
      </c>
      <c r="B1328" s="628" t="s">
        <v>2603</v>
      </c>
      <c r="C1328" s="629" t="s">
        <v>428</v>
      </c>
    </row>
    <row r="1329" spans="1:3">
      <c r="A1329" s="627">
        <v>4464</v>
      </c>
      <c r="B1329" s="628" t="s">
        <v>4232</v>
      </c>
      <c r="C1329" s="629" t="s">
        <v>428</v>
      </c>
    </row>
    <row r="1330" spans="1:3">
      <c r="A1330" s="627">
        <v>4465</v>
      </c>
      <c r="B1330" s="628" t="s">
        <v>4233</v>
      </c>
      <c r="C1330" s="629" t="s">
        <v>428</v>
      </c>
    </row>
    <row r="1331" spans="1:3">
      <c r="A1331" s="627">
        <v>4466</v>
      </c>
      <c r="B1331" s="628" t="s">
        <v>827</v>
      </c>
      <c r="C1331" s="629" t="s">
        <v>428</v>
      </c>
    </row>
    <row r="1332" spans="1:3">
      <c r="A1332" s="627">
        <v>4467</v>
      </c>
      <c r="B1332" s="628" t="s">
        <v>4235</v>
      </c>
      <c r="C1332" s="629" t="s">
        <v>428</v>
      </c>
    </row>
    <row r="1333" spans="1:3">
      <c r="A1333" s="627">
        <v>4468</v>
      </c>
      <c r="B1333" s="628" t="s">
        <v>4236</v>
      </c>
      <c r="C1333" s="629" t="s">
        <v>428</v>
      </c>
    </row>
    <row r="1334" spans="1:3">
      <c r="A1334" s="627">
        <v>4471</v>
      </c>
      <c r="B1334" s="628" t="s">
        <v>3184</v>
      </c>
      <c r="C1334" s="629" t="s">
        <v>428</v>
      </c>
    </row>
    <row r="1335" spans="1:3">
      <c r="A1335" s="627">
        <v>4472</v>
      </c>
      <c r="B1335" s="628" t="s">
        <v>3184</v>
      </c>
      <c r="C1335" s="629" t="s">
        <v>428</v>
      </c>
    </row>
    <row r="1336" spans="1:3">
      <c r="A1336" s="627">
        <v>4474</v>
      </c>
      <c r="B1336" s="628" t="s">
        <v>4239</v>
      </c>
      <c r="C1336" s="629" t="s">
        <v>428</v>
      </c>
    </row>
    <row r="1337" spans="1:3">
      <c r="A1337" s="627">
        <v>4475</v>
      </c>
      <c r="B1337" s="628" t="s">
        <v>4240</v>
      </c>
      <c r="C1337" s="629" t="s">
        <v>428</v>
      </c>
    </row>
    <row r="1338" spans="1:3">
      <c r="A1338" s="627">
        <v>4481</v>
      </c>
      <c r="B1338" s="628" t="s">
        <v>2589</v>
      </c>
      <c r="C1338" s="629" t="s">
        <v>428</v>
      </c>
    </row>
    <row r="1339" spans="1:3">
      <c r="A1339" s="627">
        <v>4482</v>
      </c>
      <c r="B1339" s="628" t="s">
        <v>4242</v>
      </c>
      <c r="C1339" s="629" t="s">
        <v>428</v>
      </c>
    </row>
    <row r="1340" spans="1:3">
      <c r="A1340" s="627">
        <v>4483</v>
      </c>
      <c r="B1340" s="628" t="s">
        <v>831</v>
      </c>
      <c r="C1340" s="629" t="s">
        <v>428</v>
      </c>
    </row>
    <row r="1341" spans="1:3">
      <c r="A1341" s="627">
        <v>4484</v>
      </c>
      <c r="B1341" s="628" t="s">
        <v>4244</v>
      </c>
      <c r="C1341" s="629" t="s">
        <v>428</v>
      </c>
    </row>
    <row r="1342" spans="1:3">
      <c r="A1342" s="627">
        <v>4485</v>
      </c>
      <c r="B1342" s="628" t="s">
        <v>4245</v>
      </c>
      <c r="C1342" s="629" t="s">
        <v>428</v>
      </c>
    </row>
    <row r="1343" spans="1:3">
      <c r="A1343" s="627">
        <v>4486</v>
      </c>
      <c r="B1343" s="628" t="s">
        <v>4247</v>
      </c>
      <c r="C1343" s="629" t="s">
        <v>428</v>
      </c>
    </row>
    <row r="1344" spans="1:3">
      <c r="A1344" s="627">
        <v>4487</v>
      </c>
      <c r="B1344" s="628" t="s">
        <v>4247</v>
      </c>
      <c r="C1344" s="629" t="s">
        <v>428</v>
      </c>
    </row>
    <row r="1345" spans="1:3">
      <c r="A1345" s="627">
        <v>4488</v>
      </c>
      <c r="B1345" s="628" t="s">
        <v>4248</v>
      </c>
      <c r="C1345" s="629" t="s">
        <v>428</v>
      </c>
    </row>
    <row r="1346" spans="1:3">
      <c r="A1346" s="627">
        <v>4491</v>
      </c>
      <c r="B1346" s="628" t="s">
        <v>4249</v>
      </c>
      <c r="C1346" s="629" t="s">
        <v>428</v>
      </c>
    </row>
    <row r="1347" spans="1:3">
      <c r="A1347" s="627">
        <v>4492</v>
      </c>
      <c r="B1347" s="628" t="s">
        <v>4250</v>
      </c>
      <c r="C1347" s="629" t="s">
        <v>428</v>
      </c>
    </row>
    <row r="1348" spans="1:3">
      <c r="A1348" s="627">
        <v>4493</v>
      </c>
      <c r="B1348" s="628" t="s">
        <v>4251</v>
      </c>
      <c r="C1348" s="629" t="s">
        <v>428</v>
      </c>
    </row>
    <row r="1349" spans="1:3">
      <c r="A1349" s="627">
        <v>4494</v>
      </c>
      <c r="B1349" s="628" t="s">
        <v>4252</v>
      </c>
      <c r="C1349" s="629" t="s">
        <v>428</v>
      </c>
    </row>
    <row r="1350" spans="1:3">
      <c r="A1350" s="627">
        <v>4495</v>
      </c>
      <c r="B1350" s="628" t="s">
        <v>4253</v>
      </c>
      <c r="C1350" s="629" t="s">
        <v>428</v>
      </c>
    </row>
    <row r="1351" spans="1:3">
      <c r="A1351" s="627">
        <v>4496</v>
      </c>
      <c r="B1351" s="628" t="s">
        <v>4254</v>
      </c>
      <c r="C1351" s="629" t="s">
        <v>428</v>
      </c>
    </row>
    <row r="1352" spans="1:3">
      <c r="A1352" s="627">
        <v>4501</v>
      </c>
      <c r="B1352" s="628" t="s">
        <v>4255</v>
      </c>
      <c r="C1352" s="629" t="s">
        <v>428</v>
      </c>
    </row>
    <row r="1353" spans="1:3">
      <c r="A1353" s="627">
        <v>4502</v>
      </c>
      <c r="B1353" s="628" t="s">
        <v>4256</v>
      </c>
      <c r="C1353" s="629" t="s">
        <v>428</v>
      </c>
    </row>
    <row r="1354" spans="1:3">
      <c r="A1354" s="627">
        <v>4503</v>
      </c>
      <c r="B1354" s="628" t="s">
        <v>4257</v>
      </c>
      <c r="C1354" s="629" t="s">
        <v>428</v>
      </c>
    </row>
    <row r="1355" spans="1:3">
      <c r="A1355" s="627">
        <v>4511</v>
      </c>
      <c r="B1355" s="628" t="s">
        <v>4258</v>
      </c>
      <c r="C1355" s="629" t="s">
        <v>428</v>
      </c>
    </row>
    <row r="1356" spans="1:3">
      <c r="A1356" s="627">
        <v>4515</v>
      </c>
      <c r="B1356" s="628" t="s">
        <v>4259</v>
      </c>
      <c r="C1356" s="629" t="s">
        <v>428</v>
      </c>
    </row>
    <row r="1357" spans="1:3">
      <c r="A1357" s="627">
        <v>4516</v>
      </c>
      <c r="B1357" s="628" t="s">
        <v>4260</v>
      </c>
      <c r="C1357" s="629" t="s">
        <v>428</v>
      </c>
    </row>
    <row r="1358" spans="1:3">
      <c r="A1358" s="627">
        <v>4517</v>
      </c>
      <c r="B1358" s="628" t="s">
        <v>4261</v>
      </c>
      <c r="C1358" s="629" t="s">
        <v>428</v>
      </c>
    </row>
    <row r="1359" spans="1:3">
      <c r="A1359" s="627">
        <v>4521</v>
      </c>
      <c r="B1359" s="628" t="s">
        <v>4262</v>
      </c>
      <c r="C1359" s="629" t="s">
        <v>428</v>
      </c>
    </row>
    <row r="1360" spans="1:3">
      <c r="A1360" s="627">
        <v>4522</v>
      </c>
      <c r="B1360" s="628" t="s">
        <v>4263</v>
      </c>
      <c r="C1360" s="629" t="s">
        <v>428</v>
      </c>
    </row>
    <row r="1361" spans="1:3">
      <c r="A1361" s="627">
        <v>4523</v>
      </c>
      <c r="B1361" s="628" t="s">
        <v>4264</v>
      </c>
      <c r="C1361" s="629" t="s">
        <v>428</v>
      </c>
    </row>
    <row r="1362" spans="1:3">
      <c r="A1362" s="627">
        <v>4524</v>
      </c>
      <c r="B1362" s="628" t="s">
        <v>4265</v>
      </c>
      <c r="C1362" s="629" t="s">
        <v>428</v>
      </c>
    </row>
    <row r="1363" spans="1:3">
      <c r="A1363" s="627">
        <v>4525</v>
      </c>
      <c r="B1363" s="628" t="s">
        <v>4266</v>
      </c>
      <c r="C1363" s="629" t="s">
        <v>428</v>
      </c>
    </row>
    <row r="1364" spans="1:3">
      <c r="A1364" s="627">
        <v>4531</v>
      </c>
      <c r="B1364" s="628" t="s">
        <v>4267</v>
      </c>
      <c r="C1364" s="629" t="s">
        <v>428</v>
      </c>
    </row>
    <row r="1365" spans="1:3">
      <c r="A1365" s="627">
        <v>4532</v>
      </c>
      <c r="B1365" s="628" t="s">
        <v>4268</v>
      </c>
      <c r="C1365" s="629" t="s">
        <v>428</v>
      </c>
    </row>
    <row r="1366" spans="1:3">
      <c r="A1366" s="627">
        <v>4533</v>
      </c>
      <c r="B1366" s="628" t="s">
        <v>4269</v>
      </c>
      <c r="C1366" s="629" t="s">
        <v>428</v>
      </c>
    </row>
    <row r="1367" spans="1:3">
      <c r="A1367" s="627">
        <v>4534</v>
      </c>
      <c r="B1367" s="628" t="s">
        <v>4270</v>
      </c>
      <c r="C1367" s="629" t="s">
        <v>428</v>
      </c>
    </row>
    <row r="1368" spans="1:3">
      <c r="A1368" s="627">
        <v>4535</v>
      </c>
      <c r="B1368" s="628" t="s">
        <v>4271</v>
      </c>
      <c r="C1368" s="629" t="s">
        <v>428</v>
      </c>
    </row>
    <row r="1369" spans="1:3">
      <c r="A1369" s="627">
        <v>4536</v>
      </c>
      <c r="B1369" s="628" t="s">
        <v>4272</v>
      </c>
      <c r="C1369" s="629" t="s">
        <v>428</v>
      </c>
    </row>
    <row r="1370" spans="1:3">
      <c r="A1370" s="627">
        <v>4537</v>
      </c>
      <c r="B1370" s="628" t="s">
        <v>4273</v>
      </c>
      <c r="C1370" s="629" t="s">
        <v>428</v>
      </c>
    </row>
    <row r="1371" spans="1:3">
      <c r="A1371" s="627">
        <v>4541</v>
      </c>
      <c r="B1371" s="628" t="s">
        <v>4274</v>
      </c>
      <c r="C1371" s="629" t="s">
        <v>428</v>
      </c>
    </row>
    <row r="1372" spans="1:3">
      <c r="A1372" s="627">
        <v>4542</v>
      </c>
      <c r="B1372" s="628" t="s">
        <v>4275</v>
      </c>
      <c r="C1372" s="629" t="s">
        <v>428</v>
      </c>
    </row>
    <row r="1373" spans="1:3">
      <c r="A1373" s="627">
        <v>4543</v>
      </c>
      <c r="B1373" s="628" t="s">
        <v>4276</v>
      </c>
      <c r="C1373" s="629" t="s">
        <v>428</v>
      </c>
    </row>
    <row r="1374" spans="1:3">
      <c r="A1374" s="627">
        <v>4544</v>
      </c>
      <c r="B1374" s="628" t="s">
        <v>4277</v>
      </c>
      <c r="C1374" s="629" t="s">
        <v>428</v>
      </c>
    </row>
    <row r="1375" spans="1:3">
      <c r="A1375" s="627">
        <v>4545</v>
      </c>
      <c r="B1375" s="628" t="s">
        <v>4278</v>
      </c>
      <c r="C1375" s="629" t="s">
        <v>428</v>
      </c>
    </row>
    <row r="1376" spans="1:3">
      <c r="A1376" s="627">
        <v>4546</v>
      </c>
      <c r="B1376" s="628" t="s">
        <v>4279</v>
      </c>
      <c r="C1376" s="629" t="s">
        <v>428</v>
      </c>
    </row>
    <row r="1377" spans="1:3">
      <c r="A1377" s="627">
        <v>4547</v>
      </c>
      <c r="B1377" s="628" t="s">
        <v>4280</v>
      </c>
      <c r="C1377" s="629" t="s">
        <v>428</v>
      </c>
    </row>
    <row r="1378" spans="1:3">
      <c r="A1378" s="627">
        <v>4551</v>
      </c>
      <c r="B1378" s="628" t="s">
        <v>2589</v>
      </c>
      <c r="C1378" s="629" t="s">
        <v>428</v>
      </c>
    </row>
    <row r="1379" spans="1:3">
      <c r="A1379" s="627">
        <v>4552</v>
      </c>
      <c r="B1379" s="628" t="s">
        <v>4282</v>
      </c>
      <c r="C1379" s="629" t="s">
        <v>428</v>
      </c>
    </row>
    <row r="1380" spans="1:3">
      <c r="A1380" s="627">
        <v>4553</v>
      </c>
      <c r="B1380" s="628" t="s">
        <v>4283</v>
      </c>
      <c r="C1380" s="629" t="s">
        <v>428</v>
      </c>
    </row>
    <row r="1381" spans="1:3">
      <c r="A1381" s="627">
        <v>4554</v>
      </c>
      <c r="B1381" s="628" t="s">
        <v>4284</v>
      </c>
      <c r="C1381" s="629" t="s">
        <v>428</v>
      </c>
    </row>
    <row r="1382" spans="1:3">
      <c r="A1382" s="627">
        <v>4555</v>
      </c>
      <c r="B1382" s="628" t="s">
        <v>4285</v>
      </c>
      <c r="C1382" s="629" t="s">
        <v>428</v>
      </c>
    </row>
    <row r="1383" spans="1:3">
      <c r="A1383" s="627">
        <v>4556</v>
      </c>
      <c r="B1383" s="628" t="s">
        <v>4286</v>
      </c>
      <c r="C1383" s="629" t="s">
        <v>428</v>
      </c>
    </row>
    <row r="1384" spans="1:3">
      <c r="A1384" s="627">
        <v>4557</v>
      </c>
      <c r="B1384" s="628" t="s">
        <v>4287</v>
      </c>
      <c r="C1384" s="629" t="s">
        <v>428</v>
      </c>
    </row>
    <row r="1385" spans="1:3">
      <c r="A1385" s="627">
        <v>4558</v>
      </c>
      <c r="B1385" s="628" t="s">
        <v>3560</v>
      </c>
      <c r="C1385" s="629" t="s">
        <v>428</v>
      </c>
    </row>
    <row r="1386" spans="1:3">
      <c r="A1386" s="627">
        <v>4561</v>
      </c>
      <c r="B1386" s="628" t="s">
        <v>3561</v>
      </c>
      <c r="C1386" s="629" t="s">
        <v>428</v>
      </c>
    </row>
    <row r="1387" spans="1:3">
      <c r="A1387" s="627">
        <v>4562</v>
      </c>
      <c r="B1387" s="628" t="s">
        <v>3562</v>
      </c>
      <c r="C1387" s="629" t="s">
        <v>428</v>
      </c>
    </row>
    <row r="1388" spans="1:3">
      <c r="A1388" s="627">
        <v>4563</v>
      </c>
      <c r="B1388" s="628" t="s">
        <v>3563</v>
      </c>
      <c r="C1388" s="629" t="s">
        <v>428</v>
      </c>
    </row>
    <row r="1389" spans="1:3">
      <c r="A1389" s="627">
        <v>4564</v>
      </c>
      <c r="B1389" s="628" t="s">
        <v>3564</v>
      </c>
      <c r="C1389" s="629" t="s">
        <v>428</v>
      </c>
    </row>
    <row r="1390" spans="1:3">
      <c r="A1390" s="627">
        <v>4565</v>
      </c>
      <c r="B1390" s="628" t="s">
        <v>3565</v>
      </c>
      <c r="C1390" s="629" t="s">
        <v>428</v>
      </c>
    </row>
    <row r="1391" spans="1:3">
      <c r="A1391" s="627">
        <v>4566</v>
      </c>
      <c r="B1391" s="628" t="s">
        <v>3566</v>
      </c>
      <c r="C1391" s="629" t="s">
        <v>428</v>
      </c>
    </row>
    <row r="1392" spans="1:3">
      <c r="A1392" s="627">
        <v>4567</v>
      </c>
      <c r="B1392" s="628" t="s">
        <v>3567</v>
      </c>
      <c r="C1392" s="629" t="s">
        <v>428</v>
      </c>
    </row>
    <row r="1393" spans="1:3">
      <c r="A1393" s="627">
        <v>4600</v>
      </c>
      <c r="B1393" s="628" t="s">
        <v>3568</v>
      </c>
      <c r="C1393" s="629" t="s">
        <v>428</v>
      </c>
    </row>
    <row r="1394" spans="1:3">
      <c r="A1394" s="627">
        <v>4611</v>
      </c>
      <c r="B1394" s="628" t="s">
        <v>3569</v>
      </c>
      <c r="C1394" s="629" t="s">
        <v>428</v>
      </c>
    </row>
    <row r="1395" spans="1:3">
      <c r="A1395" s="627">
        <v>4621</v>
      </c>
      <c r="B1395" s="628" t="s">
        <v>3570</v>
      </c>
      <c r="C1395" s="629" t="s">
        <v>428</v>
      </c>
    </row>
    <row r="1396" spans="1:3">
      <c r="A1396" s="627">
        <v>4622</v>
      </c>
      <c r="B1396" s="628" t="s">
        <v>3571</v>
      </c>
      <c r="C1396" s="629" t="s">
        <v>428</v>
      </c>
    </row>
    <row r="1397" spans="1:3">
      <c r="A1397" s="627">
        <v>4623</v>
      </c>
      <c r="B1397" s="628" t="s">
        <v>3572</v>
      </c>
      <c r="C1397" s="629" t="s">
        <v>428</v>
      </c>
    </row>
    <row r="1398" spans="1:3">
      <c r="A1398" s="627">
        <v>4624</v>
      </c>
      <c r="B1398" s="628" t="s">
        <v>3573</v>
      </c>
      <c r="C1398" s="629" t="s">
        <v>428</v>
      </c>
    </row>
    <row r="1399" spans="1:3">
      <c r="A1399" s="627">
        <v>4625</v>
      </c>
      <c r="B1399" s="628" t="s">
        <v>836</v>
      </c>
      <c r="C1399" s="629" t="s">
        <v>428</v>
      </c>
    </row>
    <row r="1400" spans="1:3">
      <c r="A1400" s="627">
        <v>4625</v>
      </c>
      <c r="B1400" s="628" t="s">
        <v>3574</v>
      </c>
      <c r="C1400" s="629" t="s">
        <v>428</v>
      </c>
    </row>
    <row r="1401" spans="1:3">
      <c r="A1401" s="627">
        <v>4627</v>
      </c>
      <c r="B1401" s="628" t="s">
        <v>3575</v>
      </c>
      <c r="C1401" s="629" t="s">
        <v>428</v>
      </c>
    </row>
    <row r="1402" spans="1:3">
      <c r="A1402" s="627">
        <v>4628</v>
      </c>
      <c r="B1402" s="628" t="s">
        <v>3576</v>
      </c>
      <c r="C1402" s="629" t="s">
        <v>428</v>
      </c>
    </row>
    <row r="1403" spans="1:3">
      <c r="A1403" s="627">
        <v>4631</v>
      </c>
      <c r="B1403" s="628" t="s">
        <v>3577</v>
      </c>
      <c r="C1403" s="629" t="s">
        <v>428</v>
      </c>
    </row>
    <row r="1404" spans="1:3">
      <c r="A1404" s="627">
        <v>4632</v>
      </c>
      <c r="B1404" s="628" t="s">
        <v>3578</v>
      </c>
      <c r="C1404" s="629" t="s">
        <v>428</v>
      </c>
    </row>
    <row r="1405" spans="1:3">
      <c r="A1405" s="627">
        <v>4633</v>
      </c>
      <c r="B1405" s="628" t="s">
        <v>3579</v>
      </c>
      <c r="C1405" s="629" t="s">
        <v>428</v>
      </c>
    </row>
    <row r="1406" spans="1:3">
      <c r="A1406" s="627">
        <v>4634</v>
      </c>
      <c r="B1406" s="628" t="s">
        <v>3580</v>
      </c>
      <c r="C1406" s="629" t="s">
        <v>428</v>
      </c>
    </row>
    <row r="1407" spans="1:3">
      <c r="A1407" s="627">
        <v>4635</v>
      </c>
      <c r="B1407" s="628" t="s">
        <v>3581</v>
      </c>
      <c r="C1407" s="629" t="s">
        <v>428</v>
      </c>
    </row>
    <row r="1408" spans="1:3">
      <c r="A1408" s="627">
        <v>4641</v>
      </c>
      <c r="B1408" s="628" t="s">
        <v>3582</v>
      </c>
      <c r="C1408" s="629" t="s">
        <v>428</v>
      </c>
    </row>
    <row r="1409" spans="1:3">
      <c r="A1409" s="627">
        <v>4642</v>
      </c>
      <c r="B1409" s="628" t="s">
        <v>3583</v>
      </c>
      <c r="C1409" s="629" t="s">
        <v>428</v>
      </c>
    </row>
    <row r="1410" spans="1:3">
      <c r="A1410" s="627">
        <v>4643</v>
      </c>
      <c r="B1410" s="628" t="s">
        <v>3584</v>
      </c>
      <c r="C1410" s="629" t="s">
        <v>428</v>
      </c>
    </row>
    <row r="1411" spans="1:3">
      <c r="A1411" s="627">
        <v>4644</v>
      </c>
      <c r="B1411" s="628" t="s">
        <v>3585</v>
      </c>
      <c r="C1411" s="629" t="s">
        <v>428</v>
      </c>
    </row>
    <row r="1412" spans="1:3">
      <c r="A1412" s="627">
        <v>4645</v>
      </c>
      <c r="B1412" s="628" t="s">
        <v>3586</v>
      </c>
      <c r="C1412" s="629" t="s">
        <v>428</v>
      </c>
    </row>
    <row r="1413" spans="1:3">
      <c r="A1413" s="627">
        <v>4646</v>
      </c>
      <c r="B1413" s="628" t="s">
        <v>3587</v>
      </c>
      <c r="C1413" s="629" t="s">
        <v>428</v>
      </c>
    </row>
    <row r="1414" spans="1:3">
      <c r="A1414" s="627">
        <v>4700</v>
      </c>
      <c r="B1414" s="628" t="s">
        <v>3588</v>
      </c>
      <c r="C1414" s="629" t="s">
        <v>428</v>
      </c>
    </row>
    <row r="1415" spans="1:3">
      <c r="A1415" s="627">
        <v>4721</v>
      </c>
      <c r="B1415" s="628" t="s">
        <v>3589</v>
      </c>
      <c r="C1415" s="629" t="s">
        <v>428</v>
      </c>
    </row>
    <row r="1416" spans="1:3">
      <c r="A1416" s="627">
        <v>4722</v>
      </c>
      <c r="B1416" s="628" t="s">
        <v>3590</v>
      </c>
      <c r="C1416" s="629" t="s">
        <v>428</v>
      </c>
    </row>
    <row r="1417" spans="1:3">
      <c r="A1417" s="627">
        <v>4731</v>
      </c>
      <c r="B1417" s="628" t="s">
        <v>3591</v>
      </c>
      <c r="C1417" s="629" t="s">
        <v>428</v>
      </c>
    </row>
    <row r="1418" spans="1:3">
      <c r="A1418" s="627">
        <v>4732</v>
      </c>
      <c r="B1418" s="628" t="s">
        <v>3592</v>
      </c>
      <c r="C1418" s="629" t="s">
        <v>428</v>
      </c>
    </row>
    <row r="1419" spans="1:3">
      <c r="A1419" s="627">
        <v>4733</v>
      </c>
      <c r="B1419" s="628" t="s">
        <v>3593</v>
      </c>
      <c r="C1419" s="629" t="s">
        <v>428</v>
      </c>
    </row>
    <row r="1420" spans="1:3">
      <c r="A1420" s="627">
        <v>4734</v>
      </c>
      <c r="B1420" s="628" t="s">
        <v>3594</v>
      </c>
      <c r="C1420" s="629" t="s">
        <v>428</v>
      </c>
    </row>
    <row r="1421" spans="1:3">
      <c r="A1421" s="627">
        <v>4735</v>
      </c>
      <c r="B1421" s="628" t="s">
        <v>837</v>
      </c>
      <c r="C1421" s="629" t="s">
        <v>428</v>
      </c>
    </row>
    <row r="1422" spans="1:3">
      <c r="A1422" s="627">
        <v>4735</v>
      </c>
      <c r="B1422" s="628" t="s">
        <v>3595</v>
      </c>
      <c r="C1422" s="629" t="s">
        <v>428</v>
      </c>
    </row>
    <row r="1423" spans="1:3">
      <c r="A1423" s="627">
        <v>4737</v>
      </c>
      <c r="B1423" s="628" t="s">
        <v>838</v>
      </c>
      <c r="C1423" s="629" t="s">
        <v>428</v>
      </c>
    </row>
    <row r="1424" spans="1:3">
      <c r="A1424" s="627">
        <v>4737</v>
      </c>
      <c r="B1424" s="628" t="s">
        <v>3596</v>
      </c>
      <c r="C1424" s="629" t="s">
        <v>428</v>
      </c>
    </row>
    <row r="1425" spans="1:3">
      <c r="A1425" s="627">
        <v>4741</v>
      </c>
      <c r="B1425" s="628" t="s">
        <v>3597</v>
      </c>
      <c r="C1425" s="629" t="s">
        <v>428</v>
      </c>
    </row>
    <row r="1426" spans="1:3">
      <c r="A1426" s="627">
        <v>4742</v>
      </c>
      <c r="B1426" s="628" t="s">
        <v>3598</v>
      </c>
      <c r="C1426" s="629" t="s">
        <v>428</v>
      </c>
    </row>
    <row r="1427" spans="1:3">
      <c r="A1427" s="627">
        <v>4743</v>
      </c>
      <c r="B1427" s="628" t="s">
        <v>3599</v>
      </c>
      <c r="C1427" s="629" t="s">
        <v>428</v>
      </c>
    </row>
    <row r="1428" spans="1:3">
      <c r="A1428" s="627">
        <v>4745</v>
      </c>
      <c r="B1428" s="628" t="s">
        <v>3600</v>
      </c>
      <c r="C1428" s="629" t="s">
        <v>428</v>
      </c>
    </row>
    <row r="1429" spans="1:3">
      <c r="A1429" s="627">
        <v>4746</v>
      </c>
      <c r="B1429" s="628" t="s">
        <v>3601</v>
      </c>
      <c r="C1429" s="629" t="s">
        <v>428</v>
      </c>
    </row>
    <row r="1430" spans="1:3">
      <c r="A1430" s="627">
        <v>4751</v>
      </c>
      <c r="B1430" s="628" t="s">
        <v>3602</v>
      </c>
      <c r="C1430" s="629" t="s">
        <v>428</v>
      </c>
    </row>
    <row r="1431" spans="1:3">
      <c r="A1431" s="627">
        <v>4752</v>
      </c>
      <c r="B1431" s="628" t="s">
        <v>3603</v>
      </c>
      <c r="C1431" s="629" t="s">
        <v>428</v>
      </c>
    </row>
    <row r="1432" spans="1:3">
      <c r="A1432" s="627">
        <v>4754</v>
      </c>
      <c r="B1432" s="628" t="s">
        <v>3604</v>
      </c>
      <c r="C1432" s="629" t="s">
        <v>428</v>
      </c>
    </row>
    <row r="1433" spans="1:3">
      <c r="A1433" s="627">
        <v>4754</v>
      </c>
      <c r="B1433" s="628" t="s">
        <v>3605</v>
      </c>
      <c r="C1433" s="629" t="s">
        <v>428</v>
      </c>
    </row>
    <row r="1434" spans="1:3">
      <c r="A1434" s="627">
        <v>4755</v>
      </c>
      <c r="B1434" s="628" t="s">
        <v>3606</v>
      </c>
      <c r="C1434" s="629" t="s">
        <v>428</v>
      </c>
    </row>
    <row r="1435" spans="1:3">
      <c r="A1435" s="627">
        <v>4756</v>
      </c>
      <c r="B1435" s="628" t="s">
        <v>3607</v>
      </c>
      <c r="C1435" s="629" t="s">
        <v>428</v>
      </c>
    </row>
    <row r="1436" spans="1:3">
      <c r="A1436" s="627">
        <v>4761</v>
      </c>
      <c r="B1436" s="628" t="s">
        <v>3608</v>
      </c>
      <c r="C1436" s="629" t="s">
        <v>428</v>
      </c>
    </row>
    <row r="1437" spans="1:3">
      <c r="A1437" s="627">
        <v>4762</v>
      </c>
      <c r="B1437" s="628" t="s">
        <v>3609</v>
      </c>
      <c r="C1437" s="629" t="s">
        <v>428</v>
      </c>
    </row>
    <row r="1438" spans="1:3">
      <c r="A1438" s="627">
        <v>4763</v>
      </c>
      <c r="B1438" s="628" t="s">
        <v>3610</v>
      </c>
      <c r="C1438" s="629" t="s">
        <v>428</v>
      </c>
    </row>
    <row r="1439" spans="1:3">
      <c r="A1439" s="627">
        <v>4764</v>
      </c>
      <c r="B1439" s="628" t="s">
        <v>3611</v>
      </c>
      <c r="C1439" s="629" t="s">
        <v>428</v>
      </c>
    </row>
    <row r="1440" spans="1:3">
      <c r="A1440" s="627">
        <v>4765</v>
      </c>
      <c r="B1440" s="628" t="s">
        <v>3612</v>
      </c>
      <c r="C1440" s="629" t="s">
        <v>428</v>
      </c>
    </row>
    <row r="1441" spans="1:3">
      <c r="A1441" s="627">
        <v>4765</v>
      </c>
      <c r="B1441" s="628" t="s">
        <v>839</v>
      </c>
      <c r="C1441" s="629" t="s">
        <v>428</v>
      </c>
    </row>
    <row r="1442" spans="1:3">
      <c r="A1442" s="627">
        <v>4766</v>
      </c>
      <c r="B1442" s="628" t="s">
        <v>3613</v>
      </c>
      <c r="C1442" s="629" t="s">
        <v>428</v>
      </c>
    </row>
    <row r="1443" spans="1:3">
      <c r="A1443" s="627">
        <v>4767</v>
      </c>
      <c r="B1443" s="628" t="s">
        <v>3614</v>
      </c>
      <c r="C1443" s="629" t="s">
        <v>428</v>
      </c>
    </row>
    <row r="1444" spans="1:3">
      <c r="A1444" s="627">
        <v>4800</v>
      </c>
      <c r="B1444" s="628" t="s">
        <v>3615</v>
      </c>
      <c r="C1444" s="629" t="s">
        <v>428</v>
      </c>
    </row>
    <row r="1445" spans="1:3">
      <c r="A1445" s="627">
        <v>4803</v>
      </c>
      <c r="B1445" s="628" t="s">
        <v>3615</v>
      </c>
      <c r="C1445" s="629" t="s">
        <v>428</v>
      </c>
    </row>
    <row r="1446" spans="1:3">
      <c r="A1446" s="627">
        <v>4804</v>
      </c>
      <c r="B1446" s="628" t="s">
        <v>3615</v>
      </c>
      <c r="C1446" s="629" t="s">
        <v>428</v>
      </c>
    </row>
    <row r="1447" spans="1:3">
      <c r="A1447" s="627">
        <v>4811</v>
      </c>
      <c r="B1447" s="628" t="s">
        <v>3618</v>
      </c>
      <c r="C1447" s="629" t="s">
        <v>428</v>
      </c>
    </row>
    <row r="1448" spans="1:3">
      <c r="A1448" s="627">
        <v>4812</v>
      </c>
      <c r="B1448" s="628" t="s">
        <v>3619</v>
      </c>
      <c r="C1448" s="629" t="s">
        <v>428</v>
      </c>
    </row>
    <row r="1449" spans="1:3">
      <c r="A1449" s="627">
        <v>4813</v>
      </c>
      <c r="B1449" s="628" t="s">
        <v>3620</v>
      </c>
      <c r="C1449" s="629" t="s">
        <v>428</v>
      </c>
    </row>
    <row r="1450" spans="1:3">
      <c r="A1450" s="627">
        <v>4821</v>
      </c>
      <c r="B1450" s="628" t="s">
        <v>3621</v>
      </c>
      <c r="C1450" s="629" t="s">
        <v>428</v>
      </c>
    </row>
    <row r="1451" spans="1:3">
      <c r="A1451" s="627">
        <v>4822</v>
      </c>
      <c r="B1451" s="628" t="s">
        <v>3622</v>
      </c>
      <c r="C1451" s="629" t="s">
        <v>428</v>
      </c>
    </row>
    <row r="1452" spans="1:3">
      <c r="A1452" s="627">
        <v>4823</v>
      </c>
      <c r="B1452" s="628" t="s">
        <v>3623</v>
      </c>
      <c r="C1452" s="629" t="s">
        <v>428</v>
      </c>
    </row>
    <row r="1453" spans="1:3">
      <c r="A1453" s="627">
        <v>4824</v>
      </c>
      <c r="B1453" s="628" t="s">
        <v>3624</v>
      </c>
      <c r="C1453" s="629" t="s">
        <v>428</v>
      </c>
    </row>
    <row r="1454" spans="1:3">
      <c r="A1454" s="627">
        <v>4826</v>
      </c>
      <c r="B1454" s="628" t="s">
        <v>3625</v>
      </c>
      <c r="C1454" s="629" t="s">
        <v>428</v>
      </c>
    </row>
    <row r="1455" spans="1:3">
      <c r="A1455" s="627">
        <v>4831</v>
      </c>
      <c r="B1455" s="628" t="s">
        <v>3626</v>
      </c>
      <c r="C1455" s="629" t="s">
        <v>428</v>
      </c>
    </row>
    <row r="1456" spans="1:3">
      <c r="A1456" s="627">
        <v>4832</v>
      </c>
      <c r="B1456" s="628" t="s">
        <v>3627</v>
      </c>
      <c r="C1456" s="629" t="s">
        <v>428</v>
      </c>
    </row>
    <row r="1457" spans="1:3">
      <c r="A1457" s="627">
        <v>4833</v>
      </c>
      <c r="B1457" s="628" t="s">
        <v>3628</v>
      </c>
      <c r="C1457" s="629" t="s">
        <v>428</v>
      </c>
    </row>
    <row r="1458" spans="1:3">
      <c r="A1458" s="627">
        <v>4834</v>
      </c>
      <c r="B1458" s="628" t="s">
        <v>3629</v>
      </c>
      <c r="C1458" s="629" t="s">
        <v>428</v>
      </c>
    </row>
    <row r="1459" spans="1:3">
      <c r="A1459" s="627">
        <v>4835</v>
      </c>
      <c r="B1459" s="628" t="s">
        <v>3630</v>
      </c>
      <c r="C1459" s="629" t="s">
        <v>428</v>
      </c>
    </row>
    <row r="1460" spans="1:3">
      <c r="A1460" s="627">
        <v>4836</v>
      </c>
      <c r="B1460" s="628" t="s">
        <v>3631</v>
      </c>
      <c r="C1460" s="629" t="s">
        <v>428</v>
      </c>
    </row>
    <row r="1461" spans="1:3">
      <c r="A1461" s="627">
        <v>4841</v>
      </c>
      <c r="B1461" s="628" t="s">
        <v>3632</v>
      </c>
      <c r="C1461" s="629" t="s">
        <v>428</v>
      </c>
    </row>
    <row r="1462" spans="1:3">
      <c r="A1462" s="627">
        <v>4842</v>
      </c>
      <c r="B1462" s="628" t="s">
        <v>3633</v>
      </c>
      <c r="C1462" s="629" t="s">
        <v>428</v>
      </c>
    </row>
    <row r="1463" spans="1:3">
      <c r="A1463" s="627">
        <v>4843</v>
      </c>
      <c r="B1463" s="628" t="s">
        <v>3634</v>
      </c>
      <c r="C1463" s="629" t="s">
        <v>428</v>
      </c>
    </row>
    <row r="1464" spans="1:3">
      <c r="A1464" s="627">
        <v>4844</v>
      </c>
      <c r="B1464" s="628" t="s">
        <v>3635</v>
      </c>
      <c r="C1464" s="629" t="s">
        <v>428</v>
      </c>
    </row>
    <row r="1465" spans="1:3">
      <c r="A1465" s="627">
        <v>4845</v>
      </c>
      <c r="B1465" s="628" t="s">
        <v>3636</v>
      </c>
      <c r="C1465" s="629" t="s">
        <v>428</v>
      </c>
    </row>
    <row r="1466" spans="1:3">
      <c r="A1466" s="627">
        <v>4900</v>
      </c>
      <c r="B1466" s="628" t="s">
        <v>3637</v>
      </c>
      <c r="C1466" s="629" t="s">
        <v>428</v>
      </c>
    </row>
    <row r="1467" spans="1:3">
      <c r="A1467" s="627">
        <v>4911</v>
      </c>
      <c r="B1467" s="628" t="s">
        <v>3638</v>
      </c>
      <c r="C1467" s="629" t="s">
        <v>428</v>
      </c>
    </row>
    <row r="1468" spans="1:3">
      <c r="A1468" s="627">
        <v>4912</v>
      </c>
      <c r="B1468" s="628" t="s">
        <v>3639</v>
      </c>
      <c r="C1468" s="629" t="s">
        <v>428</v>
      </c>
    </row>
    <row r="1469" spans="1:3">
      <c r="A1469" s="627">
        <v>4913</v>
      </c>
      <c r="B1469" s="628" t="s">
        <v>3640</v>
      </c>
      <c r="C1469" s="629" t="s">
        <v>428</v>
      </c>
    </row>
    <row r="1470" spans="1:3">
      <c r="A1470" s="627">
        <v>4914</v>
      </c>
      <c r="B1470" s="628" t="s">
        <v>3641</v>
      </c>
      <c r="C1470" s="629" t="s">
        <v>428</v>
      </c>
    </row>
    <row r="1471" spans="1:3">
      <c r="A1471" s="627">
        <v>4921</v>
      </c>
      <c r="B1471" s="628" t="s">
        <v>3642</v>
      </c>
      <c r="C1471" s="629" t="s">
        <v>428</v>
      </c>
    </row>
    <row r="1472" spans="1:3">
      <c r="A1472" s="627">
        <v>4921</v>
      </c>
      <c r="B1472" s="628" t="s">
        <v>842</v>
      </c>
      <c r="C1472" s="629" t="s">
        <v>428</v>
      </c>
    </row>
    <row r="1473" spans="1:3">
      <c r="A1473" s="627">
        <v>4922</v>
      </c>
      <c r="B1473" s="628" t="s">
        <v>3643</v>
      </c>
      <c r="C1473" s="629" t="s">
        <v>428</v>
      </c>
    </row>
    <row r="1474" spans="1:3">
      <c r="A1474" s="627">
        <v>4931</v>
      </c>
      <c r="B1474" s="628" t="s">
        <v>3644</v>
      </c>
      <c r="C1474" s="629" t="s">
        <v>428</v>
      </c>
    </row>
    <row r="1475" spans="1:3">
      <c r="A1475" s="627">
        <v>4932</v>
      </c>
      <c r="B1475" s="628" t="s">
        <v>3645</v>
      </c>
      <c r="C1475" s="629" t="s">
        <v>428</v>
      </c>
    </row>
    <row r="1476" spans="1:3">
      <c r="A1476" s="627">
        <v>4933</v>
      </c>
      <c r="B1476" s="628" t="s">
        <v>3646</v>
      </c>
      <c r="C1476" s="629" t="s">
        <v>428</v>
      </c>
    </row>
    <row r="1477" spans="1:3">
      <c r="A1477" s="627">
        <v>4934</v>
      </c>
      <c r="B1477" s="628" t="s">
        <v>843</v>
      </c>
      <c r="C1477" s="629" t="s">
        <v>428</v>
      </c>
    </row>
    <row r="1478" spans="1:3">
      <c r="A1478" s="627">
        <v>4935</v>
      </c>
      <c r="B1478" s="628" t="s">
        <v>3648</v>
      </c>
      <c r="C1478" s="629" t="s">
        <v>428</v>
      </c>
    </row>
    <row r="1479" spans="1:3">
      <c r="A1479" s="627">
        <v>4936</v>
      </c>
      <c r="B1479" s="628" t="s">
        <v>3649</v>
      </c>
      <c r="C1479" s="629" t="s">
        <v>428</v>
      </c>
    </row>
    <row r="1480" spans="1:3">
      <c r="A1480" s="627">
        <v>4937</v>
      </c>
      <c r="B1480" s="628" t="s">
        <v>3650</v>
      </c>
      <c r="C1480" s="629" t="s">
        <v>428</v>
      </c>
    </row>
    <row r="1481" spans="1:3">
      <c r="A1481" s="627">
        <v>4941</v>
      </c>
      <c r="B1481" s="637" t="s">
        <v>3651</v>
      </c>
      <c r="C1481" s="629" t="s">
        <v>428</v>
      </c>
    </row>
    <row r="1482" spans="1:3">
      <c r="A1482" s="627">
        <v>4942</v>
      </c>
      <c r="B1482" s="628" t="s">
        <v>3652</v>
      </c>
      <c r="C1482" s="629" t="s">
        <v>428</v>
      </c>
    </row>
    <row r="1483" spans="1:3">
      <c r="A1483" s="627">
        <v>4942</v>
      </c>
      <c r="B1483" s="628" t="s">
        <v>4177</v>
      </c>
      <c r="C1483" s="629" t="s">
        <v>421</v>
      </c>
    </row>
    <row r="1484" spans="1:3">
      <c r="A1484" s="627">
        <v>4943</v>
      </c>
      <c r="B1484" s="628" t="s">
        <v>3653</v>
      </c>
      <c r="C1484" s="629" t="s">
        <v>428</v>
      </c>
    </row>
    <row r="1485" spans="1:3">
      <c r="A1485" s="627">
        <v>4944</v>
      </c>
      <c r="B1485" s="628" t="s">
        <v>3654</v>
      </c>
      <c r="C1485" s="629" t="s">
        <v>428</v>
      </c>
    </row>
    <row r="1486" spans="1:3">
      <c r="A1486" s="627">
        <v>4945</v>
      </c>
      <c r="B1486" s="628" t="s">
        <v>3655</v>
      </c>
      <c r="C1486" s="629" t="s">
        <v>428</v>
      </c>
    </row>
    <row r="1487" spans="1:3">
      <c r="A1487" s="627">
        <v>4946</v>
      </c>
      <c r="B1487" s="628" t="s">
        <v>3656</v>
      </c>
      <c r="C1487" s="629" t="s">
        <v>428</v>
      </c>
    </row>
    <row r="1488" spans="1:3">
      <c r="A1488" s="627">
        <v>4947</v>
      </c>
      <c r="B1488" s="628" t="s">
        <v>2406</v>
      </c>
      <c r="C1488" s="629" t="s">
        <v>428</v>
      </c>
    </row>
    <row r="1489" spans="1:3">
      <c r="A1489" s="627">
        <v>4948</v>
      </c>
      <c r="B1489" s="628" t="s">
        <v>2407</v>
      </c>
      <c r="C1489" s="629" t="s">
        <v>428</v>
      </c>
    </row>
    <row r="1490" spans="1:3">
      <c r="A1490" s="627">
        <v>4951</v>
      </c>
      <c r="B1490" s="628" t="s">
        <v>2408</v>
      </c>
      <c r="C1490" s="629" t="s">
        <v>428</v>
      </c>
    </row>
    <row r="1491" spans="1:3">
      <c r="A1491" s="627">
        <v>4952</v>
      </c>
      <c r="B1491" s="628" t="s">
        <v>2409</v>
      </c>
      <c r="C1491" s="629" t="s">
        <v>428</v>
      </c>
    </row>
    <row r="1492" spans="1:3">
      <c r="A1492" s="627">
        <v>4953</v>
      </c>
      <c r="B1492" s="628" t="s">
        <v>2410</v>
      </c>
      <c r="C1492" s="629" t="s">
        <v>428</v>
      </c>
    </row>
    <row r="1493" spans="1:3">
      <c r="A1493" s="627">
        <v>4954</v>
      </c>
      <c r="B1493" s="628" t="s">
        <v>2411</v>
      </c>
      <c r="C1493" s="629" t="s">
        <v>428</v>
      </c>
    </row>
    <row r="1494" spans="1:3">
      <c r="A1494" s="627">
        <v>4955</v>
      </c>
      <c r="B1494" s="628" t="s">
        <v>2412</v>
      </c>
      <c r="C1494" s="629" t="s">
        <v>428</v>
      </c>
    </row>
    <row r="1495" spans="1:3">
      <c r="A1495" s="627">
        <v>4956</v>
      </c>
      <c r="B1495" s="628" t="s">
        <v>4803</v>
      </c>
      <c r="C1495" s="629" t="s">
        <v>428</v>
      </c>
    </row>
    <row r="1496" spans="1:3">
      <c r="A1496" s="627">
        <v>4961</v>
      </c>
      <c r="B1496" s="628" t="s">
        <v>4804</v>
      </c>
      <c r="C1496" s="629" t="s">
        <v>428</v>
      </c>
    </row>
    <row r="1497" spans="1:3">
      <c r="A1497" s="627">
        <v>4962</v>
      </c>
      <c r="B1497" s="628" t="s">
        <v>4805</v>
      </c>
      <c r="C1497" s="629" t="s">
        <v>428</v>
      </c>
    </row>
    <row r="1498" spans="1:3">
      <c r="A1498" s="627">
        <v>4963</v>
      </c>
      <c r="B1498" s="628" t="s">
        <v>4806</v>
      </c>
      <c r="C1498" s="629" t="s">
        <v>428</v>
      </c>
    </row>
    <row r="1499" spans="1:3">
      <c r="A1499" s="627">
        <v>4964</v>
      </c>
      <c r="B1499" s="628" t="s">
        <v>4807</v>
      </c>
      <c r="C1499" s="629" t="s">
        <v>428</v>
      </c>
    </row>
    <row r="1500" spans="1:3">
      <c r="A1500" s="627">
        <v>4965</v>
      </c>
      <c r="B1500" s="628" t="s">
        <v>4808</v>
      </c>
      <c r="C1500" s="629" t="s">
        <v>428</v>
      </c>
    </row>
    <row r="1501" spans="1:3">
      <c r="A1501" s="627">
        <v>4966</v>
      </c>
      <c r="B1501" s="628" t="s">
        <v>2442</v>
      </c>
      <c r="C1501" s="629" t="s">
        <v>428</v>
      </c>
    </row>
    <row r="1502" spans="1:3">
      <c r="A1502" s="627">
        <v>4967</v>
      </c>
      <c r="B1502" s="628" t="s">
        <v>2443</v>
      </c>
      <c r="C1502" s="629" t="s">
        <v>428</v>
      </c>
    </row>
    <row r="1503" spans="1:3">
      <c r="A1503" s="627">
        <v>4968</v>
      </c>
      <c r="B1503" s="628" t="s">
        <v>845</v>
      </c>
      <c r="C1503" s="629" t="s">
        <v>428</v>
      </c>
    </row>
    <row r="1504" spans="1:3">
      <c r="A1504" s="627">
        <v>4969</v>
      </c>
      <c r="B1504" s="628" t="s">
        <v>3679</v>
      </c>
      <c r="C1504" s="629" t="s">
        <v>428</v>
      </c>
    </row>
    <row r="1505" spans="1:3">
      <c r="A1505" s="627">
        <v>4971</v>
      </c>
      <c r="B1505" s="628" t="s">
        <v>3680</v>
      </c>
      <c r="C1505" s="629" t="s">
        <v>428</v>
      </c>
    </row>
    <row r="1506" spans="1:3">
      <c r="A1506" s="627">
        <v>4972</v>
      </c>
      <c r="B1506" s="628" t="s">
        <v>3681</v>
      </c>
      <c r="C1506" s="629" t="s">
        <v>428</v>
      </c>
    </row>
    <row r="1507" spans="1:3">
      <c r="A1507" s="627">
        <v>4973</v>
      </c>
      <c r="B1507" s="628" t="s">
        <v>3682</v>
      </c>
      <c r="C1507" s="629" t="s">
        <v>428</v>
      </c>
    </row>
    <row r="1508" spans="1:3">
      <c r="A1508" s="627">
        <v>4974</v>
      </c>
      <c r="B1508" s="628" t="s">
        <v>3683</v>
      </c>
      <c r="C1508" s="629" t="s">
        <v>428</v>
      </c>
    </row>
    <row r="1509" spans="1:3">
      <c r="A1509" s="627">
        <v>4975</v>
      </c>
      <c r="B1509" s="628" t="s">
        <v>3684</v>
      </c>
      <c r="C1509" s="629" t="s">
        <v>428</v>
      </c>
    </row>
    <row r="1510" spans="1:3">
      <c r="A1510" s="627">
        <v>4976</v>
      </c>
      <c r="B1510" s="628" t="s">
        <v>3685</v>
      </c>
      <c r="C1510" s="629" t="s">
        <v>428</v>
      </c>
    </row>
    <row r="1511" spans="1:3">
      <c r="A1511" s="627">
        <v>4977</v>
      </c>
      <c r="B1511" s="628" t="s">
        <v>3686</v>
      </c>
      <c r="C1511" s="629" t="s">
        <v>428</v>
      </c>
    </row>
    <row r="1512" spans="1:3">
      <c r="A1512" s="627">
        <v>4977</v>
      </c>
      <c r="B1512" s="628" t="s">
        <v>846</v>
      </c>
      <c r="C1512" s="629" t="s">
        <v>428</v>
      </c>
    </row>
    <row r="1513" spans="1:3">
      <c r="A1513" s="627">
        <v>5000</v>
      </c>
      <c r="B1513" s="628" t="s">
        <v>3687</v>
      </c>
      <c r="C1513" s="629" t="s">
        <v>404</v>
      </c>
    </row>
    <row r="1514" spans="1:3">
      <c r="A1514" s="627">
        <v>5008</v>
      </c>
      <c r="B1514" s="628" t="s">
        <v>3687</v>
      </c>
      <c r="C1514" s="629" t="s">
        <v>404</v>
      </c>
    </row>
    <row r="1515" spans="1:3">
      <c r="A1515" s="627">
        <v>5051</v>
      </c>
      <c r="B1515" s="628" t="s">
        <v>3690</v>
      </c>
      <c r="C1515" s="629" t="s">
        <v>404</v>
      </c>
    </row>
    <row r="1516" spans="1:3">
      <c r="A1516" s="627">
        <v>5052</v>
      </c>
      <c r="B1516" s="628" t="s">
        <v>3691</v>
      </c>
      <c r="C1516" s="629" t="s">
        <v>404</v>
      </c>
    </row>
    <row r="1517" spans="1:3">
      <c r="A1517" s="627">
        <v>5053</v>
      </c>
      <c r="B1517" s="628" t="s">
        <v>3692</v>
      </c>
      <c r="C1517" s="629" t="s">
        <v>404</v>
      </c>
    </row>
    <row r="1518" spans="1:3">
      <c r="A1518" s="627">
        <v>5054</v>
      </c>
      <c r="B1518" s="628" t="s">
        <v>3693</v>
      </c>
      <c r="C1518" s="629" t="s">
        <v>404</v>
      </c>
    </row>
    <row r="1519" spans="1:3">
      <c r="A1519" s="627">
        <v>5055</v>
      </c>
      <c r="B1519" s="628" t="s">
        <v>3694</v>
      </c>
      <c r="C1519" s="629" t="s">
        <v>404</v>
      </c>
    </row>
    <row r="1520" spans="1:3">
      <c r="A1520" s="627">
        <v>5061</v>
      </c>
      <c r="B1520" s="628" t="s">
        <v>3695</v>
      </c>
      <c r="C1520" s="629" t="s">
        <v>404</v>
      </c>
    </row>
    <row r="1521" spans="1:3">
      <c r="A1521" s="627">
        <v>5062</v>
      </c>
      <c r="B1521" s="628" t="s">
        <v>848</v>
      </c>
      <c r="C1521" s="629" t="s">
        <v>404</v>
      </c>
    </row>
    <row r="1522" spans="1:3">
      <c r="A1522" s="627">
        <v>5063</v>
      </c>
      <c r="B1522" s="628" t="s">
        <v>4896</v>
      </c>
      <c r="C1522" s="629" t="s">
        <v>404</v>
      </c>
    </row>
    <row r="1523" spans="1:3">
      <c r="A1523" s="627">
        <v>5064</v>
      </c>
      <c r="B1523" s="628" t="s">
        <v>4897</v>
      </c>
      <c r="C1523" s="629" t="s">
        <v>404</v>
      </c>
    </row>
    <row r="1524" spans="1:3">
      <c r="A1524" s="627">
        <v>5065</v>
      </c>
      <c r="B1524" s="628" t="s">
        <v>4898</v>
      </c>
      <c r="C1524" s="629" t="s">
        <v>404</v>
      </c>
    </row>
    <row r="1525" spans="1:3">
      <c r="A1525" s="627">
        <v>5071</v>
      </c>
      <c r="B1525" s="628" t="s">
        <v>4899</v>
      </c>
      <c r="C1525" s="629" t="s">
        <v>404</v>
      </c>
    </row>
    <row r="1526" spans="1:3">
      <c r="A1526" s="627">
        <v>5081</v>
      </c>
      <c r="B1526" s="628" t="s">
        <v>4900</v>
      </c>
      <c r="C1526" s="629" t="s">
        <v>404</v>
      </c>
    </row>
    <row r="1527" spans="1:3">
      <c r="A1527" s="627">
        <v>5082</v>
      </c>
      <c r="B1527" s="628" t="s">
        <v>4901</v>
      </c>
      <c r="C1527" s="629" t="s">
        <v>404</v>
      </c>
    </row>
    <row r="1528" spans="1:3">
      <c r="A1528" s="627">
        <v>5083</v>
      </c>
      <c r="B1528" s="628" t="s">
        <v>4902</v>
      </c>
      <c r="C1528" s="629" t="s">
        <v>404</v>
      </c>
    </row>
    <row r="1529" spans="1:3">
      <c r="A1529" s="627">
        <v>5084</v>
      </c>
      <c r="B1529" s="628" t="s">
        <v>4903</v>
      </c>
      <c r="C1529" s="629" t="s">
        <v>404</v>
      </c>
    </row>
    <row r="1530" spans="1:3">
      <c r="A1530" s="627">
        <v>5085</v>
      </c>
      <c r="B1530" s="628" t="s">
        <v>4904</v>
      </c>
      <c r="C1530" s="629" t="s">
        <v>404</v>
      </c>
    </row>
    <row r="1531" spans="1:3">
      <c r="A1531" s="627">
        <v>5091</v>
      </c>
      <c r="B1531" s="628" t="s">
        <v>4905</v>
      </c>
      <c r="C1531" s="629" t="s">
        <v>404</v>
      </c>
    </row>
    <row r="1532" spans="1:3">
      <c r="A1532" s="627">
        <v>5092</v>
      </c>
      <c r="B1532" s="628" t="s">
        <v>4906</v>
      </c>
      <c r="C1532" s="629" t="s">
        <v>404</v>
      </c>
    </row>
    <row r="1533" spans="1:3">
      <c r="A1533" s="627">
        <v>5093</v>
      </c>
      <c r="B1533" s="628" t="s">
        <v>4907</v>
      </c>
      <c r="C1533" s="629" t="s">
        <v>404</v>
      </c>
    </row>
    <row r="1534" spans="1:3">
      <c r="A1534" s="627">
        <v>5094</v>
      </c>
      <c r="B1534" s="628" t="s">
        <v>4908</v>
      </c>
      <c r="C1534" s="629" t="s">
        <v>404</v>
      </c>
    </row>
    <row r="1535" spans="1:3">
      <c r="A1535" s="627">
        <v>5095</v>
      </c>
      <c r="B1535" s="628" t="s">
        <v>4906</v>
      </c>
      <c r="C1535" s="629" t="s">
        <v>404</v>
      </c>
    </row>
    <row r="1536" spans="1:3">
      <c r="A1536" s="627">
        <v>5100</v>
      </c>
      <c r="B1536" s="628" t="s">
        <v>4910</v>
      </c>
      <c r="C1536" s="629" t="s">
        <v>404</v>
      </c>
    </row>
    <row r="1537" spans="1:3">
      <c r="A1537" s="627">
        <v>5111</v>
      </c>
      <c r="B1537" s="628" t="s">
        <v>4911</v>
      </c>
      <c r="C1537" s="629" t="s">
        <v>404</v>
      </c>
    </row>
    <row r="1538" spans="1:3">
      <c r="A1538" s="627">
        <v>5121</v>
      </c>
      <c r="B1538" s="628" t="s">
        <v>4912</v>
      </c>
      <c r="C1538" s="629" t="s">
        <v>404</v>
      </c>
    </row>
    <row r="1539" spans="1:3">
      <c r="A1539" s="627">
        <v>5122</v>
      </c>
      <c r="B1539" s="628" t="s">
        <v>4913</v>
      </c>
      <c r="C1539" s="629" t="s">
        <v>404</v>
      </c>
    </row>
    <row r="1540" spans="1:3">
      <c r="A1540" s="627">
        <v>5123</v>
      </c>
      <c r="B1540" s="628" t="s">
        <v>4914</v>
      </c>
      <c r="C1540" s="629" t="s">
        <v>404</v>
      </c>
    </row>
    <row r="1541" spans="1:3">
      <c r="A1541" s="627">
        <v>5124</v>
      </c>
      <c r="B1541" s="628" t="s">
        <v>4915</v>
      </c>
      <c r="C1541" s="629" t="s">
        <v>404</v>
      </c>
    </row>
    <row r="1542" spans="1:3">
      <c r="A1542" s="627">
        <v>5125</v>
      </c>
      <c r="B1542" s="628" t="s">
        <v>4916</v>
      </c>
      <c r="C1542" s="629" t="s">
        <v>404</v>
      </c>
    </row>
    <row r="1543" spans="1:3">
      <c r="A1543" s="627">
        <v>5126</v>
      </c>
      <c r="B1543" s="628" t="s">
        <v>4917</v>
      </c>
      <c r="C1543" s="629" t="s">
        <v>404</v>
      </c>
    </row>
    <row r="1544" spans="1:3">
      <c r="A1544" s="627">
        <v>5130</v>
      </c>
      <c r="B1544" s="628" t="s">
        <v>4918</v>
      </c>
      <c r="C1544" s="629" t="s">
        <v>404</v>
      </c>
    </row>
    <row r="1545" spans="1:3">
      <c r="A1545" s="627">
        <v>5135</v>
      </c>
      <c r="B1545" s="628" t="s">
        <v>4919</v>
      </c>
      <c r="C1545" s="629" t="s">
        <v>404</v>
      </c>
    </row>
    <row r="1546" spans="1:3">
      <c r="A1546" s="627">
        <v>5136</v>
      </c>
      <c r="B1546" s="628" t="s">
        <v>4920</v>
      </c>
      <c r="C1546" s="629" t="s">
        <v>404</v>
      </c>
    </row>
    <row r="1547" spans="1:3">
      <c r="A1547" s="627">
        <v>5137</v>
      </c>
      <c r="B1547" s="628" t="s">
        <v>4921</v>
      </c>
      <c r="C1547" s="629" t="s">
        <v>404</v>
      </c>
    </row>
    <row r="1548" spans="1:3">
      <c r="A1548" s="627">
        <v>5141</v>
      </c>
      <c r="B1548" s="628" t="s">
        <v>4922</v>
      </c>
      <c r="C1548" s="629" t="s">
        <v>404</v>
      </c>
    </row>
    <row r="1549" spans="1:3">
      <c r="A1549" s="627">
        <v>5142</v>
      </c>
      <c r="B1549" s="628" t="s">
        <v>4923</v>
      </c>
      <c r="C1549" s="629" t="s">
        <v>404</v>
      </c>
    </row>
    <row r="1550" spans="1:3">
      <c r="A1550" s="627">
        <v>5143</v>
      </c>
      <c r="B1550" s="628" t="s">
        <v>4924</v>
      </c>
      <c r="C1550" s="629" t="s">
        <v>404</v>
      </c>
    </row>
    <row r="1551" spans="1:3">
      <c r="A1551" s="627">
        <v>5144</v>
      </c>
      <c r="B1551" s="628" t="s">
        <v>4925</v>
      </c>
      <c r="C1551" s="629" t="s">
        <v>404</v>
      </c>
    </row>
    <row r="1552" spans="1:3">
      <c r="A1552" s="627">
        <v>5152</v>
      </c>
      <c r="B1552" s="628" t="s">
        <v>4910</v>
      </c>
      <c r="C1552" s="629" t="s">
        <v>404</v>
      </c>
    </row>
    <row r="1553" spans="1:3">
      <c r="A1553" s="627">
        <v>5200</v>
      </c>
      <c r="B1553" s="628" t="s">
        <v>4927</v>
      </c>
      <c r="C1553" s="629" t="s">
        <v>404</v>
      </c>
    </row>
    <row r="1554" spans="1:3">
      <c r="A1554" s="627">
        <v>5211</v>
      </c>
      <c r="B1554" s="628" t="s">
        <v>4928</v>
      </c>
      <c r="C1554" s="629" t="s">
        <v>404</v>
      </c>
    </row>
    <row r="1555" spans="1:3">
      <c r="A1555" s="627">
        <v>5212</v>
      </c>
      <c r="B1555" s="628" t="s">
        <v>4927</v>
      </c>
      <c r="C1555" s="629" t="s">
        <v>404</v>
      </c>
    </row>
    <row r="1556" spans="1:3">
      <c r="A1556" s="627">
        <v>5213</v>
      </c>
      <c r="B1556" s="628" t="s">
        <v>4932</v>
      </c>
      <c r="C1556" s="629" t="s">
        <v>404</v>
      </c>
    </row>
    <row r="1557" spans="1:3">
      <c r="A1557" s="627">
        <v>5222</v>
      </c>
      <c r="B1557" s="628" t="s">
        <v>4931</v>
      </c>
      <c r="C1557" s="629" t="s">
        <v>404</v>
      </c>
    </row>
    <row r="1558" spans="1:3">
      <c r="A1558" s="627">
        <v>5231</v>
      </c>
      <c r="B1558" s="628" t="s">
        <v>4932</v>
      </c>
      <c r="C1558" s="629" t="s">
        <v>404</v>
      </c>
    </row>
    <row r="1559" spans="1:3">
      <c r="A1559" s="627">
        <v>5232</v>
      </c>
      <c r="B1559" s="628" t="s">
        <v>4933</v>
      </c>
      <c r="C1559" s="629" t="s">
        <v>404</v>
      </c>
    </row>
    <row r="1560" spans="1:3">
      <c r="A1560" s="627">
        <v>5233</v>
      </c>
      <c r="B1560" s="628" t="s">
        <v>4934</v>
      </c>
      <c r="C1560" s="629" t="s">
        <v>404</v>
      </c>
    </row>
    <row r="1561" spans="1:3">
      <c r="A1561" s="627">
        <v>5234</v>
      </c>
      <c r="B1561" s="628" t="s">
        <v>4935</v>
      </c>
      <c r="C1561" s="629" t="s">
        <v>404</v>
      </c>
    </row>
    <row r="1562" spans="1:3">
      <c r="A1562" s="627">
        <v>5235</v>
      </c>
      <c r="B1562" s="628" t="s">
        <v>853</v>
      </c>
      <c r="C1562" s="629" t="s">
        <v>404</v>
      </c>
    </row>
    <row r="1563" spans="1:3">
      <c r="A1563" s="627">
        <v>5241</v>
      </c>
      <c r="B1563" s="628" t="s">
        <v>2467</v>
      </c>
      <c r="C1563" s="629" t="s">
        <v>404</v>
      </c>
    </row>
    <row r="1564" spans="1:3">
      <c r="A1564" s="627">
        <v>5243</v>
      </c>
      <c r="B1564" s="628" t="s">
        <v>2468</v>
      </c>
      <c r="C1564" s="629" t="s">
        <v>404</v>
      </c>
    </row>
    <row r="1565" spans="1:3">
      <c r="A1565" s="627">
        <v>5244</v>
      </c>
      <c r="B1565" s="628" t="s">
        <v>2469</v>
      </c>
      <c r="C1565" s="629" t="s">
        <v>404</v>
      </c>
    </row>
    <row r="1566" spans="1:3">
      <c r="A1566" s="627">
        <v>5300</v>
      </c>
      <c r="B1566" s="628" t="s">
        <v>2470</v>
      </c>
      <c r="C1566" s="629" t="s">
        <v>404</v>
      </c>
    </row>
    <row r="1567" spans="1:3">
      <c r="A1567" s="627">
        <v>5309</v>
      </c>
      <c r="B1567" s="628" t="s">
        <v>2471</v>
      </c>
      <c r="C1567" s="629" t="s">
        <v>404</v>
      </c>
    </row>
    <row r="1568" spans="1:3">
      <c r="A1568" s="627">
        <v>5310</v>
      </c>
      <c r="B1568" s="628" t="s">
        <v>2472</v>
      </c>
      <c r="C1568" s="629" t="s">
        <v>404</v>
      </c>
    </row>
    <row r="1569" spans="1:3">
      <c r="A1569" s="627">
        <v>5321</v>
      </c>
      <c r="B1569" s="628" t="s">
        <v>2473</v>
      </c>
      <c r="C1569" s="629" t="s">
        <v>404</v>
      </c>
    </row>
    <row r="1570" spans="1:3">
      <c r="A1570" s="627">
        <v>5322</v>
      </c>
      <c r="B1570" s="628" t="s">
        <v>2474</v>
      </c>
      <c r="C1570" s="629" t="s">
        <v>404</v>
      </c>
    </row>
    <row r="1571" spans="1:3">
      <c r="A1571" s="627">
        <v>5323</v>
      </c>
      <c r="B1571" s="628" t="s">
        <v>2474</v>
      </c>
      <c r="C1571" s="629" t="s">
        <v>404</v>
      </c>
    </row>
    <row r="1572" spans="1:3">
      <c r="A1572" s="627">
        <v>5324</v>
      </c>
      <c r="B1572" s="628" t="s">
        <v>2476</v>
      </c>
      <c r="C1572" s="629" t="s">
        <v>404</v>
      </c>
    </row>
    <row r="1573" spans="1:3">
      <c r="A1573" s="627">
        <v>5331</v>
      </c>
      <c r="B1573" s="628" t="s">
        <v>2477</v>
      </c>
      <c r="C1573" s="629" t="s">
        <v>404</v>
      </c>
    </row>
    <row r="1574" spans="1:3">
      <c r="A1574" s="627">
        <v>5340</v>
      </c>
      <c r="B1574" s="628" t="s">
        <v>643</v>
      </c>
      <c r="C1574" s="629" t="s">
        <v>404</v>
      </c>
    </row>
    <row r="1575" spans="1:3">
      <c r="A1575" s="627">
        <v>5349</v>
      </c>
      <c r="B1575" s="628" t="s">
        <v>2477</v>
      </c>
      <c r="C1575" s="629" t="s">
        <v>404</v>
      </c>
    </row>
    <row r="1576" spans="1:3">
      <c r="A1576" s="627">
        <v>5350</v>
      </c>
      <c r="B1576" s="628" t="s">
        <v>645</v>
      </c>
      <c r="C1576" s="629" t="s">
        <v>404</v>
      </c>
    </row>
    <row r="1577" spans="1:3">
      <c r="A1577" s="627">
        <v>5358</v>
      </c>
      <c r="B1577" s="628" t="s">
        <v>645</v>
      </c>
      <c r="C1577" s="629" t="s">
        <v>404</v>
      </c>
    </row>
    <row r="1578" spans="1:3">
      <c r="A1578" s="627">
        <v>5359</v>
      </c>
      <c r="B1578" s="628" t="s">
        <v>645</v>
      </c>
      <c r="C1578" s="629" t="s">
        <v>404</v>
      </c>
    </row>
    <row r="1579" spans="1:3">
      <c r="A1579" s="627">
        <v>5361</v>
      </c>
      <c r="B1579" s="628" t="s">
        <v>648</v>
      </c>
      <c r="C1579" s="629" t="s">
        <v>404</v>
      </c>
    </row>
    <row r="1580" spans="1:3">
      <c r="A1580" s="627">
        <v>5362</v>
      </c>
      <c r="B1580" s="628" t="s">
        <v>649</v>
      </c>
      <c r="C1580" s="629" t="s">
        <v>404</v>
      </c>
    </row>
    <row r="1581" spans="1:3">
      <c r="A1581" s="627">
        <v>5363</v>
      </c>
      <c r="B1581" s="628" t="s">
        <v>650</v>
      </c>
      <c r="C1581" s="629" t="s">
        <v>404</v>
      </c>
    </row>
    <row r="1582" spans="1:3">
      <c r="A1582" s="627">
        <v>5400</v>
      </c>
      <c r="B1582" s="628" t="s">
        <v>651</v>
      </c>
      <c r="C1582" s="629" t="s">
        <v>404</v>
      </c>
    </row>
    <row r="1583" spans="1:3">
      <c r="A1583" s="627">
        <v>5411</v>
      </c>
      <c r="B1583" s="628" t="s">
        <v>652</v>
      </c>
      <c r="C1583" s="629" t="s">
        <v>404</v>
      </c>
    </row>
    <row r="1584" spans="1:3">
      <c r="A1584" s="627">
        <v>5412</v>
      </c>
      <c r="B1584" s="628" t="s">
        <v>653</v>
      </c>
      <c r="C1584" s="629" t="s">
        <v>404</v>
      </c>
    </row>
    <row r="1585" spans="1:3">
      <c r="A1585" s="627">
        <v>5420</v>
      </c>
      <c r="B1585" s="628" t="s">
        <v>654</v>
      </c>
      <c r="C1585" s="629" t="s">
        <v>404</v>
      </c>
    </row>
    <row r="1586" spans="1:3">
      <c r="A1586" s="627">
        <v>5430</v>
      </c>
      <c r="B1586" s="628" t="s">
        <v>655</v>
      </c>
      <c r="C1586" s="629" t="s">
        <v>404</v>
      </c>
    </row>
    <row r="1587" spans="1:3">
      <c r="A1587" s="627">
        <v>5435</v>
      </c>
      <c r="B1587" s="628" t="s">
        <v>656</v>
      </c>
      <c r="C1587" s="629" t="s">
        <v>404</v>
      </c>
    </row>
    <row r="1588" spans="1:3">
      <c r="A1588" s="627">
        <v>5440</v>
      </c>
      <c r="B1588" s="628" t="s">
        <v>657</v>
      </c>
      <c r="C1588" s="629" t="s">
        <v>404</v>
      </c>
    </row>
    <row r="1589" spans="1:3">
      <c r="A1589" s="627">
        <v>5449</v>
      </c>
      <c r="B1589" s="628" t="s">
        <v>657</v>
      </c>
      <c r="C1589" s="629" t="s">
        <v>404</v>
      </c>
    </row>
    <row r="1590" spans="1:3">
      <c r="A1590" s="627">
        <v>5451</v>
      </c>
      <c r="B1590" s="628" t="s">
        <v>679</v>
      </c>
      <c r="C1590" s="629" t="s">
        <v>404</v>
      </c>
    </row>
    <row r="1591" spans="1:3">
      <c r="A1591" s="627">
        <v>5452</v>
      </c>
      <c r="B1591" s="628" t="s">
        <v>680</v>
      </c>
      <c r="C1591" s="629" t="s">
        <v>404</v>
      </c>
    </row>
    <row r="1592" spans="1:3">
      <c r="A1592" s="627">
        <v>5453</v>
      </c>
      <c r="B1592" s="628" t="s">
        <v>681</v>
      </c>
      <c r="C1592" s="629" t="s">
        <v>404</v>
      </c>
    </row>
    <row r="1593" spans="1:3">
      <c r="A1593" s="627">
        <v>5461</v>
      </c>
      <c r="B1593" s="628" t="s">
        <v>655</v>
      </c>
      <c r="C1593" s="629" t="s">
        <v>404</v>
      </c>
    </row>
    <row r="1594" spans="1:3">
      <c r="A1594" s="627">
        <v>5462</v>
      </c>
      <c r="B1594" s="628" t="s">
        <v>4629</v>
      </c>
      <c r="C1594" s="629" t="s">
        <v>412</v>
      </c>
    </row>
    <row r="1595" spans="1:3">
      <c r="A1595" s="627">
        <v>5463</v>
      </c>
      <c r="B1595" s="628" t="s">
        <v>684</v>
      </c>
      <c r="C1595" s="629" t="s">
        <v>404</v>
      </c>
    </row>
    <row r="1596" spans="1:3">
      <c r="A1596" s="627">
        <v>5464</v>
      </c>
      <c r="B1596" s="628" t="s">
        <v>685</v>
      </c>
      <c r="C1596" s="629" t="s">
        <v>404</v>
      </c>
    </row>
    <row r="1597" spans="1:3">
      <c r="A1597" s="627">
        <v>5465</v>
      </c>
      <c r="B1597" s="628" t="s">
        <v>686</v>
      </c>
      <c r="C1597" s="629" t="s">
        <v>404</v>
      </c>
    </row>
    <row r="1598" spans="1:3">
      <c r="A1598" s="627">
        <v>5471</v>
      </c>
      <c r="B1598" s="628" t="s">
        <v>688</v>
      </c>
      <c r="C1598" s="629" t="s">
        <v>404</v>
      </c>
    </row>
    <row r="1599" spans="1:3">
      <c r="A1599" s="627">
        <v>5472</v>
      </c>
      <c r="B1599" s="628" t="s">
        <v>688</v>
      </c>
      <c r="C1599" s="629" t="s">
        <v>404</v>
      </c>
    </row>
    <row r="1600" spans="1:3">
      <c r="A1600" s="627">
        <v>5474</v>
      </c>
      <c r="B1600" s="628" t="s">
        <v>690</v>
      </c>
      <c r="C1600" s="629" t="s">
        <v>404</v>
      </c>
    </row>
    <row r="1601" spans="1:3">
      <c r="A1601" s="627">
        <v>5475</v>
      </c>
      <c r="B1601" s="628" t="s">
        <v>691</v>
      </c>
      <c r="C1601" s="629" t="s">
        <v>404</v>
      </c>
    </row>
    <row r="1602" spans="1:3">
      <c r="A1602" s="627">
        <v>5476</v>
      </c>
      <c r="B1602" s="628" t="s">
        <v>1602</v>
      </c>
      <c r="C1602" s="629" t="s">
        <v>404</v>
      </c>
    </row>
    <row r="1603" spans="1:3">
      <c r="A1603" s="627">
        <v>5500</v>
      </c>
      <c r="B1603" s="628" t="s">
        <v>693</v>
      </c>
      <c r="C1603" s="629" t="s">
        <v>433</v>
      </c>
    </row>
    <row r="1604" spans="1:3">
      <c r="A1604" s="627">
        <v>5502</v>
      </c>
      <c r="B1604" s="628" t="s">
        <v>693</v>
      </c>
      <c r="C1604" s="629" t="s">
        <v>433</v>
      </c>
    </row>
    <row r="1605" spans="1:3">
      <c r="A1605" s="627">
        <v>5510</v>
      </c>
      <c r="B1605" s="628" t="s">
        <v>696</v>
      </c>
      <c r="C1605" s="629" t="s">
        <v>433</v>
      </c>
    </row>
    <row r="1606" spans="1:3">
      <c r="A1606" s="627">
        <v>5515</v>
      </c>
      <c r="B1606" s="628" t="s">
        <v>697</v>
      </c>
      <c r="C1606" s="629" t="s">
        <v>433</v>
      </c>
    </row>
    <row r="1607" spans="1:3">
      <c r="A1607" s="627">
        <v>5516</v>
      </c>
      <c r="B1607" s="628" t="s">
        <v>698</v>
      </c>
      <c r="C1607" s="629" t="s">
        <v>433</v>
      </c>
    </row>
    <row r="1608" spans="1:3">
      <c r="A1608" s="627">
        <v>5520</v>
      </c>
      <c r="B1608" s="628" t="s">
        <v>699</v>
      </c>
      <c r="C1608" s="629" t="s">
        <v>433</v>
      </c>
    </row>
    <row r="1609" spans="1:3">
      <c r="A1609" s="627">
        <v>5525</v>
      </c>
      <c r="B1609" s="628" t="s">
        <v>700</v>
      </c>
      <c r="C1609" s="629" t="s">
        <v>433</v>
      </c>
    </row>
    <row r="1610" spans="1:3">
      <c r="A1610" s="627">
        <v>5526</v>
      </c>
      <c r="B1610" s="628" t="s">
        <v>701</v>
      </c>
      <c r="C1610" s="629" t="s">
        <v>433</v>
      </c>
    </row>
    <row r="1611" spans="1:3">
      <c r="A1611" s="627">
        <v>5527</v>
      </c>
      <c r="B1611" s="628" t="s">
        <v>702</v>
      </c>
      <c r="C1611" s="629" t="s">
        <v>433</v>
      </c>
    </row>
    <row r="1612" spans="1:3">
      <c r="A1612" s="627">
        <v>5530</v>
      </c>
      <c r="B1612" s="628" t="s">
        <v>854</v>
      </c>
      <c r="C1612" s="629" t="s">
        <v>433</v>
      </c>
    </row>
    <row r="1613" spans="1:3">
      <c r="A1613" s="627">
        <v>5534</v>
      </c>
      <c r="B1613" s="628" t="s">
        <v>704</v>
      </c>
      <c r="C1613" s="629" t="s">
        <v>433</v>
      </c>
    </row>
    <row r="1614" spans="1:3">
      <c r="A1614" s="627">
        <v>5536</v>
      </c>
      <c r="B1614" s="628" t="s">
        <v>2781</v>
      </c>
      <c r="C1614" s="629" t="s">
        <v>433</v>
      </c>
    </row>
    <row r="1615" spans="1:3">
      <c r="A1615" s="627">
        <v>5537</v>
      </c>
      <c r="B1615" s="628" t="s">
        <v>706</v>
      </c>
      <c r="C1615" s="629" t="s">
        <v>433</v>
      </c>
    </row>
    <row r="1616" spans="1:3">
      <c r="A1616" s="627">
        <v>5538</v>
      </c>
      <c r="B1616" s="628" t="s">
        <v>707</v>
      </c>
      <c r="C1616" s="629" t="s">
        <v>433</v>
      </c>
    </row>
    <row r="1617" spans="1:3">
      <c r="A1617" s="627">
        <v>5539</v>
      </c>
      <c r="B1617" s="628" t="s">
        <v>2782</v>
      </c>
      <c r="C1617" s="629" t="s">
        <v>433</v>
      </c>
    </row>
    <row r="1618" spans="1:3">
      <c r="A1618" s="627">
        <v>5540</v>
      </c>
      <c r="B1618" s="628" t="s">
        <v>709</v>
      </c>
      <c r="C1618" s="629" t="s">
        <v>433</v>
      </c>
    </row>
    <row r="1619" spans="1:3">
      <c r="A1619" s="627">
        <v>5551</v>
      </c>
      <c r="B1619" s="628" t="s">
        <v>2783</v>
      </c>
      <c r="C1619" s="629" t="s">
        <v>433</v>
      </c>
    </row>
    <row r="1620" spans="1:3">
      <c r="A1620" s="627">
        <v>5552</v>
      </c>
      <c r="B1620" s="628" t="s">
        <v>711</v>
      </c>
      <c r="C1620" s="629" t="s">
        <v>433</v>
      </c>
    </row>
    <row r="1621" spans="1:3">
      <c r="A1621" s="627">
        <v>5553</v>
      </c>
      <c r="B1621" s="628" t="s">
        <v>712</v>
      </c>
      <c r="C1621" s="629" t="s">
        <v>433</v>
      </c>
    </row>
    <row r="1622" spans="1:3">
      <c r="A1622" s="627">
        <v>5555</v>
      </c>
      <c r="B1622" s="628" t="s">
        <v>713</v>
      </c>
      <c r="C1622" s="629" t="s">
        <v>433</v>
      </c>
    </row>
    <row r="1623" spans="1:3">
      <c r="A1623" s="627">
        <v>5556</v>
      </c>
      <c r="B1623" s="628" t="s">
        <v>714</v>
      </c>
      <c r="C1623" s="629" t="s">
        <v>433</v>
      </c>
    </row>
    <row r="1624" spans="1:3">
      <c r="A1624" s="627">
        <v>5561</v>
      </c>
      <c r="B1624" s="628" t="s">
        <v>715</v>
      </c>
      <c r="C1624" s="629" t="s">
        <v>433</v>
      </c>
    </row>
    <row r="1625" spans="1:3">
      <c r="A1625" s="627">
        <v>5600</v>
      </c>
      <c r="B1625" s="628" t="s">
        <v>716</v>
      </c>
      <c r="C1625" s="629" t="s">
        <v>433</v>
      </c>
    </row>
    <row r="1626" spans="1:3">
      <c r="A1626" s="627">
        <v>5609</v>
      </c>
      <c r="B1626" s="628" t="s">
        <v>717</v>
      </c>
      <c r="C1626" s="629" t="s">
        <v>433</v>
      </c>
    </row>
    <row r="1627" spans="1:3">
      <c r="A1627" s="627">
        <v>5621</v>
      </c>
      <c r="B1627" s="628" t="s">
        <v>718</v>
      </c>
      <c r="C1627" s="629" t="s">
        <v>433</v>
      </c>
    </row>
    <row r="1628" spans="1:3">
      <c r="A1628" s="627">
        <v>5622</v>
      </c>
      <c r="B1628" s="628" t="s">
        <v>719</v>
      </c>
      <c r="C1628" s="629" t="s">
        <v>433</v>
      </c>
    </row>
    <row r="1629" spans="1:3">
      <c r="A1629" s="627">
        <v>5623</v>
      </c>
      <c r="B1629" s="628" t="s">
        <v>716</v>
      </c>
      <c r="C1629" s="629" t="s">
        <v>433</v>
      </c>
    </row>
    <row r="1630" spans="1:3">
      <c r="A1630" s="627">
        <v>5624</v>
      </c>
      <c r="B1630" s="628" t="s">
        <v>721</v>
      </c>
      <c r="C1630" s="629" t="s">
        <v>433</v>
      </c>
    </row>
    <row r="1631" spans="1:3">
      <c r="A1631" s="627">
        <v>5630</v>
      </c>
      <c r="B1631" s="628" t="s">
        <v>433</v>
      </c>
      <c r="C1631" s="629" t="s">
        <v>433</v>
      </c>
    </row>
    <row r="1632" spans="1:3">
      <c r="A1632" s="627">
        <v>5641</v>
      </c>
      <c r="B1632" s="628" t="s">
        <v>722</v>
      </c>
      <c r="C1632" s="629" t="s">
        <v>433</v>
      </c>
    </row>
    <row r="1633" spans="1:3">
      <c r="A1633" s="627">
        <v>5643</v>
      </c>
      <c r="B1633" s="628" t="s">
        <v>723</v>
      </c>
      <c r="C1633" s="629" t="s">
        <v>433</v>
      </c>
    </row>
    <row r="1634" spans="1:3">
      <c r="A1634" s="627">
        <v>5650</v>
      </c>
      <c r="B1634" s="628" t="s">
        <v>724</v>
      </c>
      <c r="C1634" s="629" t="s">
        <v>433</v>
      </c>
    </row>
    <row r="1635" spans="1:3">
      <c r="A1635" s="627">
        <v>5661</v>
      </c>
      <c r="B1635" s="628" t="s">
        <v>725</v>
      </c>
      <c r="C1635" s="629" t="s">
        <v>433</v>
      </c>
    </row>
    <row r="1636" spans="1:3">
      <c r="A1636" s="627">
        <v>5662</v>
      </c>
      <c r="B1636" s="628" t="s">
        <v>726</v>
      </c>
      <c r="C1636" s="629" t="s">
        <v>433</v>
      </c>
    </row>
    <row r="1637" spans="1:3">
      <c r="A1637" s="627">
        <v>5663</v>
      </c>
      <c r="B1637" s="628" t="s">
        <v>727</v>
      </c>
      <c r="C1637" s="629" t="s">
        <v>433</v>
      </c>
    </row>
    <row r="1638" spans="1:3">
      <c r="A1638" s="627">
        <v>5664</v>
      </c>
      <c r="B1638" s="628" t="s">
        <v>727</v>
      </c>
      <c r="C1638" s="629" t="s">
        <v>433</v>
      </c>
    </row>
    <row r="1639" spans="1:3">
      <c r="A1639" s="627">
        <v>5665</v>
      </c>
      <c r="B1639" s="628" t="s">
        <v>729</v>
      </c>
      <c r="C1639" s="629" t="s">
        <v>433</v>
      </c>
    </row>
    <row r="1640" spans="1:3">
      <c r="A1640" s="627">
        <v>5666</v>
      </c>
      <c r="B1640" s="628" t="s">
        <v>730</v>
      </c>
      <c r="C1640" s="629" t="s">
        <v>433</v>
      </c>
    </row>
    <row r="1641" spans="1:3">
      <c r="A1641" s="627">
        <v>5667</v>
      </c>
      <c r="B1641" s="628" t="s">
        <v>731</v>
      </c>
      <c r="C1641" s="629" t="s">
        <v>433</v>
      </c>
    </row>
    <row r="1642" spans="1:3">
      <c r="A1642" s="627">
        <v>5668</v>
      </c>
      <c r="B1642" s="628" t="s">
        <v>732</v>
      </c>
      <c r="C1642" s="629" t="s">
        <v>433</v>
      </c>
    </row>
    <row r="1643" spans="1:3">
      <c r="A1643" s="627">
        <v>5671</v>
      </c>
      <c r="B1643" s="628" t="s">
        <v>716</v>
      </c>
      <c r="C1643" s="629" t="s">
        <v>433</v>
      </c>
    </row>
    <row r="1644" spans="1:3">
      <c r="A1644" s="627">
        <v>5672</v>
      </c>
      <c r="B1644" s="628" t="s">
        <v>734</v>
      </c>
      <c r="C1644" s="629" t="s">
        <v>433</v>
      </c>
    </row>
    <row r="1645" spans="1:3">
      <c r="A1645" s="627">
        <v>5673</v>
      </c>
      <c r="B1645" s="628" t="s">
        <v>735</v>
      </c>
      <c r="C1645" s="629" t="s">
        <v>433</v>
      </c>
    </row>
    <row r="1646" spans="1:3">
      <c r="A1646" s="627">
        <v>5674</v>
      </c>
      <c r="B1646" s="628" t="s">
        <v>736</v>
      </c>
      <c r="C1646" s="629" t="s">
        <v>433</v>
      </c>
    </row>
    <row r="1647" spans="1:3">
      <c r="A1647" s="627">
        <v>5675</v>
      </c>
      <c r="B1647" s="628" t="s">
        <v>737</v>
      </c>
      <c r="C1647" s="629" t="s">
        <v>433</v>
      </c>
    </row>
    <row r="1648" spans="1:3">
      <c r="A1648" s="627">
        <v>5700</v>
      </c>
      <c r="B1648" s="628" t="s">
        <v>738</v>
      </c>
      <c r="C1648" s="629" t="s">
        <v>433</v>
      </c>
    </row>
    <row r="1649" spans="1:3">
      <c r="A1649" s="627">
        <v>5703</v>
      </c>
      <c r="B1649" s="628" t="s">
        <v>738</v>
      </c>
      <c r="C1649" s="629" t="s">
        <v>433</v>
      </c>
    </row>
    <row r="1650" spans="1:3">
      <c r="A1650" s="627">
        <v>5711</v>
      </c>
      <c r="B1650" s="628" t="s">
        <v>738</v>
      </c>
      <c r="C1650" s="629" t="s">
        <v>433</v>
      </c>
    </row>
    <row r="1651" spans="1:3">
      <c r="A1651" s="627">
        <v>5712</v>
      </c>
      <c r="B1651" s="628" t="s">
        <v>741</v>
      </c>
      <c r="C1651" s="629" t="s">
        <v>433</v>
      </c>
    </row>
    <row r="1652" spans="1:3">
      <c r="A1652" s="627">
        <v>5720</v>
      </c>
      <c r="B1652" s="628" t="s">
        <v>742</v>
      </c>
      <c r="C1652" s="629" t="s">
        <v>433</v>
      </c>
    </row>
    <row r="1653" spans="1:3">
      <c r="A1653" s="61">
        <v>5722</v>
      </c>
      <c r="B1653" s="637" t="s">
        <v>742</v>
      </c>
      <c r="C1653" s="629" t="s">
        <v>433</v>
      </c>
    </row>
    <row r="1654" spans="1:3">
      <c r="A1654" s="627">
        <v>5725</v>
      </c>
      <c r="B1654" s="628" t="s">
        <v>743</v>
      </c>
      <c r="C1654" s="629" t="s">
        <v>433</v>
      </c>
    </row>
    <row r="1655" spans="1:3">
      <c r="A1655" s="627">
        <v>5726</v>
      </c>
      <c r="B1655" s="628" t="s">
        <v>744</v>
      </c>
      <c r="C1655" s="629" t="s">
        <v>433</v>
      </c>
    </row>
    <row r="1656" spans="1:3">
      <c r="A1656" s="627">
        <v>5727</v>
      </c>
      <c r="B1656" s="628" t="s">
        <v>745</v>
      </c>
      <c r="C1656" s="629" t="s">
        <v>433</v>
      </c>
    </row>
    <row r="1657" spans="1:3">
      <c r="A1657" s="627">
        <v>5731</v>
      </c>
      <c r="B1657" s="628" t="s">
        <v>746</v>
      </c>
      <c r="C1657" s="629" t="s">
        <v>433</v>
      </c>
    </row>
    <row r="1658" spans="1:3">
      <c r="A1658" s="627">
        <v>5732</v>
      </c>
      <c r="B1658" s="628" t="s">
        <v>747</v>
      </c>
      <c r="C1658" s="629" t="s">
        <v>433</v>
      </c>
    </row>
    <row r="1659" spans="1:3">
      <c r="A1659" s="627">
        <v>5734</v>
      </c>
      <c r="B1659" s="628" t="s">
        <v>748</v>
      </c>
      <c r="C1659" s="629" t="s">
        <v>433</v>
      </c>
    </row>
    <row r="1660" spans="1:3">
      <c r="A1660" s="627">
        <v>5741</v>
      </c>
      <c r="B1660" s="628" t="s">
        <v>749</v>
      </c>
      <c r="C1660" s="629" t="s">
        <v>433</v>
      </c>
    </row>
    <row r="1661" spans="1:3">
      <c r="A1661" s="627">
        <v>5742</v>
      </c>
      <c r="B1661" s="628" t="s">
        <v>750</v>
      </c>
      <c r="C1661" s="629" t="s">
        <v>433</v>
      </c>
    </row>
    <row r="1662" spans="1:3">
      <c r="A1662" s="627">
        <v>5743</v>
      </c>
      <c r="B1662" s="628" t="s">
        <v>2792</v>
      </c>
      <c r="C1662" s="629" t="s">
        <v>433</v>
      </c>
    </row>
    <row r="1663" spans="1:3">
      <c r="A1663" s="627">
        <v>5744</v>
      </c>
      <c r="B1663" s="628" t="s">
        <v>752</v>
      </c>
      <c r="C1663" s="629" t="s">
        <v>433</v>
      </c>
    </row>
    <row r="1664" spans="1:3">
      <c r="A1664" s="627">
        <v>5745</v>
      </c>
      <c r="B1664" s="628" t="s">
        <v>753</v>
      </c>
      <c r="C1664" s="629" t="s">
        <v>433</v>
      </c>
    </row>
    <row r="1665" spans="1:3">
      <c r="A1665" s="627">
        <v>5746</v>
      </c>
      <c r="B1665" s="628" t="s">
        <v>754</v>
      </c>
      <c r="C1665" s="629" t="s">
        <v>433</v>
      </c>
    </row>
    <row r="1666" spans="1:3">
      <c r="A1666" s="627">
        <v>5747</v>
      </c>
      <c r="B1666" s="628" t="s">
        <v>755</v>
      </c>
      <c r="C1666" s="629" t="s">
        <v>433</v>
      </c>
    </row>
    <row r="1667" spans="1:3">
      <c r="A1667" s="627">
        <v>5751</v>
      </c>
      <c r="B1667" s="628" t="s">
        <v>756</v>
      </c>
      <c r="C1667" s="629" t="s">
        <v>433</v>
      </c>
    </row>
    <row r="1668" spans="1:3">
      <c r="A1668" s="627">
        <v>5752</v>
      </c>
      <c r="B1668" s="628" t="s">
        <v>730</v>
      </c>
      <c r="C1668" s="629" t="s">
        <v>433</v>
      </c>
    </row>
    <row r="1669" spans="1:3">
      <c r="A1669" s="627">
        <v>5800</v>
      </c>
      <c r="B1669" s="628" t="s">
        <v>758</v>
      </c>
      <c r="C1669" s="629" t="s">
        <v>433</v>
      </c>
    </row>
    <row r="1670" spans="1:3">
      <c r="A1670" s="627">
        <v>5811</v>
      </c>
      <c r="B1670" s="628" t="s">
        <v>759</v>
      </c>
      <c r="C1670" s="629" t="s">
        <v>433</v>
      </c>
    </row>
    <row r="1671" spans="1:3">
      <c r="A1671" s="627">
        <v>5820</v>
      </c>
      <c r="B1671" s="628" t="s">
        <v>760</v>
      </c>
      <c r="C1671" s="629" t="s">
        <v>433</v>
      </c>
    </row>
    <row r="1672" spans="1:3">
      <c r="A1672" s="627">
        <v>5830</v>
      </c>
      <c r="B1672" s="628" t="s">
        <v>761</v>
      </c>
      <c r="C1672" s="629" t="s">
        <v>433</v>
      </c>
    </row>
    <row r="1673" spans="1:3">
      <c r="A1673" s="627">
        <v>5836</v>
      </c>
      <c r="B1673" s="628" t="s">
        <v>762</v>
      </c>
      <c r="C1673" s="629" t="s">
        <v>433</v>
      </c>
    </row>
    <row r="1674" spans="1:3">
      <c r="A1674" s="627">
        <v>5837</v>
      </c>
      <c r="B1674" s="628" t="s">
        <v>763</v>
      </c>
      <c r="C1674" s="629" t="s">
        <v>433</v>
      </c>
    </row>
    <row r="1675" spans="1:3">
      <c r="A1675" s="627">
        <v>5838</v>
      </c>
      <c r="B1675" s="628" t="s">
        <v>764</v>
      </c>
      <c r="C1675" s="629" t="s">
        <v>433</v>
      </c>
    </row>
    <row r="1676" spans="1:3">
      <c r="A1676" s="627">
        <v>5900</v>
      </c>
      <c r="B1676" s="628" t="s">
        <v>765</v>
      </c>
      <c r="C1676" s="629" t="s">
        <v>433</v>
      </c>
    </row>
    <row r="1677" spans="1:3">
      <c r="A1677" s="627">
        <v>5903</v>
      </c>
      <c r="B1677" s="628" t="s">
        <v>765</v>
      </c>
      <c r="C1677" s="629" t="s">
        <v>433</v>
      </c>
    </row>
    <row r="1678" spans="1:3">
      <c r="A1678" s="627">
        <v>5904</v>
      </c>
      <c r="B1678" s="628" t="s">
        <v>765</v>
      </c>
      <c r="C1678" s="629" t="s">
        <v>433</v>
      </c>
    </row>
    <row r="1679" spans="1:3">
      <c r="A1679" s="627">
        <v>5905</v>
      </c>
      <c r="B1679" s="628" t="s">
        <v>765</v>
      </c>
      <c r="C1679" s="629" t="s">
        <v>433</v>
      </c>
    </row>
    <row r="1680" spans="1:3">
      <c r="A1680" s="627">
        <v>5919</v>
      </c>
      <c r="B1680" s="628" t="s">
        <v>770</v>
      </c>
      <c r="C1680" s="629" t="s">
        <v>433</v>
      </c>
    </row>
    <row r="1681" spans="1:3">
      <c r="A1681" s="627">
        <v>5920</v>
      </c>
      <c r="B1681" s="628" t="s">
        <v>771</v>
      </c>
      <c r="C1681" s="629" t="s">
        <v>433</v>
      </c>
    </row>
    <row r="1682" spans="1:3">
      <c r="A1682" s="627">
        <v>5925</v>
      </c>
      <c r="B1682" s="628" t="s">
        <v>772</v>
      </c>
      <c r="C1682" s="629" t="s">
        <v>433</v>
      </c>
    </row>
    <row r="1683" spans="1:3">
      <c r="A1683" s="627">
        <v>5931</v>
      </c>
      <c r="B1683" s="628" t="s">
        <v>773</v>
      </c>
      <c r="C1683" s="629" t="s">
        <v>433</v>
      </c>
    </row>
    <row r="1684" spans="1:3">
      <c r="A1684" s="627">
        <v>5932</v>
      </c>
      <c r="B1684" s="628" t="s">
        <v>3218</v>
      </c>
      <c r="C1684" s="629" t="s">
        <v>433</v>
      </c>
    </row>
    <row r="1685" spans="1:3">
      <c r="A1685" s="627">
        <v>5940</v>
      </c>
      <c r="B1685" s="628" t="s">
        <v>3219</v>
      </c>
      <c r="C1685" s="629" t="s">
        <v>433</v>
      </c>
    </row>
    <row r="1686" spans="1:3">
      <c r="A1686" s="627">
        <v>5945</v>
      </c>
      <c r="B1686" s="628" t="s">
        <v>3220</v>
      </c>
      <c r="C1686" s="629" t="s">
        <v>433</v>
      </c>
    </row>
    <row r="1687" spans="1:3">
      <c r="A1687" s="627">
        <v>5946</v>
      </c>
      <c r="B1687" s="628" t="s">
        <v>3221</v>
      </c>
      <c r="C1687" s="629" t="s">
        <v>433</v>
      </c>
    </row>
    <row r="1688" spans="1:3">
      <c r="A1688" s="627">
        <v>5948</v>
      </c>
      <c r="B1688" s="628" t="s">
        <v>3222</v>
      </c>
      <c r="C1688" s="629" t="s">
        <v>433</v>
      </c>
    </row>
    <row r="1689" spans="1:3">
      <c r="A1689" s="627">
        <v>6000</v>
      </c>
      <c r="B1689" s="628" t="s">
        <v>3312</v>
      </c>
      <c r="C1689" s="629" t="s">
        <v>427</v>
      </c>
    </row>
    <row r="1690" spans="1:3">
      <c r="A1690" s="627">
        <v>6008</v>
      </c>
      <c r="B1690" s="628" t="s">
        <v>3312</v>
      </c>
      <c r="C1690" s="629" t="s">
        <v>427</v>
      </c>
    </row>
    <row r="1691" spans="1:3">
      <c r="A1691" s="627">
        <v>6031</v>
      </c>
      <c r="B1691" s="628" t="s">
        <v>3314</v>
      </c>
      <c r="C1691" s="629" t="s">
        <v>427</v>
      </c>
    </row>
    <row r="1692" spans="1:3">
      <c r="A1692" s="627">
        <v>6032</v>
      </c>
      <c r="B1692" s="628" t="s">
        <v>3315</v>
      </c>
      <c r="C1692" s="629" t="s">
        <v>427</v>
      </c>
    </row>
    <row r="1693" spans="1:3">
      <c r="A1693" s="627">
        <v>6033</v>
      </c>
      <c r="B1693" s="628" t="s">
        <v>3316</v>
      </c>
      <c r="C1693" s="629" t="s">
        <v>427</v>
      </c>
    </row>
    <row r="1694" spans="1:3">
      <c r="A1694" s="627">
        <v>6034</v>
      </c>
      <c r="B1694" s="628" t="s">
        <v>3317</v>
      </c>
      <c r="C1694" s="629" t="s">
        <v>427</v>
      </c>
    </row>
    <row r="1695" spans="1:3">
      <c r="A1695" s="627">
        <v>6035</v>
      </c>
      <c r="B1695" s="628" t="s">
        <v>3318</v>
      </c>
      <c r="C1695" s="629" t="s">
        <v>427</v>
      </c>
    </row>
    <row r="1696" spans="1:3">
      <c r="A1696" s="627">
        <v>6041</v>
      </c>
      <c r="B1696" s="628" t="s">
        <v>2441</v>
      </c>
      <c r="C1696" s="629" t="s">
        <v>427</v>
      </c>
    </row>
    <row r="1697" spans="1:3">
      <c r="A1697" s="627">
        <v>6042</v>
      </c>
      <c r="B1697" s="628" t="s">
        <v>89</v>
      </c>
      <c r="C1697" s="629" t="s">
        <v>427</v>
      </c>
    </row>
    <row r="1698" spans="1:3">
      <c r="A1698" s="627">
        <v>6043</v>
      </c>
      <c r="B1698" s="628" t="s">
        <v>90</v>
      </c>
      <c r="C1698" s="629" t="s">
        <v>427</v>
      </c>
    </row>
    <row r="1699" spans="1:3">
      <c r="A1699" s="627">
        <v>6044</v>
      </c>
      <c r="B1699" s="628" t="s">
        <v>3312</v>
      </c>
      <c r="C1699" s="629" t="s">
        <v>427</v>
      </c>
    </row>
    <row r="1700" spans="1:3">
      <c r="A1700" s="627">
        <v>6045</v>
      </c>
      <c r="B1700" s="628" t="s">
        <v>92</v>
      </c>
      <c r="C1700" s="629" t="s">
        <v>427</v>
      </c>
    </row>
    <row r="1701" spans="1:3">
      <c r="A1701" s="627">
        <v>6050</v>
      </c>
      <c r="B1701" s="628" t="s">
        <v>2799</v>
      </c>
      <c r="C1701" s="629" t="s">
        <v>427</v>
      </c>
    </row>
    <row r="1702" spans="1:3">
      <c r="A1702" s="627">
        <v>6055</v>
      </c>
      <c r="B1702" s="628" t="s">
        <v>94</v>
      </c>
      <c r="C1702" s="629" t="s">
        <v>427</v>
      </c>
    </row>
    <row r="1703" spans="1:3">
      <c r="A1703" s="627">
        <v>6060</v>
      </c>
      <c r="B1703" s="628" t="s">
        <v>95</v>
      </c>
      <c r="C1703" s="629" t="s">
        <v>427</v>
      </c>
    </row>
    <row r="1704" spans="1:3">
      <c r="A1704" s="627">
        <v>6062</v>
      </c>
      <c r="B1704" s="628" t="s">
        <v>95</v>
      </c>
      <c r="C1704" s="629" t="s">
        <v>427</v>
      </c>
    </row>
    <row r="1705" spans="1:3">
      <c r="A1705" s="627">
        <v>6064</v>
      </c>
      <c r="B1705" s="628" t="s">
        <v>97</v>
      </c>
      <c r="C1705" s="629" t="s">
        <v>427</v>
      </c>
    </row>
    <row r="1706" spans="1:3">
      <c r="A1706" s="627">
        <v>6065</v>
      </c>
      <c r="B1706" s="628" t="s">
        <v>98</v>
      </c>
      <c r="C1706" s="629" t="s">
        <v>427</v>
      </c>
    </row>
    <row r="1707" spans="1:3">
      <c r="A1707" s="627">
        <v>6066</v>
      </c>
      <c r="B1707" s="628" t="s">
        <v>99</v>
      </c>
      <c r="C1707" s="629" t="s">
        <v>427</v>
      </c>
    </row>
    <row r="1708" spans="1:3">
      <c r="A1708" s="627">
        <v>6067</v>
      </c>
      <c r="B1708" s="628" t="s">
        <v>99</v>
      </c>
      <c r="C1708" s="629" t="s">
        <v>427</v>
      </c>
    </row>
    <row r="1709" spans="1:3">
      <c r="A1709" s="627">
        <v>6070</v>
      </c>
      <c r="B1709" s="628" t="s">
        <v>101</v>
      </c>
      <c r="C1709" s="629" t="s">
        <v>427</v>
      </c>
    </row>
    <row r="1710" spans="1:3">
      <c r="A1710" s="627">
        <v>6075</v>
      </c>
      <c r="B1710" s="628" t="s">
        <v>102</v>
      </c>
      <c r="C1710" s="629" t="s">
        <v>427</v>
      </c>
    </row>
    <row r="1711" spans="1:3">
      <c r="A1711" s="627">
        <v>6076</v>
      </c>
      <c r="B1711" s="628" t="s">
        <v>103</v>
      </c>
      <c r="C1711" s="629" t="s">
        <v>427</v>
      </c>
    </row>
    <row r="1712" spans="1:3">
      <c r="A1712" s="627">
        <v>6077</v>
      </c>
      <c r="B1712" s="628" t="s">
        <v>104</v>
      </c>
      <c r="C1712" s="629" t="s">
        <v>427</v>
      </c>
    </row>
    <row r="1713" spans="1:3">
      <c r="A1713" s="627">
        <v>6078</v>
      </c>
      <c r="B1713" s="628" t="s">
        <v>105</v>
      </c>
      <c r="C1713" s="629" t="s">
        <v>427</v>
      </c>
    </row>
    <row r="1714" spans="1:3">
      <c r="A1714" s="627">
        <v>6080</v>
      </c>
      <c r="B1714" s="628" t="s">
        <v>1804</v>
      </c>
      <c r="C1714" s="629" t="s">
        <v>427</v>
      </c>
    </row>
    <row r="1715" spans="1:3">
      <c r="A1715" s="627">
        <v>6085</v>
      </c>
      <c r="B1715" s="628" t="s">
        <v>1805</v>
      </c>
      <c r="C1715" s="629" t="s">
        <v>427</v>
      </c>
    </row>
    <row r="1716" spans="1:3">
      <c r="A1716" s="627">
        <v>6086</v>
      </c>
      <c r="B1716" s="628" t="s">
        <v>1806</v>
      </c>
      <c r="C1716" s="629" t="s">
        <v>427</v>
      </c>
    </row>
    <row r="1717" spans="1:3">
      <c r="A1717" s="627">
        <v>6087</v>
      </c>
      <c r="B1717" s="628" t="s">
        <v>1807</v>
      </c>
      <c r="C1717" s="629" t="s">
        <v>427</v>
      </c>
    </row>
    <row r="1718" spans="1:3">
      <c r="A1718" s="627">
        <v>6088</v>
      </c>
      <c r="B1718" s="628" t="s">
        <v>1808</v>
      </c>
      <c r="C1718" s="629" t="s">
        <v>427</v>
      </c>
    </row>
    <row r="1719" spans="1:3">
      <c r="A1719" s="627">
        <v>6090</v>
      </c>
      <c r="B1719" s="628" t="s">
        <v>1809</v>
      </c>
      <c r="C1719" s="629" t="s">
        <v>427</v>
      </c>
    </row>
    <row r="1720" spans="1:3">
      <c r="A1720" s="627">
        <v>6096</v>
      </c>
      <c r="B1720" s="628" t="s">
        <v>1810</v>
      </c>
      <c r="C1720" s="629" t="s">
        <v>427</v>
      </c>
    </row>
    <row r="1721" spans="1:3">
      <c r="A1721" s="627">
        <v>6097</v>
      </c>
      <c r="B1721" s="628" t="s">
        <v>1811</v>
      </c>
      <c r="C1721" s="629" t="s">
        <v>427</v>
      </c>
    </row>
    <row r="1722" spans="1:3">
      <c r="A1722" s="627">
        <v>6098</v>
      </c>
      <c r="B1722" s="628" t="s">
        <v>1812</v>
      </c>
      <c r="C1722" s="629" t="s">
        <v>427</v>
      </c>
    </row>
    <row r="1723" spans="1:3">
      <c r="A1723" s="627">
        <v>6100</v>
      </c>
      <c r="B1723" s="628" t="s">
        <v>1813</v>
      </c>
      <c r="C1723" s="629" t="s">
        <v>427</v>
      </c>
    </row>
    <row r="1724" spans="1:3">
      <c r="A1724" s="627">
        <v>6111</v>
      </c>
      <c r="B1724" s="628" t="s">
        <v>1814</v>
      </c>
      <c r="C1724" s="629" t="s">
        <v>427</v>
      </c>
    </row>
    <row r="1725" spans="1:3">
      <c r="A1725" s="627">
        <v>6112</v>
      </c>
      <c r="B1725" s="628" t="s">
        <v>1815</v>
      </c>
      <c r="C1725" s="629" t="s">
        <v>427</v>
      </c>
    </row>
    <row r="1726" spans="1:3">
      <c r="A1726" s="627">
        <v>6113</v>
      </c>
      <c r="B1726" s="628" t="s">
        <v>1816</v>
      </c>
      <c r="C1726" s="629" t="s">
        <v>427</v>
      </c>
    </row>
    <row r="1727" spans="1:3">
      <c r="A1727" s="627">
        <v>6114</v>
      </c>
      <c r="B1727" s="628" t="s">
        <v>1817</v>
      </c>
      <c r="C1727" s="629" t="s">
        <v>427</v>
      </c>
    </row>
    <row r="1728" spans="1:3">
      <c r="A1728" s="627">
        <v>6114</v>
      </c>
      <c r="B1728" s="628" t="s">
        <v>1333</v>
      </c>
      <c r="C1728" s="629" t="s">
        <v>427</v>
      </c>
    </row>
    <row r="1729" spans="1:3">
      <c r="A1729" s="627">
        <v>6115</v>
      </c>
      <c r="B1729" s="628" t="s">
        <v>1818</v>
      </c>
      <c r="C1729" s="629" t="s">
        <v>427</v>
      </c>
    </row>
    <row r="1730" spans="1:3">
      <c r="A1730" s="627">
        <v>6116</v>
      </c>
      <c r="B1730" s="628" t="s">
        <v>1819</v>
      </c>
      <c r="C1730" s="629" t="s">
        <v>427</v>
      </c>
    </row>
    <row r="1731" spans="1:3">
      <c r="A1731" s="627">
        <v>6120</v>
      </c>
      <c r="B1731" s="628" t="s">
        <v>1820</v>
      </c>
      <c r="C1731" s="629" t="s">
        <v>427</v>
      </c>
    </row>
    <row r="1732" spans="1:3">
      <c r="A1732" s="627">
        <v>6131</v>
      </c>
      <c r="B1732" s="628" t="s">
        <v>1821</v>
      </c>
      <c r="C1732" s="629" t="s">
        <v>427</v>
      </c>
    </row>
    <row r="1733" spans="1:3">
      <c r="A1733" s="627">
        <v>6132</v>
      </c>
      <c r="B1733" s="628" t="s">
        <v>3185</v>
      </c>
      <c r="C1733" s="629" t="s">
        <v>427</v>
      </c>
    </row>
    <row r="1734" spans="1:3">
      <c r="A1734" s="627">
        <v>6133</v>
      </c>
      <c r="B1734" s="628" t="s">
        <v>1336</v>
      </c>
      <c r="C1734" s="629" t="s">
        <v>427</v>
      </c>
    </row>
    <row r="1735" spans="1:3">
      <c r="A1735" s="627">
        <v>6134</v>
      </c>
      <c r="B1735" s="628" t="s">
        <v>1824</v>
      </c>
      <c r="C1735" s="629" t="s">
        <v>427</v>
      </c>
    </row>
    <row r="1736" spans="1:3">
      <c r="A1736" s="627">
        <v>6135</v>
      </c>
      <c r="B1736" s="628" t="s">
        <v>1825</v>
      </c>
      <c r="C1736" s="629" t="s">
        <v>427</v>
      </c>
    </row>
    <row r="1737" spans="1:3">
      <c r="A1737" s="627">
        <v>6136</v>
      </c>
      <c r="B1737" s="628" t="s">
        <v>1826</v>
      </c>
      <c r="C1737" s="629" t="s">
        <v>427</v>
      </c>
    </row>
    <row r="1738" spans="1:3">
      <c r="A1738" s="627">
        <v>6200</v>
      </c>
      <c r="B1738" s="628" t="s">
        <v>893</v>
      </c>
      <c r="C1738" s="629" t="s">
        <v>410</v>
      </c>
    </row>
    <row r="1739" spans="1:3">
      <c r="A1739" s="627">
        <v>6211</v>
      </c>
      <c r="B1739" s="628" t="s">
        <v>1830</v>
      </c>
      <c r="C1739" s="629" t="s">
        <v>427</v>
      </c>
    </row>
    <row r="1740" spans="1:3">
      <c r="A1740" s="627">
        <v>6221</v>
      </c>
      <c r="B1740" s="628" t="s">
        <v>1831</v>
      </c>
      <c r="C1740" s="629" t="s">
        <v>427</v>
      </c>
    </row>
    <row r="1741" spans="1:3">
      <c r="A1741" s="627">
        <v>6222</v>
      </c>
      <c r="B1741" s="628" t="s">
        <v>1832</v>
      </c>
      <c r="C1741" s="629" t="s">
        <v>427</v>
      </c>
    </row>
    <row r="1742" spans="1:3">
      <c r="A1742" s="627">
        <v>6223</v>
      </c>
      <c r="B1742" s="628" t="s">
        <v>1833</v>
      </c>
      <c r="C1742" s="629" t="s">
        <v>427</v>
      </c>
    </row>
    <row r="1743" spans="1:3">
      <c r="A1743" s="627">
        <v>6224</v>
      </c>
      <c r="B1743" s="628" t="s">
        <v>1969</v>
      </c>
      <c r="C1743" s="629" t="s">
        <v>427</v>
      </c>
    </row>
    <row r="1744" spans="1:3">
      <c r="A1744" s="627">
        <v>6230</v>
      </c>
      <c r="B1744" s="628" t="s">
        <v>1970</v>
      </c>
      <c r="C1744" s="629" t="s">
        <v>427</v>
      </c>
    </row>
    <row r="1745" spans="1:3">
      <c r="A1745" s="627">
        <v>6235</v>
      </c>
      <c r="B1745" s="628" t="s">
        <v>1971</v>
      </c>
      <c r="C1745" s="629" t="s">
        <v>427</v>
      </c>
    </row>
    <row r="1746" spans="1:3">
      <c r="A1746" s="627">
        <v>6236</v>
      </c>
      <c r="B1746" s="628" t="s">
        <v>1972</v>
      </c>
      <c r="C1746" s="629" t="s">
        <v>427</v>
      </c>
    </row>
    <row r="1747" spans="1:3">
      <c r="A1747" s="627">
        <v>6237</v>
      </c>
      <c r="B1747" s="628" t="s">
        <v>1973</v>
      </c>
      <c r="C1747" s="629" t="s">
        <v>427</v>
      </c>
    </row>
    <row r="1748" spans="1:3">
      <c r="A1748" s="627">
        <v>6238</v>
      </c>
      <c r="B1748" s="628" t="s">
        <v>1974</v>
      </c>
      <c r="C1748" s="629" t="s">
        <v>427</v>
      </c>
    </row>
    <row r="1749" spans="1:3">
      <c r="A1749" s="627">
        <v>6239</v>
      </c>
      <c r="B1749" s="628" t="s">
        <v>1975</v>
      </c>
      <c r="C1749" s="629" t="s">
        <v>427</v>
      </c>
    </row>
    <row r="1750" spans="1:3">
      <c r="A1750" s="627">
        <v>6300</v>
      </c>
      <c r="B1750" s="628" t="s">
        <v>1976</v>
      </c>
      <c r="C1750" s="629" t="s">
        <v>427</v>
      </c>
    </row>
    <row r="1751" spans="1:3">
      <c r="A1751" s="627">
        <v>6311</v>
      </c>
      <c r="B1751" s="628" t="s">
        <v>1977</v>
      </c>
      <c r="C1751" s="629" t="s">
        <v>427</v>
      </c>
    </row>
    <row r="1752" spans="1:3">
      <c r="A1752" s="627">
        <v>6320</v>
      </c>
      <c r="B1752" s="628" t="s">
        <v>1978</v>
      </c>
      <c r="C1752" s="629" t="s">
        <v>427</v>
      </c>
    </row>
    <row r="1753" spans="1:3">
      <c r="A1753" s="627">
        <v>6320</v>
      </c>
      <c r="B1753" s="628" t="s">
        <v>1979</v>
      </c>
      <c r="C1753" s="629" t="s">
        <v>427</v>
      </c>
    </row>
    <row r="1754" spans="1:3">
      <c r="A1754" s="627">
        <v>6323</v>
      </c>
      <c r="B1754" s="628" t="s">
        <v>1980</v>
      </c>
      <c r="C1754" s="629" t="s">
        <v>427</v>
      </c>
    </row>
    <row r="1755" spans="1:3">
      <c r="A1755" s="627">
        <v>6325</v>
      </c>
      <c r="B1755" s="628" t="s">
        <v>1981</v>
      </c>
      <c r="C1755" s="629" t="s">
        <v>427</v>
      </c>
    </row>
    <row r="1756" spans="1:3">
      <c r="A1756" s="627">
        <v>6326</v>
      </c>
      <c r="B1756" s="628" t="s">
        <v>1982</v>
      </c>
      <c r="C1756" s="629" t="s">
        <v>427</v>
      </c>
    </row>
    <row r="1757" spans="1:3">
      <c r="A1757" s="627">
        <v>6327</v>
      </c>
      <c r="B1757" s="628" t="s">
        <v>1982</v>
      </c>
      <c r="C1757" s="629" t="s">
        <v>427</v>
      </c>
    </row>
    <row r="1758" spans="1:3">
      <c r="A1758" s="627">
        <v>6328</v>
      </c>
      <c r="B1758" s="628" t="s">
        <v>1984</v>
      </c>
      <c r="C1758" s="629" t="s">
        <v>427</v>
      </c>
    </row>
    <row r="1759" spans="1:3">
      <c r="A1759" s="627">
        <v>6331</v>
      </c>
      <c r="B1759" s="628" t="s">
        <v>1986</v>
      </c>
      <c r="C1759" s="629" t="s">
        <v>427</v>
      </c>
    </row>
    <row r="1760" spans="1:3">
      <c r="A1760" s="627">
        <v>6332</v>
      </c>
      <c r="B1760" s="628" t="s">
        <v>1987</v>
      </c>
      <c r="C1760" s="629" t="s">
        <v>427</v>
      </c>
    </row>
    <row r="1761" spans="1:3">
      <c r="A1761" s="627">
        <v>6333</v>
      </c>
      <c r="B1761" s="628" t="s">
        <v>1988</v>
      </c>
      <c r="C1761" s="629" t="s">
        <v>427</v>
      </c>
    </row>
    <row r="1762" spans="1:3">
      <c r="A1762" s="627">
        <v>6334</v>
      </c>
      <c r="B1762" s="628" t="s">
        <v>1989</v>
      </c>
      <c r="C1762" s="629" t="s">
        <v>427</v>
      </c>
    </row>
    <row r="1763" spans="1:3">
      <c r="A1763" s="627">
        <v>6335</v>
      </c>
      <c r="B1763" s="628" t="s">
        <v>1990</v>
      </c>
      <c r="C1763" s="629" t="s">
        <v>427</v>
      </c>
    </row>
    <row r="1764" spans="1:3">
      <c r="A1764" s="627">
        <v>6336</v>
      </c>
      <c r="B1764" s="628" t="s">
        <v>1991</v>
      </c>
      <c r="C1764" s="629" t="s">
        <v>427</v>
      </c>
    </row>
    <row r="1765" spans="1:3">
      <c r="A1765" s="627">
        <v>6337</v>
      </c>
      <c r="B1765" s="628" t="s">
        <v>1992</v>
      </c>
      <c r="C1765" s="629" t="s">
        <v>427</v>
      </c>
    </row>
    <row r="1766" spans="1:3">
      <c r="A1766" s="627">
        <v>6341</v>
      </c>
      <c r="B1766" s="628" t="s">
        <v>1993</v>
      </c>
      <c r="C1766" s="629" t="s">
        <v>427</v>
      </c>
    </row>
    <row r="1767" spans="1:3">
      <c r="A1767" s="627">
        <v>6342</v>
      </c>
      <c r="B1767" s="628" t="s">
        <v>1994</v>
      </c>
      <c r="C1767" s="629" t="s">
        <v>427</v>
      </c>
    </row>
    <row r="1768" spans="1:3">
      <c r="A1768" s="627">
        <v>6343</v>
      </c>
      <c r="B1768" s="628" t="s">
        <v>1995</v>
      </c>
      <c r="C1768" s="629" t="s">
        <v>427</v>
      </c>
    </row>
    <row r="1769" spans="1:3">
      <c r="A1769" s="627">
        <v>6344</v>
      </c>
      <c r="B1769" s="628" t="s">
        <v>1996</v>
      </c>
      <c r="C1769" s="629" t="s">
        <v>427</v>
      </c>
    </row>
    <row r="1770" spans="1:3">
      <c r="A1770" s="627">
        <v>6345</v>
      </c>
      <c r="B1770" s="628" t="s">
        <v>1997</v>
      </c>
      <c r="C1770" s="629" t="s">
        <v>427</v>
      </c>
    </row>
    <row r="1771" spans="1:3">
      <c r="A1771" s="627">
        <v>6346</v>
      </c>
      <c r="B1771" s="628" t="s">
        <v>1998</v>
      </c>
      <c r="C1771" s="629" t="s">
        <v>427</v>
      </c>
    </row>
    <row r="1772" spans="1:3">
      <c r="A1772" s="627">
        <v>6347</v>
      </c>
      <c r="B1772" s="628" t="s">
        <v>1999</v>
      </c>
      <c r="C1772" s="629" t="s">
        <v>427</v>
      </c>
    </row>
    <row r="1773" spans="1:3">
      <c r="A1773" s="627">
        <v>6348</v>
      </c>
      <c r="B1773" s="628" t="s">
        <v>2000</v>
      </c>
      <c r="C1773" s="629" t="s">
        <v>427</v>
      </c>
    </row>
    <row r="1774" spans="1:3">
      <c r="A1774" s="627">
        <v>6351</v>
      </c>
      <c r="B1774" s="628" t="s">
        <v>2001</v>
      </c>
      <c r="C1774" s="629" t="s">
        <v>427</v>
      </c>
    </row>
    <row r="1775" spans="1:3">
      <c r="A1775" s="627">
        <v>6352</v>
      </c>
      <c r="B1775" s="628" t="s">
        <v>2002</v>
      </c>
      <c r="C1775" s="629" t="s">
        <v>427</v>
      </c>
    </row>
    <row r="1776" spans="1:3">
      <c r="A1776" s="627">
        <v>6353</v>
      </c>
      <c r="B1776" s="628" t="s">
        <v>2003</v>
      </c>
      <c r="C1776" s="629" t="s">
        <v>427</v>
      </c>
    </row>
    <row r="1777" spans="1:3">
      <c r="A1777" s="627">
        <v>6400</v>
      </c>
      <c r="B1777" s="628" t="s">
        <v>2004</v>
      </c>
      <c r="C1777" s="629" t="s">
        <v>427</v>
      </c>
    </row>
    <row r="1778" spans="1:3">
      <c r="A1778" s="627">
        <v>6411</v>
      </c>
      <c r="B1778" s="628" t="s">
        <v>2005</v>
      </c>
      <c r="C1778" s="629" t="s">
        <v>427</v>
      </c>
    </row>
    <row r="1779" spans="1:3">
      <c r="A1779" s="627">
        <v>6412</v>
      </c>
      <c r="B1779" s="628" t="s">
        <v>2006</v>
      </c>
      <c r="C1779" s="629" t="s">
        <v>427</v>
      </c>
    </row>
    <row r="1780" spans="1:3">
      <c r="A1780" s="627">
        <v>6413</v>
      </c>
      <c r="B1780" s="628" t="s">
        <v>2007</v>
      </c>
      <c r="C1780" s="629" t="s">
        <v>427</v>
      </c>
    </row>
    <row r="1781" spans="1:3">
      <c r="A1781" s="627">
        <v>6414</v>
      </c>
      <c r="B1781" s="628" t="s">
        <v>2008</v>
      </c>
      <c r="C1781" s="629" t="s">
        <v>427</v>
      </c>
    </row>
    <row r="1782" spans="1:3">
      <c r="A1782" s="627">
        <v>6421</v>
      </c>
      <c r="B1782" s="628" t="s">
        <v>2009</v>
      </c>
      <c r="C1782" s="629" t="s">
        <v>427</v>
      </c>
    </row>
    <row r="1783" spans="1:3">
      <c r="A1783" s="627">
        <v>6422</v>
      </c>
      <c r="B1783" s="628" t="s">
        <v>2010</v>
      </c>
      <c r="C1783" s="629" t="s">
        <v>427</v>
      </c>
    </row>
    <row r="1784" spans="1:3">
      <c r="A1784" s="627">
        <v>6423</v>
      </c>
      <c r="B1784" s="628" t="s">
        <v>2011</v>
      </c>
      <c r="C1784" s="629" t="s">
        <v>427</v>
      </c>
    </row>
    <row r="1785" spans="1:3">
      <c r="A1785" s="627">
        <v>6424</v>
      </c>
      <c r="B1785" s="628" t="s">
        <v>2012</v>
      </c>
      <c r="C1785" s="629" t="s">
        <v>427</v>
      </c>
    </row>
    <row r="1786" spans="1:3">
      <c r="A1786" s="627">
        <v>6425</v>
      </c>
      <c r="B1786" s="628" t="s">
        <v>2013</v>
      </c>
      <c r="C1786" s="629" t="s">
        <v>427</v>
      </c>
    </row>
    <row r="1787" spans="1:3">
      <c r="A1787" s="627">
        <v>6430</v>
      </c>
      <c r="B1787" s="628" t="s">
        <v>2014</v>
      </c>
      <c r="C1787" s="629" t="s">
        <v>427</v>
      </c>
    </row>
    <row r="1788" spans="1:3">
      <c r="A1788" s="627">
        <v>6435</v>
      </c>
      <c r="B1788" s="628" t="s">
        <v>2015</v>
      </c>
      <c r="C1788" s="629" t="s">
        <v>427</v>
      </c>
    </row>
    <row r="1789" spans="1:3">
      <c r="A1789" s="627">
        <v>6440</v>
      </c>
      <c r="B1789" s="628" t="s">
        <v>2016</v>
      </c>
      <c r="C1789" s="629" t="s">
        <v>427</v>
      </c>
    </row>
    <row r="1790" spans="1:3">
      <c r="A1790" s="627">
        <v>6444</v>
      </c>
      <c r="B1790" s="628" t="s">
        <v>2017</v>
      </c>
      <c r="C1790" s="629" t="s">
        <v>427</v>
      </c>
    </row>
    <row r="1791" spans="1:3">
      <c r="A1791" s="627">
        <v>6445</v>
      </c>
      <c r="B1791" s="628" t="s">
        <v>2018</v>
      </c>
      <c r="C1791" s="629" t="s">
        <v>427</v>
      </c>
    </row>
    <row r="1792" spans="1:3">
      <c r="A1792" s="627">
        <v>6446</v>
      </c>
      <c r="B1792" s="628" t="s">
        <v>2019</v>
      </c>
      <c r="C1792" s="629" t="s">
        <v>427</v>
      </c>
    </row>
    <row r="1793" spans="1:3">
      <c r="A1793" s="627">
        <v>6447</v>
      </c>
      <c r="B1793" s="628" t="s">
        <v>2020</v>
      </c>
      <c r="C1793" s="629" t="s">
        <v>427</v>
      </c>
    </row>
    <row r="1794" spans="1:3">
      <c r="A1794" s="627">
        <v>6448</v>
      </c>
      <c r="B1794" s="628" t="s">
        <v>2021</v>
      </c>
      <c r="C1794" s="629" t="s">
        <v>427</v>
      </c>
    </row>
    <row r="1795" spans="1:3">
      <c r="A1795" s="627">
        <v>6449</v>
      </c>
      <c r="B1795" s="628" t="s">
        <v>2022</v>
      </c>
      <c r="C1795" s="629" t="s">
        <v>427</v>
      </c>
    </row>
    <row r="1796" spans="1:3">
      <c r="A1796" s="627">
        <v>6451</v>
      </c>
      <c r="B1796" s="628" t="s">
        <v>2023</v>
      </c>
      <c r="C1796" s="629" t="s">
        <v>427</v>
      </c>
    </row>
    <row r="1797" spans="1:3">
      <c r="A1797" s="627">
        <v>6452</v>
      </c>
      <c r="B1797" s="628" t="s">
        <v>2024</v>
      </c>
      <c r="C1797" s="629" t="s">
        <v>427</v>
      </c>
    </row>
    <row r="1798" spans="1:3">
      <c r="A1798" s="627">
        <v>6453</v>
      </c>
      <c r="B1798" s="628" t="s">
        <v>2025</v>
      </c>
      <c r="C1798" s="629" t="s">
        <v>427</v>
      </c>
    </row>
    <row r="1799" spans="1:3">
      <c r="A1799" s="627">
        <v>6454</v>
      </c>
      <c r="B1799" s="628" t="s">
        <v>1340</v>
      </c>
      <c r="C1799" s="629" t="s">
        <v>427</v>
      </c>
    </row>
    <row r="1800" spans="1:3">
      <c r="A1800" s="627">
        <v>6455</v>
      </c>
      <c r="B1800" s="628" t="s">
        <v>2027</v>
      </c>
      <c r="C1800" s="629" t="s">
        <v>427</v>
      </c>
    </row>
    <row r="1801" spans="1:3">
      <c r="A1801" s="627">
        <v>6456</v>
      </c>
      <c r="B1801" s="628" t="s">
        <v>2028</v>
      </c>
      <c r="C1801" s="629" t="s">
        <v>427</v>
      </c>
    </row>
    <row r="1802" spans="1:3">
      <c r="A1802" s="627">
        <v>6500</v>
      </c>
      <c r="B1802" s="628" t="s">
        <v>2029</v>
      </c>
      <c r="C1802" s="629" t="s">
        <v>427</v>
      </c>
    </row>
    <row r="1803" spans="1:3">
      <c r="A1803" s="627">
        <v>6503</v>
      </c>
      <c r="B1803" s="628" t="s">
        <v>2029</v>
      </c>
      <c r="C1803" s="629" t="s">
        <v>427</v>
      </c>
    </row>
    <row r="1804" spans="1:3">
      <c r="A1804" s="627">
        <v>6511</v>
      </c>
      <c r="B1804" s="628" t="s">
        <v>2030</v>
      </c>
      <c r="C1804" s="629" t="s">
        <v>427</v>
      </c>
    </row>
    <row r="1805" spans="1:3">
      <c r="A1805" s="627">
        <v>6512</v>
      </c>
      <c r="B1805" s="628" t="s">
        <v>2031</v>
      </c>
      <c r="C1805" s="629" t="s">
        <v>427</v>
      </c>
    </row>
    <row r="1806" spans="1:3">
      <c r="A1806" s="627">
        <v>6513</v>
      </c>
      <c r="B1806" s="628" t="s">
        <v>2032</v>
      </c>
      <c r="C1806" s="629" t="s">
        <v>427</v>
      </c>
    </row>
    <row r="1807" spans="1:3">
      <c r="A1807" s="627">
        <v>6521</v>
      </c>
      <c r="B1807" s="628" t="s">
        <v>2033</v>
      </c>
      <c r="C1807" s="629" t="s">
        <v>427</v>
      </c>
    </row>
    <row r="1808" spans="1:3">
      <c r="A1808" s="627">
        <v>6522</v>
      </c>
      <c r="B1808" s="628" t="s">
        <v>2034</v>
      </c>
      <c r="C1808" s="629" t="s">
        <v>427</v>
      </c>
    </row>
    <row r="1809" spans="1:3">
      <c r="A1809" s="627">
        <v>6523</v>
      </c>
      <c r="B1809" s="628" t="s">
        <v>2035</v>
      </c>
      <c r="C1809" s="629" t="s">
        <v>427</v>
      </c>
    </row>
    <row r="1810" spans="1:3">
      <c r="A1810" s="627">
        <v>6524</v>
      </c>
      <c r="B1810" s="628" t="s">
        <v>2036</v>
      </c>
      <c r="C1810" s="629" t="s">
        <v>427</v>
      </c>
    </row>
    <row r="1811" spans="1:3">
      <c r="A1811" s="627">
        <v>6525</v>
      </c>
      <c r="B1811" s="628" t="s">
        <v>2037</v>
      </c>
      <c r="C1811" s="629" t="s">
        <v>427</v>
      </c>
    </row>
    <row r="1812" spans="1:3">
      <c r="A1812" s="627">
        <v>6527</v>
      </c>
      <c r="B1812" s="628" t="s">
        <v>2038</v>
      </c>
      <c r="C1812" s="629" t="s">
        <v>427</v>
      </c>
    </row>
    <row r="1813" spans="1:3">
      <c r="A1813" s="627">
        <v>6528</v>
      </c>
      <c r="B1813" s="628" t="s">
        <v>2039</v>
      </c>
      <c r="C1813" s="629" t="s">
        <v>427</v>
      </c>
    </row>
    <row r="1814" spans="1:3">
      <c r="A1814" s="627">
        <v>6600</v>
      </c>
      <c r="B1814" s="628" t="s">
        <v>2040</v>
      </c>
      <c r="C1814" s="629" t="s">
        <v>431</v>
      </c>
    </row>
    <row r="1815" spans="1:3">
      <c r="A1815" s="627">
        <v>6612</v>
      </c>
      <c r="B1815" s="628" t="s">
        <v>2042</v>
      </c>
      <c r="C1815" s="629" t="s">
        <v>431</v>
      </c>
    </row>
    <row r="1816" spans="1:3">
      <c r="A1816" s="627">
        <v>6621</v>
      </c>
      <c r="B1816" s="628" t="s">
        <v>2044</v>
      </c>
      <c r="C1816" s="629" t="s">
        <v>431</v>
      </c>
    </row>
    <row r="1817" spans="1:3">
      <c r="A1817" s="627">
        <v>6622</v>
      </c>
      <c r="B1817" s="628" t="s">
        <v>2045</v>
      </c>
      <c r="C1817" s="629" t="s">
        <v>431</v>
      </c>
    </row>
    <row r="1818" spans="1:3">
      <c r="A1818" s="627">
        <v>6623</v>
      </c>
      <c r="B1818" s="628" t="s">
        <v>2046</v>
      </c>
      <c r="C1818" s="629" t="s">
        <v>431</v>
      </c>
    </row>
    <row r="1819" spans="1:3">
      <c r="A1819" s="627">
        <v>6624</v>
      </c>
      <c r="B1819" s="628" t="s">
        <v>2047</v>
      </c>
      <c r="C1819" s="629" t="s">
        <v>431</v>
      </c>
    </row>
    <row r="1820" spans="1:3">
      <c r="A1820" s="627">
        <v>6625</v>
      </c>
      <c r="B1820" s="628" t="s">
        <v>2048</v>
      </c>
      <c r="C1820" s="629" t="s">
        <v>431</v>
      </c>
    </row>
    <row r="1821" spans="1:3">
      <c r="A1821" s="627">
        <v>6630</v>
      </c>
      <c r="B1821" s="628" t="s">
        <v>2049</v>
      </c>
      <c r="C1821" s="629" t="s">
        <v>431</v>
      </c>
    </row>
    <row r="1822" spans="1:3">
      <c r="A1822" s="627">
        <v>6635</v>
      </c>
      <c r="B1822" s="628" t="s">
        <v>2050</v>
      </c>
      <c r="C1822" s="629" t="s">
        <v>431</v>
      </c>
    </row>
    <row r="1823" spans="1:3">
      <c r="A1823" s="627">
        <v>6636</v>
      </c>
      <c r="B1823" s="628" t="s">
        <v>2051</v>
      </c>
      <c r="C1823" s="629" t="s">
        <v>431</v>
      </c>
    </row>
    <row r="1824" spans="1:3">
      <c r="A1824" s="627">
        <v>6640</v>
      </c>
      <c r="B1824" s="628" t="s">
        <v>431</v>
      </c>
      <c r="C1824" s="629" t="s">
        <v>431</v>
      </c>
    </row>
    <row r="1825" spans="1:3">
      <c r="A1825" s="627">
        <v>6645</v>
      </c>
      <c r="B1825" s="628" t="s">
        <v>2052</v>
      </c>
      <c r="C1825" s="629" t="s">
        <v>431</v>
      </c>
    </row>
    <row r="1826" spans="1:3">
      <c r="A1826" s="627">
        <v>6646</v>
      </c>
      <c r="B1826" s="628" t="s">
        <v>2053</v>
      </c>
      <c r="C1826" s="629" t="s">
        <v>431</v>
      </c>
    </row>
    <row r="1827" spans="1:3">
      <c r="A1827" s="627">
        <v>6647</v>
      </c>
      <c r="B1827" s="628" t="s">
        <v>2054</v>
      </c>
      <c r="C1827" s="629" t="s">
        <v>431</v>
      </c>
    </row>
    <row r="1828" spans="1:3">
      <c r="A1828" s="627">
        <v>6648</v>
      </c>
      <c r="B1828" s="628" t="s">
        <v>431</v>
      </c>
      <c r="C1828" s="629" t="s">
        <v>431</v>
      </c>
    </row>
    <row r="1829" spans="1:3">
      <c r="A1829" s="627">
        <v>6700</v>
      </c>
      <c r="B1829" s="628" t="s">
        <v>2056</v>
      </c>
      <c r="C1829" s="629" t="s">
        <v>431</v>
      </c>
    </row>
    <row r="1830" spans="1:3">
      <c r="A1830" s="627">
        <v>6710</v>
      </c>
      <c r="B1830" s="628" t="s">
        <v>2056</v>
      </c>
      <c r="C1830" s="629" t="s">
        <v>431</v>
      </c>
    </row>
    <row r="1831" spans="1:3">
      <c r="A1831" s="627">
        <v>6720</v>
      </c>
      <c r="B1831" s="628" t="s">
        <v>2056</v>
      </c>
      <c r="C1831" s="629" t="s">
        <v>431</v>
      </c>
    </row>
    <row r="1832" spans="1:3">
      <c r="A1832" s="627">
        <v>6721</v>
      </c>
      <c r="B1832" s="628" t="s">
        <v>2056</v>
      </c>
      <c r="C1832" s="629" t="s">
        <v>431</v>
      </c>
    </row>
    <row r="1833" spans="1:3">
      <c r="A1833" s="627">
        <v>6722</v>
      </c>
      <c r="B1833" s="628" t="s">
        <v>2056</v>
      </c>
      <c r="C1833" s="629" t="s">
        <v>431</v>
      </c>
    </row>
    <row r="1834" spans="1:3">
      <c r="A1834" s="627">
        <v>6723</v>
      </c>
      <c r="B1834" s="628" t="s">
        <v>2056</v>
      </c>
      <c r="C1834" s="629" t="s">
        <v>431</v>
      </c>
    </row>
    <row r="1835" spans="1:3">
      <c r="A1835" s="627">
        <v>6724</v>
      </c>
      <c r="B1835" s="628" t="s">
        <v>2056</v>
      </c>
      <c r="C1835" s="629" t="s">
        <v>431</v>
      </c>
    </row>
    <row r="1836" spans="1:3">
      <c r="A1836" s="627">
        <v>6725</v>
      </c>
      <c r="B1836" s="628" t="s">
        <v>2056</v>
      </c>
      <c r="C1836" s="629" t="s">
        <v>431</v>
      </c>
    </row>
    <row r="1837" spans="1:3">
      <c r="A1837" s="627">
        <v>6726</v>
      </c>
      <c r="B1837" s="628" t="s">
        <v>2056</v>
      </c>
      <c r="C1837" s="629" t="s">
        <v>431</v>
      </c>
    </row>
    <row r="1838" spans="1:3">
      <c r="A1838" s="627">
        <v>6727</v>
      </c>
      <c r="B1838" s="628" t="s">
        <v>2056</v>
      </c>
      <c r="C1838" s="629" t="s">
        <v>431</v>
      </c>
    </row>
    <row r="1839" spans="1:3">
      <c r="A1839" s="627">
        <v>6728</v>
      </c>
      <c r="B1839" s="628" t="s">
        <v>2056</v>
      </c>
      <c r="C1839" s="629" t="s">
        <v>431</v>
      </c>
    </row>
    <row r="1840" spans="1:3">
      <c r="A1840" s="627">
        <v>6729</v>
      </c>
      <c r="B1840" s="628" t="s">
        <v>2056</v>
      </c>
      <c r="C1840" s="629" t="s">
        <v>431</v>
      </c>
    </row>
    <row r="1841" spans="1:3">
      <c r="A1841" s="627">
        <v>6750</v>
      </c>
      <c r="B1841" s="628" t="s">
        <v>2059</v>
      </c>
      <c r="C1841" s="629" t="s">
        <v>431</v>
      </c>
    </row>
    <row r="1842" spans="1:3">
      <c r="A1842" s="627">
        <v>6753</v>
      </c>
      <c r="B1842" s="628" t="s">
        <v>2056</v>
      </c>
      <c r="C1842" s="629" t="s">
        <v>431</v>
      </c>
    </row>
    <row r="1843" spans="1:3">
      <c r="A1843" s="627">
        <v>6754</v>
      </c>
      <c r="B1843" s="628" t="s">
        <v>2061</v>
      </c>
      <c r="C1843" s="629" t="s">
        <v>431</v>
      </c>
    </row>
    <row r="1844" spans="1:3">
      <c r="A1844" s="627">
        <v>6755</v>
      </c>
      <c r="B1844" s="628" t="s">
        <v>2062</v>
      </c>
      <c r="C1844" s="629" t="s">
        <v>431</v>
      </c>
    </row>
    <row r="1845" spans="1:3">
      <c r="A1845" s="627">
        <v>6756</v>
      </c>
      <c r="B1845" s="628" t="s">
        <v>2063</v>
      </c>
      <c r="C1845" s="629" t="s">
        <v>431</v>
      </c>
    </row>
    <row r="1846" spans="1:3">
      <c r="A1846" s="627">
        <v>6757</v>
      </c>
      <c r="B1846" s="628" t="s">
        <v>2056</v>
      </c>
      <c r="C1846" s="629" t="s">
        <v>431</v>
      </c>
    </row>
    <row r="1847" spans="1:3">
      <c r="A1847" s="627">
        <v>6758</v>
      </c>
      <c r="B1847" s="628" t="s">
        <v>2065</v>
      </c>
      <c r="C1847" s="629" t="s">
        <v>431</v>
      </c>
    </row>
    <row r="1848" spans="1:3">
      <c r="A1848" s="627">
        <v>6760</v>
      </c>
      <c r="B1848" s="628" t="s">
        <v>2066</v>
      </c>
      <c r="C1848" s="629" t="s">
        <v>431</v>
      </c>
    </row>
    <row r="1849" spans="1:3">
      <c r="A1849" s="627">
        <v>6762</v>
      </c>
      <c r="B1849" s="628" t="s">
        <v>2067</v>
      </c>
      <c r="C1849" s="629" t="s">
        <v>431</v>
      </c>
    </row>
    <row r="1850" spans="1:3">
      <c r="A1850" s="627">
        <v>6763</v>
      </c>
      <c r="B1850" s="628" t="s">
        <v>2068</v>
      </c>
      <c r="C1850" s="629" t="s">
        <v>431</v>
      </c>
    </row>
    <row r="1851" spans="1:3">
      <c r="A1851" s="627">
        <v>6764</v>
      </c>
      <c r="B1851" s="628" t="s">
        <v>2069</v>
      </c>
      <c r="C1851" s="629" t="s">
        <v>431</v>
      </c>
    </row>
    <row r="1852" spans="1:3">
      <c r="A1852" s="627">
        <v>6765</v>
      </c>
      <c r="B1852" s="628" t="s">
        <v>2070</v>
      </c>
      <c r="C1852" s="629" t="s">
        <v>431</v>
      </c>
    </row>
    <row r="1853" spans="1:3">
      <c r="A1853" s="627">
        <v>6766</v>
      </c>
      <c r="B1853" s="628" t="s">
        <v>2071</v>
      </c>
      <c r="C1853" s="629" t="s">
        <v>431</v>
      </c>
    </row>
    <row r="1854" spans="1:3">
      <c r="A1854" s="627">
        <v>6767</v>
      </c>
      <c r="B1854" s="628" t="s">
        <v>2072</v>
      </c>
      <c r="C1854" s="629" t="s">
        <v>431</v>
      </c>
    </row>
    <row r="1855" spans="1:3">
      <c r="A1855" s="627">
        <v>6768</v>
      </c>
      <c r="B1855" s="628" t="s">
        <v>2073</v>
      </c>
      <c r="C1855" s="629" t="s">
        <v>431</v>
      </c>
    </row>
    <row r="1856" spans="1:3">
      <c r="A1856" s="627">
        <v>6769</v>
      </c>
      <c r="B1856" s="628" t="s">
        <v>2074</v>
      </c>
      <c r="C1856" s="629" t="s">
        <v>431</v>
      </c>
    </row>
    <row r="1857" spans="1:3">
      <c r="A1857" s="627">
        <v>6771</v>
      </c>
      <c r="B1857" s="628" t="s">
        <v>2056</v>
      </c>
      <c r="C1857" s="629" t="s">
        <v>431</v>
      </c>
    </row>
    <row r="1858" spans="1:3">
      <c r="A1858" s="627">
        <v>6772</v>
      </c>
      <c r="B1858" s="628" t="s">
        <v>2076</v>
      </c>
      <c r="C1858" s="629" t="s">
        <v>431</v>
      </c>
    </row>
    <row r="1859" spans="1:3">
      <c r="A1859" s="627">
        <v>6773</v>
      </c>
      <c r="B1859" s="628" t="s">
        <v>2077</v>
      </c>
      <c r="C1859" s="629" t="s">
        <v>431</v>
      </c>
    </row>
    <row r="1860" spans="1:3">
      <c r="A1860" s="627">
        <v>6774</v>
      </c>
      <c r="B1860" s="628" t="s">
        <v>2078</v>
      </c>
      <c r="C1860" s="629" t="s">
        <v>431</v>
      </c>
    </row>
    <row r="1861" spans="1:3">
      <c r="A1861" s="627">
        <v>6775</v>
      </c>
      <c r="B1861" s="628" t="s">
        <v>2079</v>
      </c>
      <c r="C1861" s="629" t="s">
        <v>431</v>
      </c>
    </row>
    <row r="1862" spans="1:3">
      <c r="A1862" s="627">
        <v>6781</v>
      </c>
      <c r="B1862" s="628" t="s">
        <v>2080</v>
      </c>
      <c r="C1862" s="629" t="s">
        <v>431</v>
      </c>
    </row>
    <row r="1863" spans="1:3">
      <c r="A1863" s="627">
        <v>6782</v>
      </c>
      <c r="B1863" s="628" t="s">
        <v>2081</v>
      </c>
      <c r="C1863" s="629" t="s">
        <v>431</v>
      </c>
    </row>
    <row r="1864" spans="1:3">
      <c r="A1864" s="627">
        <v>6783</v>
      </c>
      <c r="B1864" s="628" t="s">
        <v>2082</v>
      </c>
      <c r="C1864" s="629" t="s">
        <v>431</v>
      </c>
    </row>
    <row r="1865" spans="1:3">
      <c r="A1865" s="627">
        <v>6784</v>
      </c>
      <c r="B1865" s="628" t="s">
        <v>2083</v>
      </c>
      <c r="C1865" s="629" t="s">
        <v>431</v>
      </c>
    </row>
    <row r="1866" spans="1:3">
      <c r="A1866" s="627">
        <v>6785</v>
      </c>
      <c r="B1866" s="628" t="s">
        <v>2084</v>
      </c>
      <c r="C1866" s="629" t="s">
        <v>431</v>
      </c>
    </row>
    <row r="1867" spans="1:3">
      <c r="A1867" s="627">
        <v>6786</v>
      </c>
      <c r="B1867" s="628" t="s">
        <v>2085</v>
      </c>
      <c r="C1867" s="629" t="s">
        <v>431</v>
      </c>
    </row>
    <row r="1868" spans="1:3">
      <c r="A1868" s="627">
        <v>6787</v>
      </c>
      <c r="B1868" s="628" t="s">
        <v>2086</v>
      </c>
      <c r="C1868" s="629" t="s">
        <v>431</v>
      </c>
    </row>
    <row r="1869" spans="1:3">
      <c r="A1869" s="627">
        <v>6791</v>
      </c>
      <c r="B1869" s="628" t="s">
        <v>2056</v>
      </c>
      <c r="C1869" s="629" t="s">
        <v>431</v>
      </c>
    </row>
    <row r="1870" spans="1:3">
      <c r="A1870" s="627">
        <v>6792</v>
      </c>
      <c r="B1870" s="628" t="s">
        <v>2088</v>
      </c>
      <c r="C1870" s="629" t="s">
        <v>431</v>
      </c>
    </row>
    <row r="1871" spans="1:3">
      <c r="A1871" s="627">
        <v>6793</v>
      </c>
      <c r="B1871" s="628" t="s">
        <v>2089</v>
      </c>
      <c r="C1871" s="629" t="s">
        <v>431</v>
      </c>
    </row>
    <row r="1872" spans="1:3">
      <c r="A1872" s="627">
        <v>6794</v>
      </c>
      <c r="B1872" s="628" t="s">
        <v>2090</v>
      </c>
      <c r="C1872" s="629" t="s">
        <v>431</v>
      </c>
    </row>
    <row r="1873" spans="1:3">
      <c r="A1873" s="627">
        <v>6795</v>
      </c>
      <c r="B1873" s="628" t="s">
        <v>2091</v>
      </c>
      <c r="C1873" s="629" t="s">
        <v>431</v>
      </c>
    </row>
    <row r="1874" spans="1:3">
      <c r="A1874" s="627">
        <v>6800</v>
      </c>
      <c r="B1874" s="628" t="s">
        <v>2092</v>
      </c>
      <c r="C1874" s="629" t="s">
        <v>431</v>
      </c>
    </row>
    <row r="1875" spans="1:3">
      <c r="A1875" s="627">
        <v>6806</v>
      </c>
      <c r="B1875" s="628" t="s">
        <v>2092</v>
      </c>
      <c r="C1875" s="629" t="s">
        <v>431</v>
      </c>
    </row>
    <row r="1876" spans="1:3">
      <c r="A1876" s="627">
        <v>6821</v>
      </c>
      <c r="B1876" s="628" t="s">
        <v>2094</v>
      </c>
      <c r="C1876" s="629" t="s">
        <v>431</v>
      </c>
    </row>
    <row r="1877" spans="1:3">
      <c r="A1877" s="627">
        <v>6900</v>
      </c>
      <c r="B1877" s="628" t="s">
        <v>2095</v>
      </c>
      <c r="C1877" s="629" t="s">
        <v>431</v>
      </c>
    </row>
    <row r="1878" spans="1:3">
      <c r="A1878" s="627">
        <v>6903</v>
      </c>
      <c r="B1878" s="628" t="s">
        <v>2095</v>
      </c>
      <c r="C1878" s="629" t="s">
        <v>431</v>
      </c>
    </row>
    <row r="1879" spans="1:3">
      <c r="A1879" s="627">
        <v>6911</v>
      </c>
      <c r="B1879" s="628" t="s">
        <v>2097</v>
      </c>
      <c r="C1879" s="629" t="s">
        <v>431</v>
      </c>
    </row>
    <row r="1880" spans="1:3">
      <c r="A1880" s="627">
        <v>6912</v>
      </c>
      <c r="B1880" s="628" t="s">
        <v>2098</v>
      </c>
      <c r="C1880" s="629" t="s">
        <v>431</v>
      </c>
    </row>
    <row r="1881" spans="1:3">
      <c r="A1881" s="627">
        <v>6913</v>
      </c>
      <c r="B1881" s="628" t="s">
        <v>2099</v>
      </c>
      <c r="C1881" s="629" t="s">
        <v>431</v>
      </c>
    </row>
    <row r="1882" spans="1:3">
      <c r="A1882" s="627">
        <v>6914</v>
      </c>
      <c r="B1882" s="628" t="s">
        <v>2100</v>
      </c>
      <c r="C1882" s="629" t="s">
        <v>431</v>
      </c>
    </row>
    <row r="1883" spans="1:3">
      <c r="A1883" s="627">
        <v>6915</v>
      </c>
      <c r="B1883" s="628" t="s">
        <v>2101</v>
      </c>
      <c r="C1883" s="629" t="s">
        <v>431</v>
      </c>
    </row>
    <row r="1884" spans="1:3">
      <c r="A1884" s="627">
        <v>6916</v>
      </c>
      <c r="B1884" s="628" t="s">
        <v>2102</v>
      </c>
      <c r="C1884" s="629" t="s">
        <v>431</v>
      </c>
    </row>
    <row r="1885" spans="1:3">
      <c r="A1885" s="627">
        <v>6917</v>
      </c>
      <c r="B1885" s="628" t="s">
        <v>2103</v>
      </c>
      <c r="C1885" s="629" t="s">
        <v>431</v>
      </c>
    </row>
    <row r="1886" spans="1:3">
      <c r="A1886" s="627">
        <v>6921</v>
      </c>
      <c r="B1886" s="628" t="s">
        <v>2104</v>
      </c>
      <c r="C1886" s="629" t="s">
        <v>431</v>
      </c>
    </row>
    <row r="1887" spans="1:3">
      <c r="A1887" s="627">
        <v>6922</v>
      </c>
      <c r="B1887" s="628" t="s">
        <v>2105</v>
      </c>
      <c r="C1887" s="629" t="s">
        <v>431</v>
      </c>
    </row>
    <row r="1888" spans="1:3">
      <c r="A1888" s="627">
        <v>6923</v>
      </c>
      <c r="B1888" s="628" t="s">
        <v>2106</v>
      </c>
      <c r="C1888" s="629" t="s">
        <v>431</v>
      </c>
    </row>
    <row r="1889" spans="1:3">
      <c r="A1889" s="627">
        <v>6931</v>
      </c>
      <c r="B1889" s="628" t="s">
        <v>2107</v>
      </c>
      <c r="C1889" s="629" t="s">
        <v>431</v>
      </c>
    </row>
    <row r="1890" spans="1:3">
      <c r="A1890" s="627">
        <v>6932</v>
      </c>
      <c r="B1890" s="628" t="s">
        <v>2108</v>
      </c>
      <c r="C1890" s="629" t="s">
        <v>431</v>
      </c>
    </row>
    <row r="1891" spans="1:3">
      <c r="A1891" s="627">
        <v>6933</v>
      </c>
      <c r="B1891" s="628" t="s">
        <v>2109</v>
      </c>
      <c r="C1891" s="629" t="s">
        <v>431</v>
      </c>
    </row>
    <row r="1892" spans="1:3">
      <c r="A1892" s="627">
        <v>7000</v>
      </c>
      <c r="B1892" s="628" t="s">
        <v>2110</v>
      </c>
      <c r="C1892" s="629" t="s">
        <v>402</v>
      </c>
    </row>
    <row r="1893" spans="1:3">
      <c r="A1893" s="627">
        <v>7003</v>
      </c>
      <c r="B1893" s="628" t="s">
        <v>2110</v>
      </c>
      <c r="C1893" s="629" t="s">
        <v>402</v>
      </c>
    </row>
    <row r="1894" spans="1:3">
      <c r="A1894" s="627">
        <v>7011</v>
      </c>
      <c r="B1894" s="628" t="s">
        <v>2112</v>
      </c>
      <c r="C1894" s="629" t="s">
        <v>402</v>
      </c>
    </row>
    <row r="1895" spans="1:3">
      <c r="A1895" s="627">
        <v>7012</v>
      </c>
      <c r="B1895" s="628" t="s">
        <v>2113</v>
      </c>
      <c r="C1895" s="629" t="s">
        <v>402</v>
      </c>
    </row>
    <row r="1896" spans="1:3">
      <c r="A1896" s="627">
        <v>7013</v>
      </c>
      <c r="B1896" s="628" t="s">
        <v>2114</v>
      </c>
      <c r="C1896" s="629" t="s">
        <v>402</v>
      </c>
    </row>
    <row r="1897" spans="1:3">
      <c r="A1897" s="627">
        <v>7014</v>
      </c>
      <c r="B1897" s="628" t="s">
        <v>2115</v>
      </c>
      <c r="C1897" s="629" t="s">
        <v>402</v>
      </c>
    </row>
    <row r="1898" spans="1:3">
      <c r="A1898" s="627">
        <v>7015</v>
      </c>
      <c r="B1898" s="628" t="s">
        <v>2116</v>
      </c>
      <c r="C1898" s="629" t="s">
        <v>402</v>
      </c>
    </row>
    <row r="1899" spans="1:3">
      <c r="A1899" s="627">
        <v>7016</v>
      </c>
      <c r="B1899" s="628" t="s">
        <v>2116</v>
      </c>
      <c r="C1899" s="629" t="s">
        <v>402</v>
      </c>
    </row>
    <row r="1900" spans="1:3">
      <c r="A1900" s="627">
        <v>7017</v>
      </c>
      <c r="B1900" s="628" t="s">
        <v>2118</v>
      </c>
      <c r="C1900" s="629" t="s">
        <v>402</v>
      </c>
    </row>
    <row r="1901" spans="1:3">
      <c r="A1901" s="627">
        <v>7018</v>
      </c>
      <c r="B1901" s="628" t="s">
        <v>2110</v>
      </c>
      <c r="C1901" s="629" t="s">
        <v>402</v>
      </c>
    </row>
    <row r="1902" spans="1:3">
      <c r="A1902" s="627">
        <v>7019</v>
      </c>
      <c r="B1902" s="628" t="s">
        <v>2110</v>
      </c>
      <c r="C1902" s="629" t="s">
        <v>402</v>
      </c>
    </row>
    <row r="1903" spans="1:3">
      <c r="A1903" s="627">
        <v>7020</v>
      </c>
      <c r="B1903" s="628" t="s">
        <v>1424</v>
      </c>
      <c r="C1903" s="629" t="s">
        <v>435</v>
      </c>
    </row>
    <row r="1904" spans="1:3">
      <c r="A1904" s="627">
        <v>7025</v>
      </c>
      <c r="B1904" s="628" t="s">
        <v>1425</v>
      </c>
      <c r="C1904" s="629" t="s">
        <v>435</v>
      </c>
    </row>
    <row r="1905" spans="1:3">
      <c r="A1905" s="627">
        <v>7026</v>
      </c>
      <c r="B1905" s="628" t="s">
        <v>1426</v>
      </c>
      <c r="C1905" s="629" t="s">
        <v>435</v>
      </c>
    </row>
    <row r="1906" spans="1:3">
      <c r="A1906" s="627">
        <v>7027</v>
      </c>
      <c r="B1906" s="628" t="s">
        <v>1427</v>
      </c>
      <c r="C1906" s="629" t="s">
        <v>435</v>
      </c>
    </row>
    <row r="1907" spans="1:3">
      <c r="A1907" s="627">
        <v>7030</v>
      </c>
      <c r="B1907" s="628" t="s">
        <v>1427</v>
      </c>
      <c r="C1907" s="629" t="s">
        <v>435</v>
      </c>
    </row>
    <row r="1908" spans="1:3">
      <c r="A1908" s="627">
        <v>7038</v>
      </c>
      <c r="B1908" s="628" t="s">
        <v>1428</v>
      </c>
      <c r="C1908" s="629" t="s">
        <v>435</v>
      </c>
    </row>
    <row r="1909" spans="1:3">
      <c r="A1909" s="627">
        <v>7039</v>
      </c>
      <c r="B1909" s="628" t="s">
        <v>1429</v>
      </c>
      <c r="C1909" s="629" t="s">
        <v>435</v>
      </c>
    </row>
    <row r="1910" spans="1:3">
      <c r="A1910" s="627">
        <v>7041</v>
      </c>
      <c r="B1910" s="628" t="s">
        <v>1430</v>
      </c>
      <c r="C1910" s="629" t="s">
        <v>402</v>
      </c>
    </row>
    <row r="1911" spans="1:3">
      <c r="A1911" s="627">
        <v>7042</v>
      </c>
      <c r="B1911" s="628" t="s">
        <v>1431</v>
      </c>
      <c r="C1911" s="629" t="s">
        <v>435</v>
      </c>
    </row>
    <row r="1912" spans="1:3">
      <c r="A1912" s="627">
        <v>7043</v>
      </c>
      <c r="B1912" s="628" t="s">
        <v>1432</v>
      </c>
      <c r="C1912" s="629" t="s">
        <v>435</v>
      </c>
    </row>
    <row r="1913" spans="1:3">
      <c r="A1913" s="627">
        <v>7044</v>
      </c>
      <c r="B1913" s="628" t="s">
        <v>1433</v>
      </c>
      <c r="C1913" s="629" t="s">
        <v>435</v>
      </c>
    </row>
    <row r="1914" spans="1:3">
      <c r="A1914" s="627">
        <v>7045</v>
      </c>
      <c r="B1914" s="628" t="s">
        <v>1434</v>
      </c>
      <c r="C1914" s="629" t="s">
        <v>435</v>
      </c>
    </row>
    <row r="1915" spans="1:3">
      <c r="A1915" s="627">
        <v>7047</v>
      </c>
      <c r="B1915" s="628" t="s">
        <v>1435</v>
      </c>
      <c r="C1915" s="629" t="s">
        <v>435</v>
      </c>
    </row>
    <row r="1916" spans="1:3">
      <c r="A1916" s="627">
        <v>7051</v>
      </c>
      <c r="B1916" s="628" t="s">
        <v>1436</v>
      </c>
      <c r="C1916" s="629" t="s">
        <v>435</v>
      </c>
    </row>
    <row r="1917" spans="1:3">
      <c r="A1917" s="627">
        <v>7052</v>
      </c>
      <c r="B1917" s="628" t="s">
        <v>1437</v>
      </c>
      <c r="C1917" s="629" t="s">
        <v>435</v>
      </c>
    </row>
    <row r="1918" spans="1:3">
      <c r="A1918" s="627">
        <v>7054</v>
      </c>
      <c r="B1918" s="628" t="s">
        <v>1438</v>
      </c>
      <c r="C1918" s="629" t="s">
        <v>435</v>
      </c>
    </row>
    <row r="1919" spans="1:3">
      <c r="A1919" s="627">
        <v>7056</v>
      </c>
      <c r="B1919" s="628" t="s">
        <v>1440</v>
      </c>
      <c r="C1919" s="629" t="s">
        <v>435</v>
      </c>
    </row>
    <row r="1920" spans="1:3">
      <c r="A1920" s="627">
        <v>7057</v>
      </c>
      <c r="B1920" s="628" t="s">
        <v>1441</v>
      </c>
      <c r="C1920" s="629" t="s">
        <v>435</v>
      </c>
    </row>
    <row r="1921" spans="1:3">
      <c r="A1921" s="627">
        <v>7061</v>
      </c>
      <c r="B1921" s="628" t="s">
        <v>1442</v>
      </c>
      <c r="C1921" s="629" t="s">
        <v>435</v>
      </c>
    </row>
    <row r="1922" spans="1:3">
      <c r="A1922" s="627">
        <v>7062</v>
      </c>
      <c r="B1922" s="628" t="s">
        <v>1443</v>
      </c>
      <c r="C1922" s="629" t="s">
        <v>435</v>
      </c>
    </row>
    <row r="1923" spans="1:3">
      <c r="A1923" s="627">
        <v>7063</v>
      </c>
      <c r="B1923" s="628" t="s">
        <v>1444</v>
      </c>
      <c r="C1923" s="629" t="s">
        <v>435</v>
      </c>
    </row>
    <row r="1924" spans="1:3">
      <c r="A1924" s="627">
        <v>7064</v>
      </c>
      <c r="B1924" s="628" t="s">
        <v>1445</v>
      </c>
      <c r="C1924" s="629" t="s">
        <v>435</v>
      </c>
    </row>
    <row r="1925" spans="1:3">
      <c r="A1925" s="627">
        <v>7065</v>
      </c>
      <c r="B1925" s="628" t="s">
        <v>1446</v>
      </c>
      <c r="C1925" s="629" t="s">
        <v>435</v>
      </c>
    </row>
    <row r="1926" spans="1:3">
      <c r="A1926" s="627">
        <v>7066</v>
      </c>
      <c r="B1926" s="628" t="s">
        <v>1447</v>
      </c>
      <c r="C1926" s="629" t="s">
        <v>435</v>
      </c>
    </row>
    <row r="1927" spans="1:3">
      <c r="A1927" s="627">
        <v>7067</v>
      </c>
      <c r="B1927" s="628" t="s">
        <v>1448</v>
      </c>
      <c r="C1927" s="629" t="s">
        <v>435</v>
      </c>
    </row>
    <row r="1928" spans="1:3">
      <c r="A1928" s="627">
        <v>7068</v>
      </c>
      <c r="B1928" s="628" t="s">
        <v>1449</v>
      </c>
      <c r="C1928" s="629" t="s">
        <v>435</v>
      </c>
    </row>
    <row r="1929" spans="1:3">
      <c r="A1929" s="627">
        <v>7071</v>
      </c>
      <c r="B1929" s="628" t="s">
        <v>1450</v>
      </c>
      <c r="C1929" s="629" t="s">
        <v>435</v>
      </c>
    </row>
    <row r="1930" spans="1:3">
      <c r="A1930" s="627">
        <v>7072</v>
      </c>
      <c r="B1930" s="628" t="s">
        <v>1451</v>
      </c>
      <c r="C1930" s="629" t="s">
        <v>435</v>
      </c>
    </row>
    <row r="1931" spans="1:3">
      <c r="A1931" s="627">
        <v>7081</v>
      </c>
      <c r="B1931" s="628" t="s">
        <v>1452</v>
      </c>
      <c r="C1931" s="629" t="s">
        <v>435</v>
      </c>
    </row>
    <row r="1932" spans="1:3">
      <c r="A1932" s="627">
        <v>7082</v>
      </c>
      <c r="B1932" s="628" t="s">
        <v>1453</v>
      </c>
      <c r="C1932" s="629" t="s">
        <v>435</v>
      </c>
    </row>
    <row r="1933" spans="1:3">
      <c r="A1933" s="627">
        <v>7083</v>
      </c>
      <c r="B1933" s="628" t="s">
        <v>1454</v>
      </c>
      <c r="C1933" s="629" t="s">
        <v>435</v>
      </c>
    </row>
    <row r="1934" spans="1:3">
      <c r="A1934" s="627">
        <v>7084</v>
      </c>
      <c r="B1934" s="628" t="s">
        <v>1455</v>
      </c>
      <c r="C1934" s="629" t="s">
        <v>435</v>
      </c>
    </row>
    <row r="1935" spans="1:3">
      <c r="A1935" s="627">
        <v>7085</v>
      </c>
      <c r="B1935" s="628" t="s">
        <v>1456</v>
      </c>
      <c r="C1935" s="629" t="s">
        <v>435</v>
      </c>
    </row>
    <row r="1936" spans="1:3">
      <c r="A1936" s="627">
        <v>7086</v>
      </c>
      <c r="B1936" s="628" t="s">
        <v>1457</v>
      </c>
      <c r="C1936" s="629" t="s">
        <v>435</v>
      </c>
    </row>
    <row r="1937" spans="1:3">
      <c r="A1937" s="627">
        <v>7087</v>
      </c>
      <c r="B1937" s="628" t="s">
        <v>1458</v>
      </c>
      <c r="C1937" s="629" t="s">
        <v>435</v>
      </c>
    </row>
    <row r="1938" spans="1:3">
      <c r="A1938" s="627">
        <v>7090</v>
      </c>
      <c r="B1938" s="628" t="s">
        <v>1459</v>
      </c>
      <c r="C1938" s="629" t="s">
        <v>435</v>
      </c>
    </row>
    <row r="1939" spans="1:3">
      <c r="A1939" s="627">
        <v>7091</v>
      </c>
      <c r="B1939" s="628" t="s">
        <v>1351</v>
      </c>
      <c r="C1939" s="629" t="s">
        <v>435</v>
      </c>
    </row>
    <row r="1940" spans="1:3">
      <c r="A1940" s="627">
        <v>7092</v>
      </c>
      <c r="B1940" s="628" t="s">
        <v>1461</v>
      </c>
      <c r="C1940" s="629" t="s">
        <v>435</v>
      </c>
    </row>
    <row r="1941" spans="1:3">
      <c r="A1941" s="627">
        <v>7093</v>
      </c>
      <c r="B1941" s="628" t="s">
        <v>1462</v>
      </c>
      <c r="C1941" s="629" t="s">
        <v>435</v>
      </c>
    </row>
    <row r="1942" spans="1:3">
      <c r="A1942" s="627">
        <v>7094</v>
      </c>
      <c r="B1942" s="628" t="s">
        <v>1463</v>
      </c>
      <c r="C1942" s="629" t="s">
        <v>435</v>
      </c>
    </row>
    <row r="1943" spans="1:3">
      <c r="A1943" s="627">
        <v>7095</v>
      </c>
      <c r="B1943" s="628" t="s">
        <v>1352</v>
      </c>
      <c r="C1943" s="629" t="s">
        <v>435</v>
      </c>
    </row>
    <row r="1944" spans="1:3">
      <c r="A1944" s="627">
        <v>7095</v>
      </c>
      <c r="B1944" s="628" t="s">
        <v>1464</v>
      </c>
      <c r="C1944" s="629" t="s">
        <v>435</v>
      </c>
    </row>
    <row r="1945" spans="1:3">
      <c r="A1945" s="627">
        <v>7097</v>
      </c>
      <c r="B1945" s="628" t="s">
        <v>1465</v>
      </c>
      <c r="C1945" s="629" t="s">
        <v>435</v>
      </c>
    </row>
    <row r="1946" spans="1:3">
      <c r="A1946" s="627">
        <v>7098</v>
      </c>
      <c r="B1946" s="628" t="s">
        <v>1466</v>
      </c>
      <c r="C1946" s="629" t="s">
        <v>435</v>
      </c>
    </row>
    <row r="1947" spans="1:3">
      <c r="A1947" s="627">
        <v>7099</v>
      </c>
      <c r="B1947" s="628" t="s">
        <v>1467</v>
      </c>
      <c r="C1947" s="629" t="s">
        <v>435</v>
      </c>
    </row>
    <row r="1948" spans="1:3">
      <c r="A1948" s="627">
        <v>7100</v>
      </c>
      <c r="B1948" s="628" t="s">
        <v>1468</v>
      </c>
      <c r="C1948" s="629" t="s">
        <v>435</v>
      </c>
    </row>
    <row r="1949" spans="1:3">
      <c r="A1949" s="627">
        <v>7121</v>
      </c>
      <c r="B1949" s="628" t="s">
        <v>1469</v>
      </c>
      <c r="C1949" s="629" t="s">
        <v>435</v>
      </c>
    </row>
    <row r="1950" spans="1:3">
      <c r="A1950" s="627">
        <v>7122</v>
      </c>
      <c r="B1950" s="628" t="s">
        <v>1470</v>
      </c>
      <c r="C1950" s="629" t="s">
        <v>435</v>
      </c>
    </row>
    <row r="1951" spans="1:3">
      <c r="A1951" s="627">
        <v>7130</v>
      </c>
      <c r="B1951" s="628" t="s">
        <v>435</v>
      </c>
      <c r="C1951" s="629" t="s">
        <v>435</v>
      </c>
    </row>
    <row r="1952" spans="1:3">
      <c r="A1952" s="627">
        <v>7131</v>
      </c>
      <c r="B1952" s="628" t="s">
        <v>435</v>
      </c>
      <c r="C1952" s="629" t="s">
        <v>435</v>
      </c>
    </row>
    <row r="1953" spans="1:3">
      <c r="A1953" s="627">
        <v>7132</v>
      </c>
      <c r="B1953" s="628" t="s">
        <v>1472</v>
      </c>
      <c r="C1953" s="629" t="s">
        <v>435</v>
      </c>
    </row>
    <row r="1954" spans="1:3">
      <c r="A1954" s="627">
        <v>7133</v>
      </c>
      <c r="B1954" s="628" t="s">
        <v>1354</v>
      </c>
      <c r="C1954" s="629" t="s">
        <v>435</v>
      </c>
    </row>
    <row r="1955" spans="1:3">
      <c r="A1955" s="627">
        <v>7134</v>
      </c>
      <c r="B1955" s="628" t="s">
        <v>1474</v>
      </c>
      <c r="C1955" s="629" t="s">
        <v>435</v>
      </c>
    </row>
    <row r="1956" spans="1:3">
      <c r="A1956" s="627">
        <v>7135</v>
      </c>
      <c r="B1956" s="628" t="s">
        <v>1475</v>
      </c>
      <c r="C1956" s="629" t="s">
        <v>435</v>
      </c>
    </row>
    <row r="1957" spans="1:3">
      <c r="A1957" s="627">
        <v>7136</v>
      </c>
      <c r="B1957" s="628" t="s">
        <v>1476</v>
      </c>
      <c r="C1957" s="629" t="s">
        <v>435</v>
      </c>
    </row>
    <row r="1958" spans="1:3">
      <c r="A1958" s="627">
        <v>7140</v>
      </c>
      <c r="B1958" s="628" t="s">
        <v>1478</v>
      </c>
      <c r="C1958" s="629" t="s">
        <v>435</v>
      </c>
    </row>
    <row r="1959" spans="1:3">
      <c r="A1959" s="627">
        <v>7142</v>
      </c>
      <c r="B1959" s="628" t="s">
        <v>1479</v>
      </c>
      <c r="C1959" s="629" t="s">
        <v>435</v>
      </c>
    </row>
    <row r="1960" spans="1:3">
      <c r="A1960" s="627">
        <v>7143</v>
      </c>
      <c r="B1960" s="628" t="s">
        <v>1480</v>
      </c>
      <c r="C1960" s="629" t="s">
        <v>435</v>
      </c>
    </row>
    <row r="1961" spans="1:3">
      <c r="A1961" s="627">
        <v>7144</v>
      </c>
      <c r="B1961" s="628" t="s">
        <v>1481</v>
      </c>
      <c r="C1961" s="629" t="s">
        <v>435</v>
      </c>
    </row>
    <row r="1962" spans="1:3">
      <c r="A1962" s="627">
        <v>7145</v>
      </c>
      <c r="B1962" s="628" t="s">
        <v>1482</v>
      </c>
      <c r="C1962" s="629" t="s">
        <v>435</v>
      </c>
    </row>
    <row r="1963" spans="1:3">
      <c r="A1963" s="627">
        <v>7146</v>
      </c>
      <c r="B1963" s="628" t="s">
        <v>1483</v>
      </c>
      <c r="C1963" s="629" t="s">
        <v>435</v>
      </c>
    </row>
    <row r="1964" spans="1:3">
      <c r="A1964" s="627">
        <v>7147</v>
      </c>
      <c r="B1964" s="628" t="s">
        <v>1195</v>
      </c>
      <c r="C1964" s="629" t="s">
        <v>435</v>
      </c>
    </row>
    <row r="1965" spans="1:3">
      <c r="A1965" s="627">
        <v>7148</v>
      </c>
      <c r="B1965" s="628" t="s">
        <v>1196</v>
      </c>
      <c r="C1965" s="629" t="s">
        <v>435</v>
      </c>
    </row>
    <row r="1966" spans="1:3">
      <c r="A1966" s="627">
        <v>7149</v>
      </c>
      <c r="B1966" s="628" t="s">
        <v>1197</v>
      </c>
      <c r="C1966" s="629" t="s">
        <v>435</v>
      </c>
    </row>
    <row r="1967" spans="1:3">
      <c r="A1967" s="627">
        <v>7150</v>
      </c>
      <c r="B1967" s="631" t="s">
        <v>1198</v>
      </c>
      <c r="C1967" s="632" t="s">
        <v>412</v>
      </c>
    </row>
    <row r="1968" spans="1:3">
      <c r="A1968" s="627">
        <v>7158</v>
      </c>
      <c r="B1968" s="628" t="s">
        <v>1199</v>
      </c>
      <c r="C1968" s="629" t="s">
        <v>435</v>
      </c>
    </row>
    <row r="1969" spans="1:3">
      <c r="A1969" s="627">
        <v>7159</v>
      </c>
      <c r="B1969" s="628" t="s">
        <v>1200</v>
      </c>
      <c r="C1969" s="629" t="s">
        <v>435</v>
      </c>
    </row>
    <row r="1970" spans="1:3">
      <c r="A1970" s="627">
        <v>7161</v>
      </c>
      <c r="B1970" s="628" t="s">
        <v>3856</v>
      </c>
      <c r="C1970" s="629" t="s">
        <v>3180</v>
      </c>
    </row>
    <row r="1971" spans="1:3">
      <c r="A1971" s="627">
        <v>7162</v>
      </c>
      <c r="B1971" s="628" t="s">
        <v>1355</v>
      </c>
      <c r="C1971" s="629" t="s">
        <v>435</v>
      </c>
    </row>
    <row r="1972" spans="1:3">
      <c r="A1972" s="627">
        <v>7163</v>
      </c>
      <c r="B1972" s="628" t="s">
        <v>1203</v>
      </c>
      <c r="C1972" s="629" t="s">
        <v>435</v>
      </c>
    </row>
    <row r="1973" spans="1:3">
      <c r="A1973" s="627">
        <v>7164</v>
      </c>
      <c r="B1973" s="628" t="s">
        <v>1204</v>
      </c>
      <c r="C1973" s="629" t="s">
        <v>435</v>
      </c>
    </row>
    <row r="1974" spans="1:3">
      <c r="A1974" s="627">
        <v>7165</v>
      </c>
      <c r="B1974" s="628" t="s">
        <v>1205</v>
      </c>
      <c r="C1974" s="629" t="s">
        <v>435</v>
      </c>
    </row>
    <row r="1975" spans="1:3">
      <c r="A1975" s="627">
        <v>7171</v>
      </c>
      <c r="B1975" s="628" t="s">
        <v>1206</v>
      </c>
      <c r="C1975" s="629" t="s">
        <v>435</v>
      </c>
    </row>
    <row r="1976" spans="1:3">
      <c r="A1976" s="627">
        <v>7172</v>
      </c>
      <c r="B1976" s="628" t="s">
        <v>1207</v>
      </c>
      <c r="C1976" s="629" t="s">
        <v>435</v>
      </c>
    </row>
    <row r="1977" spans="1:3">
      <c r="A1977" s="627">
        <v>7173</v>
      </c>
      <c r="B1977" s="628" t="s">
        <v>1356</v>
      </c>
      <c r="C1977" s="629" t="s">
        <v>435</v>
      </c>
    </row>
    <row r="1978" spans="1:3">
      <c r="A1978" s="627">
        <v>7174</v>
      </c>
      <c r="B1978" s="628" t="s">
        <v>1209</v>
      </c>
      <c r="C1978" s="629" t="s">
        <v>435</v>
      </c>
    </row>
    <row r="1979" spans="1:3">
      <c r="A1979" s="627">
        <v>7175</v>
      </c>
      <c r="B1979" s="628" t="s">
        <v>1208</v>
      </c>
      <c r="C1979" s="629" t="s">
        <v>435</v>
      </c>
    </row>
    <row r="1980" spans="1:3">
      <c r="A1980" s="627">
        <v>7176</v>
      </c>
      <c r="B1980" s="628" t="s">
        <v>1211</v>
      </c>
      <c r="C1980" s="629" t="s">
        <v>435</v>
      </c>
    </row>
    <row r="1981" spans="1:3">
      <c r="A1981" s="627">
        <v>7181</v>
      </c>
      <c r="B1981" s="628" t="s">
        <v>1212</v>
      </c>
      <c r="C1981" s="629" t="s">
        <v>435</v>
      </c>
    </row>
    <row r="1982" spans="1:3">
      <c r="A1982" s="627">
        <v>7182</v>
      </c>
      <c r="B1982" s="628" t="s">
        <v>1213</v>
      </c>
      <c r="C1982" s="629" t="s">
        <v>435</v>
      </c>
    </row>
    <row r="1983" spans="1:3">
      <c r="A1983" s="627">
        <v>7183</v>
      </c>
      <c r="B1983" s="628" t="s">
        <v>1214</v>
      </c>
      <c r="C1983" s="629" t="s">
        <v>435</v>
      </c>
    </row>
    <row r="1984" spans="1:3">
      <c r="A1984" s="627">
        <v>7184</v>
      </c>
      <c r="B1984" s="628" t="s">
        <v>1357</v>
      </c>
      <c r="C1984" s="629" t="s">
        <v>435</v>
      </c>
    </row>
    <row r="1985" spans="1:3">
      <c r="A1985" s="627">
        <v>7184</v>
      </c>
      <c r="B1985" s="628" t="s">
        <v>1215</v>
      </c>
      <c r="C1985" s="629" t="s">
        <v>406</v>
      </c>
    </row>
    <row r="1986" spans="1:3">
      <c r="A1986" s="627">
        <v>7185</v>
      </c>
      <c r="B1986" s="628" t="s">
        <v>1216</v>
      </c>
      <c r="C1986" s="629" t="s">
        <v>435</v>
      </c>
    </row>
    <row r="1987" spans="1:3">
      <c r="A1987" s="627">
        <v>7186</v>
      </c>
      <c r="B1987" s="628" t="s">
        <v>1358</v>
      </c>
      <c r="C1987" s="629" t="s">
        <v>435</v>
      </c>
    </row>
    <row r="1988" spans="1:3">
      <c r="A1988" s="627">
        <v>7186</v>
      </c>
      <c r="B1988" s="628" t="s">
        <v>1217</v>
      </c>
      <c r="C1988" s="629" t="s">
        <v>435</v>
      </c>
    </row>
    <row r="1989" spans="1:3">
      <c r="A1989" s="627">
        <v>7187</v>
      </c>
      <c r="B1989" s="628" t="s">
        <v>1198</v>
      </c>
      <c r="C1989" s="629" t="s">
        <v>435</v>
      </c>
    </row>
    <row r="1990" spans="1:3">
      <c r="A1990" s="627">
        <v>7191</v>
      </c>
      <c r="B1990" s="628" t="s">
        <v>1219</v>
      </c>
      <c r="C1990" s="629" t="s">
        <v>435</v>
      </c>
    </row>
    <row r="1991" spans="1:3">
      <c r="A1991" s="627">
        <v>7192</v>
      </c>
      <c r="B1991" s="628" t="s">
        <v>1220</v>
      </c>
      <c r="C1991" s="629" t="s">
        <v>435</v>
      </c>
    </row>
    <row r="1992" spans="1:3">
      <c r="A1992" s="627">
        <v>7193</v>
      </c>
      <c r="B1992" s="628" t="s">
        <v>1221</v>
      </c>
      <c r="C1992" s="629" t="s">
        <v>435</v>
      </c>
    </row>
    <row r="1993" spans="1:3">
      <c r="A1993" s="627">
        <v>7194</v>
      </c>
      <c r="B1993" s="628" t="s">
        <v>1222</v>
      </c>
      <c r="C1993" s="629" t="s">
        <v>435</v>
      </c>
    </row>
    <row r="1994" spans="1:3">
      <c r="A1994" s="627">
        <v>7195</v>
      </c>
      <c r="B1994" s="628" t="s">
        <v>1223</v>
      </c>
      <c r="C1994" s="629" t="s">
        <v>435</v>
      </c>
    </row>
    <row r="1995" spans="1:3">
      <c r="A1995" s="627">
        <v>7200</v>
      </c>
      <c r="B1995" s="628" t="s">
        <v>1224</v>
      </c>
      <c r="C1995" s="629" t="s">
        <v>435</v>
      </c>
    </row>
    <row r="1996" spans="1:3">
      <c r="A1996" s="627">
        <v>7211</v>
      </c>
      <c r="B1996" s="628" t="s">
        <v>3895</v>
      </c>
      <c r="C1996" s="629" t="s">
        <v>435</v>
      </c>
    </row>
    <row r="1997" spans="1:3">
      <c r="A1997" s="627">
        <v>7212</v>
      </c>
      <c r="B1997" s="628" t="s">
        <v>3896</v>
      </c>
      <c r="C1997" s="629" t="s">
        <v>435</v>
      </c>
    </row>
    <row r="1998" spans="1:3">
      <c r="A1998" s="627">
        <v>7213</v>
      </c>
      <c r="B1998" s="628" t="s">
        <v>3897</v>
      </c>
      <c r="C1998" s="629" t="s">
        <v>435</v>
      </c>
    </row>
    <row r="1999" spans="1:3">
      <c r="A1999" s="627">
        <v>7214</v>
      </c>
      <c r="B1999" s="628" t="s">
        <v>1360</v>
      </c>
      <c r="C1999" s="629" t="s">
        <v>435</v>
      </c>
    </row>
    <row r="2000" spans="1:3">
      <c r="A2000" s="627">
        <v>7214</v>
      </c>
      <c r="B2000" s="628" t="s">
        <v>3898</v>
      </c>
      <c r="C2000" s="629" t="s">
        <v>435</v>
      </c>
    </row>
    <row r="2001" spans="1:3">
      <c r="A2001" s="627">
        <v>7215</v>
      </c>
      <c r="B2001" s="628" t="s">
        <v>3899</v>
      </c>
      <c r="C2001" s="629" t="s">
        <v>435</v>
      </c>
    </row>
    <row r="2002" spans="1:3">
      <c r="A2002" s="627">
        <v>7224</v>
      </c>
      <c r="B2002" s="628" t="s">
        <v>3900</v>
      </c>
      <c r="C2002" s="629" t="s">
        <v>435</v>
      </c>
    </row>
    <row r="2003" spans="1:3">
      <c r="A2003" s="627">
        <v>7225</v>
      </c>
      <c r="B2003" s="628" t="s">
        <v>3901</v>
      </c>
      <c r="C2003" s="629" t="s">
        <v>435</v>
      </c>
    </row>
    <row r="2004" spans="1:3">
      <c r="A2004" s="627">
        <v>7226</v>
      </c>
      <c r="B2004" s="628" t="s">
        <v>3902</v>
      </c>
      <c r="C2004" s="629" t="s">
        <v>435</v>
      </c>
    </row>
    <row r="2005" spans="1:3">
      <c r="A2005" s="627">
        <v>7227</v>
      </c>
      <c r="B2005" s="628" t="s">
        <v>3903</v>
      </c>
      <c r="C2005" s="629" t="s">
        <v>435</v>
      </c>
    </row>
    <row r="2006" spans="1:3">
      <c r="A2006" s="627">
        <v>7228</v>
      </c>
      <c r="B2006" s="628" t="s">
        <v>3904</v>
      </c>
      <c r="C2006" s="629" t="s">
        <v>435</v>
      </c>
    </row>
    <row r="2007" spans="1:3">
      <c r="A2007" s="627">
        <v>7251</v>
      </c>
      <c r="B2007" s="628" t="s">
        <v>3905</v>
      </c>
      <c r="C2007" s="629" t="s">
        <v>435</v>
      </c>
    </row>
    <row r="2008" spans="1:3">
      <c r="A2008" s="627">
        <v>7252</v>
      </c>
      <c r="B2008" s="628" t="s">
        <v>3906</v>
      </c>
      <c r="C2008" s="629" t="s">
        <v>435</v>
      </c>
    </row>
    <row r="2009" spans="1:3">
      <c r="A2009" s="627">
        <v>7253</v>
      </c>
      <c r="B2009" s="628" t="s">
        <v>1361</v>
      </c>
      <c r="C2009" s="629" t="s">
        <v>423</v>
      </c>
    </row>
    <row r="2010" spans="1:3">
      <c r="A2010" s="627">
        <v>7253</v>
      </c>
      <c r="B2010" s="628" t="s">
        <v>3907</v>
      </c>
      <c r="C2010" s="629" t="s">
        <v>423</v>
      </c>
    </row>
    <row r="2011" spans="1:3">
      <c r="A2011" s="627">
        <v>7255</v>
      </c>
      <c r="B2011" s="628" t="s">
        <v>3908</v>
      </c>
      <c r="C2011" s="629" t="s">
        <v>423</v>
      </c>
    </row>
    <row r="2012" spans="1:3">
      <c r="A2012" s="627">
        <v>7256</v>
      </c>
      <c r="B2012" s="628" t="s">
        <v>3909</v>
      </c>
      <c r="C2012" s="629" t="s">
        <v>423</v>
      </c>
    </row>
    <row r="2013" spans="1:3">
      <c r="A2013" s="627">
        <v>7257</v>
      </c>
      <c r="B2013" s="628" t="s">
        <v>3910</v>
      </c>
      <c r="C2013" s="629" t="s">
        <v>423</v>
      </c>
    </row>
    <row r="2014" spans="1:3">
      <c r="A2014" s="627">
        <v>7258</v>
      </c>
      <c r="B2014" s="628" t="s">
        <v>3911</v>
      </c>
      <c r="C2014" s="629" t="s">
        <v>423</v>
      </c>
    </row>
    <row r="2015" spans="1:3">
      <c r="A2015" s="627">
        <v>7258</v>
      </c>
      <c r="B2015" s="628" t="s">
        <v>3912</v>
      </c>
      <c r="C2015" s="629" t="s">
        <v>423</v>
      </c>
    </row>
    <row r="2016" spans="1:3">
      <c r="A2016" s="627">
        <v>7261</v>
      </c>
      <c r="B2016" s="628" t="s">
        <v>1362</v>
      </c>
      <c r="C2016" s="629" t="s">
        <v>423</v>
      </c>
    </row>
    <row r="2017" spans="1:3">
      <c r="A2017" s="627">
        <v>7261</v>
      </c>
      <c r="B2017" s="628" t="s">
        <v>3913</v>
      </c>
      <c r="C2017" s="629" t="s">
        <v>423</v>
      </c>
    </row>
    <row r="2018" spans="1:3">
      <c r="A2018" s="627">
        <v>7271</v>
      </c>
      <c r="B2018" s="628" t="s">
        <v>3914</v>
      </c>
      <c r="C2018" s="629" t="s">
        <v>423</v>
      </c>
    </row>
    <row r="2019" spans="1:3">
      <c r="A2019" s="627">
        <v>7272</v>
      </c>
      <c r="B2019" s="628" t="s">
        <v>1363</v>
      </c>
      <c r="C2019" s="629" t="s">
        <v>423</v>
      </c>
    </row>
    <row r="2020" spans="1:3">
      <c r="A2020" s="627">
        <v>7273</v>
      </c>
      <c r="B2020" s="628" t="s">
        <v>3916</v>
      </c>
      <c r="C2020" s="629" t="s">
        <v>423</v>
      </c>
    </row>
    <row r="2021" spans="1:3">
      <c r="A2021" s="627">
        <v>7274</v>
      </c>
      <c r="B2021" s="628" t="s">
        <v>3917</v>
      </c>
      <c r="C2021" s="629" t="s">
        <v>423</v>
      </c>
    </row>
    <row r="2022" spans="1:3">
      <c r="A2022" s="627">
        <v>7275</v>
      </c>
      <c r="B2022" s="628" t="s">
        <v>3918</v>
      </c>
      <c r="C2022" s="629" t="s">
        <v>423</v>
      </c>
    </row>
    <row r="2023" spans="1:3">
      <c r="A2023" s="627">
        <v>7276</v>
      </c>
      <c r="B2023" s="628" t="s">
        <v>3920</v>
      </c>
      <c r="C2023" s="629" t="s">
        <v>423</v>
      </c>
    </row>
    <row r="2024" spans="1:3">
      <c r="A2024" s="627">
        <v>7276</v>
      </c>
      <c r="B2024" s="628" t="s">
        <v>3919</v>
      </c>
      <c r="C2024" s="629" t="s">
        <v>423</v>
      </c>
    </row>
    <row r="2025" spans="1:3">
      <c r="A2025" s="627">
        <v>7279</v>
      </c>
      <c r="B2025" s="628" t="s">
        <v>3921</v>
      </c>
      <c r="C2025" s="629" t="s">
        <v>423</v>
      </c>
    </row>
    <row r="2026" spans="1:3">
      <c r="A2026" s="627">
        <v>7281</v>
      </c>
      <c r="B2026" s="628" t="s">
        <v>1364</v>
      </c>
      <c r="C2026" s="629" t="s">
        <v>423</v>
      </c>
    </row>
    <row r="2027" spans="1:3">
      <c r="A2027" s="627">
        <v>7282</v>
      </c>
      <c r="B2027" s="628" t="s">
        <v>3923</v>
      </c>
      <c r="C2027" s="629" t="s">
        <v>423</v>
      </c>
    </row>
    <row r="2028" spans="1:3">
      <c r="A2028" s="627">
        <v>7282</v>
      </c>
      <c r="B2028" s="628" t="s">
        <v>3922</v>
      </c>
      <c r="C2028" s="629" t="s">
        <v>423</v>
      </c>
    </row>
    <row r="2029" spans="1:3">
      <c r="A2029" s="627">
        <v>7283</v>
      </c>
      <c r="B2029" s="628" t="s">
        <v>3924</v>
      </c>
      <c r="C2029" s="629" t="s">
        <v>423</v>
      </c>
    </row>
    <row r="2030" spans="1:3">
      <c r="A2030" s="627">
        <v>7284</v>
      </c>
      <c r="B2030" s="628" t="s">
        <v>3925</v>
      </c>
      <c r="C2030" s="629" t="s">
        <v>423</v>
      </c>
    </row>
    <row r="2031" spans="1:3">
      <c r="A2031" s="627">
        <v>7285</v>
      </c>
      <c r="B2031" s="628" t="s">
        <v>1365</v>
      </c>
      <c r="C2031" s="629" t="s">
        <v>423</v>
      </c>
    </row>
    <row r="2032" spans="1:3">
      <c r="A2032" s="61">
        <v>7285</v>
      </c>
      <c r="B2032" s="637" t="s">
        <v>3926</v>
      </c>
      <c r="C2032" s="629" t="s">
        <v>423</v>
      </c>
    </row>
    <row r="2033" spans="1:3">
      <c r="A2033" s="627">
        <v>7285</v>
      </c>
      <c r="B2033" s="628" t="s">
        <v>1366</v>
      </c>
      <c r="C2033" s="629" t="s">
        <v>423</v>
      </c>
    </row>
    <row r="2034" spans="1:3">
      <c r="A2034" s="627">
        <v>7300</v>
      </c>
      <c r="B2034" s="628" t="s">
        <v>3928</v>
      </c>
      <c r="C2034" s="629" t="s">
        <v>406</v>
      </c>
    </row>
    <row r="2035" spans="1:3">
      <c r="A2035" s="627">
        <v>7300</v>
      </c>
      <c r="B2035" s="628" t="s">
        <v>3930</v>
      </c>
      <c r="C2035" s="629" t="s">
        <v>406</v>
      </c>
    </row>
    <row r="2036" spans="1:3">
      <c r="A2036" s="627">
        <v>7304</v>
      </c>
      <c r="B2036" s="628" t="s">
        <v>3929</v>
      </c>
      <c r="C2036" s="629" t="s">
        <v>406</v>
      </c>
    </row>
    <row r="2037" spans="1:3">
      <c r="A2037" s="627">
        <v>7305</v>
      </c>
      <c r="B2037" s="628" t="s">
        <v>3928</v>
      </c>
      <c r="C2037" s="629" t="s">
        <v>406</v>
      </c>
    </row>
    <row r="2038" spans="1:3">
      <c r="A2038" s="627">
        <v>7331</v>
      </c>
      <c r="B2038" s="628" t="s">
        <v>3933</v>
      </c>
      <c r="C2038" s="629" t="s">
        <v>406</v>
      </c>
    </row>
    <row r="2039" spans="1:3">
      <c r="A2039" s="627">
        <v>7332</v>
      </c>
      <c r="B2039" s="628" t="s">
        <v>3934</v>
      </c>
      <c r="C2039" s="629" t="s">
        <v>406</v>
      </c>
    </row>
    <row r="2040" spans="1:3">
      <c r="A2040" s="627">
        <v>7333</v>
      </c>
      <c r="B2040" s="628" t="s">
        <v>1370</v>
      </c>
      <c r="C2040" s="629" t="s">
        <v>406</v>
      </c>
    </row>
    <row r="2041" spans="1:3">
      <c r="A2041" s="627">
        <v>7333</v>
      </c>
      <c r="B2041" s="628" t="s">
        <v>3935</v>
      </c>
      <c r="C2041" s="629" t="s">
        <v>406</v>
      </c>
    </row>
    <row r="2042" spans="1:3">
      <c r="A2042" s="627">
        <v>7334</v>
      </c>
      <c r="B2042" s="628" t="s">
        <v>1371</v>
      </c>
      <c r="C2042" s="629" t="s">
        <v>406</v>
      </c>
    </row>
    <row r="2043" spans="1:3">
      <c r="A2043" s="627">
        <v>7334</v>
      </c>
      <c r="B2043" s="628" t="s">
        <v>3936</v>
      </c>
      <c r="C2043" s="629" t="s">
        <v>406</v>
      </c>
    </row>
    <row r="2044" spans="1:3">
      <c r="A2044" s="627">
        <v>7341</v>
      </c>
      <c r="B2044" s="628" t="s">
        <v>3937</v>
      </c>
      <c r="C2044" s="629" t="s">
        <v>435</v>
      </c>
    </row>
    <row r="2045" spans="1:3">
      <c r="A2045" s="627">
        <v>7342</v>
      </c>
      <c r="B2045" s="628" t="s">
        <v>3938</v>
      </c>
      <c r="C2045" s="629" t="s">
        <v>406</v>
      </c>
    </row>
    <row r="2046" spans="1:3">
      <c r="A2046" s="627">
        <v>7343</v>
      </c>
      <c r="B2046" s="628" t="s">
        <v>3939</v>
      </c>
      <c r="C2046" s="629" t="s">
        <v>406</v>
      </c>
    </row>
    <row r="2047" spans="1:3">
      <c r="A2047" s="627">
        <v>7344</v>
      </c>
      <c r="B2047" s="628" t="s">
        <v>3940</v>
      </c>
      <c r="C2047" s="629" t="s">
        <v>406</v>
      </c>
    </row>
    <row r="2048" spans="1:3">
      <c r="A2048" s="627">
        <v>7345</v>
      </c>
      <c r="B2048" s="628" t="s">
        <v>3941</v>
      </c>
      <c r="C2048" s="629" t="s">
        <v>406</v>
      </c>
    </row>
    <row r="2049" spans="1:3">
      <c r="A2049" s="627">
        <v>7346</v>
      </c>
      <c r="B2049" s="628" t="s">
        <v>3942</v>
      </c>
      <c r="C2049" s="629" t="s">
        <v>406</v>
      </c>
    </row>
    <row r="2050" spans="1:3">
      <c r="A2050" s="627">
        <v>7347</v>
      </c>
      <c r="B2050" s="628" t="s">
        <v>3943</v>
      </c>
      <c r="C2050" s="629" t="s">
        <v>406</v>
      </c>
    </row>
    <row r="2051" spans="1:3">
      <c r="A2051" s="627">
        <v>7348</v>
      </c>
      <c r="B2051" s="628" t="s">
        <v>1372</v>
      </c>
      <c r="C2051" s="629" t="s">
        <v>406</v>
      </c>
    </row>
    <row r="2052" spans="1:3">
      <c r="A2052" s="627">
        <v>7348</v>
      </c>
      <c r="B2052" s="628" t="s">
        <v>3944</v>
      </c>
      <c r="C2052" s="629" t="s">
        <v>406</v>
      </c>
    </row>
    <row r="2053" spans="1:3">
      <c r="A2053" s="627">
        <v>7349</v>
      </c>
      <c r="B2053" s="628" t="s">
        <v>3945</v>
      </c>
      <c r="C2053" s="629" t="s">
        <v>406</v>
      </c>
    </row>
    <row r="2054" spans="1:3">
      <c r="A2054" s="627">
        <v>7351</v>
      </c>
      <c r="B2054" s="628" t="s">
        <v>1373</v>
      </c>
      <c r="C2054" s="629" t="s">
        <v>406</v>
      </c>
    </row>
    <row r="2055" spans="1:3">
      <c r="A2055" s="627">
        <v>7352</v>
      </c>
      <c r="B2055" s="628" t="s">
        <v>3947</v>
      </c>
      <c r="C2055" s="629" t="s">
        <v>435</v>
      </c>
    </row>
    <row r="2056" spans="1:3">
      <c r="A2056" s="627">
        <v>7353</v>
      </c>
      <c r="B2056" s="628" t="s">
        <v>3948</v>
      </c>
      <c r="C2056" s="629" t="s">
        <v>435</v>
      </c>
    </row>
    <row r="2057" spans="1:3">
      <c r="A2057" s="627">
        <v>7354</v>
      </c>
      <c r="B2057" s="628" t="s">
        <v>3949</v>
      </c>
      <c r="C2057" s="629" t="s">
        <v>435</v>
      </c>
    </row>
    <row r="2058" spans="1:3">
      <c r="A2058" s="627">
        <v>7355</v>
      </c>
      <c r="B2058" s="628" t="s">
        <v>3950</v>
      </c>
      <c r="C2058" s="629" t="s">
        <v>435</v>
      </c>
    </row>
    <row r="2059" spans="1:3">
      <c r="A2059" s="627">
        <v>7356</v>
      </c>
      <c r="B2059" s="628" t="s">
        <v>3951</v>
      </c>
      <c r="C2059" s="629" t="s">
        <v>435</v>
      </c>
    </row>
    <row r="2060" spans="1:3">
      <c r="A2060" s="627">
        <v>7357</v>
      </c>
      <c r="B2060" s="628" t="s">
        <v>3952</v>
      </c>
      <c r="C2060" s="629" t="s">
        <v>435</v>
      </c>
    </row>
    <row r="2061" spans="1:3">
      <c r="A2061" s="627">
        <v>7361</v>
      </c>
      <c r="B2061" s="628" t="s">
        <v>3953</v>
      </c>
      <c r="C2061" s="629" t="s">
        <v>435</v>
      </c>
    </row>
    <row r="2062" spans="1:3">
      <c r="A2062" s="627">
        <v>7362</v>
      </c>
      <c r="B2062" s="628" t="s">
        <v>1374</v>
      </c>
      <c r="C2062" s="629" t="s">
        <v>406</v>
      </c>
    </row>
    <row r="2063" spans="1:3">
      <c r="A2063" s="627">
        <v>7362</v>
      </c>
      <c r="B2063" s="628" t="s">
        <v>1375</v>
      </c>
      <c r="C2063" s="629" t="s">
        <v>406</v>
      </c>
    </row>
    <row r="2064" spans="1:3">
      <c r="A2064" s="627">
        <v>7362</v>
      </c>
      <c r="B2064" s="628" t="s">
        <v>3954</v>
      </c>
      <c r="C2064" s="629" t="s">
        <v>406</v>
      </c>
    </row>
    <row r="2065" spans="1:3">
      <c r="A2065" s="627">
        <v>7370</v>
      </c>
      <c r="B2065" s="628" t="s">
        <v>1376</v>
      </c>
      <c r="C2065" s="629" t="s">
        <v>406</v>
      </c>
    </row>
    <row r="2066" spans="1:3">
      <c r="A2066" s="627">
        <v>7370</v>
      </c>
      <c r="B2066" s="628" t="s">
        <v>1377</v>
      </c>
      <c r="C2066" s="629" t="s">
        <v>406</v>
      </c>
    </row>
    <row r="2067" spans="1:3">
      <c r="A2067" s="627">
        <v>7370</v>
      </c>
      <c r="B2067" s="628" t="s">
        <v>1378</v>
      </c>
      <c r="C2067" s="629" t="s">
        <v>406</v>
      </c>
    </row>
    <row r="2068" spans="1:3">
      <c r="A2068" s="627">
        <v>7370</v>
      </c>
      <c r="B2068" s="628" t="s">
        <v>1379</v>
      </c>
      <c r="C2068" s="629" t="s">
        <v>406</v>
      </c>
    </row>
    <row r="2069" spans="1:3">
      <c r="A2069" s="627">
        <v>7370</v>
      </c>
      <c r="B2069" s="628" t="s">
        <v>1380</v>
      </c>
      <c r="C2069" s="629" t="s">
        <v>406</v>
      </c>
    </row>
    <row r="2070" spans="1:3">
      <c r="A2070" s="627">
        <v>7370</v>
      </c>
      <c r="B2070" s="628" t="s">
        <v>1381</v>
      </c>
      <c r="C2070" s="629" t="s">
        <v>406</v>
      </c>
    </row>
    <row r="2071" spans="1:3">
      <c r="A2071" s="627">
        <v>7370</v>
      </c>
      <c r="B2071" s="628" t="s">
        <v>3955</v>
      </c>
      <c r="C2071" s="629" t="s">
        <v>406</v>
      </c>
    </row>
    <row r="2072" spans="1:3">
      <c r="A2072" s="627">
        <v>7381</v>
      </c>
      <c r="B2072" s="628" t="s">
        <v>1382</v>
      </c>
      <c r="C2072" s="629" t="s">
        <v>406</v>
      </c>
    </row>
    <row r="2073" spans="1:3">
      <c r="A2073" s="627">
        <v>7381</v>
      </c>
      <c r="B2073" s="628" t="s">
        <v>1383</v>
      </c>
      <c r="C2073" s="629" t="s">
        <v>406</v>
      </c>
    </row>
    <row r="2074" spans="1:3">
      <c r="A2074" s="627">
        <v>7381</v>
      </c>
      <c r="B2074" s="628" t="s">
        <v>3956</v>
      </c>
      <c r="C2074" s="629" t="s">
        <v>406</v>
      </c>
    </row>
    <row r="2075" spans="1:3">
      <c r="A2075" s="627">
        <v>7383</v>
      </c>
      <c r="B2075" s="628" t="s">
        <v>1384</v>
      </c>
      <c r="C2075" s="629" t="s">
        <v>406</v>
      </c>
    </row>
    <row r="2076" spans="1:3">
      <c r="A2076" s="627">
        <v>7383</v>
      </c>
      <c r="B2076" s="628" t="s">
        <v>1385</v>
      </c>
      <c r="C2076" s="629" t="s">
        <v>406</v>
      </c>
    </row>
    <row r="2077" spans="1:3">
      <c r="A2077" s="627">
        <v>7383</v>
      </c>
      <c r="B2077" s="628" t="s">
        <v>3957</v>
      </c>
      <c r="C2077" s="629" t="s">
        <v>406</v>
      </c>
    </row>
    <row r="2078" spans="1:3">
      <c r="A2078" s="627">
        <v>7384</v>
      </c>
      <c r="B2078" s="628" t="s">
        <v>3958</v>
      </c>
      <c r="C2078" s="629" t="s">
        <v>406</v>
      </c>
    </row>
    <row r="2079" spans="1:3">
      <c r="A2079" s="627">
        <v>7385</v>
      </c>
      <c r="B2079" s="628" t="s">
        <v>3959</v>
      </c>
      <c r="C2079" s="629" t="s">
        <v>406</v>
      </c>
    </row>
    <row r="2080" spans="1:3">
      <c r="A2080" s="627">
        <v>7386</v>
      </c>
      <c r="B2080" s="628" t="s">
        <v>3959</v>
      </c>
      <c r="C2080" s="629" t="s">
        <v>406</v>
      </c>
    </row>
    <row r="2081" spans="1:3">
      <c r="A2081" s="627">
        <v>7391</v>
      </c>
      <c r="B2081" s="628" t="s">
        <v>1388</v>
      </c>
      <c r="C2081" s="629" t="s">
        <v>406</v>
      </c>
    </row>
    <row r="2082" spans="1:3">
      <c r="A2082" s="627">
        <v>7391</v>
      </c>
      <c r="B2082" s="628" t="s">
        <v>1389</v>
      </c>
      <c r="C2082" s="629" t="s">
        <v>406</v>
      </c>
    </row>
    <row r="2083" spans="1:3">
      <c r="A2083" s="627">
        <v>7391</v>
      </c>
      <c r="B2083" s="628" t="s">
        <v>3961</v>
      </c>
      <c r="C2083" s="629" t="s">
        <v>406</v>
      </c>
    </row>
    <row r="2084" spans="1:3">
      <c r="A2084" s="627">
        <v>7393</v>
      </c>
      <c r="B2084" s="628" t="s">
        <v>3962</v>
      </c>
      <c r="C2084" s="629" t="s">
        <v>406</v>
      </c>
    </row>
    <row r="2085" spans="1:3">
      <c r="A2085" s="627">
        <v>7394</v>
      </c>
      <c r="B2085" s="628" t="s">
        <v>545</v>
      </c>
      <c r="C2085" s="629" t="s">
        <v>406</v>
      </c>
    </row>
    <row r="2086" spans="1:3">
      <c r="A2086" s="627">
        <v>7394</v>
      </c>
      <c r="B2086" s="628" t="s">
        <v>3963</v>
      </c>
      <c r="C2086" s="629" t="s">
        <v>406</v>
      </c>
    </row>
    <row r="2087" spans="1:3">
      <c r="A2087" s="627">
        <v>7396</v>
      </c>
      <c r="B2087" s="628" t="s">
        <v>3964</v>
      </c>
      <c r="C2087" s="629" t="s">
        <v>406</v>
      </c>
    </row>
    <row r="2088" spans="1:3">
      <c r="A2088" s="627">
        <v>7400</v>
      </c>
      <c r="B2088" s="628" t="s">
        <v>3965</v>
      </c>
      <c r="C2088" s="629" t="s">
        <v>423</v>
      </c>
    </row>
    <row r="2089" spans="1:3">
      <c r="A2089" s="627">
        <v>7400</v>
      </c>
      <c r="B2089" s="628" t="s">
        <v>546</v>
      </c>
      <c r="C2089" s="629" t="s">
        <v>423</v>
      </c>
    </row>
    <row r="2090" spans="1:3">
      <c r="A2090" s="627">
        <v>7400</v>
      </c>
      <c r="B2090" s="628" t="s">
        <v>547</v>
      </c>
      <c r="C2090" s="629" t="s">
        <v>423</v>
      </c>
    </row>
    <row r="2091" spans="1:3">
      <c r="A2091" s="627">
        <v>7431</v>
      </c>
      <c r="B2091" s="628" t="s">
        <v>3966</v>
      </c>
      <c r="C2091" s="629" t="s">
        <v>423</v>
      </c>
    </row>
    <row r="2092" spans="1:3">
      <c r="A2092" s="627">
        <v>7432</v>
      </c>
      <c r="B2092" s="628" t="s">
        <v>548</v>
      </c>
      <c r="C2092" s="629" t="s">
        <v>423</v>
      </c>
    </row>
    <row r="2093" spans="1:3">
      <c r="A2093" s="627">
        <v>7432</v>
      </c>
      <c r="B2093" s="628" t="s">
        <v>3967</v>
      </c>
      <c r="C2093" s="629" t="s">
        <v>423</v>
      </c>
    </row>
    <row r="2094" spans="1:3">
      <c r="A2094" s="627">
        <v>7434</v>
      </c>
      <c r="B2094" s="628" t="s">
        <v>3968</v>
      </c>
      <c r="C2094" s="629" t="s">
        <v>423</v>
      </c>
    </row>
    <row r="2095" spans="1:3">
      <c r="A2095" s="627">
        <v>7435</v>
      </c>
      <c r="B2095" s="628" t="s">
        <v>3969</v>
      </c>
      <c r="C2095" s="629" t="s">
        <v>423</v>
      </c>
    </row>
    <row r="2096" spans="1:3">
      <c r="A2096" s="627">
        <v>7436</v>
      </c>
      <c r="B2096" s="628" t="s">
        <v>3970</v>
      </c>
      <c r="C2096" s="629" t="s">
        <v>423</v>
      </c>
    </row>
    <row r="2097" spans="1:3">
      <c r="A2097" s="627">
        <v>7439</v>
      </c>
      <c r="B2097" s="628" t="s">
        <v>3971</v>
      </c>
      <c r="C2097" s="629" t="s">
        <v>423</v>
      </c>
    </row>
    <row r="2098" spans="1:3">
      <c r="A2098" s="627">
        <v>7441</v>
      </c>
      <c r="B2098" s="628" t="s">
        <v>3972</v>
      </c>
      <c r="C2098" s="629" t="s">
        <v>423</v>
      </c>
    </row>
    <row r="2099" spans="1:3">
      <c r="A2099" s="627">
        <v>7442</v>
      </c>
      <c r="B2099" s="628" t="s">
        <v>3973</v>
      </c>
      <c r="C2099" s="629" t="s">
        <v>423</v>
      </c>
    </row>
    <row r="2100" spans="1:3">
      <c r="A2100" s="627">
        <v>7443</v>
      </c>
      <c r="B2100" s="628" t="s">
        <v>549</v>
      </c>
      <c r="C2100" s="629" t="s">
        <v>423</v>
      </c>
    </row>
    <row r="2101" spans="1:3">
      <c r="A2101" s="627">
        <v>7443</v>
      </c>
      <c r="B2101" s="628" t="s">
        <v>550</v>
      </c>
      <c r="C2101" s="629" t="s">
        <v>423</v>
      </c>
    </row>
    <row r="2102" spans="1:3">
      <c r="A2102" s="627">
        <v>7443</v>
      </c>
      <c r="B2102" s="628" t="s">
        <v>3974</v>
      </c>
      <c r="C2102" s="629" t="s">
        <v>423</v>
      </c>
    </row>
    <row r="2103" spans="1:3">
      <c r="A2103" s="627">
        <v>7444</v>
      </c>
      <c r="B2103" s="628" t="s">
        <v>1866</v>
      </c>
      <c r="C2103" s="629" t="s">
        <v>423</v>
      </c>
    </row>
    <row r="2104" spans="1:3">
      <c r="A2104" s="61">
        <v>7451</v>
      </c>
      <c r="B2104" s="637" t="s">
        <v>3965</v>
      </c>
      <c r="C2104" s="629" t="s">
        <v>423</v>
      </c>
    </row>
    <row r="2105" spans="1:3">
      <c r="A2105" s="627">
        <v>7452</v>
      </c>
      <c r="B2105" s="628" t="s">
        <v>1868</v>
      </c>
      <c r="C2105" s="629" t="s">
        <v>423</v>
      </c>
    </row>
    <row r="2106" spans="1:3">
      <c r="A2106" s="627">
        <v>7453</v>
      </c>
      <c r="B2106" s="628" t="s">
        <v>1869</v>
      </c>
      <c r="C2106" s="629" t="s">
        <v>423</v>
      </c>
    </row>
    <row r="2107" spans="1:3">
      <c r="A2107" s="627">
        <v>7454</v>
      </c>
      <c r="B2107" s="628" t="s">
        <v>3075</v>
      </c>
      <c r="C2107" s="629" t="s">
        <v>423</v>
      </c>
    </row>
    <row r="2108" spans="1:3">
      <c r="A2108" s="627">
        <v>7455</v>
      </c>
      <c r="B2108" s="628" t="s">
        <v>3076</v>
      </c>
      <c r="C2108" s="629" t="s">
        <v>423</v>
      </c>
    </row>
    <row r="2109" spans="1:3">
      <c r="A2109" s="627">
        <v>7456</v>
      </c>
      <c r="B2109" s="628" t="s">
        <v>552</v>
      </c>
      <c r="C2109" s="629" t="s">
        <v>423</v>
      </c>
    </row>
    <row r="2110" spans="1:3">
      <c r="A2110" s="627">
        <v>7457</v>
      </c>
      <c r="B2110" s="628" t="s">
        <v>3078</v>
      </c>
      <c r="C2110" s="629" t="s">
        <v>423</v>
      </c>
    </row>
    <row r="2111" spans="1:3">
      <c r="A2111" s="627">
        <v>7458</v>
      </c>
      <c r="B2111" s="628" t="s">
        <v>3079</v>
      </c>
      <c r="C2111" s="629" t="s">
        <v>423</v>
      </c>
    </row>
    <row r="2112" spans="1:3">
      <c r="A2112" s="61">
        <v>7461</v>
      </c>
      <c r="B2112" s="637" t="s">
        <v>3965</v>
      </c>
      <c r="C2112" s="629" t="s">
        <v>423</v>
      </c>
    </row>
    <row r="2113" spans="1:3">
      <c r="A2113" s="627">
        <v>7463</v>
      </c>
      <c r="B2113" s="628" t="s">
        <v>554</v>
      </c>
      <c r="C2113" s="629" t="s">
        <v>423</v>
      </c>
    </row>
    <row r="2114" spans="1:3">
      <c r="A2114" s="627">
        <v>7463</v>
      </c>
      <c r="B2114" s="628" t="s">
        <v>3081</v>
      </c>
      <c r="C2114" s="629" t="s">
        <v>423</v>
      </c>
    </row>
    <row r="2115" spans="1:3">
      <c r="A2115" s="627">
        <v>7464</v>
      </c>
      <c r="B2115" s="628" t="s">
        <v>3082</v>
      </c>
      <c r="C2115" s="629" t="s">
        <v>423</v>
      </c>
    </row>
    <row r="2116" spans="1:3">
      <c r="A2116" s="627">
        <v>7465</v>
      </c>
      <c r="B2116" s="628" t="s">
        <v>3083</v>
      </c>
      <c r="C2116" s="629" t="s">
        <v>423</v>
      </c>
    </row>
    <row r="2117" spans="1:3">
      <c r="A2117" s="627">
        <v>7471</v>
      </c>
      <c r="B2117" s="628" t="s">
        <v>3084</v>
      </c>
      <c r="C2117" s="629" t="s">
        <v>423</v>
      </c>
    </row>
    <row r="2118" spans="1:3">
      <c r="A2118" s="627">
        <v>7472</v>
      </c>
      <c r="B2118" s="628" t="s">
        <v>555</v>
      </c>
      <c r="C2118" s="629" t="s">
        <v>423</v>
      </c>
    </row>
    <row r="2119" spans="1:3">
      <c r="A2119" s="627">
        <v>7472</v>
      </c>
      <c r="B2119" s="628" t="s">
        <v>3085</v>
      </c>
      <c r="C2119" s="629" t="s">
        <v>423</v>
      </c>
    </row>
    <row r="2120" spans="1:3">
      <c r="A2120" s="627">
        <v>7473</v>
      </c>
      <c r="B2120" s="628" t="s">
        <v>556</v>
      </c>
      <c r="C2120" s="629" t="s">
        <v>423</v>
      </c>
    </row>
    <row r="2121" spans="1:3">
      <c r="A2121" s="627">
        <v>7473</v>
      </c>
      <c r="B2121" s="628" t="s">
        <v>557</v>
      </c>
      <c r="C2121" s="629" t="s">
        <v>423</v>
      </c>
    </row>
    <row r="2122" spans="1:3">
      <c r="A2122" s="627">
        <v>7473</v>
      </c>
      <c r="B2122" s="628" t="s">
        <v>3086</v>
      </c>
      <c r="C2122" s="629" t="s">
        <v>423</v>
      </c>
    </row>
    <row r="2123" spans="1:3">
      <c r="A2123" s="627">
        <v>7474</v>
      </c>
      <c r="B2123" s="628" t="s">
        <v>558</v>
      </c>
      <c r="C2123" s="629" t="s">
        <v>423</v>
      </c>
    </row>
    <row r="2124" spans="1:3">
      <c r="A2124" s="627">
        <v>7474</v>
      </c>
      <c r="B2124" s="628" t="s">
        <v>3087</v>
      </c>
      <c r="C2124" s="629" t="s">
        <v>423</v>
      </c>
    </row>
    <row r="2125" spans="1:3">
      <c r="A2125" s="627">
        <v>7475</v>
      </c>
      <c r="B2125" s="628" t="s">
        <v>3088</v>
      </c>
      <c r="C2125" s="629" t="s">
        <v>423</v>
      </c>
    </row>
    <row r="2126" spans="1:3">
      <c r="A2126" s="627">
        <v>7476</v>
      </c>
      <c r="B2126" s="628" t="s">
        <v>3089</v>
      </c>
      <c r="C2126" s="629" t="s">
        <v>423</v>
      </c>
    </row>
    <row r="2127" spans="1:3">
      <c r="A2127" s="627">
        <v>7477</v>
      </c>
      <c r="B2127" s="628" t="s">
        <v>559</v>
      </c>
      <c r="C2127" s="629" t="s">
        <v>423</v>
      </c>
    </row>
    <row r="2128" spans="1:3">
      <c r="A2128" s="627">
        <v>7477</v>
      </c>
      <c r="B2128" s="628" t="s">
        <v>560</v>
      </c>
      <c r="C2128" s="629" t="s">
        <v>423</v>
      </c>
    </row>
    <row r="2129" spans="1:3">
      <c r="A2129" s="627">
        <v>7477</v>
      </c>
      <c r="B2129" s="628" t="s">
        <v>1060</v>
      </c>
      <c r="C2129" s="629" t="s">
        <v>410</v>
      </c>
    </row>
    <row r="2130" spans="1:3">
      <c r="A2130" s="627">
        <v>7477</v>
      </c>
      <c r="B2130" s="628" t="s">
        <v>3090</v>
      </c>
      <c r="C2130" s="629" t="s">
        <v>423</v>
      </c>
    </row>
    <row r="2131" spans="1:3">
      <c r="A2131" s="627">
        <v>7478</v>
      </c>
      <c r="B2131" s="628" t="s">
        <v>3091</v>
      </c>
      <c r="C2131" s="629" t="s">
        <v>423</v>
      </c>
    </row>
    <row r="2132" spans="1:3">
      <c r="A2132" s="627">
        <v>7479</v>
      </c>
      <c r="B2132" s="628" t="s">
        <v>3092</v>
      </c>
      <c r="C2132" s="629" t="s">
        <v>423</v>
      </c>
    </row>
    <row r="2133" spans="1:3">
      <c r="A2133" s="627">
        <v>7500</v>
      </c>
      <c r="B2133" s="628" t="s">
        <v>3093</v>
      </c>
      <c r="C2133" s="629" t="s">
        <v>423</v>
      </c>
    </row>
    <row r="2134" spans="1:3">
      <c r="A2134" s="627">
        <v>7511</v>
      </c>
      <c r="B2134" s="628" t="s">
        <v>3094</v>
      </c>
      <c r="C2134" s="629" t="s">
        <v>423</v>
      </c>
    </row>
    <row r="2135" spans="1:3">
      <c r="A2135" s="627">
        <v>7512</v>
      </c>
      <c r="B2135" s="628" t="s">
        <v>3095</v>
      </c>
      <c r="C2135" s="629" t="s">
        <v>423</v>
      </c>
    </row>
    <row r="2136" spans="1:3">
      <c r="A2136" s="627">
        <v>7513</v>
      </c>
      <c r="B2136" s="628" t="s">
        <v>3096</v>
      </c>
      <c r="C2136" s="629" t="s">
        <v>423</v>
      </c>
    </row>
    <row r="2137" spans="1:3">
      <c r="A2137" s="627">
        <v>7514</v>
      </c>
      <c r="B2137" s="628" t="s">
        <v>3097</v>
      </c>
      <c r="C2137" s="629" t="s">
        <v>423</v>
      </c>
    </row>
    <row r="2138" spans="1:3">
      <c r="A2138" s="627">
        <v>7515</v>
      </c>
      <c r="B2138" s="628" t="s">
        <v>3098</v>
      </c>
      <c r="C2138" s="629" t="s">
        <v>423</v>
      </c>
    </row>
    <row r="2139" spans="1:3">
      <c r="A2139" s="627">
        <v>7516</v>
      </c>
      <c r="B2139" s="628" t="s">
        <v>333</v>
      </c>
      <c r="C2139" s="629" t="s">
        <v>423</v>
      </c>
    </row>
    <row r="2140" spans="1:3">
      <c r="A2140" s="627">
        <v>7517</v>
      </c>
      <c r="B2140" s="628" t="s">
        <v>334</v>
      </c>
      <c r="C2140" s="629" t="s">
        <v>423</v>
      </c>
    </row>
    <row r="2141" spans="1:3">
      <c r="A2141" s="627">
        <v>7521</v>
      </c>
      <c r="B2141" s="628" t="s">
        <v>335</v>
      </c>
      <c r="C2141" s="629" t="s">
        <v>423</v>
      </c>
    </row>
    <row r="2142" spans="1:3">
      <c r="A2142" s="627">
        <v>7522</v>
      </c>
      <c r="B2142" s="628" t="s">
        <v>336</v>
      </c>
      <c r="C2142" s="629" t="s">
        <v>423</v>
      </c>
    </row>
    <row r="2143" spans="1:3">
      <c r="A2143" s="627">
        <v>7523</v>
      </c>
      <c r="B2143" s="628" t="s">
        <v>562</v>
      </c>
      <c r="C2143" s="629" t="s">
        <v>423</v>
      </c>
    </row>
    <row r="2144" spans="1:3">
      <c r="A2144" s="627">
        <v>7523</v>
      </c>
      <c r="B2144" s="628" t="s">
        <v>337</v>
      </c>
      <c r="C2144" s="629" t="s">
        <v>423</v>
      </c>
    </row>
    <row r="2145" spans="1:3">
      <c r="A2145" s="627">
        <v>7524</v>
      </c>
      <c r="B2145" s="628" t="s">
        <v>1828</v>
      </c>
      <c r="C2145" s="629" t="s">
        <v>427</v>
      </c>
    </row>
    <row r="2146" spans="1:3">
      <c r="A2146" s="627">
        <v>7525</v>
      </c>
      <c r="B2146" s="628" t="s">
        <v>339</v>
      </c>
      <c r="C2146" s="629" t="s">
        <v>423</v>
      </c>
    </row>
    <row r="2147" spans="1:3">
      <c r="A2147" s="627">
        <v>7526</v>
      </c>
      <c r="B2147" s="628" t="s">
        <v>340</v>
      </c>
      <c r="C2147" s="629" t="s">
        <v>423</v>
      </c>
    </row>
    <row r="2148" spans="1:3">
      <c r="A2148" s="627">
        <v>7527</v>
      </c>
      <c r="B2148" s="628" t="s">
        <v>563</v>
      </c>
      <c r="C2148" s="629" t="s">
        <v>423</v>
      </c>
    </row>
    <row r="2149" spans="1:3">
      <c r="A2149" s="627">
        <v>7527</v>
      </c>
      <c r="B2149" s="628" t="s">
        <v>341</v>
      </c>
      <c r="C2149" s="629" t="s">
        <v>423</v>
      </c>
    </row>
    <row r="2150" spans="1:3">
      <c r="A2150" s="627">
        <v>7530</v>
      </c>
      <c r="B2150" s="628" t="s">
        <v>342</v>
      </c>
      <c r="C2150" s="629" t="s">
        <v>423</v>
      </c>
    </row>
    <row r="2151" spans="1:3">
      <c r="A2151" s="627">
        <v>7530</v>
      </c>
      <c r="B2151" s="628" t="s">
        <v>343</v>
      </c>
      <c r="C2151" s="629" t="s">
        <v>423</v>
      </c>
    </row>
    <row r="2152" spans="1:3">
      <c r="A2152" s="627">
        <v>7532</v>
      </c>
      <c r="B2152" s="628" t="s">
        <v>344</v>
      </c>
      <c r="C2152" s="629" t="s">
        <v>423</v>
      </c>
    </row>
    <row r="2153" spans="1:3">
      <c r="A2153" s="627">
        <v>7533</v>
      </c>
      <c r="B2153" s="628" t="s">
        <v>345</v>
      </c>
      <c r="C2153" s="629" t="s">
        <v>423</v>
      </c>
    </row>
    <row r="2154" spans="1:3">
      <c r="A2154" s="627">
        <v>7533</v>
      </c>
      <c r="B2154" s="628" t="s">
        <v>346</v>
      </c>
      <c r="C2154" s="629" t="s">
        <v>423</v>
      </c>
    </row>
    <row r="2155" spans="1:3">
      <c r="A2155" s="627">
        <v>7535</v>
      </c>
      <c r="B2155" s="628" t="s">
        <v>347</v>
      </c>
      <c r="C2155" s="629" t="s">
        <v>423</v>
      </c>
    </row>
    <row r="2156" spans="1:3">
      <c r="A2156" s="627">
        <v>7536</v>
      </c>
      <c r="B2156" s="628" t="s">
        <v>348</v>
      </c>
      <c r="C2156" s="629" t="s">
        <v>423</v>
      </c>
    </row>
    <row r="2157" spans="1:3">
      <c r="A2157" s="627">
        <v>7537</v>
      </c>
      <c r="B2157" s="628" t="s">
        <v>349</v>
      </c>
      <c r="C2157" s="629" t="s">
        <v>423</v>
      </c>
    </row>
    <row r="2158" spans="1:3">
      <c r="A2158" s="627">
        <v>7538</v>
      </c>
      <c r="B2158" s="628" t="s">
        <v>350</v>
      </c>
      <c r="C2158" s="629" t="s">
        <v>423</v>
      </c>
    </row>
    <row r="2159" spans="1:3">
      <c r="A2159" s="627">
        <v>7539</v>
      </c>
      <c r="B2159" s="628" t="s">
        <v>351</v>
      </c>
      <c r="C2159" s="629" t="s">
        <v>423</v>
      </c>
    </row>
    <row r="2160" spans="1:3">
      <c r="A2160" s="627">
        <v>7541</v>
      </c>
      <c r="B2160" s="628" t="s">
        <v>352</v>
      </c>
      <c r="C2160" s="629" t="s">
        <v>423</v>
      </c>
    </row>
    <row r="2161" spans="1:3">
      <c r="A2161" s="627">
        <v>7542</v>
      </c>
      <c r="B2161" s="628" t="s">
        <v>353</v>
      </c>
      <c r="C2161" s="629" t="s">
        <v>423</v>
      </c>
    </row>
    <row r="2162" spans="1:3">
      <c r="A2162" s="627">
        <v>7543</v>
      </c>
      <c r="B2162" s="628" t="s">
        <v>354</v>
      </c>
      <c r="C2162" s="629" t="s">
        <v>423</v>
      </c>
    </row>
    <row r="2163" spans="1:3">
      <c r="A2163" s="627">
        <v>7544</v>
      </c>
      <c r="B2163" s="628" t="s">
        <v>355</v>
      </c>
      <c r="C2163" s="629" t="s">
        <v>423</v>
      </c>
    </row>
    <row r="2164" spans="1:3">
      <c r="A2164" s="627">
        <v>7545</v>
      </c>
      <c r="B2164" s="628" t="s">
        <v>356</v>
      </c>
      <c r="C2164" s="629" t="s">
        <v>423</v>
      </c>
    </row>
    <row r="2165" spans="1:3">
      <c r="A2165" s="627">
        <v>7551</v>
      </c>
      <c r="B2165" s="628" t="s">
        <v>357</v>
      </c>
      <c r="C2165" s="629" t="s">
        <v>423</v>
      </c>
    </row>
    <row r="2166" spans="1:3">
      <c r="A2166" s="627">
        <v>7552</v>
      </c>
      <c r="B2166" s="628" t="s">
        <v>358</v>
      </c>
      <c r="C2166" s="629" t="s">
        <v>423</v>
      </c>
    </row>
    <row r="2167" spans="1:3">
      <c r="A2167" s="627">
        <v>7553</v>
      </c>
      <c r="B2167" s="628" t="s">
        <v>359</v>
      </c>
      <c r="C2167" s="629" t="s">
        <v>423</v>
      </c>
    </row>
    <row r="2168" spans="1:3">
      <c r="A2168" s="627">
        <v>7555</v>
      </c>
      <c r="B2168" s="628" t="s">
        <v>360</v>
      </c>
      <c r="C2168" s="629" t="s">
        <v>423</v>
      </c>
    </row>
    <row r="2169" spans="1:3">
      <c r="A2169" s="627">
        <v>7556</v>
      </c>
      <c r="B2169" s="628" t="s">
        <v>361</v>
      </c>
      <c r="C2169" s="629" t="s">
        <v>423</v>
      </c>
    </row>
    <row r="2170" spans="1:3">
      <c r="A2170" s="627">
        <v>7557</v>
      </c>
      <c r="B2170" s="628" t="s">
        <v>362</v>
      </c>
      <c r="C2170" s="629" t="s">
        <v>423</v>
      </c>
    </row>
    <row r="2171" spans="1:3">
      <c r="A2171" s="627">
        <v>7561</v>
      </c>
      <c r="B2171" s="628" t="s">
        <v>565</v>
      </c>
      <c r="C2171" s="629" t="s">
        <v>423</v>
      </c>
    </row>
    <row r="2172" spans="1:3">
      <c r="A2172" s="627">
        <v>7561</v>
      </c>
      <c r="B2172" s="628" t="s">
        <v>363</v>
      </c>
      <c r="C2172" s="629" t="s">
        <v>423</v>
      </c>
    </row>
    <row r="2173" spans="1:3">
      <c r="A2173" s="627">
        <v>7562</v>
      </c>
      <c r="B2173" s="628" t="s">
        <v>364</v>
      </c>
      <c r="C2173" s="629" t="s">
        <v>423</v>
      </c>
    </row>
    <row r="2174" spans="1:3">
      <c r="A2174" s="627">
        <v>7563</v>
      </c>
      <c r="B2174" s="628" t="s">
        <v>365</v>
      </c>
      <c r="C2174" s="629" t="s">
        <v>423</v>
      </c>
    </row>
    <row r="2175" spans="1:3">
      <c r="A2175" s="627">
        <v>7564</v>
      </c>
      <c r="B2175" s="628" t="s">
        <v>366</v>
      </c>
      <c r="C2175" s="629" t="s">
        <v>423</v>
      </c>
    </row>
    <row r="2176" spans="1:3">
      <c r="A2176" s="627">
        <v>7570</v>
      </c>
      <c r="B2176" s="628" t="s">
        <v>362</v>
      </c>
      <c r="C2176" s="629" t="s">
        <v>423</v>
      </c>
    </row>
    <row r="2177" spans="1:3">
      <c r="A2177" s="627">
        <v>7582</v>
      </c>
      <c r="B2177" s="628" t="s">
        <v>566</v>
      </c>
      <c r="C2177" s="629" t="s">
        <v>423</v>
      </c>
    </row>
    <row r="2178" spans="1:3">
      <c r="A2178" s="627">
        <v>7582</v>
      </c>
      <c r="B2178" s="628" t="s">
        <v>369</v>
      </c>
      <c r="C2178" s="629" t="s">
        <v>423</v>
      </c>
    </row>
    <row r="2179" spans="1:3">
      <c r="A2179" s="627">
        <v>7584</v>
      </c>
      <c r="B2179" s="628" t="s">
        <v>567</v>
      </c>
      <c r="C2179" s="629" t="s">
        <v>423</v>
      </c>
    </row>
    <row r="2180" spans="1:3">
      <c r="A2180" s="627">
        <v>7584</v>
      </c>
      <c r="B2180" s="628" t="s">
        <v>568</v>
      </c>
      <c r="C2180" s="629" t="s">
        <v>423</v>
      </c>
    </row>
    <row r="2181" spans="1:3">
      <c r="A2181" s="627">
        <v>7584</v>
      </c>
      <c r="B2181" s="628" t="s">
        <v>370</v>
      </c>
      <c r="C2181" s="629" t="s">
        <v>423</v>
      </c>
    </row>
    <row r="2182" spans="1:3">
      <c r="A2182" s="627">
        <v>7585</v>
      </c>
      <c r="B2182" s="628" t="s">
        <v>569</v>
      </c>
      <c r="C2182" s="629" t="s">
        <v>423</v>
      </c>
    </row>
    <row r="2183" spans="1:3">
      <c r="A2183" s="627">
        <v>7585</v>
      </c>
      <c r="B2183" s="628" t="s">
        <v>371</v>
      </c>
      <c r="C2183" s="629" t="s">
        <v>423</v>
      </c>
    </row>
    <row r="2184" spans="1:3">
      <c r="A2184" s="627">
        <v>7586</v>
      </c>
      <c r="B2184" s="628" t="s">
        <v>372</v>
      </c>
      <c r="C2184" s="629" t="s">
        <v>423</v>
      </c>
    </row>
    <row r="2185" spans="1:3">
      <c r="A2185" s="627">
        <v>7587</v>
      </c>
      <c r="B2185" s="628" t="s">
        <v>373</v>
      </c>
      <c r="C2185" s="629" t="s">
        <v>423</v>
      </c>
    </row>
    <row r="2186" spans="1:3">
      <c r="A2186" s="627">
        <v>7588</v>
      </c>
      <c r="B2186" s="628" t="s">
        <v>374</v>
      </c>
      <c r="C2186" s="629" t="s">
        <v>423</v>
      </c>
    </row>
    <row r="2187" spans="1:3">
      <c r="A2187" s="627">
        <v>7589</v>
      </c>
      <c r="B2187" s="628" t="s">
        <v>375</v>
      </c>
      <c r="C2187" s="629" t="s">
        <v>423</v>
      </c>
    </row>
    <row r="2188" spans="1:3">
      <c r="A2188" s="627">
        <v>7600</v>
      </c>
      <c r="B2188" s="628" t="s">
        <v>377</v>
      </c>
      <c r="C2188" s="629" t="s">
        <v>406</v>
      </c>
    </row>
    <row r="2189" spans="1:3">
      <c r="A2189" s="627">
        <v>7621</v>
      </c>
      <c r="B2189" s="628" t="s">
        <v>377</v>
      </c>
      <c r="C2189" s="629" t="s">
        <v>406</v>
      </c>
    </row>
    <row r="2190" spans="1:3">
      <c r="A2190" s="627">
        <v>7622</v>
      </c>
      <c r="B2190" s="628" t="s">
        <v>377</v>
      </c>
      <c r="C2190" s="629" t="s">
        <v>406</v>
      </c>
    </row>
    <row r="2191" spans="1:3">
      <c r="A2191" s="627">
        <v>7623</v>
      </c>
      <c r="B2191" s="628" t="s">
        <v>377</v>
      </c>
      <c r="C2191" s="629" t="s">
        <v>406</v>
      </c>
    </row>
    <row r="2192" spans="1:3">
      <c r="A2192" s="627">
        <v>7624</v>
      </c>
      <c r="B2192" s="628" t="s">
        <v>377</v>
      </c>
      <c r="C2192" s="629" t="s">
        <v>406</v>
      </c>
    </row>
    <row r="2193" spans="1:3">
      <c r="A2193" s="627">
        <v>7625</v>
      </c>
      <c r="B2193" s="628" t="s">
        <v>377</v>
      </c>
      <c r="C2193" s="629" t="s">
        <v>406</v>
      </c>
    </row>
    <row r="2194" spans="1:3">
      <c r="A2194" s="627">
        <v>7626</v>
      </c>
      <c r="B2194" s="628" t="s">
        <v>377</v>
      </c>
      <c r="C2194" s="629" t="s">
        <v>406</v>
      </c>
    </row>
    <row r="2195" spans="1:3">
      <c r="A2195" s="627">
        <v>7627</v>
      </c>
      <c r="B2195" s="628" t="s">
        <v>377</v>
      </c>
      <c r="C2195" s="629" t="s">
        <v>406</v>
      </c>
    </row>
    <row r="2196" spans="1:3">
      <c r="A2196" s="627">
        <v>7628</v>
      </c>
      <c r="B2196" s="628" t="s">
        <v>377</v>
      </c>
      <c r="C2196" s="629" t="s">
        <v>406</v>
      </c>
    </row>
    <row r="2197" spans="1:3">
      <c r="A2197" s="627">
        <v>7629</v>
      </c>
      <c r="B2197" s="628" t="s">
        <v>377</v>
      </c>
      <c r="C2197" s="629" t="s">
        <v>406</v>
      </c>
    </row>
    <row r="2198" spans="1:3">
      <c r="A2198" s="627">
        <v>7630</v>
      </c>
      <c r="B2198" s="628" t="s">
        <v>377</v>
      </c>
      <c r="C2198" s="629" t="s">
        <v>406</v>
      </c>
    </row>
    <row r="2199" spans="1:3">
      <c r="A2199" s="627">
        <v>7631</v>
      </c>
      <c r="B2199" s="628" t="s">
        <v>377</v>
      </c>
      <c r="C2199" s="629" t="s">
        <v>406</v>
      </c>
    </row>
    <row r="2200" spans="1:3">
      <c r="A2200" s="627">
        <v>7632</v>
      </c>
      <c r="B2200" s="628" t="s">
        <v>377</v>
      </c>
      <c r="C2200" s="629" t="s">
        <v>406</v>
      </c>
    </row>
    <row r="2201" spans="1:3">
      <c r="A2201" s="627">
        <v>7633</v>
      </c>
      <c r="B2201" s="628" t="s">
        <v>377</v>
      </c>
      <c r="C2201" s="629" t="s">
        <v>406</v>
      </c>
    </row>
    <row r="2202" spans="1:3">
      <c r="A2202" s="627">
        <v>7634</v>
      </c>
      <c r="B2202" s="628" t="s">
        <v>377</v>
      </c>
      <c r="C2202" s="629" t="s">
        <v>406</v>
      </c>
    </row>
    <row r="2203" spans="1:3">
      <c r="A2203" s="627">
        <v>7635</v>
      </c>
      <c r="B2203" s="628" t="s">
        <v>377</v>
      </c>
      <c r="C2203" s="629" t="s">
        <v>406</v>
      </c>
    </row>
    <row r="2204" spans="1:3">
      <c r="A2204" s="627">
        <v>7636</v>
      </c>
      <c r="B2204" s="628" t="s">
        <v>377</v>
      </c>
      <c r="C2204" s="629" t="s">
        <v>406</v>
      </c>
    </row>
    <row r="2205" spans="1:3">
      <c r="A2205" s="61">
        <v>7639</v>
      </c>
      <c r="B2205" s="637" t="s">
        <v>378</v>
      </c>
      <c r="C2205" s="629" t="s">
        <v>406</v>
      </c>
    </row>
    <row r="2206" spans="1:3">
      <c r="A2206" s="627">
        <v>7661</v>
      </c>
      <c r="B2206" s="628" t="s">
        <v>570</v>
      </c>
      <c r="C2206" s="629" t="s">
        <v>406</v>
      </c>
    </row>
    <row r="2207" spans="1:3">
      <c r="A2207" s="627">
        <v>7661</v>
      </c>
      <c r="B2207" s="628" t="s">
        <v>571</v>
      </c>
      <c r="C2207" s="629" t="s">
        <v>406</v>
      </c>
    </row>
    <row r="2208" spans="1:3">
      <c r="A2208" s="627">
        <v>7661</v>
      </c>
      <c r="B2208" s="628" t="s">
        <v>572</v>
      </c>
      <c r="C2208" s="629" t="s">
        <v>406</v>
      </c>
    </row>
    <row r="2209" spans="1:3">
      <c r="A2209" s="627">
        <v>7661</v>
      </c>
      <c r="B2209" s="628" t="s">
        <v>379</v>
      </c>
      <c r="C2209" s="629" t="s">
        <v>406</v>
      </c>
    </row>
    <row r="2210" spans="1:3">
      <c r="A2210" s="627">
        <v>7663</v>
      </c>
      <c r="B2210" s="628" t="s">
        <v>380</v>
      </c>
      <c r="C2210" s="629" t="s">
        <v>406</v>
      </c>
    </row>
    <row r="2211" spans="1:3">
      <c r="A2211" s="627">
        <v>7664</v>
      </c>
      <c r="B2211" s="628" t="s">
        <v>573</v>
      </c>
      <c r="C2211" s="629" t="s">
        <v>406</v>
      </c>
    </row>
    <row r="2212" spans="1:3">
      <c r="A2212" s="627">
        <v>7664</v>
      </c>
      <c r="B2212" s="628" t="s">
        <v>574</v>
      </c>
      <c r="C2212" s="629" t="s">
        <v>406</v>
      </c>
    </row>
    <row r="2213" spans="1:3">
      <c r="A2213" s="627">
        <v>7664</v>
      </c>
      <c r="B2213" s="628" t="s">
        <v>381</v>
      </c>
      <c r="C2213" s="629" t="s">
        <v>406</v>
      </c>
    </row>
    <row r="2214" spans="1:3">
      <c r="A2214" s="627">
        <v>7666</v>
      </c>
      <c r="B2214" s="628" t="s">
        <v>575</v>
      </c>
      <c r="C2214" s="629" t="s">
        <v>406</v>
      </c>
    </row>
    <row r="2215" spans="1:3">
      <c r="A2215" s="627">
        <v>7668</v>
      </c>
      <c r="B2215" s="628" t="s">
        <v>576</v>
      </c>
      <c r="C2215" s="629" t="s">
        <v>406</v>
      </c>
    </row>
    <row r="2216" spans="1:3">
      <c r="A2216" s="627">
        <v>7668</v>
      </c>
      <c r="B2216" s="628" t="s">
        <v>4508</v>
      </c>
      <c r="C2216" s="629" t="s">
        <v>406</v>
      </c>
    </row>
    <row r="2217" spans="1:3">
      <c r="A2217" s="627">
        <v>7671</v>
      </c>
      <c r="B2217" s="628" t="s">
        <v>577</v>
      </c>
      <c r="C2217" s="629" t="s">
        <v>406</v>
      </c>
    </row>
    <row r="2218" spans="1:3">
      <c r="A2218" s="627">
        <v>7671</v>
      </c>
      <c r="B2218" s="628" t="s">
        <v>4509</v>
      </c>
      <c r="C2218" s="629" t="s">
        <v>406</v>
      </c>
    </row>
    <row r="2219" spans="1:3">
      <c r="A2219" s="627">
        <v>7671</v>
      </c>
      <c r="B2219" s="628" t="s">
        <v>578</v>
      </c>
      <c r="C2219" s="629" t="s">
        <v>406</v>
      </c>
    </row>
    <row r="2220" spans="1:3">
      <c r="A2220" s="627">
        <v>7672</v>
      </c>
      <c r="B2220" s="628" t="s">
        <v>4510</v>
      </c>
      <c r="C2220" s="629" t="s">
        <v>406</v>
      </c>
    </row>
    <row r="2221" spans="1:3">
      <c r="A2221" s="627">
        <v>7673</v>
      </c>
      <c r="B2221" s="628" t="s">
        <v>579</v>
      </c>
      <c r="C2221" s="629" t="s">
        <v>406</v>
      </c>
    </row>
    <row r="2222" spans="1:3">
      <c r="A2222" s="627">
        <v>7673</v>
      </c>
      <c r="B2222" s="628" t="s">
        <v>4511</v>
      </c>
      <c r="C2222" s="629" t="s">
        <v>406</v>
      </c>
    </row>
    <row r="2223" spans="1:3">
      <c r="A2223" s="627">
        <v>7675</v>
      </c>
      <c r="B2223" s="628" t="s">
        <v>580</v>
      </c>
      <c r="C2223" s="629" t="s">
        <v>406</v>
      </c>
    </row>
    <row r="2224" spans="1:3">
      <c r="A2224" s="627">
        <v>7675</v>
      </c>
      <c r="B2224" s="628" t="s">
        <v>581</v>
      </c>
      <c r="C2224" s="629" t="s">
        <v>406</v>
      </c>
    </row>
    <row r="2225" spans="1:3">
      <c r="A2225" s="627">
        <v>7677</v>
      </c>
      <c r="B2225" s="628" t="s">
        <v>3186</v>
      </c>
      <c r="C2225" s="629" t="s">
        <v>406</v>
      </c>
    </row>
    <row r="2226" spans="1:3">
      <c r="A2226" s="627">
        <v>7678</v>
      </c>
      <c r="B2226" s="628" t="s">
        <v>583</v>
      </c>
      <c r="C2226" s="629" t="s">
        <v>406</v>
      </c>
    </row>
    <row r="2227" spans="1:3">
      <c r="A2227" s="627">
        <v>7678</v>
      </c>
      <c r="B2227" s="628" t="s">
        <v>584</v>
      </c>
      <c r="C2227" s="629" t="s">
        <v>406</v>
      </c>
    </row>
    <row r="2228" spans="1:3">
      <c r="A2228" s="627">
        <v>7678</v>
      </c>
      <c r="B2228" s="628" t="s">
        <v>1227</v>
      </c>
      <c r="C2228" s="629" t="s">
        <v>406</v>
      </c>
    </row>
    <row r="2229" spans="1:3">
      <c r="A2229" s="627">
        <v>7681</v>
      </c>
      <c r="B2229" s="628" t="s">
        <v>585</v>
      </c>
      <c r="C2229" s="629" t="s">
        <v>406</v>
      </c>
    </row>
    <row r="2230" spans="1:3">
      <c r="A2230" s="627">
        <v>7681</v>
      </c>
      <c r="B2230" s="628" t="s">
        <v>586</v>
      </c>
      <c r="C2230" s="629" t="s">
        <v>406</v>
      </c>
    </row>
    <row r="2231" spans="1:3">
      <c r="A2231" s="627">
        <v>7681</v>
      </c>
      <c r="B2231" s="628" t="s">
        <v>1228</v>
      </c>
      <c r="C2231" s="629" t="s">
        <v>406</v>
      </c>
    </row>
    <row r="2232" spans="1:3">
      <c r="A2232" s="627">
        <v>7682</v>
      </c>
      <c r="B2232" s="628" t="s">
        <v>1229</v>
      </c>
      <c r="C2232" s="629" t="s">
        <v>406</v>
      </c>
    </row>
    <row r="2233" spans="1:3">
      <c r="A2233" s="627">
        <v>7683</v>
      </c>
      <c r="B2233" s="628" t="s">
        <v>587</v>
      </c>
      <c r="C2233" s="629" t="s">
        <v>406</v>
      </c>
    </row>
    <row r="2234" spans="1:3">
      <c r="A2234" s="627">
        <v>7683</v>
      </c>
      <c r="B2234" s="628" t="s">
        <v>588</v>
      </c>
      <c r="C2234" s="629" t="s">
        <v>406</v>
      </c>
    </row>
    <row r="2235" spans="1:3">
      <c r="A2235" s="627">
        <v>7683</v>
      </c>
      <c r="B2235" s="628" t="s">
        <v>1230</v>
      </c>
      <c r="C2235" s="629" t="s">
        <v>406</v>
      </c>
    </row>
    <row r="2236" spans="1:3">
      <c r="A2236" s="627">
        <v>7691</v>
      </c>
      <c r="B2236" s="628" t="s">
        <v>377</v>
      </c>
      <c r="C2236" s="629" t="s">
        <v>406</v>
      </c>
    </row>
    <row r="2237" spans="1:3">
      <c r="A2237" s="627">
        <v>7693</v>
      </c>
      <c r="B2237" s="628" t="s">
        <v>377</v>
      </c>
      <c r="C2237" s="629" t="s">
        <v>406</v>
      </c>
    </row>
    <row r="2238" spans="1:3">
      <c r="A2238" s="627">
        <v>7694</v>
      </c>
      <c r="B2238" s="628" t="s">
        <v>589</v>
      </c>
      <c r="C2238" s="629" t="s">
        <v>406</v>
      </c>
    </row>
    <row r="2239" spans="1:3">
      <c r="A2239" s="627">
        <v>7695</v>
      </c>
      <c r="B2239" s="628" t="s">
        <v>590</v>
      </c>
      <c r="C2239" s="629" t="s">
        <v>406</v>
      </c>
    </row>
    <row r="2240" spans="1:3">
      <c r="A2240" s="627">
        <v>7695</v>
      </c>
      <c r="B2240" s="628" t="s">
        <v>1871</v>
      </c>
      <c r="C2240" s="629" t="s">
        <v>406</v>
      </c>
    </row>
    <row r="2241" spans="1:3">
      <c r="A2241" s="627">
        <v>7695</v>
      </c>
      <c r="B2241" s="628" t="s">
        <v>1872</v>
      </c>
      <c r="C2241" s="629" t="s">
        <v>406</v>
      </c>
    </row>
    <row r="2242" spans="1:3">
      <c r="A2242" s="627">
        <v>7696</v>
      </c>
      <c r="B2242" s="628" t="s">
        <v>591</v>
      </c>
      <c r="C2242" s="629" t="s">
        <v>406</v>
      </c>
    </row>
    <row r="2243" spans="1:3">
      <c r="A2243" s="627">
        <v>7700</v>
      </c>
      <c r="B2243" s="628" t="s">
        <v>1873</v>
      </c>
      <c r="C2243" s="629" t="s">
        <v>406</v>
      </c>
    </row>
    <row r="2244" spans="1:3">
      <c r="A2244" s="627">
        <v>7711</v>
      </c>
      <c r="B2244" s="628" t="s">
        <v>1874</v>
      </c>
      <c r="C2244" s="629" t="s">
        <v>406</v>
      </c>
    </row>
    <row r="2245" spans="1:3">
      <c r="A2245" s="627">
        <v>7712</v>
      </c>
      <c r="B2245" s="628" t="s">
        <v>1875</v>
      </c>
      <c r="C2245" s="629" t="s">
        <v>406</v>
      </c>
    </row>
    <row r="2246" spans="1:3">
      <c r="A2246" s="627">
        <v>7714</v>
      </c>
      <c r="B2246" s="628" t="s">
        <v>1873</v>
      </c>
      <c r="C2246" s="629" t="s">
        <v>406</v>
      </c>
    </row>
    <row r="2247" spans="1:3">
      <c r="A2247" s="627">
        <v>7715</v>
      </c>
      <c r="B2247" s="628" t="s">
        <v>1873</v>
      </c>
      <c r="C2247" s="629" t="s">
        <v>406</v>
      </c>
    </row>
    <row r="2248" spans="1:3">
      <c r="A2248" s="627">
        <v>7716</v>
      </c>
      <c r="B2248" s="628" t="s">
        <v>1878</v>
      </c>
      <c r="C2248" s="629" t="s">
        <v>406</v>
      </c>
    </row>
    <row r="2249" spans="1:3">
      <c r="A2249" s="627">
        <v>7717</v>
      </c>
      <c r="B2249" s="628" t="s">
        <v>1879</v>
      </c>
      <c r="C2249" s="629" t="s">
        <v>406</v>
      </c>
    </row>
    <row r="2250" spans="1:3">
      <c r="A2250" s="627">
        <v>7718</v>
      </c>
      <c r="B2250" s="628" t="s">
        <v>1880</v>
      </c>
      <c r="C2250" s="629" t="s">
        <v>406</v>
      </c>
    </row>
    <row r="2251" spans="1:3">
      <c r="A2251" s="627">
        <v>7720</v>
      </c>
      <c r="B2251" s="628" t="s">
        <v>594</v>
      </c>
      <c r="C2251" s="629" t="s">
        <v>406</v>
      </c>
    </row>
    <row r="2252" spans="1:3">
      <c r="A2252" s="627">
        <v>7720</v>
      </c>
      <c r="B2252" s="628" t="s">
        <v>595</v>
      </c>
      <c r="C2252" s="629" t="s">
        <v>406</v>
      </c>
    </row>
    <row r="2253" spans="1:3">
      <c r="A2253" s="627">
        <v>7720</v>
      </c>
      <c r="B2253" s="628" t="s">
        <v>596</v>
      </c>
      <c r="C2253" s="629" t="s">
        <v>406</v>
      </c>
    </row>
    <row r="2254" spans="1:3">
      <c r="A2254" s="627">
        <v>7720</v>
      </c>
      <c r="B2254" s="628" t="s">
        <v>1881</v>
      </c>
      <c r="C2254" s="629" t="s">
        <v>406</v>
      </c>
    </row>
    <row r="2255" spans="1:3">
      <c r="A2255" s="627">
        <v>7720</v>
      </c>
      <c r="B2255" s="628" t="s">
        <v>1882</v>
      </c>
      <c r="C2255" s="629" t="s">
        <v>406</v>
      </c>
    </row>
    <row r="2256" spans="1:3">
      <c r="A2256" s="627">
        <v>7723</v>
      </c>
      <c r="B2256" s="628" t="s">
        <v>1883</v>
      </c>
      <c r="C2256" s="629" t="s">
        <v>406</v>
      </c>
    </row>
    <row r="2257" spans="1:3">
      <c r="A2257" s="627">
        <v>7724</v>
      </c>
      <c r="B2257" s="628" t="s">
        <v>1884</v>
      </c>
      <c r="C2257" s="629" t="s">
        <v>406</v>
      </c>
    </row>
    <row r="2258" spans="1:3">
      <c r="A2258" s="627">
        <v>7725</v>
      </c>
      <c r="B2258" s="628" t="s">
        <v>1885</v>
      </c>
      <c r="C2258" s="629" t="s">
        <v>406</v>
      </c>
    </row>
    <row r="2259" spans="1:3">
      <c r="A2259" s="627">
        <v>7726</v>
      </c>
      <c r="B2259" s="628" t="s">
        <v>1886</v>
      </c>
      <c r="C2259" s="629" t="s">
        <v>406</v>
      </c>
    </row>
    <row r="2260" spans="1:3">
      <c r="A2260" s="627">
        <v>7727</v>
      </c>
      <c r="B2260" s="628" t="s">
        <v>1887</v>
      </c>
      <c r="C2260" s="629" t="s">
        <v>406</v>
      </c>
    </row>
    <row r="2261" spans="1:3">
      <c r="A2261" s="627">
        <v>7728</v>
      </c>
      <c r="B2261" s="628" t="s">
        <v>1889</v>
      </c>
      <c r="C2261" s="629" t="s">
        <v>406</v>
      </c>
    </row>
    <row r="2262" spans="1:3">
      <c r="A2262" s="627">
        <v>7728</v>
      </c>
      <c r="B2262" s="628" t="s">
        <v>1888</v>
      </c>
      <c r="C2262" s="629" t="s">
        <v>406</v>
      </c>
    </row>
    <row r="2263" spans="1:3">
      <c r="A2263" s="627">
        <v>7731</v>
      </c>
      <c r="B2263" s="628" t="s">
        <v>1890</v>
      </c>
      <c r="C2263" s="629" t="s">
        <v>406</v>
      </c>
    </row>
    <row r="2264" spans="1:3">
      <c r="A2264" s="627">
        <v>7732</v>
      </c>
      <c r="B2264" s="628" t="s">
        <v>1891</v>
      </c>
      <c r="C2264" s="629" t="s">
        <v>406</v>
      </c>
    </row>
    <row r="2265" spans="1:3">
      <c r="A2265" s="627">
        <v>7733</v>
      </c>
      <c r="B2265" s="628" t="s">
        <v>598</v>
      </c>
      <c r="C2265" s="629" t="s">
        <v>406</v>
      </c>
    </row>
    <row r="2266" spans="1:3">
      <c r="A2266" s="627">
        <v>7733</v>
      </c>
      <c r="B2266" s="628" t="s">
        <v>1892</v>
      </c>
      <c r="C2266" s="629" t="s">
        <v>406</v>
      </c>
    </row>
    <row r="2267" spans="1:3">
      <c r="A2267" s="627">
        <v>7735</v>
      </c>
      <c r="B2267" s="628" t="s">
        <v>599</v>
      </c>
      <c r="C2267" s="629" t="s">
        <v>406</v>
      </c>
    </row>
    <row r="2268" spans="1:3">
      <c r="A2268" s="627">
        <v>7735</v>
      </c>
      <c r="B2268" s="628" t="s">
        <v>600</v>
      </c>
      <c r="C2268" s="629" t="s">
        <v>406</v>
      </c>
    </row>
    <row r="2269" spans="1:3">
      <c r="A2269" s="627">
        <v>7735</v>
      </c>
      <c r="B2269" s="628" t="s">
        <v>1893</v>
      </c>
      <c r="C2269" s="629" t="s">
        <v>406</v>
      </c>
    </row>
    <row r="2270" spans="1:3">
      <c r="A2270" s="627">
        <v>7737</v>
      </c>
      <c r="B2270" s="628" t="s">
        <v>1894</v>
      </c>
      <c r="C2270" s="629" t="s">
        <v>406</v>
      </c>
    </row>
    <row r="2271" spans="1:3">
      <c r="A2271" s="627">
        <v>7741</v>
      </c>
      <c r="B2271" s="628" t="s">
        <v>601</v>
      </c>
      <c r="C2271" s="629" t="s">
        <v>406</v>
      </c>
    </row>
    <row r="2272" spans="1:3">
      <c r="A2272" s="627">
        <v>7742</v>
      </c>
      <c r="B2272" s="628" t="s">
        <v>1896</v>
      </c>
      <c r="C2272" s="629" t="s">
        <v>406</v>
      </c>
    </row>
    <row r="2273" spans="1:3">
      <c r="A2273" s="627">
        <v>7743</v>
      </c>
      <c r="B2273" s="628" t="s">
        <v>1897</v>
      </c>
      <c r="C2273" s="629" t="s">
        <v>406</v>
      </c>
    </row>
    <row r="2274" spans="1:3">
      <c r="A2274" s="627">
        <v>7744</v>
      </c>
      <c r="B2274" s="628" t="s">
        <v>1898</v>
      </c>
      <c r="C2274" s="629" t="s">
        <v>406</v>
      </c>
    </row>
    <row r="2275" spans="1:3">
      <c r="A2275" s="627">
        <v>7745</v>
      </c>
      <c r="B2275" s="628" t="s">
        <v>602</v>
      </c>
      <c r="C2275" s="629" t="s">
        <v>406</v>
      </c>
    </row>
    <row r="2276" spans="1:3">
      <c r="A2276" s="627">
        <v>7745</v>
      </c>
      <c r="B2276" s="628" t="s">
        <v>1899</v>
      </c>
      <c r="C2276" s="629" t="s">
        <v>406</v>
      </c>
    </row>
    <row r="2277" spans="1:3">
      <c r="A2277" s="627">
        <v>7747</v>
      </c>
      <c r="B2277" s="628" t="s">
        <v>603</v>
      </c>
      <c r="C2277" s="629" t="s">
        <v>406</v>
      </c>
    </row>
    <row r="2278" spans="1:3">
      <c r="A2278" s="627">
        <v>7747</v>
      </c>
      <c r="B2278" s="628" t="s">
        <v>1900</v>
      </c>
      <c r="C2278" s="629" t="s">
        <v>406</v>
      </c>
    </row>
    <row r="2279" spans="1:3">
      <c r="A2279" s="627">
        <v>7751</v>
      </c>
      <c r="B2279" s="628" t="s">
        <v>604</v>
      </c>
      <c r="C2279" s="629" t="s">
        <v>406</v>
      </c>
    </row>
    <row r="2280" spans="1:3">
      <c r="A2280" s="627">
        <v>7751</v>
      </c>
      <c r="B2280" s="628" t="s">
        <v>1901</v>
      </c>
      <c r="C2280" s="629" t="s">
        <v>406</v>
      </c>
    </row>
    <row r="2281" spans="1:3">
      <c r="A2281" s="627">
        <v>7752</v>
      </c>
      <c r="B2281" s="628" t="s">
        <v>1902</v>
      </c>
      <c r="C2281" s="629" t="s">
        <v>406</v>
      </c>
    </row>
    <row r="2282" spans="1:3">
      <c r="A2282" s="627">
        <v>7753</v>
      </c>
      <c r="B2282" s="628" t="s">
        <v>1903</v>
      </c>
      <c r="C2282" s="629" t="s">
        <v>406</v>
      </c>
    </row>
    <row r="2283" spans="1:3">
      <c r="A2283" s="627">
        <v>7754</v>
      </c>
      <c r="B2283" s="628" t="s">
        <v>1904</v>
      </c>
      <c r="C2283" s="629" t="s">
        <v>406</v>
      </c>
    </row>
    <row r="2284" spans="1:3">
      <c r="A2284" s="627">
        <v>7755</v>
      </c>
      <c r="B2284" s="628" t="s">
        <v>1905</v>
      </c>
      <c r="C2284" s="629" t="s">
        <v>406</v>
      </c>
    </row>
    <row r="2285" spans="1:3">
      <c r="A2285" s="627">
        <v>7756</v>
      </c>
      <c r="B2285" s="628" t="s">
        <v>605</v>
      </c>
      <c r="C2285" s="629" t="s">
        <v>406</v>
      </c>
    </row>
    <row r="2286" spans="1:3">
      <c r="A2286" s="627">
        <v>7756</v>
      </c>
      <c r="B2286" s="628" t="s">
        <v>606</v>
      </c>
      <c r="C2286" s="629" t="s">
        <v>406</v>
      </c>
    </row>
    <row r="2287" spans="1:3">
      <c r="A2287" s="627">
        <v>7756</v>
      </c>
      <c r="B2287" s="628" t="s">
        <v>607</v>
      </c>
      <c r="C2287" s="629" t="s">
        <v>406</v>
      </c>
    </row>
    <row r="2288" spans="1:3">
      <c r="A2288" s="627">
        <v>7756</v>
      </c>
      <c r="B2288" s="628" t="s">
        <v>608</v>
      </c>
      <c r="C2288" s="629" t="s">
        <v>406</v>
      </c>
    </row>
    <row r="2289" spans="1:3">
      <c r="A2289" s="627">
        <v>7757</v>
      </c>
      <c r="B2289" s="628" t="s">
        <v>1907</v>
      </c>
      <c r="C2289" s="629" t="s">
        <v>406</v>
      </c>
    </row>
    <row r="2290" spans="1:3">
      <c r="A2290" s="627">
        <v>7757</v>
      </c>
      <c r="B2290" s="628" t="s">
        <v>1908</v>
      </c>
      <c r="C2290" s="629" t="s">
        <v>406</v>
      </c>
    </row>
    <row r="2291" spans="1:3">
      <c r="A2291" s="627">
        <v>7759</v>
      </c>
      <c r="B2291" s="628" t="s">
        <v>609</v>
      </c>
      <c r="C2291" s="629" t="s">
        <v>406</v>
      </c>
    </row>
    <row r="2292" spans="1:3">
      <c r="A2292" s="627">
        <v>7759</v>
      </c>
      <c r="B2292" s="628" t="s">
        <v>1909</v>
      </c>
      <c r="C2292" s="629" t="s">
        <v>406</v>
      </c>
    </row>
    <row r="2293" spans="1:3">
      <c r="A2293" s="627">
        <v>7761</v>
      </c>
      <c r="B2293" s="628" t="s">
        <v>1592</v>
      </c>
      <c r="C2293" s="629" t="s">
        <v>406</v>
      </c>
    </row>
    <row r="2294" spans="1:3">
      <c r="A2294" s="627">
        <v>7761</v>
      </c>
      <c r="B2294" s="628" t="s">
        <v>1593</v>
      </c>
      <c r="C2294" s="629" t="s">
        <v>406</v>
      </c>
    </row>
    <row r="2295" spans="1:3">
      <c r="A2295" s="627">
        <v>7761</v>
      </c>
      <c r="B2295" s="628" t="s">
        <v>1594</v>
      </c>
      <c r="C2295" s="629" t="s">
        <v>406</v>
      </c>
    </row>
    <row r="2296" spans="1:3">
      <c r="A2296" s="627">
        <v>7762</v>
      </c>
      <c r="B2296" s="628" t="s">
        <v>1911</v>
      </c>
      <c r="C2296" s="629" t="s">
        <v>406</v>
      </c>
    </row>
    <row r="2297" spans="1:3">
      <c r="A2297" s="627">
        <v>7763</v>
      </c>
      <c r="B2297" s="628" t="s">
        <v>1912</v>
      </c>
      <c r="C2297" s="629" t="s">
        <v>406</v>
      </c>
    </row>
    <row r="2298" spans="1:3">
      <c r="A2298" s="627">
        <v>7763</v>
      </c>
      <c r="B2298" s="628" t="s">
        <v>1595</v>
      </c>
      <c r="C2298" s="629" t="s">
        <v>406</v>
      </c>
    </row>
    <row r="2299" spans="1:3">
      <c r="A2299" s="627">
        <v>7763</v>
      </c>
      <c r="B2299" s="628" t="s">
        <v>1606</v>
      </c>
      <c r="C2299" s="629" t="s">
        <v>406</v>
      </c>
    </row>
    <row r="2300" spans="1:3">
      <c r="A2300" s="627">
        <v>7763</v>
      </c>
      <c r="B2300" s="628" t="s">
        <v>1895</v>
      </c>
      <c r="C2300" s="629" t="s">
        <v>406</v>
      </c>
    </row>
    <row r="2301" spans="1:3">
      <c r="A2301" s="627">
        <v>7763</v>
      </c>
      <c r="B2301" s="628" t="s">
        <v>1607</v>
      </c>
      <c r="C2301" s="629" t="s">
        <v>406</v>
      </c>
    </row>
    <row r="2302" spans="1:3">
      <c r="A2302" s="627">
        <v>7766</v>
      </c>
      <c r="B2302" s="628" t="s">
        <v>1914</v>
      </c>
      <c r="C2302" s="629" t="s">
        <v>406</v>
      </c>
    </row>
    <row r="2303" spans="1:3">
      <c r="A2303" s="627">
        <v>7766</v>
      </c>
      <c r="B2303" s="628" t="s">
        <v>1608</v>
      </c>
      <c r="C2303" s="629" t="s">
        <v>406</v>
      </c>
    </row>
    <row r="2304" spans="1:3">
      <c r="A2304" s="627">
        <v>7766</v>
      </c>
      <c r="B2304" s="628" t="s">
        <v>1609</v>
      </c>
      <c r="C2304" s="629" t="s">
        <v>406</v>
      </c>
    </row>
    <row r="2305" spans="1:3">
      <c r="A2305" s="627">
        <v>7766</v>
      </c>
      <c r="B2305" s="628" t="s">
        <v>1913</v>
      </c>
      <c r="C2305" s="629" t="s">
        <v>406</v>
      </c>
    </row>
    <row r="2306" spans="1:3">
      <c r="A2306" s="627">
        <v>7768</v>
      </c>
      <c r="B2306" s="628" t="s">
        <v>1610</v>
      </c>
      <c r="C2306" s="629" t="s">
        <v>406</v>
      </c>
    </row>
    <row r="2307" spans="1:3">
      <c r="A2307" s="627">
        <v>7768</v>
      </c>
      <c r="B2307" s="628" t="s">
        <v>1915</v>
      </c>
      <c r="C2307" s="629" t="s">
        <v>406</v>
      </c>
    </row>
    <row r="2308" spans="1:3">
      <c r="A2308" s="627">
        <v>7771</v>
      </c>
      <c r="B2308" s="628" t="s">
        <v>1916</v>
      </c>
      <c r="C2308" s="629" t="s">
        <v>406</v>
      </c>
    </row>
    <row r="2309" spans="1:3">
      <c r="A2309" s="627">
        <v>7772</v>
      </c>
      <c r="B2309" s="628" t="s">
        <v>1611</v>
      </c>
      <c r="C2309" s="629" t="s">
        <v>406</v>
      </c>
    </row>
    <row r="2310" spans="1:3">
      <c r="A2310" s="627">
        <v>7772</v>
      </c>
      <c r="B2310" s="628" t="s">
        <v>1917</v>
      </c>
      <c r="C2310" s="629" t="s">
        <v>406</v>
      </c>
    </row>
    <row r="2311" spans="1:3">
      <c r="A2311" s="627">
        <v>7773</v>
      </c>
      <c r="B2311" s="628" t="s">
        <v>1612</v>
      </c>
      <c r="C2311" s="629" t="s">
        <v>406</v>
      </c>
    </row>
    <row r="2312" spans="1:3">
      <c r="A2312" s="627">
        <v>7773</v>
      </c>
      <c r="B2312" s="628" t="s">
        <v>1918</v>
      </c>
      <c r="C2312" s="629" t="s">
        <v>406</v>
      </c>
    </row>
    <row r="2313" spans="1:3">
      <c r="A2313" s="627">
        <v>7774</v>
      </c>
      <c r="B2313" s="628" t="s">
        <v>1919</v>
      </c>
      <c r="C2313" s="629" t="s">
        <v>406</v>
      </c>
    </row>
    <row r="2314" spans="1:3">
      <c r="A2314" s="627">
        <v>7775</v>
      </c>
      <c r="B2314" s="628" t="s">
        <v>1613</v>
      </c>
      <c r="C2314" s="629" t="s">
        <v>406</v>
      </c>
    </row>
    <row r="2315" spans="1:3">
      <c r="A2315" s="627">
        <v>7775</v>
      </c>
      <c r="B2315" s="628" t="s">
        <v>1614</v>
      </c>
      <c r="C2315" s="629" t="s">
        <v>406</v>
      </c>
    </row>
    <row r="2316" spans="1:3">
      <c r="A2316" s="627">
        <v>7775</v>
      </c>
      <c r="B2316" s="628" t="s">
        <v>1615</v>
      </c>
      <c r="C2316" s="629" t="s">
        <v>406</v>
      </c>
    </row>
    <row r="2317" spans="1:3">
      <c r="A2317" s="627">
        <v>7775</v>
      </c>
      <c r="B2317" s="628" t="s">
        <v>1920</v>
      </c>
      <c r="C2317" s="629" t="s">
        <v>406</v>
      </c>
    </row>
    <row r="2318" spans="1:3">
      <c r="A2318" s="627">
        <v>7781</v>
      </c>
      <c r="B2318" s="628" t="s">
        <v>1616</v>
      </c>
      <c r="C2318" s="629" t="s">
        <v>406</v>
      </c>
    </row>
    <row r="2319" spans="1:3">
      <c r="A2319" s="627">
        <v>7781</v>
      </c>
      <c r="B2319" s="628" t="s">
        <v>1921</v>
      </c>
      <c r="C2319" s="629" t="s">
        <v>406</v>
      </c>
    </row>
    <row r="2320" spans="1:3">
      <c r="A2320" s="627">
        <v>7781</v>
      </c>
      <c r="B2320" s="628" t="s">
        <v>1922</v>
      </c>
      <c r="C2320" s="629" t="s">
        <v>406</v>
      </c>
    </row>
    <row r="2321" spans="1:3">
      <c r="A2321" s="627">
        <v>7782</v>
      </c>
      <c r="B2321" s="628" t="s">
        <v>1617</v>
      </c>
      <c r="C2321" s="629" t="s">
        <v>406</v>
      </c>
    </row>
    <row r="2322" spans="1:3">
      <c r="A2322" s="627">
        <v>7783</v>
      </c>
      <c r="B2322" s="628" t="s">
        <v>1923</v>
      </c>
      <c r="C2322" s="629" t="s">
        <v>406</v>
      </c>
    </row>
    <row r="2323" spans="1:3">
      <c r="A2323" s="627">
        <v>7784</v>
      </c>
      <c r="B2323" s="628" t="s">
        <v>1924</v>
      </c>
      <c r="C2323" s="629" t="s">
        <v>406</v>
      </c>
    </row>
    <row r="2324" spans="1:3">
      <c r="A2324" s="627">
        <v>7785</v>
      </c>
      <c r="B2324" s="628" t="s">
        <v>1925</v>
      </c>
      <c r="C2324" s="629" t="s">
        <v>406</v>
      </c>
    </row>
    <row r="2325" spans="1:3">
      <c r="A2325" s="627">
        <v>7800</v>
      </c>
      <c r="B2325" s="628" t="s">
        <v>1934</v>
      </c>
      <c r="C2325" s="629" t="s">
        <v>406</v>
      </c>
    </row>
    <row r="2326" spans="1:3">
      <c r="A2326" s="627">
        <v>7800</v>
      </c>
      <c r="B2326" s="628" t="s">
        <v>1618</v>
      </c>
      <c r="C2326" s="629" t="s">
        <v>406</v>
      </c>
    </row>
    <row r="2327" spans="1:3">
      <c r="A2327" s="627">
        <v>7800</v>
      </c>
      <c r="B2327" s="628" t="s">
        <v>1926</v>
      </c>
      <c r="C2327" s="629" t="s">
        <v>406</v>
      </c>
    </row>
    <row r="2328" spans="1:3">
      <c r="A2328" s="627">
        <v>7811</v>
      </c>
      <c r="B2328" s="628" t="s">
        <v>1619</v>
      </c>
      <c r="C2328" s="629" t="s">
        <v>406</v>
      </c>
    </row>
    <row r="2329" spans="1:3">
      <c r="A2329" s="627">
        <v>7811</v>
      </c>
      <c r="B2329" s="628" t="s">
        <v>1620</v>
      </c>
      <c r="C2329" s="629" t="s">
        <v>406</v>
      </c>
    </row>
    <row r="2330" spans="1:3">
      <c r="A2330" s="627">
        <v>7811</v>
      </c>
      <c r="B2330" s="628" t="s">
        <v>1621</v>
      </c>
      <c r="C2330" s="629" t="s">
        <v>406</v>
      </c>
    </row>
    <row r="2331" spans="1:3">
      <c r="A2331" s="627">
        <v>7811</v>
      </c>
      <c r="B2331" s="628" t="s">
        <v>1622</v>
      </c>
      <c r="C2331" s="629" t="s">
        <v>406</v>
      </c>
    </row>
    <row r="2332" spans="1:3">
      <c r="A2332" s="627">
        <v>7811</v>
      </c>
      <c r="B2332" s="628" t="s">
        <v>1623</v>
      </c>
      <c r="C2332" s="629" t="s">
        <v>406</v>
      </c>
    </row>
    <row r="2333" spans="1:3">
      <c r="A2333" s="627">
        <v>7811</v>
      </c>
      <c r="B2333" s="628" t="s">
        <v>1927</v>
      </c>
      <c r="C2333" s="629" t="s">
        <v>406</v>
      </c>
    </row>
    <row r="2334" spans="1:3">
      <c r="A2334" s="627">
        <v>7812</v>
      </c>
      <c r="B2334" s="628" t="s">
        <v>1928</v>
      </c>
      <c r="C2334" s="629" t="s">
        <v>406</v>
      </c>
    </row>
    <row r="2335" spans="1:3">
      <c r="A2335" s="627">
        <v>7813</v>
      </c>
      <c r="B2335" s="628" t="s">
        <v>1929</v>
      </c>
      <c r="C2335" s="629" t="s">
        <v>406</v>
      </c>
    </row>
    <row r="2336" spans="1:3">
      <c r="A2336" s="627">
        <v>7814</v>
      </c>
      <c r="B2336" s="628" t="s">
        <v>1624</v>
      </c>
      <c r="C2336" s="629" t="s">
        <v>406</v>
      </c>
    </row>
    <row r="2337" spans="1:3">
      <c r="A2337" s="627">
        <v>7814</v>
      </c>
      <c r="B2337" s="628" t="s">
        <v>1625</v>
      </c>
      <c r="C2337" s="629" t="s">
        <v>406</v>
      </c>
    </row>
    <row r="2338" spans="1:3">
      <c r="A2338" s="627">
        <v>7814</v>
      </c>
      <c r="B2338" s="628" t="s">
        <v>1626</v>
      </c>
      <c r="C2338" s="629" t="s">
        <v>406</v>
      </c>
    </row>
    <row r="2339" spans="1:3">
      <c r="A2339" s="627">
        <v>7814</v>
      </c>
      <c r="B2339" s="628" t="s">
        <v>1930</v>
      </c>
      <c r="C2339" s="629" t="s">
        <v>406</v>
      </c>
    </row>
    <row r="2340" spans="1:3">
      <c r="A2340" s="627">
        <v>7815</v>
      </c>
      <c r="B2340" s="628" t="s">
        <v>1931</v>
      </c>
      <c r="C2340" s="629" t="s">
        <v>406</v>
      </c>
    </row>
    <row r="2341" spans="1:3">
      <c r="A2341" s="627">
        <v>7817</v>
      </c>
      <c r="B2341" s="628" t="s">
        <v>1627</v>
      </c>
      <c r="C2341" s="629" t="s">
        <v>406</v>
      </c>
    </row>
    <row r="2342" spans="1:3">
      <c r="A2342" s="627">
        <v>7817</v>
      </c>
      <c r="B2342" s="628" t="s">
        <v>1932</v>
      </c>
      <c r="C2342" s="629" t="s">
        <v>406</v>
      </c>
    </row>
    <row r="2343" spans="1:3">
      <c r="A2343" s="627">
        <v>7817</v>
      </c>
      <c r="B2343" s="628" t="s">
        <v>1951</v>
      </c>
      <c r="C2343" s="629" t="s">
        <v>406</v>
      </c>
    </row>
    <row r="2344" spans="1:3">
      <c r="A2344" s="627">
        <v>7822</v>
      </c>
      <c r="B2344" s="628" t="s">
        <v>1935</v>
      </c>
      <c r="C2344" s="629" t="s">
        <v>406</v>
      </c>
    </row>
    <row r="2345" spans="1:3">
      <c r="A2345" s="627">
        <v>7823</v>
      </c>
      <c r="B2345" s="628" t="s">
        <v>1628</v>
      </c>
      <c r="C2345" s="629" t="s">
        <v>406</v>
      </c>
    </row>
    <row r="2346" spans="1:3">
      <c r="A2346" s="627">
        <v>7823</v>
      </c>
      <c r="B2346" s="628" t="s">
        <v>1936</v>
      </c>
      <c r="C2346" s="629" t="s">
        <v>406</v>
      </c>
    </row>
    <row r="2347" spans="1:3">
      <c r="A2347" s="627">
        <v>7824</v>
      </c>
      <c r="B2347" s="628" t="s">
        <v>1937</v>
      </c>
      <c r="C2347" s="629" t="s">
        <v>406</v>
      </c>
    </row>
    <row r="2348" spans="1:3">
      <c r="A2348" s="627">
        <v>7824</v>
      </c>
      <c r="B2348" s="628" t="s">
        <v>1938</v>
      </c>
      <c r="C2348" s="629" t="s">
        <v>406</v>
      </c>
    </row>
    <row r="2349" spans="1:3">
      <c r="A2349" s="627">
        <v>7826</v>
      </c>
      <c r="B2349" s="628" t="s">
        <v>1939</v>
      </c>
      <c r="C2349" s="629" t="s">
        <v>406</v>
      </c>
    </row>
    <row r="2350" spans="1:3">
      <c r="A2350" s="627">
        <v>7827</v>
      </c>
      <c r="B2350" s="628" t="s">
        <v>1629</v>
      </c>
      <c r="C2350" s="629" t="s">
        <v>406</v>
      </c>
    </row>
    <row r="2351" spans="1:3">
      <c r="A2351" s="627">
        <v>7827</v>
      </c>
      <c r="B2351" s="628" t="s">
        <v>1940</v>
      </c>
      <c r="C2351" s="629" t="s">
        <v>406</v>
      </c>
    </row>
    <row r="2352" spans="1:3">
      <c r="A2352" s="627">
        <v>7831</v>
      </c>
      <c r="B2352" s="628" t="s">
        <v>1941</v>
      </c>
      <c r="C2352" s="629" t="s">
        <v>406</v>
      </c>
    </row>
    <row r="2353" spans="1:3">
      <c r="A2353" s="627">
        <v>7833</v>
      </c>
      <c r="B2353" s="628" t="s">
        <v>1630</v>
      </c>
      <c r="C2353" s="629" t="s">
        <v>406</v>
      </c>
    </row>
    <row r="2354" spans="1:3">
      <c r="A2354" s="627">
        <v>7833</v>
      </c>
      <c r="B2354" s="628" t="s">
        <v>1631</v>
      </c>
      <c r="C2354" s="629" t="s">
        <v>406</v>
      </c>
    </row>
    <row r="2355" spans="1:3">
      <c r="A2355" s="627">
        <v>7833</v>
      </c>
      <c r="B2355" s="628" t="s">
        <v>1942</v>
      </c>
      <c r="C2355" s="629" t="s">
        <v>406</v>
      </c>
    </row>
    <row r="2356" spans="1:3">
      <c r="A2356" s="627">
        <v>7834</v>
      </c>
      <c r="B2356" s="628" t="s">
        <v>1632</v>
      </c>
      <c r="C2356" s="629" t="s">
        <v>406</v>
      </c>
    </row>
    <row r="2357" spans="1:3">
      <c r="A2357" s="627">
        <v>7834</v>
      </c>
      <c r="B2357" s="628" t="s">
        <v>1943</v>
      </c>
      <c r="C2357" s="629" t="s">
        <v>406</v>
      </c>
    </row>
    <row r="2358" spans="1:3">
      <c r="A2358" s="627">
        <v>7834</v>
      </c>
      <c r="B2358" s="628" t="s">
        <v>1944</v>
      </c>
      <c r="C2358" s="629" t="s">
        <v>406</v>
      </c>
    </row>
    <row r="2359" spans="1:3">
      <c r="A2359" s="627">
        <v>7836</v>
      </c>
      <c r="B2359" s="628" t="s">
        <v>1633</v>
      </c>
      <c r="C2359" s="629" t="s">
        <v>406</v>
      </c>
    </row>
    <row r="2360" spans="1:3">
      <c r="A2360" s="627">
        <v>7836</v>
      </c>
      <c r="B2360" s="628" t="s">
        <v>1945</v>
      </c>
      <c r="C2360" s="629" t="s">
        <v>406</v>
      </c>
    </row>
    <row r="2361" spans="1:3">
      <c r="A2361" s="627">
        <v>7837</v>
      </c>
      <c r="B2361" s="628" t="s">
        <v>1946</v>
      </c>
      <c r="C2361" s="629" t="s">
        <v>406</v>
      </c>
    </row>
    <row r="2362" spans="1:3">
      <c r="A2362" s="627">
        <v>7838</v>
      </c>
      <c r="B2362" s="628" t="s">
        <v>1634</v>
      </c>
      <c r="C2362" s="629" t="s">
        <v>406</v>
      </c>
    </row>
    <row r="2363" spans="1:3">
      <c r="A2363" s="627">
        <v>7838</v>
      </c>
      <c r="B2363" s="628" t="s">
        <v>1635</v>
      </c>
      <c r="C2363" s="629" t="s">
        <v>406</v>
      </c>
    </row>
    <row r="2364" spans="1:3">
      <c r="A2364" s="627">
        <v>7838</v>
      </c>
      <c r="B2364" s="628" t="s">
        <v>1636</v>
      </c>
      <c r="C2364" s="629" t="s">
        <v>406</v>
      </c>
    </row>
    <row r="2365" spans="1:3">
      <c r="A2365" s="627">
        <v>7838</v>
      </c>
      <c r="B2365" s="628" t="s">
        <v>3466</v>
      </c>
      <c r="C2365" s="629" t="s">
        <v>406</v>
      </c>
    </row>
    <row r="2366" spans="1:3">
      <c r="A2366" s="627">
        <v>7838</v>
      </c>
      <c r="B2366" s="628" t="s">
        <v>1637</v>
      </c>
      <c r="C2366" s="629" t="s">
        <v>406</v>
      </c>
    </row>
    <row r="2367" spans="1:3">
      <c r="A2367" s="627">
        <v>7838</v>
      </c>
      <c r="B2367" s="628" t="s">
        <v>1638</v>
      </c>
      <c r="C2367" s="629" t="s">
        <v>406</v>
      </c>
    </row>
    <row r="2368" spans="1:3">
      <c r="A2368" s="627">
        <v>7838</v>
      </c>
      <c r="B2368" s="628" t="s">
        <v>1639</v>
      </c>
      <c r="C2368" s="629" t="s">
        <v>406</v>
      </c>
    </row>
    <row r="2369" spans="1:3">
      <c r="A2369" s="627">
        <v>7838</v>
      </c>
      <c r="B2369" s="628" t="s">
        <v>1947</v>
      </c>
      <c r="C2369" s="629" t="s">
        <v>406</v>
      </c>
    </row>
    <row r="2370" spans="1:3">
      <c r="A2370" s="627">
        <v>7839</v>
      </c>
      <c r="B2370" s="628" t="s">
        <v>1640</v>
      </c>
      <c r="C2370" s="629" t="s">
        <v>406</v>
      </c>
    </row>
    <row r="2371" spans="1:3">
      <c r="A2371" s="627">
        <v>7839</v>
      </c>
      <c r="B2371" s="628" t="s">
        <v>1948</v>
      </c>
      <c r="C2371" s="629" t="s">
        <v>406</v>
      </c>
    </row>
    <row r="2372" spans="1:3">
      <c r="A2372" s="627">
        <v>7841</v>
      </c>
      <c r="B2372" s="628" t="s">
        <v>1641</v>
      </c>
      <c r="C2372" s="629" t="s">
        <v>406</v>
      </c>
    </row>
    <row r="2373" spans="1:3">
      <c r="A2373" s="627">
        <v>7841</v>
      </c>
      <c r="B2373" s="628" t="s">
        <v>3663</v>
      </c>
      <c r="C2373" s="629" t="s">
        <v>406</v>
      </c>
    </row>
    <row r="2374" spans="1:3">
      <c r="A2374" s="627">
        <v>7841</v>
      </c>
      <c r="B2374" s="628" t="s">
        <v>3664</v>
      </c>
      <c r="C2374" s="629" t="s">
        <v>406</v>
      </c>
    </row>
    <row r="2375" spans="1:3">
      <c r="A2375" s="627">
        <v>7841</v>
      </c>
      <c r="B2375" s="628" t="s">
        <v>3665</v>
      </c>
      <c r="C2375" s="629" t="s">
        <v>406</v>
      </c>
    </row>
    <row r="2376" spans="1:3">
      <c r="A2376" s="627">
        <v>7841</v>
      </c>
      <c r="B2376" s="628" t="s">
        <v>1949</v>
      </c>
      <c r="C2376" s="629" t="s">
        <v>406</v>
      </c>
    </row>
    <row r="2377" spans="1:3">
      <c r="A2377" s="627">
        <v>7843</v>
      </c>
      <c r="B2377" s="631" t="s">
        <v>3666</v>
      </c>
      <c r="C2377" s="629" t="s">
        <v>406</v>
      </c>
    </row>
    <row r="2378" spans="1:3">
      <c r="A2378" s="627">
        <v>7843</v>
      </c>
      <c r="B2378" s="628" t="s">
        <v>3667</v>
      </c>
      <c r="C2378" s="629" t="s">
        <v>406</v>
      </c>
    </row>
    <row r="2379" spans="1:3">
      <c r="A2379" s="627">
        <v>7843</v>
      </c>
      <c r="B2379" s="628" t="s">
        <v>3668</v>
      </c>
      <c r="C2379" s="629" t="s">
        <v>406</v>
      </c>
    </row>
    <row r="2380" spans="1:3">
      <c r="A2380" s="627">
        <v>7843</v>
      </c>
      <c r="B2380" s="628" t="s">
        <v>3669</v>
      </c>
      <c r="C2380" s="629" t="s">
        <v>406</v>
      </c>
    </row>
    <row r="2381" spans="1:3">
      <c r="A2381" s="627">
        <v>7843</v>
      </c>
      <c r="B2381" s="628" t="s">
        <v>1950</v>
      </c>
      <c r="C2381" s="629" t="s">
        <v>406</v>
      </c>
    </row>
    <row r="2382" spans="1:3">
      <c r="A2382" s="627">
        <v>7846</v>
      </c>
      <c r="B2382" s="628" t="s">
        <v>3670</v>
      </c>
      <c r="C2382" s="629" t="s">
        <v>406</v>
      </c>
    </row>
    <row r="2383" spans="1:3">
      <c r="A2383" s="627">
        <v>7847</v>
      </c>
      <c r="B2383" s="628" t="s">
        <v>3671</v>
      </c>
      <c r="C2383" s="629" t="s">
        <v>406</v>
      </c>
    </row>
    <row r="2384" spans="1:3">
      <c r="A2384" s="627">
        <v>7847</v>
      </c>
      <c r="B2384" s="628" t="s">
        <v>3672</v>
      </c>
      <c r="C2384" s="629" t="s">
        <v>406</v>
      </c>
    </row>
    <row r="2385" spans="1:3">
      <c r="A2385" s="627">
        <v>7847</v>
      </c>
      <c r="B2385" s="628" t="s">
        <v>1952</v>
      </c>
      <c r="C2385" s="629" t="s">
        <v>406</v>
      </c>
    </row>
    <row r="2386" spans="1:3">
      <c r="A2386" s="627">
        <v>7849</v>
      </c>
      <c r="B2386" s="628" t="s">
        <v>1953</v>
      </c>
      <c r="C2386" s="629" t="s">
        <v>406</v>
      </c>
    </row>
    <row r="2387" spans="1:3">
      <c r="A2387" s="627">
        <v>7850</v>
      </c>
      <c r="B2387" s="628" t="s">
        <v>1954</v>
      </c>
      <c r="C2387" s="629" t="s">
        <v>406</v>
      </c>
    </row>
    <row r="2388" spans="1:3">
      <c r="A2388" s="627">
        <v>7851</v>
      </c>
      <c r="B2388" s="628" t="s">
        <v>1955</v>
      </c>
      <c r="C2388" s="629" t="s">
        <v>406</v>
      </c>
    </row>
    <row r="2389" spans="1:3">
      <c r="A2389" s="627">
        <v>7853</v>
      </c>
      <c r="B2389" s="628" t="s">
        <v>1956</v>
      </c>
      <c r="C2389" s="629" t="s">
        <v>406</v>
      </c>
    </row>
    <row r="2390" spans="1:3">
      <c r="A2390" s="627">
        <v>7854</v>
      </c>
      <c r="B2390" s="628" t="s">
        <v>1957</v>
      </c>
      <c r="C2390" s="629" t="s">
        <v>406</v>
      </c>
    </row>
    <row r="2391" spans="1:3">
      <c r="A2391" s="627">
        <v>7900</v>
      </c>
      <c r="B2391" s="628" t="s">
        <v>1959</v>
      </c>
      <c r="C2391" s="629" t="s">
        <v>406</v>
      </c>
    </row>
    <row r="2392" spans="1:3">
      <c r="A2392" s="627">
        <v>7900</v>
      </c>
      <c r="B2392" s="628" t="s">
        <v>3450</v>
      </c>
      <c r="C2392" s="629" t="s">
        <v>406</v>
      </c>
    </row>
    <row r="2393" spans="1:3">
      <c r="A2393" s="627">
        <v>7900</v>
      </c>
      <c r="B2393" s="628" t="s">
        <v>3673</v>
      </c>
      <c r="C2393" s="629" t="s">
        <v>406</v>
      </c>
    </row>
    <row r="2394" spans="1:3">
      <c r="A2394" s="627">
        <v>7912</v>
      </c>
      <c r="B2394" s="628" t="s">
        <v>3674</v>
      </c>
      <c r="C2394" s="629" t="s">
        <v>406</v>
      </c>
    </row>
    <row r="2395" spans="1:3">
      <c r="A2395" s="627">
        <v>7912</v>
      </c>
      <c r="B2395" s="628" t="s">
        <v>3675</v>
      </c>
      <c r="C2395" s="629" t="s">
        <v>406</v>
      </c>
    </row>
    <row r="2396" spans="1:3">
      <c r="A2396" s="627">
        <v>7912</v>
      </c>
      <c r="B2396" s="628" t="s">
        <v>1960</v>
      </c>
      <c r="C2396" s="629" t="s">
        <v>406</v>
      </c>
    </row>
    <row r="2397" spans="1:3">
      <c r="A2397" s="627">
        <v>7913</v>
      </c>
      <c r="B2397" s="628" t="s">
        <v>1961</v>
      </c>
      <c r="C2397" s="629" t="s">
        <v>406</v>
      </c>
    </row>
    <row r="2398" spans="1:3">
      <c r="A2398" s="627">
        <v>7914</v>
      </c>
      <c r="B2398" s="628" t="s">
        <v>3676</v>
      </c>
      <c r="C2398" s="629" t="s">
        <v>406</v>
      </c>
    </row>
    <row r="2399" spans="1:3">
      <c r="A2399" s="627">
        <v>7914</v>
      </c>
      <c r="B2399" s="628" t="s">
        <v>3677</v>
      </c>
      <c r="C2399" s="629" t="s">
        <v>406</v>
      </c>
    </row>
    <row r="2400" spans="1:3">
      <c r="A2400" s="627">
        <v>7914</v>
      </c>
      <c r="B2400" s="628" t="s">
        <v>1962</v>
      </c>
      <c r="C2400" s="629" t="s">
        <v>406</v>
      </c>
    </row>
    <row r="2401" spans="1:3">
      <c r="A2401" s="627">
        <v>7915</v>
      </c>
      <c r="B2401" s="628" t="s">
        <v>3678</v>
      </c>
      <c r="C2401" s="629" t="s">
        <v>406</v>
      </c>
    </row>
    <row r="2402" spans="1:3">
      <c r="A2402" s="627">
        <v>7915</v>
      </c>
      <c r="B2402" s="628" t="s">
        <v>1963</v>
      </c>
      <c r="C2402" s="629" t="s">
        <v>406</v>
      </c>
    </row>
    <row r="2403" spans="1:3">
      <c r="A2403" s="627">
        <v>7918</v>
      </c>
      <c r="B2403" s="628" t="s">
        <v>3706</v>
      </c>
      <c r="C2403" s="629" t="s">
        <v>423</v>
      </c>
    </row>
    <row r="2404" spans="1:3">
      <c r="A2404" s="627">
        <v>7918</v>
      </c>
      <c r="B2404" s="628" t="s">
        <v>3707</v>
      </c>
      <c r="C2404" s="629" t="s">
        <v>423</v>
      </c>
    </row>
    <row r="2405" spans="1:3">
      <c r="A2405" s="627">
        <v>7918</v>
      </c>
      <c r="B2405" s="628" t="s">
        <v>1964</v>
      </c>
      <c r="C2405" s="629" t="s">
        <v>423</v>
      </c>
    </row>
    <row r="2406" spans="1:3">
      <c r="A2406" s="627">
        <v>7921</v>
      </c>
      <c r="B2406" s="628" t="s">
        <v>1965</v>
      </c>
      <c r="C2406" s="629" t="s">
        <v>406</v>
      </c>
    </row>
    <row r="2407" spans="1:3">
      <c r="A2407" s="627">
        <v>7922</v>
      </c>
      <c r="B2407" s="628" t="s">
        <v>3708</v>
      </c>
      <c r="C2407" s="629" t="s">
        <v>406</v>
      </c>
    </row>
    <row r="2408" spans="1:3">
      <c r="A2408" s="627">
        <v>7923</v>
      </c>
      <c r="B2408" s="628" t="s">
        <v>1967</v>
      </c>
      <c r="C2408" s="629" t="s">
        <v>406</v>
      </c>
    </row>
    <row r="2409" spans="1:3">
      <c r="A2409" s="627">
        <v>7923</v>
      </c>
      <c r="B2409" s="628" t="s">
        <v>3709</v>
      </c>
      <c r="C2409" s="629" t="s">
        <v>406</v>
      </c>
    </row>
    <row r="2410" spans="1:3">
      <c r="A2410" s="627">
        <v>7924</v>
      </c>
      <c r="B2410" s="628" t="s">
        <v>1966</v>
      </c>
      <c r="C2410" s="629" t="s">
        <v>406</v>
      </c>
    </row>
    <row r="2411" spans="1:3">
      <c r="A2411" s="627">
        <v>7925</v>
      </c>
      <c r="B2411" s="628" t="s">
        <v>3710</v>
      </c>
      <c r="C2411" s="629" t="s">
        <v>406</v>
      </c>
    </row>
    <row r="2412" spans="1:3">
      <c r="A2412" s="627">
        <v>7925</v>
      </c>
      <c r="B2412" s="628" t="s">
        <v>1968</v>
      </c>
      <c r="C2412" s="629" t="s">
        <v>406</v>
      </c>
    </row>
    <row r="2413" spans="1:3">
      <c r="A2413" s="627">
        <v>7926</v>
      </c>
      <c r="B2413" s="628" t="s">
        <v>3449</v>
      </c>
      <c r="C2413" s="629" t="s">
        <v>406</v>
      </c>
    </row>
    <row r="2414" spans="1:3">
      <c r="A2414" s="627">
        <v>7932</v>
      </c>
      <c r="B2414" s="628" t="s">
        <v>3711</v>
      </c>
      <c r="C2414" s="629" t="s">
        <v>406</v>
      </c>
    </row>
    <row r="2415" spans="1:3">
      <c r="A2415" s="627">
        <v>7932</v>
      </c>
      <c r="B2415" s="628" t="s">
        <v>3712</v>
      </c>
      <c r="C2415" s="629" t="s">
        <v>406</v>
      </c>
    </row>
    <row r="2416" spans="1:3">
      <c r="A2416" s="627">
        <v>7932</v>
      </c>
      <c r="B2416" s="628" t="s">
        <v>3451</v>
      </c>
      <c r="C2416" s="629" t="s">
        <v>406</v>
      </c>
    </row>
    <row r="2417" spans="1:3">
      <c r="A2417" s="627">
        <v>7934</v>
      </c>
      <c r="B2417" s="628" t="s">
        <v>3452</v>
      </c>
      <c r="C2417" s="629" t="s">
        <v>406</v>
      </c>
    </row>
    <row r="2418" spans="1:3">
      <c r="A2418" s="627">
        <v>7935</v>
      </c>
      <c r="B2418" s="628" t="s">
        <v>3713</v>
      </c>
      <c r="C2418" s="629" t="s">
        <v>406</v>
      </c>
    </row>
    <row r="2419" spans="1:3">
      <c r="A2419" s="627">
        <v>7935</v>
      </c>
      <c r="B2419" s="628" t="s">
        <v>3714</v>
      </c>
      <c r="C2419" s="629" t="s">
        <v>406</v>
      </c>
    </row>
    <row r="2420" spans="1:3">
      <c r="A2420" s="627">
        <v>7935</v>
      </c>
      <c r="B2420" s="628" t="s">
        <v>3453</v>
      </c>
      <c r="C2420" s="629" t="s">
        <v>406</v>
      </c>
    </row>
    <row r="2421" spans="1:3">
      <c r="A2421" s="627">
        <v>7936</v>
      </c>
      <c r="B2421" s="628" t="s">
        <v>3454</v>
      </c>
      <c r="C2421" s="629" t="s">
        <v>406</v>
      </c>
    </row>
    <row r="2422" spans="1:3">
      <c r="A2422" s="627">
        <v>7937</v>
      </c>
      <c r="B2422" s="628" t="s">
        <v>3455</v>
      </c>
      <c r="C2422" s="629" t="s">
        <v>406</v>
      </c>
    </row>
    <row r="2423" spans="1:3">
      <c r="A2423" s="627">
        <v>7940</v>
      </c>
      <c r="B2423" s="628" t="s">
        <v>3715</v>
      </c>
      <c r="C2423" s="629" t="s">
        <v>406</v>
      </c>
    </row>
    <row r="2424" spans="1:3">
      <c r="A2424" s="627">
        <v>7940</v>
      </c>
      <c r="B2424" s="628" t="s">
        <v>3716</v>
      </c>
      <c r="C2424" s="629" t="s">
        <v>406</v>
      </c>
    </row>
    <row r="2425" spans="1:3">
      <c r="A2425" s="627">
        <v>7940</v>
      </c>
      <c r="B2425" s="628" t="s">
        <v>3457</v>
      </c>
      <c r="C2425" s="629" t="s">
        <v>406</v>
      </c>
    </row>
    <row r="2426" spans="1:3">
      <c r="A2426" s="627">
        <v>7951</v>
      </c>
      <c r="B2426" s="628" t="s">
        <v>3717</v>
      </c>
      <c r="C2426" s="629" t="s">
        <v>406</v>
      </c>
    </row>
    <row r="2427" spans="1:3">
      <c r="A2427" s="627">
        <v>7951</v>
      </c>
      <c r="B2427" s="628" t="s">
        <v>3718</v>
      </c>
      <c r="C2427" s="629" t="s">
        <v>406</v>
      </c>
    </row>
    <row r="2428" spans="1:3">
      <c r="A2428" s="627">
        <v>7951</v>
      </c>
      <c r="B2428" s="628" t="s">
        <v>3458</v>
      </c>
      <c r="C2428" s="629" t="s">
        <v>406</v>
      </c>
    </row>
    <row r="2429" spans="1:3">
      <c r="A2429" s="627">
        <v>7951</v>
      </c>
      <c r="B2429" s="628" t="s">
        <v>3459</v>
      </c>
      <c r="C2429" s="629" t="s">
        <v>406</v>
      </c>
    </row>
    <row r="2430" spans="1:3">
      <c r="A2430" s="627">
        <v>7953</v>
      </c>
      <c r="B2430" s="628" t="s">
        <v>3460</v>
      </c>
      <c r="C2430" s="629" t="s">
        <v>406</v>
      </c>
    </row>
    <row r="2431" spans="1:3">
      <c r="A2431" s="627">
        <v>7954</v>
      </c>
      <c r="B2431" s="628" t="s">
        <v>3719</v>
      </c>
      <c r="C2431" s="629" t="s">
        <v>406</v>
      </c>
    </row>
    <row r="2432" spans="1:3">
      <c r="A2432" s="627">
        <v>7954</v>
      </c>
      <c r="B2432" s="628" t="s">
        <v>3720</v>
      </c>
      <c r="C2432" s="629" t="s">
        <v>406</v>
      </c>
    </row>
    <row r="2433" spans="1:3">
      <c r="A2433" s="627">
        <v>7954</v>
      </c>
      <c r="B2433" s="628" t="s">
        <v>3721</v>
      </c>
      <c r="C2433" s="629" t="s">
        <v>406</v>
      </c>
    </row>
    <row r="2434" spans="1:3">
      <c r="A2434" s="627">
        <v>7954</v>
      </c>
      <c r="B2434" s="628" t="s">
        <v>3722</v>
      </c>
      <c r="C2434" s="629" t="s">
        <v>406</v>
      </c>
    </row>
    <row r="2435" spans="1:3">
      <c r="A2435" s="627">
        <v>7954</v>
      </c>
      <c r="B2435" s="628" t="s">
        <v>3461</v>
      </c>
      <c r="C2435" s="629" t="s">
        <v>406</v>
      </c>
    </row>
    <row r="2436" spans="1:3">
      <c r="A2436" s="627">
        <v>7957</v>
      </c>
      <c r="B2436" s="628" t="s">
        <v>3463</v>
      </c>
      <c r="C2436" s="629" t="s">
        <v>406</v>
      </c>
    </row>
    <row r="2437" spans="1:3">
      <c r="A2437" s="627">
        <v>7958</v>
      </c>
      <c r="B2437" s="628" t="s">
        <v>3464</v>
      </c>
      <c r="C2437" s="629" t="s">
        <v>406</v>
      </c>
    </row>
    <row r="2438" spans="1:3">
      <c r="A2438" s="627">
        <v>7960</v>
      </c>
      <c r="B2438" s="628" t="s">
        <v>3725</v>
      </c>
      <c r="C2438" s="629" t="s">
        <v>406</v>
      </c>
    </row>
    <row r="2439" spans="1:3">
      <c r="A2439" s="627">
        <v>7960</v>
      </c>
      <c r="B2439" s="628" t="s">
        <v>3467</v>
      </c>
      <c r="C2439" s="629" t="s">
        <v>406</v>
      </c>
    </row>
    <row r="2440" spans="1:3">
      <c r="A2440" s="627">
        <v>7960</v>
      </c>
      <c r="B2440" s="628" t="s">
        <v>3726</v>
      </c>
      <c r="C2440" s="629" t="s">
        <v>406</v>
      </c>
    </row>
    <row r="2441" spans="1:3">
      <c r="A2441" s="627">
        <v>7960</v>
      </c>
      <c r="B2441" s="628" t="s">
        <v>3727</v>
      </c>
      <c r="C2441" s="629" t="s">
        <v>406</v>
      </c>
    </row>
    <row r="2442" spans="1:3">
      <c r="A2442" s="627">
        <v>7960</v>
      </c>
      <c r="B2442" s="628" t="s">
        <v>3465</v>
      </c>
      <c r="C2442" s="629" t="s">
        <v>406</v>
      </c>
    </row>
    <row r="2443" spans="1:3">
      <c r="A2443" s="627">
        <v>7960</v>
      </c>
      <c r="B2443" s="628" t="s">
        <v>3462</v>
      </c>
      <c r="C2443" s="629" t="s">
        <v>406</v>
      </c>
    </row>
    <row r="2444" spans="1:3">
      <c r="A2444" s="627">
        <v>7964</v>
      </c>
      <c r="B2444" s="628" t="s">
        <v>3728</v>
      </c>
      <c r="C2444" s="629" t="s">
        <v>406</v>
      </c>
    </row>
    <row r="2445" spans="1:3">
      <c r="A2445" s="627">
        <v>7966</v>
      </c>
      <c r="B2445" s="628" t="s">
        <v>3468</v>
      </c>
      <c r="C2445" s="629" t="s">
        <v>406</v>
      </c>
    </row>
    <row r="2446" spans="1:3">
      <c r="A2446" s="627">
        <v>7967</v>
      </c>
      <c r="B2446" s="628" t="s">
        <v>3729</v>
      </c>
      <c r="C2446" s="629" t="s">
        <v>406</v>
      </c>
    </row>
    <row r="2447" spans="1:3">
      <c r="A2447" s="627">
        <v>7967</v>
      </c>
      <c r="B2447" s="628" t="s">
        <v>3730</v>
      </c>
      <c r="C2447" s="629" t="s">
        <v>406</v>
      </c>
    </row>
    <row r="2448" spans="1:3">
      <c r="A2448" s="627">
        <v>7967</v>
      </c>
      <c r="B2448" s="628" t="s">
        <v>3469</v>
      </c>
      <c r="C2448" s="629" t="s">
        <v>406</v>
      </c>
    </row>
    <row r="2449" spans="1:3">
      <c r="A2449" s="627">
        <v>7968</v>
      </c>
      <c r="B2449" s="628" t="s">
        <v>3470</v>
      </c>
      <c r="C2449" s="629" t="s">
        <v>406</v>
      </c>
    </row>
    <row r="2450" spans="1:3">
      <c r="A2450" s="627">
        <v>7971</v>
      </c>
      <c r="B2450" s="628" t="s">
        <v>3471</v>
      </c>
      <c r="C2450" s="629" t="s">
        <v>406</v>
      </c>
    </row>
    <row r="2451" spans="1:3">
      <c r="A2451" s="627">
        <v>7972</v>
      </c>
      <c r="B2451" s="628" t="s">
        <v>3731</v>
      </c>
      <c r="C2451" s="629" t="s">
        <v>406</v>
      </c>
    </row>
    <row r="2452" spans="1:3">
      <c r="A2452" s="627">
        <v>7973</v>
      </c>
      <c r="B2452" s="628" t="s">
        <v>3732</v>
      </c>
      <c r="C2452" s="629" t="s">
        <v>406</v>
      </c>
    </row>
    <row r="2453" spans="1:3">
      <c r="A2453" s="627">
        <v>7973</v>
      </c>
      <c r="B2453" s="628" t="s">
        <v>3733</v>
      </c>
      <c r="C2453" s="629" t="s">
        <v>406</v>
      </c>
    </row>
    <row r="2454" spans="1:3">
      <c r="A2454" s="627">
        <v>7973</v>
      </c>
      <c r="B2454" s="628" t="s">
        <v>3734</v>
      </c>
      <c r="C2454" s="629" t="s">
        <v>406</v>
      </c>
    </row>
    <row r="2455" spans="1:3">
      <c r="A2455" s="627">
        <v>7973</v>
      </c>
      <c r="B2455" s="628" t="s">
        <v>3473</v>
      </c>
      <c r="C2455" s="629" t="s">
        <v>406</v>
      </c>
    </row>
    <row r="2456" spans="1:3">
      <c r="A2456" s="627">
        <v>7975</v>
      </c>
      <c r="B2456" s="628" t="s">
        <v>3474</v>
      </c>
      <c r="C2456" s="629" t="s">
        <v>406</v>
      </c>
    </row>
    <row r="2457" spans="1:3">
      <c r="A2457" s="627">
        <v>7976</v>
      </c>
      <c r="B2457" s="628" t="s">
        <v>3735</v>
      </c>
      <c r="C2457" s="629" t="s">
        <v>406</v>
      </c>
    </row>
    <row r="2458" spans="1:3">
      <c r="A2458" s="627">
        <v>7976</v>
      </c>
      <c r="B2458" s="628" t="s">
        <v>3475</v>
      </c>
      <c r="C2458" s="629" t="s">
        <v>406</v>
      </c>
    </row>
    <row r="2459" spans="1:3">
      <c r="A2459" s="627">
        <v>7977</v>
      </c>
      <c r="B2459" s="628" t="s">
        <v>3736</v>
      </c>
      <c r="C2459" s="629" t="s">
        <v>423</v>
      </c>
    </row>
    <row r="2460" spans="1:3">
      <c r="A2460" s="627">
        <v>7977</v>
      </c>
      <c r="B2460" s="628" t="s">
        <v>3737</v>
      </c>
      <c r="C2460" s="629" t="s">
        <v>423</v>
      </c>
    </row>
    <row r="2461" spans="1:3">
      <c r="A2461" s="627">
        <v>7977</v>
      </c>
      <c r="B2461" s="628" t="s">
        <v>3476</v>
      </c>
      <c r="C2461" s="629" t="s">
        <v>423</v>
      </c>
    </row>
    <row r="2462" spans="1:3">
      <c r="A2462" s="627">
        <v>7979</v>
      </c>
      <c r="B2462" s="628" t="s">
        <v>3477</v>
      </c>
      <c r="C2462" s="629" t="s">
        <v>423</v>
      </c>
    </row>
    <row r="2463" spans="1:3">
      <c r="A2463" s="627">
        <v>7980</v>
      </c>
      <c r="B2463" s="628" t="s">
        <v>3472</v>
      </c>
      <c r="C2463" s="629" t="s">
        <v>406</v>
      </c>
    </row>
    <row r="2464" spans="1:3">
      <c r="A2464" s="627">
        <v>7981</v>
      </c>
      <c r="B2464" s="628" t="s">
        <v>3738</v>
      </c>
      <c r="C2464" s="629" t="s">
        <v>406</v>
      </c>
    </row>
    <row r="2465" spans="1:3">
      <c r="A2465" s="627">
        <v>7981</v>
      </c>
      <c r="B2465" s="628" t="s">
        <v>3739</v>
      </c>
      <c r="C2465" s="629" t="s">
        <v>406</v>
      </c>
    </row>
    <row r="2466" spans="1:3">
      <c r="A2466" s="627">
        <v>7981</v>
      </c>
      <c r="B2466" s="628" t="s">
        <v>3740</v>
      </c>
      <c r="C2466" s="629" t="s">
        <v>406</v>
      </c>
    </row>
    <row r="2467" spans="1:3">
      <c r="A2467" s="627">
        <v>7981</v>
      </c>
      <c r="B2467" s="628" t="s">
        <v>3741</v>
      </c>
      <c r="C2467" s="629" t="s">
        <v>406</v>
      </c>
    </row>
    <row r="2468" spans="1:3">
      <c r="A2468" s="627">
        <v>7981</v>
      </c>
      <c r="B2468" s="628" t="s">
        <v>3478</v>
      </c>
      <c r="C2468" s="629" t="s">
        <v>406</v>
      </c>
    </row>
    <row r="2469" spans="1:3">
      <c r="A2469" s="627">
        <v>7985</v>
      </c>
      <c r="B2469" s="628" t="s">
        <v>3480</v>
      </c>
      <c r="C2469" s="629" t="s">
        <v>406</v>
      </c>
    </row>
    <row r="2470" spans="1:3">
      <c r="A2470" s="627">
        <v>7985</v>
      </c>
      <c r="B2470" s="628" t="s">
        <v>3479</v>
      </c>
      <c r="C2470" s="629" t="s">
        <v>406</v>
      </c>
    </row>
    <row r="2471" spans="1:3">
      <c r="A2471" s="627">
        <v>7987</v>
      </c>
      <c r="B2471" s="628" t="s">
        <v>3481</v>
      </c>
      <c r="C2471" s="629" t="s">
        <v>423</v>
      </c>
    </row>
    <row r="2472" spans="1:3">
      <c r="A2472" s="627">
        <v>7988</v>
      </c>
      <c r="B2472" s="628" t="s">
        <v>3482</v>
      </c>
      <c r="C2472" s="629" t="s">
        <v>423</v>
      </c>
    </row>
    <row r="2473" spans="1:3">
      <c r="A2473" s="627">
        <v>8000</v>
      </c>
      <c r="B2473" s="628" t="s">
        <v>3483</v>
      </c>
      <c r="C2473" s="629" t="s">
        <v>402</v>
      </c>
    </row>
    <row r="2474" spans="1:3">
      <c r="A2474" s="627">
        <v>8019</v>
      </c>
      <c r="B2474" s="628" t="s">
        <v>3483</v>
      </c>
      <c r="C2474" s="629" t="s">
        <v>402</v>
      </c>
    </row>
    <row r="2475" spans="1:3">
      <c r="A2475" s="627">
        <v>8041</v>
      </c>
      <c r="B2475" s="628" t="s">
        <v>3486</v>
      </c>
      <c r="C2475" s="629" t="s">
        <v>402</v>
      </c>
    </row>
    <row r="2476" spans="1:3">
      <c r="A2476" s="627">
        <v>8042</v>
      </c>
      <c r="B2476" s="628" t="s">
        <v>3487</v>
      </c>
      <c r="C2476" s="629" t="s">
        <v>402</v>
      </c>
    </row>
    <row r="2477" spans="1:3">
      <c r="A2477" s="627">
        <v>8043</v>
      </c>
      <c r="B2477" s="628" t="s">
        <v>3488</v>
      </c>
      <c r="C2477" s="629" t="s">
        <v>402</v>
      </c>
    </row>
    <row r="2478" spans="1:3">
      <c r="A2478" s="627">
        <v>8044</v>
      </c>
      <c r="B2478" s="628" t="s">
        <v>3489</v>
      </c>
      <c r="C2478" s="629" t="s">
        <v>402</v>
      </c>
    </row>
    <row r="2479" spans="1:3">
      <c r="A2479" s="627">
        <v>8045</v>
      </c>
      <c r="B2479" s="628" t="s">
        <v>3491</v>
      </c>
      <c r="C2479" s="629" t="s">
        <v>402</v>
      </c>
    </row>
    <row r="2480" spans="1:3">
      <c r="A2480" s="627">
        <v>8045</v>
      </c>
      <c r="B2480" s="628" t="s">
        <v>3490</v>
      </c>
      <c r="C2480" s="629" t="s">
        <v>402</v>
      </c>
    </row>
    <row r="2481" spans="1:3">
      <c r="A2481" s="627">
        <v>8051</v>
      </c>
      <c r="B2481" s="628" t="s">
        <v>3492</v>
      </c>
      <c r="C2481" s="629" t="s">
        <v>402</v>
      </c>
    </row>
    <row r="2482" spans="1:3">
      <c r="A2482" s="627">
        <v>8052</v>
      </c>
      <c r="B2482" s="628" t="s">
        <v>3493</v>
      </c>
      <c r="C2482" s="629" t="s">
        <v>402</v>
      </c>
    </row>
    <row r="2483" spans="1:3">
      <c r="A2483" s="627">
        <v>8053</v>
      </c>
      <c r="B2483" s="628" t="s">
        <v>3494</v>
      </c>
      <c r="C2483" s="629" t="s">
        <v>402</v>
      </c>
    </row>
    <row r="2484" spans="1:3">
      <c r="A2484" s="627">
        <v>8054</v>
      </c>
      <c r="B2484" s="628" t="s">
        <v>3496</v>
      </c>
      <c r="C2484" s="629" t="s">
        <v>402</v>
      </c>
    </row>
    <row r="2485" spans="1:3">
      <c r="A2485" s="627">
        <v>8055</v>
      </c>
      <c r="B2485" s="628" t="s">
        <v>3496</v>
      </c>
      <c r="C2485" s="629" t="s">
        <v>402</v>
      </c>
    </row>
    <row r="2486" spans="1:3">
      <c r="A2486" s="627">
        <v>8056</v>
      </c>
      <c r="B2486" s="628" t="s">
        <v>3497</v>
      </c>
      <c r="C2486" s="629" t="s">
        <v>402</v>
      </c>
    </row>
    <row r="2487" spans="1:3">
      <c r="A2487" s="627">
        <v>8060</v>
      </c>
      <c r="B2487" s="628" t="s">
        <v>3498</v>
      </c>
      <c r="C2487" s="629" t="s">
        <v>402</v>
      </c>
    </row>
    <row r="2488" spans="1:3">
      <c r="A2488" s="627">
        <v>8065</v>
      </c>
      <c r="B2488" s="628" t="s">
        <v>3499</v>
      </c>
      <c r="C2488" s="629" t="s">
        <v>402</v>
      </c>
    </row>
    <row r="2489" spans="1:3">
      <c r="A2489" s="627">
        <v>8066</v>
      </c>
      <c r="B2489" s="628" t="s">
        <v>3500</v>
      </c>
      <c r="C2489" s="629" t="s">
        <v>402</v>
      </c>
    </row>
    <row r="2490" spans="1:3">
      <c r="A2490" s="627">
        <v>8071</v>
      </c>
      <c r="B2490" s="628" t="s">
        <v>3501</v>
      </c>
      <c r="C2490" s="629" t="s">
        <v>402</v>
      </c>
    </row>
    <row r="2491" spans="1:3">
      <c r="A2491" s="627">
        <v>8072</v>
      </c>
      <c r="B2491" s="628" t="s">
        <v>3502</v>
      </c>
      <c r="C2491" s="629" t="s">
        <v>402</v>
      </c>
    </row>
    <row r="2492" spans="1:3">
      <c r="A2492" s="627">
        <v>8073</v>
      </c>
      <c r="B2492" s="628" t="s">
        <v>3503</v>
      </c>
      <c r="C2492" s="629" t="s">
        <v>402</v>
      </c>
    </row>
    <row r="2493" spans="1:3">
      <c r="A2493" s="627">
        <v>8074</v>
      </c>
      <c r="B2493" s="628" t="s">
        <v>3504</v>
      </c>
      <c r="C2493" s="629" t="s">
        <v>402</v>
      </c>
    </row>
    <row r="2494" spans="1:3">
      <c r="A2494" s="627">
        <v>8081</v>
      </c>
      <c r="B2494" s="628" t="s">
        <v>3506</v>
      </c>
      <c r="C2494" s="629" t="s">
        <v>402</v>
      </c>
    </row>
    <row r="2495" spans="1:3">
      <c r="A2495" s="627">
        <v>8082</v>
      </c>
      <c r="B2495" s="628" t="s">
        <v>3507</v>
      </c>
      <c r="C2495" s="629" t="s">
        <v>402</v>
      </c>
    </row>
    <row r="2496" spans="1:3">
      <c r="A2496" s="627">
        <v>8083</v>
      </c>
      <c r="B2496" s="628" t="s">
        <v>3508</v>
      </c>
      <c r="C2496" s="629" t="s">
        <v>402</v>
      </c>
    </row>
    <row r="2497" spans="1:3">
      <c r="A2497" s="627">
        <v>8085</v>
      </c>
      <c r="B2497" s="628" t="s">
        <v>3505</v>
      </c>
      <c r="C2497" s="629" t="s">
        <v>402</v>
      </c>
    </row>
    <row r="2498" spans="1:3">
      <c r="A2498" s="627">
        <v>8085</v>
      </c>
      <c r="B2498" s="628" t="s">
        <v>2604</v>
      </c>
      <c r="C2498" s="629" t="s">
        <v>402</v>
      </c>
    </row>
    <row r="2499" spans="1:3">
      <c r="A2499" s="627">
        <v>8086</v>
      </c>
      <c r="B2499" s="628" t="s">
        <v>2605</v>
      </c>
      <c r="C2499" s="629" t="s">
        <v>402</v>
      </c>
    </row>
    <row r="2500" spans="1:3">
      <c r="A2500" s="627">
        <v>8087</v>
      </c>
      <c r="B2500" s="628" t="s">
        <v>2606</v>
      </c>
      <c r="C2500" s="629" t="s">
        <v>402</v>
      </c>
    </row>
    <row r="2501" spans="1:3">
      <c r="A2501" s="627">
        <v>8088</v>
      </c>
      <c r="B2501" s="628" t="s">
        <v>2607</v>
      </c>
      <c r="C2501" s="629" t="s">
        <v>402</v>
      </c>
    </row>
    <row r="2502" spans="1:3">
      <c r="A2502" s="627">
        <v>8089</v>
      </c>
      <c r="B2502" s="628" t="s">
        <v>2608</v>
      </c>
      <c r="C2502" s="629" t="s">
        <v>402</v>
      </c>
    </row>
    <row r="2503" spans="1:3">
      <c r="A2503" s="627">
        <v>8092</v>
      </c>
      <c r="B2503" s="628" t="s">
        <v>2609</v>
      </c>
      <c r="C2503" s="629" t="s">
        <v>402</v>
      </c>
    </row>
    <row r="2504" spans="1:3">
      <c r="A2504" s="627">
        <v>8093</v>
      </c>
      <c r="B2504" s="628" t="s">
        <v>2610</v>
      </c>
      <c r="C2504" s="629" t="s">
        <v>402</v>
      </c>
    </row>
    <row r="2505" spans="1:3">
      <c r="A2505" s="627">
        <v>8095</v>
      </c>
      <c r="B2505" s="628" t="s">
        <v>2611</v>
      </c>
      <c r="C2505" s="629" t="s">
        <v>402</v>
      </c>
    </row>
    <row r="2506" spans="1:3">
      <c r="A2506" s="627">
        <v>8096</v>
      </c>
      <c r="B2506" s="628" t="s">
        <v>2612</v>
      </c>
      <c r="C2506" s="629" t="s">
        <v>402</v>
      </c>
    </row>
    <row r="2507" spans="1:3">
      <c r="A2507" s="627">
        <v>8097</v>
      </c>
      <c r="B2507" s="628" t="s">
        <v>2613</v>
      </c>
      <c r="C2507" s="629" t="s">
        <v>402</v>
      </c>
    </row>
    <row r="2508" spans="1:3">
      <c r="A2508" s="627">
        <v>8100</v>
      </c>
      <c r="B2508" s="628" t="s">
        <v>2614</v>
      </c>
      <c r="C2508" s="629" t="s">
        <v>419</v>
      </c>
    </row>
    <row r="2509" spans="1:3">
      <c r="A2509" s="627">
        <v>8103</v>
      </c>
      <c r="B2509" s="628" t="s">
        <v>2614</v>
      </c>
      <c r="C2509" s="629" t="s">
        <v>419</v>
      </c>
    </row>
    <row r="2510" spans="1:3">
      <c r="A2510" s="627">
        <v>8104</v>
      </c>
      <c r="B2510" s="628" t="s">
        <v>2614</v>
      </c>
      <c r="C2510" s="629" t="s">
        <v>419</v>
      </c>
    </row>
    <row r="2511" spans="1:3">
      <c r="A2511" s="627">
        <v>8105</v>
      </c>
      <c r="B2511" s="628" t="s">
        <v>2616</v>
      </c>
      <c r="C2511" s="629" t="s">
        <v>419</v>
      </c>
    </row>
    <row r="2512" spans="1:3">
      <c r="A2512" s="627">
        <v>8109</v>
      </c>
      <c r="B2512" s="628" t="s">
        <v>2617</v>
      </c>
      <c r="C2512" s="629" t="s">
        <v>419</v>
      </c>
    </row>
    <row r="2513" spans="1:3">
      <c r="A2513" s="627">
        <v>8111</v>
      </c>
      <c r="B2513" s="628" t="s">
        <v>2618</v>
      </c>
      <c r="C2513" s="629" t="s">
        <v>402</v>
      </c>
    </row>
    <row r="2514" spans="1:3">
      <c r="A2514" s="627">
        <v>8112</v>
      </c>
      <c r="B2514" s="628" t="s">
        <v>2619</v>
      </c>
      <c r="C2514" s="629" t="s">
        <v>402</v>
      </c>
    </row>
    <row r="2515" spans="1:3">
      <c r="A2515" s="627">
        <v>8121</v>
      </c>
      <c r="B2515" s="628" t="s">
        <v>2621</v>
      </c>
      <c r="C2515" s="629" t="s">
        <v>402</v>
      </c>
    </row>
    <row r="2516" spans="1:3">
      <c r="A2516" s="627">
        <v>8122</v>
      </c>
      <c r="B2516" s="628" t="s">
        <v>2622</v>
      </c>
      <c r="C2516" s="629" t="s">
        <v>402</v>
      </c>
    </row>
    <row r="2517" spans="1:3">
      <c r="A2517" s="627">
        <v>8123</v>
      </c>
      <c r="B2517" s="628" t="s">
        <v>2623</v>
      </c>
      <c r="C2517" s="629" t="s">
        <v>402</v>
      </c>
    </row>
    <row r="2518" spans="1:3">
      <c r="A2518" s="627">
        <v>8124</v>
      </c>
      <c r="B2518" s="628" t="s">
        <v>3745</v>
      </c>
      <c r="C2518" s="629" t="s">
        <v>402</v>
      </c>
    </row>
    <row r="2519" spans="1:3">
      <c r="A2519" s="627">
        <v>8125</v>
      </c>
      <c r="B2519" s="628" t="s">
        <v>2625</v>
      </c>
      <c r="C2519" s="629" t="s">
        <v>402</v>
      </c>
    </row>
    <row r="2520" spans="1:3">
      <c r="A2520" s="627">
        <v>8126</v>
      </c>
      <c r="B2520" s="628" t="s">
        <v>2626</v>
      </c>
      <c r="C2520" s="629" t="s">
        <v>402</v>
      </c>
    </row>
    <row r="2521" spans="1:3">
      <c r="A2521" s="627">
        <v>8127</v>
      </c>
      <c r="B2521" s="628" t="s">
        <v>2627</v>
      </c>
      <c r="C2521" s="629" t="s">
        <v>402</v>
      </c>
    </row>
    <row r="2522" spans="1:3">
      <c r="A2522" s="627">
        <v>8128</v>
      </c>
      <c r="B2522" s="628" t="s">
        <v>2627</v>
      </c>
      <c r="C2522" s="629" t="s">
        <v>402</v>
      </c>
    </row>
    <row r="2523" spans="1:3">
      <c r="A2523" s="627">
        <v>8130</v>
      </c>
      <c r="B2523" s="628" t="s">
        <v>2629</v>
      </c>
      <c r="C2523" s="629" t="s">
        <v>402</v>
      </c>
    </row>
    <row r="2524" spans="1:3">
      <c r="A2524" s="627">
        <v>8131</v>
      </c>
      <c r="B2524" s="628" t="s">
        <v>2629</v>
      </c>
      <c r="C2524" s="629" t="s">
        <v>402</v>
      </c>
    </row>
    <row r="2525" spans="1:3">
      <c r="A2525" s="627">
        <v>8132</v>
      </c>
      <c r="B2525" s="628" t="s">
        <v>2631</v>
      </c>
      <c r="C2525" s="629" t="s">
        <v>402</v>
      </c>
    </row>
    <row r="2526" spans="1:3">
      <c r="A2526" s="627">
        <v>8133</v>
      </c>
      <c r="B2526" s="628" t="s">
        <v>2632</v>
      </c>
      <c r="C2526" s="629" t="s">
        <v>402</v>
      </c>
    </row>
    <row r="2527" spans="1:3">
      <c r="A2527" s="627">
        <v>8134</v>
      </c>
      <c r="B2527" s="628" t="s">
        <v>2633</v>
      </c>
      <c r="C2527" s="629" t="s">
        <v>402</v>
      </c>
    </row>
    <row r="2528" spans="1:3">
      <c r="A2528" s="627">
        <v>8135</v>
      </c>
      <c r="B2528" s="628" t="s">
        <v>2634</v>
      </c>
      <c r="C2528" s="629" t="s">
        <v>402</v>
      </c>
    </row>
    <row r="2529" spans="1:3">
      <c r="A2529" s="627">
        <v>8136</v>
      </c>
      <c r="B2529" s="628" t="s">
        <v>2635</v>
      </c>
      <c r="C2529" s="629" t="s">
        <v>402</v>
      </c>
    </row>
    <row r="2530" spans="1:3">
      <c r="A2530" s="627">
        <v>8137</v>
      </c>
      <c r="B2530" s="628" t="s">
        <v>2636</v>
      </c>
      <c r="C2530" s="629" t="s">
        <v>402</v>
      </c>
    </row>
    <row r="2531" spans="1:3">
      <c r="A2531" s="627">
        <v>8138</v>
      </c>
      <c r="B2531" s="628" t="s">
        <v>286</v>
      </c>
      <c r="C2531" s="629" t="s">
        <v>402</v>
      </c>
    </row>
    <row r="2532" spans="1:3">
      <c r="A2532" s="627">
        <v>8142</v>
      </c>
      <c r="B2532" s="628" t="s">
        <v>287</v>
      </c>
      <c r="C2532" s="629" t="s">
        <v>402</v>
      </c>
    </row>
    <row r="2533" spans="1:3">
      <c r="A2533" s="627">
        <v>8143</v>
      </c>
      <c r="B2533" s="628" t="s">
        <v>2641</v>
      </c>
      <c r="C2533" s="629" t="s">
        <v>402</v>
      </c>
    </row>
    <row r="2534" spans="1:3">
      <c r="A2534" s="627">
        <v>8144</v>
      </c>
      <c r="B2534" s="628" t="s">
        <v>2642</v>
      </c>
      <c r="C2534" s="629" t="s">
        <v>402</v>
      </c>
    </row>
    <row r="2535" spans="1:3">
      <c r="A2535" s="627">
        <v>8145</v>
      </c>
      <c r="B2535" s="628" t="s">
        <v>289</v>
      </c>
      <c r="C2535" s="629" t="s">
        <v>402</v>
      </c>
    </row>
    <row r="2536" spans="1:3">
      <c r="A2536" s="627">
        <v>8146</v>
      </c>
      <c r="B2536" s="628" t="s">
        <v>2644</v>
      </c>
      <c r="C2536" s="629" t="s">
        <v>402</v>
      </c>
    </row>
    <row r="2537" spans="1:3">
      <c r="A2537" s="627">
        <v>8151</v>
      </c>
      <c r="B2537" s="628" t="s">
        <v>2640</v>
      </c>
      <c r="C2537" s="629" t="s">
        <v>402</v>
      </c>
    </row>
    <row r="2538" spans="1:3">
      <c r="A2538" s="627">
        <v>8152</v>
      </c>
      <c r="B2538" s="628" t="s">
        <v>2645</v>
      </c>
      <c r="C2538" s="629" t="s">
        <v>402</v>
      </c>
    </row>
    <row r="2539" spans="1:3">
      <c r="A2539" s="627">
        <v>8153</v>
      </c>
      <c r="B2539" s="628" t="s">
        <v>2647</v>
      </c>
      <c r="C2539" s="629" t="s">
        <v>402</v>
      </c>
    </row>
    <row r="2540" spans="1:3">
      <c r="A2540" s="627">
        <v>8154</v>
      </c>
      <c r="B2540" s="628" t="s">
        <v>2647</v>
      </c>
      <c r="C2540" s="629" t="s">
        <v>402</v>
      </c>
    </row>
    <row r="2541" spans="1:3">
      <c r="A2541" s="627">
        <v>8155</v>
      </c>
      <c r="B2541" s="628" t="s">
        <v>2647</v>
      </c>
      <c r="C2541" s="629" t="s">
        <v>402</v>
      </c>
    </row>
    <row r="2542" spans="1:3">
      <c r="A2542" s="627">
        <v>8156</v>
      </c>
      <c r="B2542" s="628" t="s">
        <v>2649</v>
      </c>
      <c r="C2542" s="629" t="s">
        <v>402</v>
      </c>
    </row>
    <row r="2543" spans="1:3">
      <c r="A2543" s="627">
        <v>8157</v>
      </c>
      <c r="B2543" s="628" t="s">
        <v>2650</v>
      </c>
      <c r="C2543" s="629" t="s">
        <v>402</v>
      </c>
    </row>
    <row r="2544" spans="1:3">
      <c r="A2544" s="627">
        <v>8161</v>
      </c>
      <c r="B2544" s="628" t="s">
        <v>2651</v>
      </c>
      <c r="C2544" s="629" t="s">
        <v>419</v>
      </c>
    </row>
    <row r="2545" spans="1:3">
      <c r="A2545" s="627">
        <v>8162</v>
      </c>
      <c r="B2545" s="628" t="s">
        <v>2652</v>
      </c>
      <c r="C2545" s="629" t="s">
        <v>419</v>
      </c>
    </row>
    <row r="2546" spans="1:3">
      <c r="A2546" s="627">
        <v>8163</v>
      </c>
      <c r="B2546" s="628" t="s">
        <v>2653</v>
      </c>
      <c r="C2546" s="629" t="s">
        <v>419</v>
      </c>
    </row>
    <row r="2547" spans="1:3">
      <c r="A2547" s="627">
        <v>8164</v>
      </c>
      <c r="B2547" s="628" t="s">
        <v>2654</v>
      </c>
      <c r="C2547" s="629" t="s">
        <v>419</v>
      </c>
    </row>
    <row r="2548" spans="1:3">
      <c r="A2548" s="627">
        <v>8171</v>
      </c>
      <c r="B2548" s="628" t="s">
        <v>2655</v>
      </c>
      <c r="C2548" s="629" t="s">
        <v>419</v>
      </c>
    </row>
    <row r="2549" spans="1:3">
      <c r="A2549" s="627">
        <v>8172</v>
      </c>
      <c r="B2549" s="628" t="s">
        <v>2656</v>
      </c>
      <c r="C2549" s="629" t="s">
        <v>419</v>
      </c>
    </row>
    <row r="2550" spans="1:3">
      <c r="A2550" s="61">
        <v>8173</v>
      </c>
      <c r="B2550" s="639" t="s">
        <v>2656</v>
      </c>
      <c r="C2550" s="629" t="s">
        <v>419</v>
      </c>
    </row>
    <row r="2551" spans="1:3">
      <c r="A2551" s="627">
        <v>8174</v>
      </c>
      <c r="B2551" s="630" t="s">
        <v>2656</v>
      </c>
      <c r="C2551" s="629" t="s">
        <v>419</v>
      </c>
    </row>
    <row r="2552" spans="1:3">
      <c r="A2552" s="627">
        <v>8175</v>
      </c>
      <c r="B2552" s="628" t="s">
        <v>2658</v>
      </c>
      <c r="C2552" s="629" t="s">
        <v>419</v>
      </c>
    </row>
    <row r="2553" spans="1:3">
      <c r="A2553" s="627">
        <v>8181</v>
      </c>
      <c r="B2553" s="628" t="s">
        <v>2659</v>
      </c>
      <c r="C2553" s="629" t="s">
        <v>419</v>
      </c>
    </row>
    <row r="2554" spans="1:3">
      <c r="A2554" s="627">
        <v>8182</v>
      </c>
      <c r="B2554" s="628" t="s">
        <v>2659</v>
      </c>
      <c r="C2554" s="629" t="s">
        <v>419</v>
      </c>
    </row>
    <row r="2555" spans="1:3">
      <c r="A2555" s="627">
        <v>8183</v>
      </c>
      <c r="B2555" s="628" t="s">
        <v>2661</v>
      </c>
      <c r="C2555" s="629" t="s">
        <v>419</v>
      </c>
    </row>
    <row r="2556" spans="1:3">
      <c r="A2556" s="627">
        <v>8184</v>
      </c>
      <c r="B2556" s="628" t="s">
        <v>2658</v>
      </c>
      <c r="C2556" s="629" t="s">
        <v>419</v>
      </c>
    </row>
    <row r="2557" spans="1:3">
      <c r="A2557" s="627">
        <v>8191</v>
      </c>
      <c r="B2557" s="628" t="s">
        <v>296</v>
      </c>
      <c r="C2557" s="629" t="s">
        <v>419</v>
      </c>
    </row>
    <row r="2558" spans="1:3">
      <c r="A2558" s="627">
        <v>8192</v>
      </c>
      <c r="B2558" s="628" t="s">
        <v>24</v>
      </c>
      <c r="C2558" s="629" t="s">
        <v>419</v>
      </c>
    </row>
    <row r="2559" spans="1:3">
      <c r="A2559" s="627">
        <v>8193</v>
      </c>
      <c r="B2559" s="628" t="s">
        <v>25</v>
      </c>
      <c r="C2559" s="629" t="s">
        <v>419</v>
      </c>
    </row>
    <row r="2560" spans="1:3">
      <c r="A2560" s="627">
        <v>8194</v>
      </c>
      <c r="B2560" s="628" t="s">
        <v>26</v>
      </c>
      <c r="C2560" s="629" t="s">
        <v>419</v>
      </c>
    </row>
    <row r="2561" spans="1:3">
      <c r="A2561" s="627">
        <v>8195</v>
      </c>
      <c r="B2561" s="628" t="s">
        <v>27</v>
      </c>
      <c r="C2561" s="629" t="s">
        <v>419</v>
      </c>
    </row>
    <row r="2562" spans="1:3">
      <c r="A2562" s="627">
        <v>8196</v>
      </c>
      <c r="B2562" s="628" t="s">
        <v>28</v>
      </c>
      <c r="C2562" s="629" t="s">
        <v>419</v>
      </c>
    </row>
    <row r="2563" spans="1:3">
      <c r="A2563" s="627">
        <v>8200</v>
      </c>
      <c r="B2563" s="628" t="s">
        <v>419</v>
      </c>
      <c r="C2563" s="629" t="s">
        <v>419</v>
      </c>
    </row>
    <row r="2564" spans="1:3">
      <c r="A2564" s="627">
        <v>8220</v>
      </c>
      <c r="B2564" s="628" t="s">
        <v>29</v>
      </c>
      <c r="C2564" s="629" t="s">
        <v>419</v>
      </c>
    </row>
    <row r="2565" spans="1:3">
      <c r="A2565" s="627">
        <v>8225</v>
      </c>
      <c r="B2565" s="628" t="s">
        <v>32</v>
      </c>
      <c r="C2565" s="629" t="s">
        <v>419</v>
      </c>
    </row>
    <row r="2566" spans="1:3">
      <c r="A2566" s="627">
        <v>8226</v>
      </c>
      <c r="B2566" s="628" t="s">
        <v>2852</v>
      </c>
      <c r="C2566" s="629" t="s">
        <v>419</v>
      </c>
    </row>
    <row r="2567" spans="1:3">
      <c r="A2567" s="627">
        <v>8227</v>
      </c>
      <c r="B2567" s="628" t="s">
        <v>2853</v>
      </c>
      <c r="C2567" s="629" t="s">
        <v>419</v>
      </c>
    </row>
    <row r="2568" spans="1:3">
      <c r="A2568" s="627">
        <v>8228</v>
      </c>
      <c r="B2568" s="628" t="s">
        <v>298</v>
      </c>
      <c r="C2568" s="629" t="s">
        <v>419</v>
      </c>
    </row>
    <row r="2569" spans="1:3">
      <c r="A2569" s="627">
        <v>8229</v>
      </c>
      <c r="B2569" s="628" t="s">
        <v>299</v>
      </c>
      <c r="C2569" s="629" t="s">
        <v>419</v>
      </c>
    </row>
    <row r="2570" spans="1:3">
      <c r="A2570" s="627">
        <v>8229</v>
      </c>
      <c r="B2570" s="628" t="s">
        <v>2855</v>
      </c>
      <c r="C2570" s="629" t="s">
        <v>419</v>
      </c>
    </row>
    <row r="2571" spans="1:3">
      <c r="A2571" s="627">
        <v>8230</v>
      </c>
      <c r="B2571" s="628" t="s">
        <v>2856</v>
      </c>
      <c r="C2571" s="629" t="s">
        <v>419</v>
      </c>
    </row>
    <row r="2572" spans="1:3">
      <c r="A2572" s="627">
        <v>8233</v>
      </c>
      <c r="B2572" s="628" t="s">
        <v>4366</v>
      </c>
      <c r="C2572" s="629" t="s">
        <v>419</v>
      </c>
    </row>
    <row r="2573" spans="1:3">
      <c r="A2573" s="627">
        <v>8236</v>
      </c>
      <c r="B2573" s="628" t="s">
        <v>2856</v>
      </c>
      <c r="C2573" s="629" t="s">
        <v>419</v>
      </c>
    </row>
    <row r="2574" spans="1:3">
      <c r="A2574" s="627">
        <v>8237</v>
      </c>
      <c r="B2574" s="628" t="s">
        <v>4369</v>
      </c>
      <c r="C2574" s="629" t="s">
        <v>419</v>
      </c>
    </row>
    <row r="2575" spans="1:3">
      <c r="A2575" s="627">
        <v>8241</v>
      </c>
      <c r="B2575" s="628" t="s">
        <v>4370</v>
      </c>
      <c r="C2575" s="629" t="s">
        <v>419</v>
      </c>
    </row>
    <row r="2576" spans="1:3">
      <c r="A2576" s="627">
        <v>8242</v>
      </c>
      <c r="B2576" s="628" t="s">
        <v>1642</v>
      </c>
      <c r="C2576" s="629" t="s">
        <v>419</v>
      </c>
    </row>
    <row r="2577" spans="1:3">
      <c r="A2577" s="627">
        <v>8242</v>
      </c>
      <c r="B2577" s="628" t="s">
        <v>4371</v>
      </c>
      <c r="C2577" s="629" t="s">
        <v>419</v>
      </c>
    </row>
    <row r="2578" spans="1:3">
      <c r="A2578" s="627">
        <v>8243</v>
      </c>
      <c r="B2578" s="628" t="s">
        <v>4372</v>
      </c>
      <c r="C2578" s="629" t="s">
        <v>419</v>
      </c>
    </row>
    <row r="2579" spans="1:3">
      <c r="A2579" s="627">
        <v>8244</v>
      </c>
      <c r="B2579" s="628" t="s">
        <v>4373</v>
      </c>
      <c r="C2579" s="629" t="s">
        <v>419</v>
      </c>
    </row>
    <row r="2580" spans="1:3">
      <c r="A2580" s="627">
        <v>8245</v>
      </c>
      <c r="B2580" s="628" t="s">
        <v>1643</v>
      </c>
      <c r="C2580" s="629" t="s">
        <v>419</v>
      </c>
    </row>
    <row r="2581" spans="1:3">
      <c r="A2581" s="627">
        <v>8245</v>
      </c>
      <c r="B2581" s="628" t="s">
        <v>4374</v>
      </c>
      <c r="C2581" s="629" t="s">
        <v>419</v>
      </c>
    </row>
    <row r="2582" spans="1:3">
      <c r="A2582" s="627">
        <v>8246</v>
      </c>
      <c r="B2582" s="628" t="s">
        <v>4375</v>
      </c>
      <c r="C2582" s="629" t="s">
        <v>419</v>
      </c>
    </row>
    <row r="2583" spans="1:3">
      <c r="A2583" s="627">
        <v>8247</v>
      </c>
      <c r="B2583" s="628" t="s">
        <v>4376</v>
      </c>
      <c r="C2583" s="629" t="s">
        <v>419</v>
      </c>
    </row>
    <row r="2584" spans="1:3">
      <c r="A2584" s="627">
        <v>8248</v>
      </c>
      <c r="B2584" s="628" t="s">
        <v>1644</v>
      </c>
      <c r="C2584" s="629" t="s">
        <v>419</v>
      </c>
    </row>
    <row r="2585" spans="1:3">
      <c r="A2585" s="627">
        <v>8248</v>
      </c>
      <c r="B2585" s="628" t="s">
        <v>1645</v>
      </c>
      <c r="C2585" s="629" t="s">
        <v>419</v>
      </c>
    </row>
    <row r="2586" spans="1:3">
      <c r="A2586" s="627">
        <v>8251</v>
      </c>
      <c r="B2586" s="628" t="s">
        <v>4378</v>
      </c>
      <c r="C2586" s="629" t="s">
        <v>419</v>
      </c>
    </row>
    <row r="2587" spans="1:3">
      <c r="A2587" s="627">
        <v>8252</v>
      </c>
      <c r="B2587" s="628" t="s">
        <v>4379</v>
      </c>
      <c r="C2587" s="629" t="s">
        <v>419</v>
      </c>
    </row>
    <row r="2588" spans="1:3">
      <c r="A2588" s="627">
        <v>8253</v>
      </c>
      <c r="B2588" s="628" t="s">
        <v>4380</v>
      </c>
      <c r="C2588" s="629" t="s">
        <v>419</v>
      </c>
    </row>
    <row r="2589" spans="1:3">
      <c r="A2589" s="627">
        <v>8254</v>
      </c>
      <c r="B2589" s="628" t="s">
        <v>1647</v>
      </c>
      <c r="C2589" s="629" t="s">
        <v>419</v>
      </c>
    </row>
    <row r="2590" spans="1:3">
      <c r="A2590" s="627">
        <v>8254</v>
      </c>
      <c r="B2590" s="628" t="s">
        <v>4381</v>
      </c>
      <c r="C2590" s="629" t="s">
        <v>419</v>
      </c>
    </row>
    <row r="2591" spans="1:3">
      <c r="A2591" s="627">
        <v>8255</v>
      </c>
      <c r="B2591" s="628" t="s">
        <v>1648</v>
      </c>
      <c r="C2591" s="629" t="s">
        <v>419</v>
      </c>
    </row>
    <row r="2592" spans="1:3">
      <c r="A2592" s="627">
        <v>8256</v>
      </c>
      <c r="B2592" s="628" t="s">
        <v>1649</v>
      </c>
      <c r="C2592" s="629" t="s">
        <v>419</v>
      </c>
    </row>
    <row r="2593" spans="1:3">
      <c r="A2593" s="627">
        <v>8256</v>
      </c>
      <c r="B2593" s="628" t="s">
        <v>4383</v>
      </c>
      <c r="C2593" s="629" t="s">
        <v>419</v>
      </c>
    </row>
    <row r="2594" spans="1:3">
      <c r="A2594" s="627">
        <v>8257</v>
      </c>
      <c r="B2594" s="628" t="s">
        <v>4385</v>
      </c>
      <c r="C2594" s="629" t="s">
        <v>419</v>
      </c>
    </row>
    <row r="2595" spans="1:3">
      <c r="A2595" s="627">
        <v>8258</v>
      </c>
      <c r="B2595" s="628" t="s">
        <v>4385</v>
      </c>
      <c r="C2595" s="629" t="s">
        <v>419</v>
      </c>
    </row>
    <row r="2596" spans="1:3">
      <c r="A2596" s="627">
        <v>8261</v>
      </c>
      <c r="B2596" s="628" t="s">
        <v>4385</v>
      </c>
      <c r="C2596" s="629" t="s">
        <v>419</v>
      </c>
    </row>
    <row r="2597" spans="1:3">
      <c r="A2597" s="627">
        <v>8262</v>
      </c>
      <c r="B2597" s="628" t="s">
        <v>4388</v>
      </c>
      <c r="C2597" s="629" t="s">
        <v>419</v>
      </c>
    </row>
    <row r="2598" spans="1:3">
      <c r="A2598" s="627">
        <v>8263</v>
      </c>
      <c r="B2598" s="628" t="s">
        <v>4388</v>
      </c>
      <c r="C2598" s="629" t="s">
        <v>419</v>
      </c>
    </row>
    <row r="2599" spans="1:3">
      <c r="A2599" s="627">
        <v>8264</v>
      </c>
      <c r="B2599" s="628" t="s">
        <v>4389</v>
      </c>
      <c r="C2599" s="629" t="s">
        <v>419</v>
      </c>
    </row>
    <row r="2600" spans="1:3">
      <c r="A2600" s="627">
        <v>8265</v>
      </c>
      <c r="B2600" s="628" t="s">
        <v>4390</v>
      </c>
      <c r="C2600" s="629" t="s">
        <v>419</v>
      </c>
    </row>
    <row r="2601" spans="1:3">
      <c r="A2601" s="627">
        <v>8271</v>
      </c>
      <c r="B2601" s="628" t="s">
        <v>4391</v>
      </c>
      <c r="C2601" s="629" t="s">
        <v>419</v>
      </c>
    </row>
    <row r="2602" spans="1:3">
      <c r="A2602" s="627">
        <v>8272</v>
      </c>
      <c r="B2602" s="628" t="s">
        <v>1652</v>
      </c>
      <c r="C2602" s="629" t="s">
        <v>419</v>
      </c>
    </row>
    <row r="2603" spans="1:3">
      <c r="A2603" s="627">
        <v>8272</v>
      </c>
      <c r="B2603" s="628" t="s">
        <v>1653</v>
      </c>
      <c r="C2603" s="629" t="s">
        <v>419</v>
      </c>
    </row>
    <row r="2604" spans="1:3">
      <c r="A2604" s="627">
        <v>8272</v>
      </c>
      <c r="B2604" s="628" t="s">
        <v>1654</v>
      </c>
      <c r="C2604" s="629" t="s">
        <v>419</v>
      </c>
    </row>
    <row r="2605" spans="1:3">
      <c r="A2605" s="627">
        <v>8272</v>
      </c>
      <c r="B2605" s="628" t="s">
        <v>1655</v>
      </c>
      <c r="C2605" s="629" t="s">
        <v>419</v>
      </c>
    </row>
    <row r="2606" spans="1:3">
      <c r="A2606" s="627">
        <v>8272</v>
      </c>
      <c r="B2606" s="628" t="s">
        <v>4392</v>
      </c>
      <c r="C2606" s="629" t="s">
        <v>419</v>
      </c>
    </row>
    <row r="2607" spans="1:3">
      <c r="A2607" s="627">
        <v>8273</v>
      </c>
      <c r="B2607" s="628" t="s">
        <v>4393</v>
      </c>
      <c r="C2607" s="629" t="s">
        <v>419</v>
      </c>
    </row>
    <row r="2608" spans="1:3">
      <c r="A2608" s="627">
        <v>8274</v>
      </c>
      <c r="B2608" s="628" t="s">
        <v>4394</v>
      </c>
      <c r="C2608" s="629" t="s">
        <v>419</v>
      </c>
    </row>
    <row r="2609" spans="1:3">
      <c r="A2609" s="627">
        <v>8275</v>
      </c>
      <c r="B2609" s="628" t="s">
        <v>1241</v>
      </c>
      <c r="C2609" s="629" t="s">
        <v>419</v>
      </c>
    </row>
    <row r="2610" spans="1:3">
      <c r="A2610" s="627">
        <v>8281</v>
      </c>
      <c r="B2610" s="628" t="s">
        <v>1242</v>
      </c>
      <c r="C2610" s="629" t="s">
        <v>419</v>
      </c>
    </row>
    <row r="2611" spans="1:3">
      <c r="A2611" s="627">
        <v>8282</v>
      </c>
      <c r="B2611" s="628" t="s">
        <v>1243</v>
      </c>
      <c r="C2611" s="629" t="s">
        <v>419</v>
      </c>
    </row>
    <row r="2612" spans="1:3">
      <c r="A2612" s="627">
        <v>8283</v>
      </c>
      <c r="B2612" s="628" t="s">
        <v>1244</v>
      </c>
      <c r="C2612" s="629" t="s">
        <v>419</v>
      </c>
    </row>
    <row r="2613" spans="1:3">
      <c r="A2613" s="627">
        <v>8284</v>
      </c>
      <c r="B2613" s="628" t="s">
        <v>1246</v>
      </c>
      <c r="C2613" s="629" t="s">
        <v>419</v>
      </c>
    </row>
    <row r="2614" spans="1:3">
      <c r="A2614" s="627">
        <v>8284</v>
      </c>
      <c r="B2614" s="628" t="s">
        <v>1245</v>
      </c>
      <c r="C2614" s="629" t="s">
        <v>419</v>
      </c>
    </row>
    <row r="2615" spans="1:3">
      <c r="A2615" s="627">
        <v>8286</v>
      </c>
      <c r="B2615" s="628" t="s">
        <v>1247</v>
      </c>
      <c r="C2615" s="629" t="s">
        <v>419</v>
      </c>
    </row>
    <row r="2616" spans="1:3">
      <c r="A2616" s="627">
        <v>8291</v>
      </c>
      <c r="B2616" s="628" t="s">
        <v>1656</v>
      </c>
      <c r="C2616" s="629" t="s">
        <v>419</v>
      </c>
    </row>
    <row r="2617" spans="1:3">
      <c r="A2617" s="627">
        <v>8291</v>
      </c>
      <c r="B2617" s="628" t="s">
        <v>1657</v>
      </c>
      <c r="C2617" s="629" t="s">
        <v>419</v>
      </c>
    </row>
    <row r="2618" spans="1:3">
      <c r="A2618" s="627">
        <v>8291</v>
      </c>
      <c r="B2618" s="628" t="s">
        <v>1658</v>
      </c>
      <c r="C2618" s="629" t="s">
        <v>419</v>
      </c>
    </row>
    <row r="2619" spans="1:3">
      <c r="A2619" s="627">
        <v>8291</v>
      </c>
      <c r="B2619" s="628" t="s">
        <v>1248</v>
      </c>
      <c r="C2619" s="629" t="s">
        <v>419</v>
      </c>
    </row>
    <row r="2620" spans="1:3">
      <c r="A2620" s="627">
        <v>8292</v>
      </c>
      <c r="B2620" s="628" t="s">
        <v>1249</v>
      </c>
      <c r="C2620" s="629" t="s">
        <v>419</v>
      </c>
    </row>
    <row r="2621" spans="1:3">
      <c r="A2621" s="627">
        <v>8294</v>
      </c>
      <c r="B2621" s="628" t="s">
        <v>1251</v>
      </c>
      <c r="C2621" s="629" t="s">
        <v>419</v>
      </c>
    </row>
    <row r="2622" spans="1:3">
      <c r="A2622" s="627">
        <v>8294</v>
      </c>
      <c r="B2622" s="628" t="s">
        <v>1250</v>
      </c>
      <c r="C2622" s="629" t="s">
        <v>419</v>
      </c>
    </row>
    <row r="2623" spans="1:3">
      <c r="A2623" s="627">
        <v>8295</v>
      </c>
      <c r="B2623" s="628" t="s">
        <v>1252</v>
      </c>
      <c r="C2623" s="629" t="s">
        <v>419</v>
      </c>
    </row>
    <row r="2624" spans="1:3">
      <c r="A2624" s="627">
        <v>8296</v>
      </c>
      <c r="B2624" s="628" t="s">
        <v>1659</v>
      </c>
      <c r="C2624" s="629" t="s">
        <v>419</v>
      </c>
    </row>
    <row r="2625" spans="1:3">
      <c r="A2625" s="627">
        <v>8296</v>
      </c>
      <c r="B2625" s="628" t="s">
        <v>1253</v>
      </c>
      <c r="C2625" s="629" t="s">
        <v>419</v>
      </c>
    </row>
    <row r="2626" spans="1:3">
      <c r="A2626" s="627">
        <v>8297</v>
      </c>
      <c r="B2626" s="628" t="s">
        <v>1660</v>
      </c>
      <c r="C2626" s="629" t="s">
        <v>419</v>
      </c>
    </row>
    <row r="2627" spans="1:3">
      <c r="A2627" s="627">
        <v>8300</v>
      </c>
      <c r="B2627" s="628" t="s">
        <v>1255</v>
      </c>
      <c r="C2627" s="629" t="s">
        <v>419</v>
      </c>
    </row>
    <row r="2628" spans="1:3">
      <c r="A2628" s="627">
        <v>8300</v>
      </c>
      <c r="B2628" s="628" t="s">
        <v>1660</v>
      </c>
      <c r="C2628" s="629" t="s">
        <v>419</v>
      </c>
    </row>
    <row r="2629" spans="1:3">
      <c r="A2629" s="627">
        <v>8308</v>
      </c>
      <c r="B2629" s="628" t="s">
        <v>1661</v>
      </c>
      <c r="C2629" s="629" t="s">
        <v>419</v>
      </c>
    </row>
    <row r="2630" spans="1:3">
      <c r="A2630" s="627">
        <v>8308</v>
      </c>
      <c r="B2630" s="628" t="s">
        <v>1256</v>
      </c>
      <c r="C2630" s="629" t="s">
        <v>419</v>
      </c>
    </row>
    <row r="2631" spans="1:3">
      <c r="A2631" s="627">
        <v>8311</v>
      </c>
      <c r="B2631" s="628" t="s">
        <v>1257</v>
      </c>
      <c r="C2631" s="629" t="s">
        <v>419</v>
      </c>
    </row>
    <row r="2632" spans="1:3">
      <c r="A2632" s="627">
        <v>8312</v>
      </c>
      <c r="B2632" s="628" t="s">
        <v>1258</v>
      </c>
      <c r="C2632" s="629" t="s">
        <v>419</v>
      </c>
    </row>
    <row r="2633" spans="1:3">
      <c r="A2633" s="627">
        <v>8313</v>
      </c>
      <c r="B2633" s="628" t="s">
        <v>1259</v>
      </c>
      <c r="C2633" s="629" t="s">
        <v>432</v>
      </c>
    </row>
    <row r="2634" spans="1:3">
      <c r="A2634" s="627">
        <v>8314</v>
      </c>
      <c r="B2634" s="628" t="s">
        <v>1260</v>
      </c>
      <c r="C2634" s="629" t="s">
        <v>432</v>
      </c>
    </row>
    <row r="2635" spans="1:3">
      <c r="A2635" s="627">
        <v>8315</v>
      </c>
      <c r="B2635" s="628" t="s">
        <v>1261</v>
      </c>
      <c r="C2635" s="629" t="s">
        <v>432</v>
      </c>
    </row>
    <row r="2636" spans="1:3">
      <c r="A2636" s="627">
        <v>8316</v>
      </c>
      <c r="B2636" s="628" t="s">
        <v>1662</v>
      </c>
      <c r="C2636" s="629" t="s">
        <v>432</v>
      </c>
    </row>
    <row r="2637" spans="1:3">
      <c r="A2637" s="627">
        <v>8316</v>
      </c>
      <c r="B2637" s="628" t="s">
        <v>1262</v>
      </c>
      <c r="C2637" s="629" t="s">
        <v>432</v>
      </c>
    </row>
    <row r="2638" spans="1:3">
      <c r="A2638" s="627">
        <v>8318</v>
      </c>
      <c r="B2638" s="628" t="s">
        <v>1263</v>
      </c>
      <c r="C2638" s="629" t="s">
        <v>419</v>
      </c>
    </row>
    <row r="2639" spans="1:3">
      <c r="A2639" s="627">
        <v>8318</v>
      </c>
      <c r="B2639" s="628" t="s">
        <v>1264</v>
      </c>
      <c r="C2639" s="629" t="s">
        <v>419</v>
      </c>
    </row>
    <row r="2640" spans="1:3">
      <c r="A2640" s="627">
        <v>8319</v>
      </c>
      <c r="B2640" s="628" t="s">
        <v>1265</v>
      </c>
      <c r="C2640" s="629" t="s">
        <v>419</v>
      </c>
    </row>
    <row r="2641" spans="1:3">
      <c r="A2641" s="627">
        <v>8321</v>
      </c>
      <c r="B2641" s="628" t="s">
        <v>1266</v>
      </c>
      <c r="C2641" s="629" t="s">
        <v>419</v>
      </c>
    </row>
    <row r="2642" spans="1:3">
      <c r="A2642" s="627">
        <v>8330</v>
      </c>
      <c r="B2642" s="628" t="s">
        <v>1267</v>
      </c>
      <c r="C2642" s="629" t="s">
        <v>419</v>
      </c>
    </row>
    <row r="2643" spans="1:3">
      <c r="A2643" s="627">
        <v>8341</v>
      </c>
      <c r="B2643" s="628" t="s">
        <v>1663</v>
      </c>
      <c r="C2643" s="629" t="s">
        <v>432</v>
      </c>
    </row>
    <row r="2644" spans="1:3">
      <c r="A2644" s="627">
        <v>8341</v>
      </c>
      <c r="B2644" s="628" t="s">
        <v>1664</v>
      </c>
      <c r="C2644" s="629" t="s">
        <v>432</v>
      </c>
    </row>
    <row r="2645" spans="1:3">
      <c r="A2645" s="627">
        <v>8341</v>
      </c>
      <c r="B2645" s="628" t="s">
        <v>1268</v>
      </c>
      <c r="C2645" s="629" t="s">
        <v>432</v>
      </c>
    </row>
    <row r="2646" spans="1:3">
      <c r="A2646" s="627">
        <v>8342</v>
      </c>
      <c r="B2646" s="628" t="s">
        <v>1269</v>
      </c>
      <c r="C2646" s="629" t="s">
        <v>432</v>
      </c>
    </row>
    <row r="2647" spans="1:3">
      <c r="A2647" s="627">
        <v>8344</v>
      </c>
      <c r="B2647" s="628" t="s">
        <v>1270</v>
      </c>
      <c r="C2647" s="629" t="s">
        <v>419</v>
      </c>
    </row>
    <row r="2648" spans="1:3">
      <c r="A2648" s="627">
        <v>8344</v>
      </c>
      <c r="B2648" s="628" t="s">
        <v>1665</v>
      </c>
      <c r="C2648" s="629" t="s">
        <v>419</v>
      </c>
    </row>
    <row r="2649" spans="1:3">
      <c r="A2649" s="627">
        <v>8345</v>
      </c>
      <c r="B2649" s="628" t="s">
        <v>1271</v>
      </c>
      <c r="C2649" s="629" t="s">
        <v>419</v>
      </c>
    </row>
    <row r="2650" spans="1:3">
      <c r="A2650" s="627">
        <v>8346</v>
      </c>
      <c r="B2650" s="628" t="s">
        <v>1272</v>
      </c>
      <c r="C2650" s="629" t="s">
        <v>419</v>
      </c>
    </row>
    <row r="2651" spans="1:3">
      <c r="A2651" s="627">
        <v>8347</v>
      </c>
      <c r="B2651" s="628" t="s">
        <v>1273</v>
      </c>
      <c r="C2651" s="629" t="s">
        <v>419</v>
      </c>
    </row>
    <row r="2652" spans="1:3">
      <c r="A2652" s="627">
        <v>8348</v>
      </c>
      <c r="B2652" s="628" t="s">
        <v>1666</v>
      </c>
      <c r="C2652" s="629" t="s">
        <v>419</v>
      </c>
    </row>
    <row r="2653" spans="1:3">
      <c r="A2653" s="627">
        <v>8348</v>
      </c>
      <c r="B2653" s="628" t="s">
        <v>1667</v>
      </c>
      <c r="C2653" s="629" t="s">
        <v>419</v>
      </c>
    </row>
    <row r="2654" spans="1:3">
      <c r="A2654" s="627">
        <v>8348</v>
      </c>
      <c r="B2654" s="628" t="s">
        <v>1274</v>
      </c>
      <c r="C2654" s="629" t="s">
        <v>419</v>
      </c>
    </row>
    <row r="2655" spans="1:3">
      <c r="A2655" s="627">
        <v>8349</v>
      </c>
      <c r="B2655" s="628" t="s">
        <v>1275</v>
      </c>
      <c r="C2655" s="629" t="s">
        <v>419</v>
      </c>
    </row>
    <row r="2656" spans="1:3">
      <c r="A2656" s="627">
        <v>8351</v>
      </c>
      <c r="B2656" s="628" t="s">
        <v>1276</v>
      </c>
      <c r="C2656" s="629" t="s">
        <v>419</v>
      </c>
    </row>
    <row r="2657" spans="1:3">
      <c r="A2657" s="627">
        <v>8352</v>
      </c>
      <c r="B2657" s="628" t="s">
        <v>1277</v>
      </c>
      <c r="C2657" s="629" t="s">
        <v>419</v>
      </c>
    </row>
    <row r="2658" spans="1:3">
      <c r="A2658" s="627">
        <v>8353</v>
      </c>
      <c r="B2658" s="628" t="s">
        <v>1668</v>
      </c>
      <c r="C2658" s="629" t="s">
        <v>432</v>
      </c>
    </row>
    <row r="2659" spans="1:3">
      <c r="A2659" s="627">
        <v>8353</v>
      </c>
      <c r="B2659" s="628" t="s">
        <v>1278</v>
      </c>
      <c r="C2659" s="629" t="s">
        <v>432</v>
      </c>
    </row>
    <row r="2660" spans="1:3">
      <c r="A2660" s="627">
        <v>8354</v>
      </c>
      <c r="B2660" s="628" t="s">
        <v>1669</v>
      </c>
      <c r="C2660" s="629" t="s">
        <v>432</v>
      </c>
    </row>
    <row r="2661" spans="1:3">
      <c r="A2661" s="627">
        <v>8354</v>
      </c>
      <c r="B2661" s="628" t="s">
        <v>1670</v>
      </c>
      <c r="C2661" s="629" t="s">
        <v>432</v>
      </c>
    </row>
    <row r="2662" spans="1:3">
      <c r="A2662" s="627">
        <v>8354</v>
      </c>
      <c r="B2662" s="628" t="s">
        <v>1279</v>
      </c>
      <c r="C2662" s="629" t="s">
        <v>432</v>
      </c>
    </row>
    <row r="2663" spans="1:3">
      <c r="A2663" s="627">
        <v>8355</v>
      </c>
      <c r="B2663" s="628" t="s">
        <v>1280</v>
      </c>
      <c r="C2663" s="629" t="s">
        <v>432</v>
      </c>
    </row>
    <row r="2664" spans="1:3">
      <c r="A2664" s="627">
        <v>8356</v>
      </c>
      <c r="B2664" s="628" t="s">
        <v>1671</v>
      </c>
      <c r="C2664" s="629" t="s">
        <v>432</v>
      </c>
    </row>
    <row r="2665" spans="1:3">
      <c r="A2665" s="627">
        <v>8356</v>
      </c>
      <c r="B2665" s="628" t="s">
        <v>1281</v>
      </c>
      <c r="C2665" s="629" t="s">
        <v>432</v>
      </c>
    </row>
    <row r="2666" spans="1:3">
      <c r="A2666" s="627">
        <v>8357</v>
      </c>
      <c r="B2666" s="628" t="s">
        <v>1672</v>
      </c>
      <c r="C2666" s="629" t="s">
        <v>432</v>
      </c>
    </row>
    <row r="2667" spans="1:3">
      <c r="A2667" s="627">
        <v>8357</v>
      </c>
      <c r="B2667" s="628" t="s">
        <v>1282</v>
      </c>
      <c r="C2667" s="629" t="s">
        <v>432</v>
      </c>
    </row>
    <row r="2668" spans="1:3">
      <c r="A2668" s="627">
        <v>8360</v>
      </c>
      <c r="B2668" s="628" t="s">
        <v>1283</v>
      </c>
      <c r="C2668" s="629" t="s">
        <v>432</v>
      </c>
    </row>
    <row r="2669" spans="1:3">
      <c r="A2669" s="627">
        <v>8371</v>
      </c>
      <c r="B2669" s="628" t="s">
        <v>1284</v>
      </c>
      <c r="C2669" s="629" t="s">
        <v>432</v>
      </c>
    </row>
    <row r="2670" spans="1:3">
      <c r="A2670" s="627">
        <v>8372</v>
      </c>
      <c r="B2670" s="628" t="s">
        <v>1285</v>
      </c>
      <c r="C2670" s="629" t="s">
        <v>432</v>
      </c>
    </row>
    <row r="2671" spans="1:3">
      <c r="A2671" s="627">
        <v>8373</v>
      </c>
      <c r="B2671" s="628" t="s">
        <v>1286</v>
      </c>
      <c r="C2671" s="629" t="s">
        <v>432</v>
      </c>
    </row>
    <row r="2672" spans="1:3">
      <c r="A2672" s="627">
        <v>8380</v>
      </c>
      <c r="B2672" s="628" t="s">
        <v>1292</v>
      </c>
      <c r="C2672" s="629" t="s">
        <v>432</v>
      </c>
    </row>
    <row r="2673" spans="1:3">
      <c r="A2673" s="627">
        <v>8380</v>
      </c>
      <c r="B2673" s="628" t="s">
        <v>1287</v>
      </c>
      <c r="C2673" s="629" t="s">
        <v>432</v>
      </c>
    </row>
    <row r="2674" spans="1:3">
      <c r="A2674" s="627">
        <v>8391</v>
      </c>
      <c r="B2674" s="628" t="s">
        <v>1288</v>
      </c>
      <c r="C2674" s="629" t="s">
        <v>432</v>
      </c>
    </row>
    <row r="2675" spans="1:3">
      <c r="A2675" s="627">
        <v>8392</v>
      </c>
      <c r="B2675" s="628" t="s">
        <v>1289</v>
      </c>
      <c r="C2675" s="629" t="s">
        <v>432</v>
      </c>
    </row>
    <row r="2676" spans="1:3">
      <c r="A2676" s="627">
        <v>8393</v>
      </c>
      <c r="B2676" s="628" t="s">
        <v>1290</v>
      </c>
      <c r="C2676" s="629" t="s">
        <v>432</v>
      </c>
    </row>
    <row r="2677" spans="1:3">
      <c r="A2677" s="627">
        <v>8394</v>
      </c>
      <c r="B2677" s="628" t="s">
        <v>1291</v>
      </c>
      <c r="C2677" s="629" t="s">
        <v>432</v>
      </c>
    </row>
    <row r="2678" spans="1:3">
      <c r="A2678" s="627">
        <v>8400</v>
      </c>
      <c r="B2678" s="628" t="s">
        <v>1293</v>
      </c>
      <c r="C2678" s="629" t="s">
        <v>419</v>
      </c>
    </row>
    <row r="2679" spans="1:3">
      <c r="A2679" s="627">
        <v>8409</v>
      </c>
      <c r="B2679" s="628" t="s">
        <v>1294</v>
      </c>
      <c r="C2679" s="629" t="s">
        <v>419</v>
      </c>
    </row>
    <row r="2680" spans="1:3">
      <c r="A2680" s="627">
        <v>8411</v>
      </c>
      <c r="B2680" s="628" t="s">
        <v>419</v>
      </c>
      <c r="C2680" s="629" t="s">
        <v>419</v>
      </c>
    </row>
    <row r="2681" spans="1:3">
      <c r="A2681" s="627">
        <v>8412</v>
      </c>
      <c r="B2681" s="628" t="s">
        <v>419</v>
      </c>
      <c r="C2681" s="629" t="s">
        <v>419</v>
      </c>
    </row>
    <row r="2682" spans="1:3">
      <c r="A2682" s="627">
        <v>8413</v>
      </c>
      <c r="B2682" s="628" t="s">
        <v>1297</v>
      </c>
      <c r="C2682" s="629" t="s">
        <v>419</v>
      </c>
    </row>
    <row r="2683" spans="1:3">
      <c r="A2683" s="627">
        <v>8414</v>
      </c>
      <c r="B2683" s="628" t="s">
        <v>1674</v>
      </c>
      <c r="C2683" s="629" t="s">
        <v>419</v>
      </c>
    </row>
    <row r="2684" spans="1:3">
      <c r="A2684" s="627">
        <v>8415</v>
      </c>
      <c r="B2684" s="628" t="s">
        <v>1299</v>
      </c>
      <c r="C2684" s="629" t="s">
        <v>419</v>
      </c>
    </row>
    <row r="2685" spans="1:3">
      <c r="A2685" s="627">
        <v>8416</v>
      </c>
      <c r="B2685" s="628" t="s">
        <v>1300</v>
      </c>
      <c r="C2685" s="629" t="s">
        <v>419</v>
      </c>
    </row>
    <row r="2686" spans="1:3">
      <c r="A2686" s="627">
        <v>8417</v>
      </c>
      <c r="B2686" s="628" t="s">
        <v>1301</v>
      </c>
      <c r="C2686" s="629" t="s">
        <v>419</v>
      </c>
    </row>
    <row r="2687" spans="1:3">
      <c r="A2687" s="627">
        <v>8418</v>
      </c>
      <c r="B2687" s="628" t="s">
        <v>1302</v>
      </c>
      <c r="C2687" s="629" t="s">
        <v>419</v>
      </c>
    </row>
    <row r="2688" spans="1:3">
      <c r="A2688" s="627">
        <v>8419</v>
      </c>
      <c r="B2688" s="628" t="s">
        <v>1303</v>
      </c>
      <c r="C2688" s="629" t="s">
        <v>419</v>
      </c>
    </row>
    <row r="2689" spans="1:3">
      <c r="A2689" s="627">
        <v>8420</v>
      </c>
      <c r="B2689" s="628" t="s">
        <v>1298</v>
      </c>
      <c r="C2689" s="629" t="s">
        <v>419</v>
      </c>
    </row>
    <row r="2690" spans="1:3">
      <c r="A2690" s="627">
        <v>8422</v>
      </c>
      <c r="B2690" s="628" t="s">
        <v>1304</v>
      </c>
      <c r="C2690" s="629" t="s">
        <v>419</v>
      </c>
    </row>
    <row r="2691" spans="1:3">
      <c r="A2691" s="627">
        <v>8423</v>
      </c>
      <c r="B2691" s="628" t="s">
        <v>1305</v>
      </c>
      <c r="C2691" s="629" t="s">
        <v>419</v>
      </c>
    </row>
    <row r="2692" spans="1:3">
      <c r="A2692" s="627">
        <v>8424</v>
      </c>
      <c r="B2692" s="628" t="s">
        <v>1306</v>
      </c>
      <c r="C2692" s="629" t="s">
        <v>419</v>
      </c>
    </row>
    <row r="2693" spans="1:3">
      <c r="A2693" s="627">
        <v>8425</v>
      </c>
      <c r="B2693" s="628" t="s">
        <v>1675</v>
      </c>
      <c r="C2693" s="629" t="s">
        <v>419</v>
      </c>
    </row>
    <row r="2694" spans="1:3">
      <c r="A2694" s="627">
        <v>8426</v>
      </c>
      <c r="B2694" s="628" t="s">
        <v>3651</v>
      </c>
      <c r="C2694" s="629" t="s">
        <v>428</v>
      </c>
    </row>
    <row r="2695" spans="1:3">
      <c r="A2695" s="627">
        <v>8427</v>
      </c>
      <c r="B2695" s="628" t="s">
        <v>1309</v>
      </c>
      <c r="C2695" s="629" t="s">
        <v>419</v>
      </c>
    </row>
    <row r="2696" spans="1:3">
      <c r="A2696" s="627">
        <v>8428</v>
      </c>
      <c r="B2696" s="628" t="s">
        <v>1310</v>
      </c>
      <c r="C2696" s="629" t="s">
        <v>419</v>
      </c>
    </row>
    <row r="2697" spans="1:3">
      <c r="A2697" s="627">
        <v>8429</v>
      </c>
      <c r="B2697" s="628" t="s">
        <v>1311</v>
      </c>
      <c r="C2697" s="629" t="s">
        <v>419</v>
      </c>
    </row>
    <row r="2698" spans="1:3">
      <c r="A2698" s="627">
        <v>8430</v>
      </c>
      <c r="B2698" s="628" t="s">
        <v>1312</v>
      </c>
      <c r="C2698" s="629" t="s">
        <v>419</v>
      </c>
    </row>
    <row r="2699" spans="1:3">
      <c r="A2699" s="627">
        <v>8431</v>
      </c>
      <c r="B2699" s="628" t="s">
        <v>1313</v>
      </c>
      <c r="C2699" s="629" t="s">
        <v>3180</v>
      </c>
    </row>
    <row r="2700" spans="1:3">
      <c r="A2700" s="627">
        <v>8432</v>
      </c>
      <c r="B2700" s="628" t="s">
        <v>1314</v>
      </c>
      <c r="C2700" s="629" t="s">
        <v>3180</v>
      </c>
    </row>
    <row r="2701" spans="1:3">
      <c r="A2701" s="627">
        <v>8433</v>
      </c>
      <c r="B2701" s="628" t="s">
        <v>1315</v>
      </c>
      <c r="C2701" s="629" t="s">
        <v>3180</v>
      </c>
    </row>
    <row r="2702" spans="1:3">
      <c r="A2702" s="627">
        <v>8434</v>
      </c>
      <c r="B2702" s="628" t="s">
        <v>1316</v>
      </c>
      <c r="C2702" s="629" t="s">
        <v>3180</v>
      </c>
    </row>
    <row r="2703" spans="1:3">
      <c r="A2703" s="627">
        <v>8435</v>
      </c>
      <c r="B2703" s="628" t="s">
        <v>1317</v>
      </c>
      <c r="C2703" s="629" t="s">
        <v>419</v>
      </c>
    </row>
    <row r="2704" spans="1:3">
      <c r="A2704" s="627">
        <v>8438</v>
      </c>
      <c r="B2704" s="628" t="s">
        <v>1320</v>
      </c>
      <c r="C2704" s="629" t="s">
        <v>3180</v>
      </c>
    </row>
    <row r="2705" spans="1:3">
      <c r="A2705" s="627">
        <v>8439</v>
      </c>
      <c r="B2705" s="628" t="s">
        <v>1321</v>
      </c>
      <c r="C2705" s="629" t="s">
        <v>3180</v>
      </c>
    </row>
    <row r="2706" spans="1:3">
      <c r="A2706" s="627">
        <v>8440</v>
      </c>
      <c r="B2706" s="628" t="s">
        <v>1322</v>
      </c>
      <c r="C2706" s="629" t="s">
        <v>419</v>
      </c>
    </row>
    <row r="2707" spans="1:3">
      <c r="A2707" s="627">
        <v>8441</v>
      </c>
      <c r="B2707" s="628" t="s">
        <v>3975</v>
      </c>
      <c r="C2707" s="629" t="s">
        <v>419</v>
      </c>
    </row>
    <row r="2708" spans="1:3">
      <c r="A2708" s="627">
        <v>8442</v>
      </c>
      <c r="B2708" s="628" t="s">
        <v>3976</v>
      </c>
      <c r="C2708" s="629" t="s">
        <v>419</v>
      </c>
    </row>
    <row r="2709" spans="1:3">
      <c r="A2709" s="627">
        <v>8443</v>
      </c>
      <c r="B2709" s="628" t="s">
        <v>3977</v>
      </c>
      <c r="C2709" s="629" t="s">
        <v>419</v>
      </c>
    </row>
    <row r="2710" spans="1:3">
      <c r="A2710" s="627">
        <v>8444</v>
      </c>
      <c r="B2710" s="628" t="s">
        <v>3978</v>
      </c>
      <c r="C2710" s="629" t="s">
        <v>419</v>
      </c>
    </row>
    <row r="2711" spans="1:3">
      <c r="A2711" s="627">
        <v>8445</v>
      </c>
      <c r="B2711" s="628" t="s">
        <v>1676</v>
      </c>
      <c r="C2711" s="629" t="s">
        <v>419</v>
      </c>
    </row>
    <row r="2712" spans="1:3">
      <c r="A2712" s="627">
        <v>8445</v>
      </c>
      <c r="B2712" s="628" t="s">
        <v>3979</v>
      </c>
      <c r="C2712" s="629" t="s">
        <v>419</v>
      </c>
    </row>
    <row r="2713" spans="1:3">
      <c r="A2713" s="627">
        <v>8446</v>
      </c>
      <c r="B2713" s="628" t="s">
        <v>3980</v>
      </c>
      <c r="C2713" s="629" t="s">
        <v>419</v>
      </c>
    </row>
    <row r="2714" spans="1:3">
      <c r="A2714" s="627">
        <v>8447</v>
      </c>
      <c r="B2714" s="628" t="s">
        <v>1293</v>
      </c>
      <c r="C2714" s="629" t="s">
        <v>419</v>
      </c>
    </row>
    <row r="2715" spans="1:3">
      <c r="A2715" s="627">
        <v>8448</v>
      </c>
      <c r="B2715" s="628" t="s">
        <v>1293</v>
      </c>
      <c r="C2715" s="629" t="s">
        <v>419</v>
      </c>
    </row>
    <row r="2716" spans="1:3">
      <c r="A2716" s="627">
        <v>8449</v>
      </c>
      <c r="B2716" s="628" t="s">
        <v>4296</v>
      </c>
      <c r="C2716" s="629" t="s">
        <v>419</v>
      </c>
    </row>
    <row r="2717" spans="1:3">
      <c r="A2717" s="627">
        <v>8451</v>
      </c>
      <c r="B2717" s="628" t="s">
        <v>1293</v>
      </c>
      <c r="C2717" s="629" t="s">
        <v>419</v>
      </c>
    </row>
    <row r="2718" spans="1:3">
      <c r="A2718" s="627">
        <v>8452</v>
      </c>
      <c r="B2718" s="628" t="s">
        <v>1680</v>
      </c>
      <c r="C2718" s="629" t="s">
        <v>419</v>
      </c>
    </row>
    <row r="2719" spans="1:3">
      <c r="A2719" s="627">
        <v>8452</v>
      </c>
      <c r="B2719" s="628" t="s">
        <v>4298</v>
      </c>
      <c r="C2719" s="629" t="s">
        <v>419</v>
      </c>
    </row>
    <row r="2720" spans="1:3">
      <c r="A2720" s="627">
        <v>8454</v>
      </c>
      <c r="B2720" s="628" t="s">
        <v>4299</v>
      </c>
      <c r="C2720" s="629" t="s">
        <v>419</v>
      </c>
    </row>
    <row r="2721" spans="1:3">
      <c r="A2721" s="627">
        <v>8455</v>
      </c>
      <c r="B2721" s="628" t="s">
        <v>4300</v>
      </c>
      <c r="C2721" s="629" t="s">
        <v>419</v>
      </c>
    </row>
    <row r="2722" spans="1:3">
      <c r="A2722" s="627">
        <v>8456</v>
      </c>
      <c r="B2722" s="628" t="s">
        <v>4301</v>
      </c>
      <c r="C2722" s="629" t="s">
        <v>419</v>
      </c>
    </row>
    <row r="2723" spans="1:3">
      <c r="A2723" s="627">
        <v>8457</v>
      </c>
      <c r="B2723" s="628" t="s">
        <v>4302</v>
      </c>
      <c r="C2723" s="629" t="s">
        <v>419</v>
      </c>
    </row>
    <row r="2724" spans="1:3">
      <c r="A2724" s="627">
        <v>8458</v>
      </c>
      <c r="B2724" s="628" t="s">
        <v>4303</v>
      </c>
      <c r="C2724" s="629" t="s">
        <v>419</v>
      </c>
    </row>
    <row r="2725" spans="1:3">
      <c r="A2725" s="627">
        <v>8460</v>
      </c>
      <c r="B2725" s="628" t="s">
        <v>4304</v>
      </c>
      <c r="C2725" s="629" t="s">
        <v>419</v>
      </c>
    </row>
    <row r="2726" spans="1:3">
      <c r="A2726" s="627">
        <v>8468</v>
      </c>
      <c r="B2726" s="628" t="s">
        <v>4305</v>
      </c>
      <c r="C2726" s="629" t="s">
        <v>419</v>
      </c>
    </row>
    <row r="2727" spans="1:3">
      <c r="A2727" s="627">
        <v>8469</v>
      </c>
      <c r="B2727" s="628" t="s">
        <v>4306</v>
      </c>
      <c r="C2727" s="629" t="s">
        <v>419</v>
      </c>
    </row>
    <row r="2728" spans="1:3">
      <c r="A2728" s="627">
        <v>8471</v>
      </c>
      <c r="B2728" s="628" t="s">
        <v>1681</v>
      </c>
      <c r="C2728" s="629" t="s">
        <v>419</v>
      </c>
    </row>
    <row r="2729" spans="1:3">
      <c r="A2729" s="627">
        <v>8471</v>
      </c>
      <c r="B2729" s="628" t="s">
        <v>1682</v>
      </c>
      <c r="C2729" s="629" t="s">
        <v>419</v>
      </c>
    </row>
    <row r="2730" spans="1:3">
      <c r="A2730" s="627">
        <v>8471</v>
      </c>
      <c r="B2730" s="628" t="s">
        <v>4307</v>
      </c>
      <c r="C2730" s="629" t="s">
        <v>419</v>
      </c>
    </row>
    <row r="2731" spans="1:3">
      <c r="A2731" s="627">
        <v>8473</v>
      </c>
      <c r="B2731" s="628" t="s">
        <v>4308</v>
      </c>
      <c r="C2731" s="629" t="s">
        <v>419</v>
      </c>
    </row>
    <row r="2732" spans="1:3">
      <c r="A2732" s="627">
        <v>8474</v>
      </c>
      <c r="B2732" s="628" t="s">
        <v>4309</v>
      </c>
      <c r="C2732" s="629" t="s">
        <v>419</v>
      </c>
    </row>
    <row r="2733" spans="1:3">
      <c r="A2733" s="627">
        <v>8475</v>
      </c>
      <c r="B2733" s="628" t="s">
        <v>1683</v>
      </c>
      <c r="C2733" s="629" t="s">
        <v>419</v>
      </c>
    </row>
    <row r="2734" spans="1:3">
      <c r="A2734" s="627">
        <v>8475</v>
      </c>
      <c r="B2734" s="628" t="s">
        <v>1684</v>
      </c>
      <c r="C2734" s="629" t="s">
        <v>419</v>
      </c>
    </row>
    <row r="2735" spans="1:3">
      <c r="A2735" s="627">
        <v>8475</v>
      </c>
      <c r="B2735" s="628" t="s">
        <v>4310</v>
      </c>
      <c r="C2735" s="629" t="s">
        <v>419</v>
      </c>
    </row>
    <row r="2736" spans="1:3">
      <c r="A2736" s="627">
        <v>8476</v>
      </c>
      <c r="B2736" s="628" t="s">
        <v>4311</v>
      </c>
      <c r="C2736" s="629" t="s">
        <v>419</v>
      </c>
    </row>
    <row r="2737" spans="1:3">
      <c r="A2737" s="627">
        <v>8477</v>
      </c>
      <c r="B2737" s="628" t="s">
        <v>1685</v>
      </c>
      <c r="C2737" s="629" t="s">
        <v>419</v>
      </c>
    </row>
    <row r="2738" spans="1:3">
      <c r="A2738" s="627">
        <v>8477</v>
      </c>
      <c r="B2738" s="628" t="s">
        <v>1686</v>
      </c>
      <c r="C2738" s="629" t="s">
        <v>419</v>
      </c>
    </row>
    <row r="2739" spans="1:3">
      <c r="A2739" s="627">
        <v>8477</v>
      </c>
      <c r="B2739" s="628" t="s">
        <v>4312</v>
      </c>
      <c r="C2739" s="629" t="s">
        <v>419</v>
      </c>
    </row>
    <row r="2740" spans="1:3">
      <c r="A2740" s="627">
        <v>8478</v>
      </c>
      <c r="B2740" s="628" t="s">
        <v>4313</v>
      </c>
      <c r="C2740" s="629" t="s">
        <v>419</v>
      </c>
    </row>
    <row r="2741" spans="1:3">
      <c r="A2741" s="627">
        <v>8479</v>
      </c>
      <c r="B2741" s="628" t="s">
        <v>4314</v>
      </c>
      <c r="C2741" s="629" t="s">
        <v>419</v>
      </c>
    </row>
    <row r="2742" spans="1:3">
      <c r="A2742" s="627">
        <v>8481</v>
      </c>
      <c r="B2742" s="628" t="s">
        <v>4315</v>
      </c>
      <c r="C2742" s="629" t="s">
        <v>419</v>
      </c>
    </row>
    <row r="2743" spans="1:3">
      <c r="A2743" s="627">
        <v>8482</v>
      </c>
      <c r="B2743" s="628" t="s">
        <v>4316</v>
      </c>
      <c r="C2743" s="629" t="s">
        <v>419</v>
      </c>
    </row>
    <row r="2744" spans="1:3">
      <c r="A2744" s="627">
        <v>8483</v>
      </c>
      <c r="B2744" s="628" t="s">
        <v>1687</v>
      </c>
      <c r="C2744" s="629" t="s">
        <v>419</v>
      </c>
    </row>
    <row r="2745" spans="1:3">
      <c r="A2745" s="627">
        <v>8483</v>
      </c>
      <c r="B2745" s="628" t="s">
        <v>4317</v>
      </c>
      <c r="C2745" s="629" t="s">
        <v>419</v>
      </c>
    </row>
    <row r="2746" spans="1:3">
      <c r="A2746" s="627">
        <v>8484</v>
      </c>
      <c r="B2746" s="628" t="s">
        <v>1688</v>
      </c>
      <c r="C2746" s="629" t="s">
        <v>419</v>
      </c>
    </row>
    <row r="2747" spans="1:3">
      <c r="A2747" s="627">
        <v>8484</v>
      </c>
      <c r="B2747" s="628" t="s">
        <v>1689</v>
      </c>
      <c r="C2747" s="629" t="s">
        <v>419</v>
      </c>
    </row>
    <row r="2748" spans="1:3">
      <c r="A2748" s="627">
        <v>8484</v>
      </c>
      <c r="B2748" s="628" t="s">
        <v>4318</v>
      </c>
      <c r="C2748" s="629" t="s">
        <v>419</v>
      </c>
    </row>
    <row r="2749" spans="1:3">
      <c r="A2749" s="627">
        <v>8485</v>
      </c>
      <c r="B2749" s="628" t="s">
        <v>2749</v>
      </c>
      <c r="C2749" s="629" t="s">
        <v>419</v>
      </c>
    </row>
    <row r="2750" spans="1:3">
      <c r="A2750" s="627">
        <v>8491</v>
      </c>
      <c r="B2750" s="628" t="s">
        <v>2750</v>
      </c>
      <c r="C2750" s="629" t="s">
        <v>419</v>
      </c>
    </row>
    <row r="2751" spans="1:3">
      <c r="A2751" s="627">
        <v>8492</v>
      </c>
      <c r="B2751" s="628" t="s">
        <v>2751</v>
      </c>
      <c r="C2751" s="629" t="s">
        <v>419</v>
      </c>
    </row>
    <row r="2752" spans="1:3">
      <c r="A2752" s="627">
        <v>8493</v>
      </c>
      <c r="B2752" s="628" t="s">
        <v>2752</v>
      </c>
      <c r="C2752" s="629" t="s">
        <v>419</v>
      </c>
    </row>
    <row r="2753" spans="1:3">
      <c r="A2753" s="627">
        <v>8494</v>
      </c>
      <c r="B2753" s="628" t="s">
        <v>2753</v>
      </c>
      <c r="C2753" s="629" t="s">
        <v>419</v>
      </c>
    </row>
    <row r="2754" spans="1:3">
      <c r="A2754" s="627">
        <v>8495</v>
      </c>
      <c r="B2754" s="628" t="s">
        <v>2754</v>
      </c>
      <c r="C2754" s="629" t="s">
        <v>419</v>
      </c>
    </row>
    <row r="2755" spans="1:3">
      <c r="A2755" s="627">
        <v>8496</v>
      </c>
      <c r="B2755" s="628" t="s">
        <v>1690</v>
      </c>
      <c r="C2755" s="629" t="s">
        <v>419</v>
      </c>
    </row>
    <row r="2756" spans="1:3">
      <c r="A2756" s="627">
        <v>8496</v>
      </c>
      <c r="B2756" s="628" t="s">
        <v>2755</v>
      </c>
      <c r="C2756" s="629" t="s">
        <v>419</v>
      </c>
    </row>
    <row r="2757" spans="1:3">
      <c r="A2757" s="627">
        <v>8497</v>
      </c>
      <c r="B2757" s="628" t="s">
        <v>1691</v>
      </c>
      <c r="C2757" s="629" t="s">
        <v>419</v>
      </c>
    </row>
    <row r="2758" spans="1:3">
      <c r="A2758" s="627">
        <v>8497</v>
      </c>
      <c r="B2758" s="628" t="s">
        <v>2756</v>
      </c>
      <c r="C2758" s="629" t="s">
        <v>419</v>
      </c>
    </row>
    <row r="2759" spans="1:3">
      <c r="A2759" s="627">
        <v>8500</v>
      </c>
      <c r="B2759" s="628" t="s">
        <v>2757</v>
      </c>
      <c r="C2759" s="629" t="s">
        <v>419</v>
      </c>
    </row>
    <row r="2760" spans="1:3">
      <c r="A2760" s="627">
        <v>8511</v>
      </c>
      <c r="B2760" s="628" t="s">
        <v>2757</v>
      </c>
      <c r="C2760" s="629" t="s">
        <v>419</v>
      </c>
    </row>
    <row r="2761" spans="1:3">
      <c r="A2761" s="627">
        <v>8512</v>
      </c>
      <c r="B2761" s="628" t="s">
        <v>2760</v>
      </c>
      <c r="C2761" s="629" t="s">
        <v>419</v>
      </c>
    </row>
    <row r="2762" spans="1:3">
      <c r="A2762" s="627">
        <v>8513</v>
      </c>
      <c r="B2762" s="628" t="s">
        <v>2761</v>
      </c>
      <c r="C2762" s="629" t="s">
        <v>419</v>
      </c>
    </row>
    <row r="2763" spans="1:3">
      <c r="A2763" s="627">
        <v>8514</v>
      </c>
      <c r="B2763" s="628" t="s">
        <v>2758</v>
      </c>
      <c r="C2763" s="629" t="s">
        <v>419</v>
      </c>
    </row>
    <row r="2764" spans="1:3">
      <c r="A2764" s="627">
        <v>8515</v>
      </c>
      <c r="B2764" s="628" t="s">
        <v>2763</v>
      </c>
      <c r="C2764" s="629" t="s">
        <v>419</v>
      </c>
    </row>
    <row r="2765" spans="1:3">
      <c r="A2765" s="627">
        <v>8516</v>
      </c>
      <c r="B2765" s="628" t="s">
        <v>2764</v>
      </c>
      <c r="C2765" s="629" t="s">
        <v>419</v>
      </c>
    </row>
    <row r="2766" spans="1:3">
      <c r="A2766" s="627">
        <v>8517</v>
      </c>
      <c r="B2766" s="628" t="s">
        <v>2765</v>
      </c>
      <c r="C2766" s="629" t="s">
        <v>419</v>
      </c>
    </row>
    <row r="2767" spans="1:3">
      <c r="A2767" s="627">
        <v>8518</v>
      </c>
      <c r="B2767" s="628" t="s">
        <v>2766</v>
      </c>
      <c r="C2767" s="629" t="s">
        <v>419</v>
      </c>
    </row>
    <row r="2768" spans="1:3">
      <c r="A2768" s="627">
        <v>8521</v>
      </c>
      <c r="B2768" s="628" t="s">
        <v>2767</v>
      </c>
      <c r="C2768" s="629" t="s">
        <v>419</v>
      </c>
    </row>
    <row r="2769" spans="1:3">
      <c r="A2769" s="627">
        <v>8522</v>
      </c>
      <c r="B2769" s="628" t="s">
        <v>2768</v>
      </c>
      <c r="C2769" s="629" t="s">
        <v>419</v>
      </c>
    </row>
    <row r="2770" spans="1:3">
      <c r="A2770" s="627">
        <v>8523</v>
      </c>
      <c r="B2770" s="628" t="s">
        <v>2769</v>
      </c>
      <c r="C2770" s="629" t="s">
        <v>419</v>
      </c>
    </row>
    <row r="2771" spans="1:3">
      <c r="A2771" s="627">
        <v>8523</v>
      </c>
      <c r="B2771" s="628" t="s">
        <v>1693</v>
      </c>
      <c r="C2771" s="629" t="s">
        <v>419</v>
      </c>
    </row>
    <row r="2772" spans="1:3">
      <c r="A2772" s="627">
        <v>8531</v>
      </c>
      <c r="B2772" s="628" t="s">
        <v>2770</v>
      </c>
      <c r="C2772" s="629" t="s">
        <v>419</v>
      </c>
    </row>
    <row r="2773" spans="1:3">
      <c r="A2773" s="627">
        <v>8532</v>
      </c>
      <c r="B2773" s="628" t="s">
        <v>2770</v>
      </c>
      <c r="C2773" s="629" t="s">
        <v>419</v>
      </c>
    </row>
    <row r="2774" spans="1:3">
      <c r="A2774" s="627">
        <v>8533</v>
      </c>
      <c r="B2774" s="628" t="s">
        <v>2772</v>
      </c>
      <c r="C2774" s="629" t="s">
        <v>419</v>
      </c>
    </row>
    <row r="2775" spans="1:3">
      <c r="A2775" s="627">
        <v>8541</v>
      </c>
      <c r="B2775" s="628" t="s">
        <v>2774</v>
      </c>
      <c r="C2775" s="629" t="s">
        <v>419</v>
      </c>
    </row>
    <row r="2776" spans="1:3">
      <c r="A2776" s="627">
        <v>8542</v>
      </c>
      <c r="B2776" s="628" t="s">
        <v>2775</v>
      </c>
      <c r="C2776" s="629" t="s">
        <v>419</v>
      </c>
    </row>
    <row r="2777" spans="1:3">
      <c r="A2777" s="627">
        <v>8543</v>
      </c>
      <c r="B2777" s="628" t="s">
        <v>2776</v>
      </c>
      <c r="C2777" s="629" t="s">
        <v>419</v>
      </c>
    </row>
    <row r="2778" spans="1:3">
      <c r="A2778" s="627">
        <v>8551</v>
      </c>
      <c r="B2778" s="628" t="s">
        <v>2779</v>
      </c>
      <c r="C2778" s="629" t="s">
        <v>419</v>
      </c>
    </row>
    <row r="2779" spans="1:3">
      <c r="A2779" s="627">
        <v>8552</v>
      </c>
      <c r="B2779" s="628" t="s">
        <v>2780</v>
      </c>
      <c r="C2779" s="629" t="s">
        <v>419</v>
      </c>
    </row>
    <row r="2780" spans="1:3">
      <c r="A2780" s="627">
        <v>8553</v>
      </c>
      <c r="B2780" s="628" t="s">
        <v>4954</v>
      </c>
      <c r="C2780" s="629" t="s">
        <v>419</v>
      </c>
    </row>
    <row r="2781" spans="1:3">
      <c r="A2781" s="627">
        <v>8554</v>
      </c>
      <c r="B2781" s="628" t="s">
        <v>4955</v>
      </c>
      <c r="C2781" s="629" t="s">
        <v>419</v>
      </c>
    </row>
    <row r="2782" spans="1:3">
      <c r="A2782" s="627">
        <v>8555</v>
      </c>
      <c r="B2782" s="628" t="s">
        <v>4956</v>
      </c>
      <c r="C2782" s="629" t="s">
        <v>419</v>
      </c>
    </row>
    <row r="2783" spans="1:3">
      <c r="A2783" s="627">
        <v>8556</v>
      </c>
      <c r="B2783" s="628" t="s">
        <v>4957</v>
      </c>
      <c r="C2783" s="629" t="s">
        <v>419</v>
      </c>
    </row>
    <row r="2784" spans="1:3">
      <c r="A2784" s="627">
        <v>8557</v>
      </c>
      <c r="B2784" s="628" t="s">
        <v>1695</v>
      </c>
      <c r="C2784" s="629" t="s">
        <v>419</v>
      </c>
    </row>
    <row r="2785" spans="1:3">
      <c r="A2785" s="627">
        <v>8557</v>
      </c>
      <c r="B2785" s="628" t="s">
        <v>4958</v>
      </c>
      <c r="C2785" s="629" t="s">
        <v>419</v>
      </c>
    </row>
    <row r="2786" spans="1:3">
      <c r="A2786" s="627">
        <v>8558</v>
      </c>
      <c r="B2786" s="628" t="s">
        <v>4959</v>
      </c>
      <c r="C2786" s="629" t="s">
        <v>419</v>
      </c>
    </row>
    <row r="2787" spans="1:3">
      <c r="A2787" s="627">
        <v>8561</v>
      </c>
      <c r="B2787" s="628" t="s">
        <v>4960</v>
      </c>
      <c r="C2787" s="629" t="s">
        <v>419</v>
      </c>
    </row>
    <row r="2788" spans="1:3">
      <c r="A2788" s="627">
        <v>8562</v>
      </c>
      <c r="B2788" s="628" t="s">
        <v>4961</v>
      </c>
      <c r="C2788" s="629" t="s">
        <v>419</v>
      </c>
    </row>
    <row r="2789" spans="1:3">
      <c r="A2789" s="627">
        <v>8563</v>
      </c>
      <c r="B2789" s="628" t="s">
        <v>4962</v>
      </c>
      <c r="C2789" s="629" t="s">
        <v>419</v>
      </c>
    </row>
    <row r="2790" spans="1:3">
      <c r="A2790" s="627">
        <v>8564</v>
      </c>
      <c r="B2790" s="628" t="s">
        <v>4963</v>
      </c>
      <c r="C2790" s="629" t="s">
        <v>419</v>
      </c>
    </row>
    <row r="2791" spans="1:3">
      <c r="A2791" s="627">
        <v>8565</v>
      </c>
      <c r="B2791" s="628" t="s">
        <v>4964</v>
      </c>
      <c r="C2791" s="629" t="s">
        <v>419</v>
      </c>
    </row>
    <row r="2792" spans="1:3">
      <c r="A2792" s="627">
        <v>8571</v>
      </c>
      <c r="B2792" s="628" t="s">
        <v>4965</v>
      </c>
      <c r="C2792" s="629" t="s">
        <v>419</v>
      </c>
    </row>
    <row r="2793" spans="1:3">
      <c r="A2793" s="627">
        <v>8572</v>
      </c>
      <c r="B2793" s="628" t="s">
        <v>4966</v>
      </c>
      <c r="C2793" s="629" t="s">
        <v>419</v>
      </c>
    </row>
    <row r="2794" spans="1:3">
      <c r="A2794" s="627">
        <v>8581</v>
      </c>
      <c r="B2794" s="628" t="s">
        <v>1696</v>
      </c>
      <c r="C2794" s="629" t="s">
        <v>419</v>
      </c>
    </row>
    <row r="2795" spans="1:3">
      <c r="A2795" s="627">
        <v>8581</v>
      </c>
      <c r="B2795" s="628" t="s">
        <v>4967</v>
      </c>
      <c r="C2795" s="629" t="s">
        <v>419</v>
      </c>
    </row>
    <row r="2796" spans="1:3">
      <c r="A2796" s="627">
        <v>8582</v>
      </c>
      <c r="B2796" s="628" t="s">
        <v>4968</v>
      </c>
      <c r="C2796" s="629" t="s">
        <v>419</v>
      </c>
    </row>
    <row r="2797" spans="1:3">
      <c r="A2797" s="627">
        <v>8591</v>
      </c>
      <c r="B2797" s="628" t="s">
        <v>1697</v>
      </c>
      <c r="C2797" s="629" t="s">
        <v>419</v>
      </c>
    </row>
    <row r="2798" spans="1:3">
      <c r="A2798" s="627">
        <v>8591</v>
      </c>
      <c r="B2798" s="628" t="s">
        <v>2757</v>
      </c>
      <c r="C2798" s="629" t="s">
        <v>419</v>
      </c>
    </row>
    <row r="2799" spans="1:3">
      <c r="A2799" s="627">
        <v>8592</v>
      </c>
      <c r="B2799" s="628" t="s">
        <v>4970</v>
      </c>
      <c r="C2799" s="629" t="s">
        <v>419</v>
      </c>
    </row>
    <row r="2800" spans="1:3">
      <c r="A2800" s="627">
        <v>8593</v>
      </c>
      <c r="B2800" s="628" t="s">
        <v>4971</v>
      </c>
      <c r="C2800" s="629" t="s">
        <v>419</v>
      </c>
    </row>
    <row r="2801" spans="1:3">
      <c r="A2801" s="627">
        <v>8594</v>
      </c>
      <c r="B2801" s="628" t="s">
        <v>4972</v>
      </c>
      <c r="C2801" s="629" t="s">
        <v>419</v>
      </c>
    </row>
    <row r="2802" spans="1:3">
      <c r="A2802" s="627">
        <v>8595</v>
      </c>
      <c r="B2802" s="628" t="s">
        <v>4973</v>
      </c>
      <c r="C2802" s="629" t="s">
        <v>419</v>
      </c>
    </row>
    <row r="2803" spans="1:3">
      <c r="A2803" s="627">
        <v>8596</v>
      </c>
      <c r="B2803" s="628" t="s">
        <v>4974</v>
      </c>
      <c r="C2803" s="629" t="s">
        <v>419</v>
      </c>
    </row>
    <row r="2804" spans="1:3">
      <c r="A2804" s="627">
        <v>8597</v>
      </c>
      <c r="B2804" s="628" t="s">
        <v>1698</v>
      </c>
      <c r="C2804" s="629" t="s">
        <v>419</v>
      </c>
    </row>
    <row r="2805" spans="1:3">
      <c r="A2805" s="627">
        <v>8597</v>
      </c>
      <c r="B2805" s="628" t="s">
        <v>4975</v>
      </c>
      <c r="C2805" s="629" t="s">
        <v>419</v>
      </c>
    </row>
    <row r="2806" spans="1:3">
      <c r="A2806" s="627">
        <v>8598</v>
      </c>
      <c r="B2806" s="628" t="s">
        <v>2757</v>
      </c>
      <c r="C2806" s="629" t="s">
        <v>419</v>
      </c>
    </row>
    <row r="2807" spans="1:3">
      <c r="A2807" s="627">
        <v>8600</v>
      </c>
      <c r="B2807" s="628" t="s">
        <v>2157</v>
      </c>
      <c r="C2807" s="629" t="s">
        <v>423</v>
      </c>
    </row>
    <row r="2808" spans="1:3">
      <c r="A2808" s="627">
        <v>8609</v>
      </c>
      <c r="B2808" s="628" t="s">
        <v>2157</v>
      </c>
      <c r="C2808" s="629" t="s">
        <v>423</v>
      </c>
    </row>
    <row r="2809" spans="1:3">
      <c r="A2809" s="627">
        <v>8611</v>
      </c>
      <c r="B2809" s="628" t="s">
        <v>2157</v>
      </c>
      <c r="C2809" s="629" t="s">
        <v>423</v>
      </c>
    </row>
    <row r="2810" spans="1:3">
      <c r="A2810" s="627">
        <v>8612</v>
      </c>
      <c r="B2810" s="628" t="s">
        <v>2161</v>
      </c>
      <c r="C2810" s="629" t="s">
        <v>423</v>
      </c>
    </row>
    <row r="2811" spans="1:3">
      <c r="A2811" s="627">
        <v>8613</v>
      </c>
      <c r="B2811" s="628" t="s">
        <v>2162</v>
      </c>
      <c r="C2811" s="629" t="s">
        <v>423</v>
      </c>
    </row>
    <row r="2812" spans="1:3">
      <c r="A2812" s="627">
        <v>8614</v>
      </c>
      <c r="B2812" s="628" t="s">
        <v>2163</v>
      </c>
      <c r="C2812" s="629" t="s">
        <v>423</v>
      </c>
    </row>
    <row r="2813" spans="1:3">
      <c r="A2813" s="627">
        <v>8617</v>
      </c>
      <c r="B2813" s="628" t="s">
        <v>2164</v>
      </c>
      <c r="C2813" s="629" t="s">
        <v>423</v>
      </c>
    </row>
    <row r="2814" spans="1:3">
      <c r="A2814" s="627">
        <v>8618</v>
      </c>
      <c r="B2814" s="628" t="s">
        <v>2999</v>
      </c>
      <c r="C2814" s="629" t="s">
        <v>410</v>
      </c>
    </row>
    <row r="2815" spans="1:3">
      <c r="A2815" s="627">
        <v>8619</v>
      </c>
      <c r="B2815" s="628" t="s">
        <v>2166</v>
      </c>
      <c r="C2815" s="629" t="s">
        <v>423</v>
      </c>
    </row>
    <row r="2816" spans="1:3">
      <c r="A2816" s="627">
        <v>8621</v>
      </c>
      <c r="B2816" s="628" t="s">
        <v>2167</v>
      </c>
      <c r="C2816" s="629" t="s">
        <v>423</v>
      </c>
    </row>
    <row r="2817" spans="1:3">
      <c r="A2817" s="627">
        <v>8622</v>
      </c>
      <c r="B2817" s="628" t="s">
        <v>2168</v>
      </c>
      <c r="C2817" s="629" t="s">
        <v>423</v>
      </c>
    </row>
    <row r="2818" spans="1:3">
      <c r="A2818" s="627">
        <v>8623</v>
      </c>
      <c r="B2818" s="628" t="s">
        <v>2169</v>
      </c>
      <c r="C2818" s="629" t="s">
        <v>423</v>
      </c>
    </row>
    <row r="2819" spans="1:3">
      <c r="A2819" s="627">
        <v>8624</v>
      </c>
      <c r="B2819" s="628" t="s">
        <v>2170</v>
      </c>
      <c r="C2819" s="629" t="s">
        <v>423</v>
      </c>
    </row>
    <row r="2820" spans="1:3">
      <c r="A2820" s="627">
        <v>8625</v>
      </c>
      <c r="B2820" s="628" t="s">
        <v>2171</v>
      </c>
      <c r="C2820" s="629" t="s">
        <v>423</v>
      </c>
    </row>
    <row r="2821" spans="1:3">
      <c r="A2821" s="627">
        <v>8626</v>
      </c>
      <c r="B2821" s="628" t="s">
        <v>2172</v>
      </c>
      <c r="C2821" s="629" t="s">
        <v>423</v>
      </c>
    </row>
    <row r="2822" spans="1:3">
      <c r="A2822" s="627">
        <v>8627</v>
      </c>
      <c r="B2822" s="628" t="s">
        <v>2173</v>
      </c>
      <c r="C2822" s="629" t="s">
        <v>423</v>
      </c>
    </row>
    <row r="2823" spans="1:3">
      <c r="A2823" s="627">
        <v>8628</v>
      </c>
      <c r="B2823" s="628" t="s">
        <v>2174</v>
      </c>
      <c r="C2823" s="629" t="s">
        <v>423</v>
      </c>
    </row>
    <row r="2824" spans="1:3">
      <c r="A2824" s="627">
        <v>8630</v>
      </c>
      <c r="B2824" s="628" t="s">
        <v>235</v>
      </c>
      <c r="C2824" s="629" t="s">
        <v>423</v>
      </c>
    </row>
    <row r="2825" spans="1:3">
      <c r="A2825" s="627">
        <v>8635</v>
      </c>
      <c r="B2825" s="628" t="s">
        <v>2176</v>
      </c>
      <c r="C2825" s="629" t="s">
        <v>423</v>
      </c>
    </row>
    <row r="2826" spans="1:3">
      <c r="A2826" s="627">
        <v>8636</v>
      </c>
      <c r="B2826" s="628" t="s">
        <v>2177</v>
      </c>
      <c r="C2826" s="629" t="s">
        <v>423</v>
      </c>
    </row>
    <row r="2827" spans="1:3">
      <c r="A2827" s="627">
        <v>8637</v>
      </c>
      <c r="B2827" s="628" t="s">
        <v>2178</v>
      </c>
      <c r="C2827" s="629" t="s">
        <v>423</v>
      </c>
    </row>
    <row r="2828" spans="1:3">
      <c r="A2828" s="627">
        <v>8638</v>
      </c>
      <c r="B2828" s="628" t="s">
        <v>2179</v>
      </c>
      <c r="C2828" s="629" t="s">
        <v>423</v>
      </c>
    </row>
    <row r="2829" spans="1:3">
      <c r="A2829" s="627">
        <v>8640</v>
      </c>
      <c r="B2829" s="628" t="s">
        <v>2180</v>
      </c>
      <c r="C2829" s="629" t="s">
        <v>423</v>
      </c>
    </row>
    <row r="2830" spans="1:3">
      <c r="A2830" s="627">
        <v>8644</v>
      </c>
      <c r="B2830" s="628" t="s">
        <v>2180</v>
      </c>
      <c r="C2830" s="629" t="s">
        <v>423</v>
      </c>
    </row>
    <row r="2831" spans="1:3">
      <c r="A2831" s="627">
        <v>8646</v>
      </c>
      <c r="B2831" s="628" t="s">
        <v>2184</v>
      </c>
      <c r="C2831" s="629" t="s">
        <v>423</v>
      </c>
    </row>
    <row r="2832" spans="1:3">
      <c r="A2832" s="627">
        <v>8647</v>
      </c>
      <c r="B2832" s="628" t="s">
        <v>2185</v>
      </c>
      <c r="C2832" s="629" t="s">
        <v>423</v>
      </c>
    </row>
    <row r="2833" spans="1:3">
      <c r="A2833" s="627">
        <v>8648</v>
      </c>
      <c r="B2833" s="628" t="s">
        <v>2186</v>
      </c>
      <c r="C2833" s="629" t="s">
        <v>423</v>
      </c>
    </row>
    <row r="2834" spans="1:3">
      <c r="A2834" s="627">
        <v>8649</v>
      </c>
      <c r="B2834" s="628" t="s">
        <v>2187</v>
      </c>
      <c r="C2834" s="629" t="s">
        <v>423</v>
      </c>
    </row>
    <row r="2835" spans="1:3">
      <c r="A2835" s="627">
        <v>8651</v>
      </c>
      <c r="B2835" s="628" t="s">
        <v>2188</v>
      </c>
      <c r="C2835" s="629" t="s">
        <v>423</v>
      </c>
    </row>
    <row r="2836" spans="1:3">
      <c r="A2836" s="627">
        <v>8652</v>
      </c>
      <c r="B2836" s="628" t="s">
        <v>2189</v>
      </c>
      <c r="C2836" s="629" t="s">
        <v>423</v>
      </c>
    </row>
    <row r="2837" spans="1:3">
      <c r="A2837" s="627">
        <v>8653</v>
      </c>
      <c r="B2837" s="628" t="s">
        <v>2190</v>
      </c>
      <c r="C2837" s="629" t="s">
        <v>423</v>
      </c>
    </row>
    <row r="2838" spans="1:3">
      <c r="A2838" s="627">
        <v>8654</v>
      </c>
      <c r="B2838" s="628" t="s">
        <v>2191</v>
      </c>
      <c r="C2838" s="629" t="s">
        <v>423</v>
      </c>
    </row>
    <row r="2839" spans="1:3">
      <c r="A2839" s="627">
        <v>8655</v>
      </c>
      <c r="B2839" s="628" t="s">
        <v>2192</v>
      </c>
      <c r="C2839" s="629" t="s">
        <v>423</v>
      </c>
    </row>
    <row r="2840" spans="1:3">
      <c r="A2840" s="627">
        <v>8656</v>
      </c>
      <c r="B2840" s="628" t="s">
        <v>2193</v>
      </c>
      <c r="C2840" s="629" t="s">
        <v>423</v>
      </c>
    </row>
    <row r="2841" spans="1:3">
      <c r="A2841" s="627">
        <v>8658</v>
      </c>
      <c r="B2841" s="628" t="s">
        <v>2195</v>
      </c>
      <c r="C2841" s="629" t="s">
        <v>423</v>
      </c>
    </row>
    <row r="2842" spans="1:3">
      <c r="A2842" s="627">
        <v>8660</v>
      </c>
      <c r="B2842" s="628" t="s">
        <v>237</v>
      </c>
      <c r="C2842" s="629" t="s">
        <v>423</v>
      </c>
    </row>
    <row r="2843" spans="1:3">
      <c r="A2843" s="627">
        <v>8660</v>
      </c>
      <c r="B2843" s="628" t="s">
        <v>238</v>
      </c>
      <c r="C2843" s="629" t="s">
        <v>423</v>
      </c>
    </row>
    <row r="2844" spans="1:3">
      <c r="A2844" s="627">
        <v>8660</v>
      </c>
      <c r="B2844" s="628" t="s">
        <v>2902</v>
      </c>
      <c r="C2844" s="629" t="s">
        <v>423</v>
      </c>
    </row>
    <row r="2845" spans="1:3">
      <c r="A2845" s="627">
        <v>8660</v>
      </c>
      <c r="B2845" s="628" t="s">
        <v>2196</v>
      </c>
      <c r="C2845" s="629" t="s">
        <v>423</v>
      </c>
    </row>
    <row r="2846" spans="1:3">
      <c r="A2846" s="627">
        <v>8660</v>
      </c>
      <c r="B2846" s="628" t="s">
        <v>432</v>
      </c>
      <c r="C2846" s="629" t="s">
        <v>423</v>
      </c>
    </row>
    <row r="2847" spans="1:3">
      <c r="A2847" s="627">
        <v>8666</v>
      </c>
      <c r="B2847" s="628" t="s">
        <v>2197</v>
      </c>
      <c r="C2847" s="629" t="s">
        <v>423</v>
      </c>
    </row>
    <row r="2848" spans="1:3">
      <c r="A2848" s="627">
        <v>8666</v>
      </c>
      <c r="B2848" s="628" t="s">
        <v>1733</v>
      </c>
      <c r="C2848" s="629" t="s">
        <v>423</v>
      </c>
    </row>
    <row r="2849" spans="1:3">
      <c r="A2849" s="627">
        <v>8667</v>
      </c>
      <c r="B2849" s="628" t="s">
        <v>2198</v>
      </c>
      <c r="C2849" s="629" t="s">
        <v>423</v>
      </c>
    </row>
    <row r="2850" spans="1:3">
      <c r="A2850" s="627">
        <v>8668</v>
      </c>
      <c r="B2850" s="628" t="s">
        <v>2199</v>
      </c>
      <c r="C2850" s="629" t="s">
        <v>423</v>
      </c>
    </row>
    <row r="2851" spans="1:3">
      <c r="A2851" s="627">
        <v>8669</v>
      </c>
      <c r="B2851" s="628" t="s">
        <v>3927</v>
      </c>
      <c r="C2851" s="629"/>
    </row>
    <row r="2852" spans="1:3">
      <c r="A2852" s="627">
        <v>8671</v>
      </c>
      <c r="B2852" s="628" t="s">
        <v>2200</v>
      </c>
      <c r="C2852" s="629" t="s">
        <v>423</v>
      </c>
    </row>
    <row r="2853" spans="1:3">
      <c r="A2853" s="627">
        <v>8672</v>
      </c>
      <c r="B2853" s="628" t="s">
        <v>2201</v>
      </c>
      <c r="C2853" s="629" t="s">
        <v>423</v>
      </c>
    </row>
    <row r="2854" spans="1:3">
      <c r="A2854" s="627">
        <v>8673</v>
      </c>
      <c r="B2854" s="628" t="s">
        <v>2202</v>
      </c>
      <c r="C2854" s="629" t="s">
        <v>423</v>
      </c>
    </row>
    <row r="2855" spans="1:3">
      <c r="A2855" s="627">
        <v>8674</v>
      </c>
      <c r="B2855" s="628" t="s">
        <v>2203</v>
      </c>
      <c r="C2855" s="629" t="s">
        <v>423</v>
      </c>
    </row>
    <row r="2856" spans="1:3">
      <c r="A2856" s="627">
        <v>8675</v>
      </c>
      <c r="B2856" s="628" t="s">
        <v>2204</v>
      </c>
      <c r="C2856" s="629" t="s">
        <v>423</v>
      </c>
    </row>
    <row r="2857" spans="1:3">
      <c r="A2857" s="627">
        <v>8676</v>
      </c>
      <c r="B2857" s="628" t="s">
        <v>2205</v>
      </c>
      <c r="C2857" s="629" t="s">
        <v>423</v>
      </c>
    </row>
    <row r="2858" spans="1:3">
      <c r="A2858" s="627">
        <v>8681</v>
      </c>
      <c r="B2858" s="628" t="s">
        <v>1734</v>
      </c>
      <c r="C2858" s="629" t="s">
        <v>423</v>
      </c>
    </row>
    <row r="2859" spans="1:3">
      <c r="A2859" s="627">
        <v>8681</v>
      </c>
      <c r="B2859" s="628" t="s">
        <v>2206</v>
      </c>
      <c r="C2859" s="629" t="s">
        <v>423</v>
      </c>
    </row>
    <row r="2860" spans="1:3">
      <c r="A2860" s="627">
        <v>8683</v>
      </c>
      <c r="B2860" s="628" t="s">
        <v>2207</v>
      </c>
      <c r="C2860" s="629" t="s">
        <v>423</v>
      </c>
    </row>
    <row r="2861" spans="1:3">
      <c r="A2861" s="627">
        <v>8684</v>
      </c>
      <c r="B2861" s="628" t="s">
        <v>2208</v>
      </c>
      <c r="C2861" s="629" t="s">
        <v>423</v>
      </c>
    </row>
    <row r="2862" spans="1:3">
      <c r="A2862" s="627">
        <v>8685</v>
      </c>
      <c r="B2862" s="628" t="s">
        <v>2209</v>
      </c>
      <c r="C2862" s="629" t="s">
        <v>423</v>
      </c>
    </row>
    <row r="2863" spans="1:3">
      <c r="A2863" s="627">
        <v>8691</v>
      </c>
      <c r="B2863" s="628" t="s">
        <v>235</v>
      </c>
      <c r="C2863" s="629" t="s">
        <v>423</v>
      </c>
    </row>
    <row r="2864" spans="1:3">
      <c r="A2864" s="627">
        <v>8692</v>
      </c>
      <c r="B2864" s="628" t="s">
        <v>1736</v>
      </c>
      <c r="C2864" s="629" t="s">
        <v>423</v>
      </c>
    </row>
    <row r="2865" spans="1:3">
      <c r="A2865" s="627">
        <v>8692</v>
      </c>
      <c r="B2865" s="628" t="s">
        <v>2211</v>
      </c>
      <c r="C2865" s="629" t="s">
        <v>423</v>
      </c>
    </row>
    <row r="2866" spans="1:3">
      <c r="A2866" s="627">
        <v>8693</v>
      </c>
      <c r="B2866" s="628" t="s">
        <v>2212</v>
      </c>
      <c r="C2866" s="629" t="s">
        <v>423</v>
      </c>
    </row>
    <row r="2867" spans="1:3">
      <c r="A2867" s="627">
        <v>8693</v>
      </c>
      <c r="B2867" s="628" t="s">
        <v>2183</v>
      </c>
      <c r="C2867" s="629" t="s">
        <v>423</v>
      </c>
    </row>
    <row r="2868" spans="1:3">
      <c r="A2868" s="627">
        <v>8694</v>
      </c>
      <c r="B2868" s="628" t="s">
        <v>2213</v>
      </c>
      <c r="C2868" s="629" t="s">
        <v>423</v>
      </c>
    </row>
    <row r="2869" spans="1:3">
      <c r="A2869" s="627">
        <v>8695</v>
      </c>
      <c r="B2869" s="631" t="s">
        <v>2214</v>
      </c>
      <c r="C2869" s="629" t="s">
        <v>423</v>
      </c>
    </row>
    <row r="2870" spans="1:3">
      <c r="A2870" s="627">
        <v>8696</v>
      </c>
      <c r="B2870" s="628" t="s">
        <v>2215</v>
      </c>
      <c r="C2870" s="629" t="s">
        <v>423</v>
      </c>
    </row>
    <row r="2871" spans="1:3">
      <c r="A2871" s="627">
        <v>8697</v>
      </c>
      <c r="B2871" s="628" t="s">
        <v>2216</v>
      </c>
      <c r="C2871" s="629" t="s">
        <v>423</v>
      </c>
    </row>
    <row r="2872" spans="1:3">
      <c r="A2872" s="627">
        <v>8698</v>
      </c>
      <c r="B2872" s="628" t="s">
        <v>1737</v>
      </c>
      <c r="C2872" s="629" t="s">
        <v>423</v>
      </c>
    </row>
    <row r="2873" spans="1:3">
      <c r="A2873" s="627">
        <v>8698</v>
      </c>
      <c r="B2873" s="628" t="s">
        <v>2217</v>
      </c>
      <c r="C2873" s="629" t="s">
        <v>423</v>
      </c>
    </row>
    <row r="2874" spans="1:3">
      <c r="A2874" s="627">
        <v>8699</v>
      </c>
      <c r="B2874" s="628" t="s">
        <v>2218</v>
      </c>
      <c r="C2874" s="629" t="s">
        <v>423</v>
      </c>
    </row>
    <row r="2875" spans="1:3">
      <c r="A2875" s="627">
        <v>8700</v>
      </c>
      <c r="B2875" s="628" t="s">
        <v>1738</v>
      </c>
      <c r="C2875" s="629" t="s">
        <v>423</v>
      </c>
    </row>
    <row r="2876" spans="1:3">
      <c r="A2876" s="627">
        <v>8700</v>
      </c>
      <c r="B2876" s="628" t="s">
        <v>2219</v>
      </c>
      <c r="C2876" s="629" t="s">
        <v>423</v>
      </c>
    </row>
    <row r="2877" spans="1:3">
      <c r="A2877" s="627">
        <v>8705</v>
      </c>
      <c r="B2877" s="628" t="s">
        <v>2220</v>
      </c>
      <c r="C2877" s="629" t="s">
        <v>423</v>
      </c>
    </row>
    <row r="2878" spans="1:3">
      <c r="A2878" s="627">
        <v>8706</v>
      </c>
      <c r="B2878" s="628" t="s">
        <v>2221</v>
      </c>
      <c r="C2878" s="629" t="s">
        <v>423</v>
      </c>
    </row>
    <row r="2879" spans="1:3">
      <c r="A2879" s="627">
        <v>8707</v>
      </c>
      <c r="B2879" s="628" t="s">
        <v>1739</v>
      </c>
      <c r="C2879" s="629" t="s">
        <v>423</v>
      </c>
    </row>
    <row r="2880" spans="1:3">
      <c r="A2880" s="627">
        <v>8707</v>
      </c>
      <c r="B2880" s="628" t="s">
        <v>2222</v>
      </c>
      <c r="C2880" s="629" t="s">
        <v>423</v>
      </c>
    </row>
    <row r="2881" spans="1:3">
      <c r="A2881" s="627">
        <v>8708</v>
      </c>
      <c r="B2881" s="628" t="s">
        <v>2223</v>
      </c>
      <c r="C2881" s="629" t="s">
        <v>423</v>
      </c>
    </row>
    <row r="2882" spans="1:3">
      <c r="A2882" s="627">
        <v>8709</v>
      </c>
      <c r="B2882" s="628" t="s">
        <v>2219</v>
      </c>
      <c r="C2882" s="629" t="s">
        <v>423</v>
      </c>
    </row>
    <row r="2883" spans="1:3">
      <c r="A2883" s="627">
        <v>8710</v>
      </c>
      <c r="B2883" s="628" t="s">
        <v>2225</v>
      </c>
      <c r="C2883" s="629" t="s">
        <v>423</v>
      </c>
    </row>
    <row r="2884" spans="1:3">
      <c r="A2884" s="627">
        <v>8711</v>
      </c>
      <c r="B2884" s="628" t="s">
        <v>1742</v>
      </c>
      <c r="C2884" s="629" t="s">
        <v>423</v>
      </c>
    </row>
    <row r="2885" spans="1:3">
      <c r="A2885" s="627">
        <v>8712</v>
      </c>
      <c r="B2885" s="628" t="s">
        <v>2227</v>
      </c>
      <c r="C2885" s="629" t="s">
        <v>423</v>
      </c>
    </row>
    <row r="2886" spans="1:3">
      <c r="A2886" s="627">
        <v>8713</v>
      </c>
      <c r="B2886" s="628" t="s">
        <v>2228</v>
      </c>
      <c r="C2886" s="629" t="s">
        <v>423</v>
      </c>
    </row>
    <row r="2887" spans="1:3">
      <c r="A2887" s="627">
        <v>8714</v>
      </c>
      <c r="B2887" s="628" t="s">
        <v>2229</v>
      </c>
      <c r="C2887" s="629" t="s">
        <v>423</v>
      </c>
    </row>
    <row r="2888" spans="1:3">
      <c r="A2888" s="627">
        <v>8714</v>
      </c>
      <c r="B2888" s="628" t="s">
        <v>2219</v>
      </c>
      <c r="C2888" s="629" t="s">
        <v>423</v>
      </c>
    </row>
    <row r="2889" spans="1:3">
      <c r="A2889" s="627">
        <v>8716</v>
      </c>
      <c r="B2889" s="628" t="s">
        <v>2230</v>
      </c>
      <c r="C2889" s="629" t="s">
        <v>423</v>
      </c>
    </row>
    <row r="2890" spans="1:3">
      <c r="A2890" s="627">
        <v>8716</v>
      </c>
      <c r="B2890" s="628" t="s">
        <v>1744</v>
      </c>
      <c r="C2890" s="629" t="s">
        <v>423</v>
      </c>
    </row>
    <row r="2891" spans="1:3">
      <c r="A2891" s="627">
        <v>8716</v>
      </c>
      <c r="B2891" s="628" t="s">
        <v>2231</v>
      </c>
      <c r="C2891" s="629" t="s">
        <v>423</v>
      </c>
    </row>
    <row r="2892" spans="1:3">
      <c r="A2892" s="627">
        <v>8717</v>
      </c>
      <c r="B2892" s="628" t="s">
        <v>1745</v>
      </c>
      <c r="C2892" s="629" t="s">
        <v>423</v>
      </c>
    </row>
    <row r="2893" spans="1:3">
      <c r="A2893" s="627">
        <v>8717</v>
      </c>
      <c r="B2893" s="628" t="s">
        <v>2232</v>
      </c>
      <c r="C2893" s="629" t="s">
        <v>423</v>
      </c>
    </row>
    <row r="2894" spans="1:3">
      <c r="A2894" s="627">
        <v>8718</v>
      </c>
      <c r="B2894" s="628" t="s">
        <v>2233</v>
      </c>
      <c r="C2894" s="629" t="s">
        <v>423</v>
      </c>
    </row>
    <row r="2895" spans="1:3">
      <c r="A2895" s="627">
        <v>8719</v>
      </c>
      <c r="B2895" s="628" t="s">
        <v>2234</v>
      </c>
      <c r="C2895" s="629" t="s">
        <v>423</v>
      </c>
    </row>
    <row r="2896" spans="1:3">
      <c r="A2896" s="627">
        <v>8721</v>
      </c>
      <c r="B2896" s="628" t="s">
        <v>2235</v>
      </c>
      <c r="C2896" s="629" t="s">
        <v>423</v>
      </c>
    </row>
    <row r="2897" spans="1:3">
      <c r="A2897" s="627">
        <v>8722</v>
      </c>
      <c r="B2897" s="628" t="s">
        <v>2236</v>
      </c>
      <c r="C2897" s="629" t="s">
        <v>423</v>
      </c>
    </row>
    <row r="2898" spans="1:3">
      <c r="A2898" s="627">
        <v>8723</v>
      </c>
      <c r="B2898" s="628" t="s">
        <v>2237</v>
      </c>
      <c r="C2898" s="629" t="s">
        <v>423</v>
      </c>
    </row>
    <row r="2899" spans="1:3">
      <c r="A2899" s="627">
        <v>8724</v>
      </c>
      <c r="B2899" s="628" t="s">
        <v>2239</v>
      </c>
      <c r="C2899" s="629" t="s">
        <v>423</v>
      </c>
    </row>
    <row r="2900" spans="1:3">
      <c r="A2900" s="627">
        <v>8725</v>
      </c>
      <c r="B2900" s="628" t="s">
        <v>2240</v>
      </c>
      <c r="C2900" s="629" t="s">
        <v>423</v>
      </c>
    </row>
    <row r="2901" spans="1:3">
      <c r="A2901" s="627">
        <v>8726</v>
      </c>
      <c r="B2901" s="628" t="s">
        <v>1746</v>
      </c>
      <c r="C2901" s="629" t="s">
        <v>423</v>
      </c>
    </row>
    <row r="2902" spans="1:3">
      <c r="A2902" s="627">
        <v>8726</v>
      </c>
      <c r="B2902" s="628" t="s">
        <v>2241</v>
      </c>
      <c r="C2902" s="629" t="s">
        <v>423</v>
      </c>
    </row>
    <row r="2903" spans="1:3">
      <c r="A2903" s="627">
        <v>8728</v>
      </c>
      <c r="B2903" s="628" t="s">
        <v>2242</v>
      </c>
      <c r="C2903" s="629" t="s">
        <v>423</v>
      </c>
    </row>
    <row r="2904" spans="1:3">
      <c r="A2904" s="627">
        <v>8731</v>
      </c>
      <c r="B2904" s="628" t="s">
        <v>1747</v>
      </c>
      <c r="C2904" s="629" t="s">
        <v>423</v>
      </c>
    </row>
    <row r="2905" spans="1:3">
      <c r="A2905" s="627">
        <v>8731</v>
      </c>
      <c r="B2905" s="628" t="s">
        <v>2243</v>
      </c>
      <c r="C2905" s="629" t="s">
        <v>423</v>
      </c>
    </row>
    <row r="2906" spans="1:3">
      <c r="A2906" s="627">
        <v>8732</v>
      </c>
      <c r="B2906" s="628" t="s">
        <v>1748</v>
      </c>
      <c r="C2906" s="629" t="s">
        <v>423</v>
      </c>
    </row>
    <row r="2907" spans="1:3">
      <c r="A2907" s="627">
        <v>8732</v>
      </c>
      <c r="B2907" s="628" t="s">
        <v>2244</v>
      </c>
      <c r="C2907" s="629" t="s">
        <v>423</v>
      </c>
    </row>
    <row r="2908" spans="1:3">
      <c r="A2908" s="627">
        <v>8732</v>
      </c>
      <c r="B2908" s="628" t="s">
        <v>2226</v>
      </c>
      <c r="C2908" s="629" t="s">
        <v>423</v>
      </c>
    </row>
    <row r="2909" spans="1:3">
      <c r="A2909" s="627">
        <v>8733</v>
      </c>
      <c r="B2909" s="628" t="s">
        <v>2245</v>
      </c>
      <c r="C2909" s="629" t="s">
        <v>423</v>
      </c>
    </row>
    <row r="2910" spans="1:3">
      <c r="A2910" s="627">
        <v>8734</v>
      </c>
      <c r="B2910" s="628" t="s">
        <v>2246</v>
      </c>
      <c r="C2910" s="629" t="s">
        <v>423</v>
      </c>
    </row>
    <row r="2911" spans="1:3">
      <c r="A2911" s="627">
        <v>8735</v>
      </c>
      <c r="B2911" s="628" t="s">
        <v>2247</v>
      </c>
      <c r="C2911" s="629" t="s">
        <v>423</v>
      </c>
    </row>
    <row r="2912" spans="1:3">
      <c r="A2912" s="627">
        <v>8736</v>
      </c>
      <c r="B2912" s="628" t="s">
        <v>2248</v>
      </c>
      <c r="C2912" s="629" t="s">
        <v>423</v>
      </c>
    </row>
    <row r="2913" spans="1:3">
      <c r="A2913" s="627">
        <v>8737</v>
      </c>
      <c r="B2913" s="628" t="s">
        <v>1749</v>
      </c>
      <c r="C2913" s="629" t="s">
        <v>423</v>
      </c>
    </row>
    <row r="2914" spans="1:3">
      <c r="A2914" s="627">
        <v>8738</v>
      </c>
      <c r="B2914" s="628" t="s">
        <v>2250</v>
      </c>
      <c r="C2914" s="629" t="s">
        <v>423</v>
      </c>
    </row>
    <row r="2915" spans="1:3">
      <c r="A2915" s="627">
        <v>8739</v>
      </c>
      <c r="B2915" s="628" t="s">
        <v>2251</v>
      </c>
      <c r="C2915" s="629" t="s">
        <v>423</v>
      </c>
    </row>
    <row r="2916" spans="1:3">
      <c r="A2916" s="627">
        <v>8741</v>
      </c>
      <c r="B2916" s="628" t="s">
        <v>2280</v>
      </c>
      <c r="C2916" s="629" t="s">
        <v>432</v>
      </c>
    </row>
    <row r="2917" spans="1:3">
      <c r="A2917" s="627">
        <v>8741</v>
      </c>
      <c r="B2917" s="628" t="s">
        <v>2252</v>
      </c>
      <c r="C2917" s="629" t="s">
        <v>432</v>
      </c>
    </row>
    <row r="2918" spans="1:3">
      <c r="A2918" s="627">
        <v>8742</v>
      </c>
      <c r="B2918" s="628" t="s">
        <v>2253</v>
      </c>
      <c r="C2918" s="629" t="s">
        <v>432</v>
      </c>
    </row>
    <row r="2919" spans="1:3">
      <c r="A2919" s="627">
        <v>8743</v>
      </c>
      <c r="B2919" s="628" t="s">
        <v>2254</v>
      </c>
      <c r="C2919" s="629" t="s">
        <v>432</v>
      </c>
    </row>
    <row r="2920" spans="1:3">
      <c r="A2920" s="627">
        <v>8744</v>
      </c>
      <c r="B2920" s="628" t="s">
        <v>2255</v>
      </c>
      <c r="C2920" s="629" t="s">
        <v>432</v>
      </c>
    </row>
    <row r="2921" spans="1:3">
      <c r="A2921" s="627">
        <v>8745</v>
      </c>
      <c r="B2921" s="628" t="s">
        <v>2256</v>
      </c>
      <c r="C2921" s="629" t="s">
        <v>432</v>
      </c>
    </row>
    <row r="2922" spans="1:3">
      <c r="A2922" s="627">
        <v>8746</v>
      </c>
      <c r="B2922" s="628" t="s">
        <v>2257</v>
      </c>
      <c r="C2922" s="629" t="s">
        <v>432</v>
      </c>
    </row>
    <row r="2923" spans="1:3">
      <c r="A2923" s="627">
        <v>8747</v>
      </c>
      <c r="B2923" s="628" t="s">
        <v>1750</v>
      </c>
      <c r="C2923" s="629" t="s">
        <v>432</v>
      </c>
    </row>
    <row r="2924" spans="1:3">
      <c r="A2924" s="627">
        <v>8747</v>
      </c>
      <c r="B2924" s="628" t="s">
        <v>2258</v>
      </c>
      <c r="C2924" s="629" t="s">
        <v>432</v>
      </c>
    </row>
    <row r="2925" spans="1:3">
      <c r="A2925" s="627">
        <v>8749</v>
      </c>
      <c r="B2925" s="628" t="s">
        <v>2259</v>
      </c>
      <c r="C2925" s="629" t="s">
        <v>432</v>
      </c>
    </row>
    <row r="2926" spans="1:3">
      <c r="A2926" s="627">
        <v>8751</v>
      </c>
      <c r="B2926" s="628" t="s">
        <v>2249</v>
      </c>
      <c r="C2926" s="629" t="s">
        <v>432</v>
      </c>
    </row>
    <row r="2927" spans="1:3">
      <c r="A2927" s="627">
        <v>8752</v>
      </c>
      <c r="B2927" s="628" t="s">
        <v>2249</v>
      </c>
      <c r="C2927" s="629" t="s">
        <v>432</v>
      </c>
    </row>
    <row r="2928" spans="1:3">
      <c r="A2928" s="627">
        <v>8753</v>
      </c>
      <c r="B2928" s="628" t="s">
        <v>2262</v>
      </c>
      <c r="C2928" s="629" t="s">
        <v>432</v>
      </c>
    </row>
    <row r="2929" spans="1:3">
      <c r="A2929" s="627">
        <v>8754</v>
      </c>
      <c r="B2929" s="628" t="s">
        <v>2263</v>
      </c>
      <c r="C2929" s="629" t="s">
        <v>432</v>
      </c>
    </row>
    <row r="2930" spans="1:3">
      <c r="A2930" s="627">
        <v>8756</v>
      </c>
      <c r="B2930" s="628" t="s">
        <v>1753</v>
      </c>
      <c r="C2930" s="629" t="s">
        <v>432</v>
      </c>
    </row>
    <row r="2931" spans="1:3">
      <c r="A2931" s="627">
        <v>8756</v>
      </c>
      <c r="B2931" s="628" t="s">
        <v>1754</v>
      </c>
      <c r="C2931" s="629" t="s">
        <v>432</v>
      </c>
    </row>
    <row r="2932" spans="1:3">
      <c r="A2932" s="627">
        <v>8756</v>
      </c>
      <c r="B2932" s="628" t="s">
        <v>1755</v>
      </c>
      <c r="C2932" s="629" t="s">
        <v>432</v>
      </c>
    </row>
    <row r="2933" spans="1:3">
      <c r="A2933" s="627">
        <v>8756</v>
      </c>
      <c r="B2933" s="628" t="s">
        <v>2264</v>
      </c>
      <c r="C2933" s="629" t="s">
        <v>432</v>
      </c>
    </row>
    <row r="2934" spans="1:3">
      <c r="A2934" s="627">
        <v>8761</v>
      </c>
      <c r="B2934" s="628" t="s">
        <v>1756</v>
      </c>
      <c r="C2934" s="629" t="s">
        <v>432</v>
      </c>
    </row>
    <row r="2935" spans="1:3">
      <c r="A2935" s="627">
        <v>8761</v>
      </c>
      <c r="B2935" s="628" t="s">
        <v>2266</v>
      </c>
      <c r="C2935" s="629" t="s">
        <v>432</v>
      </c>
    </row>
    <row r="2936" spans="1:3">
      <c r="A2936" s="627">
        <v>8762</v>
      </c>
      <c r="B2936" s="628" t="s">
        <v>1757</v>
      </c>
      <c r="C2936" s="629" t="s">
        <v>432</v>
      </c>
    </row>
    <row r="2937" spans="1:3">
      <c r="A2937" s="627">
        <v>8762</v>
      </c>
      <c r="B2937" s="628" t="s">
        <v>2267</v>
      </c>
      <c r="C2937" s="629" t="s">
        <v>432</v>
      </c>
    </row>
    <row r="2938" spans="1:3">
      <c r="A2938" s="627">
        <v>8764</v>
      </c>
      <c r="B2938" s="628" t="s">
        <v>1758</v>
      </c>
      <c r="C2938" s="629" t="s">
        <v>432</v>
      </c>
    </row>
    <row r="2939" spans="1:3">
      <c r="A2939" s="627">
        <v>8764</v>
      </c>
      <c r="B2939" s="628" t="s">
        <v>2268</v>
      </c>
      <c r="C2939" s="629" t="s">
        <v>432</v>
      </c>
    </row>
    <row r="2940" spans="1:3">
      <c r="A2940" s="627">
        <v>8765</v>
      </c>
      <c r="B2940" s="628" t="s">
        <v>2269</v>
      </c>
      <c r="C2940" s="629" t="s">
        <v>432</v>
      </c>
    </row>
    <row r="2941" spans="1:3">
      <c r="A2941" s="627">
        <v>8767</v>
      </c>
      <c r="B2941" s="628" t="s">
        <v>2271</v>
      </c>
      <c r="C2941" s="629" t="s">
        <v>432</v>
      </c>
    </row>
    <row r="2942" spans="1:3">
      <c r="A2942" s="627">
        <v>8767</v>
      </c>
      <c r="B2942" s="628" t="s">
        <v>2270</v>
      </c>
      <c r="C2942" s="629" t="s">
        <v>432</v>
      </c>
    </row>
    <row r="2943" spans="1:3">
      <c r="A2943" s="627">
        <v>8767</v>
      </c>
      <c r="B2943" s="628" t="s">
        <v>2272</v>
      </c>
      <c r="C2943" s="629" t="s">
        <v>432</v>
      </c>
    </row>
    <row r="2944" spans="1:3">
      <c r="A2944" s="627">
        <v>8771</v>
      </c>
      <c r="B2944" s="628" t="s">
        <v>2273</v>
      </c>
      <c r="C2944" s="629" t="s">
        <v>432</v>
      </c>
    </row>
    <row r="2945" spans="1:3">
      <c r="A2945" s="627">
        <v>8772</v>
      </c>
      <c r="B2945" s="628" t="s">
        <v>1759</v>
      </c>
      <c r="C2945" s="629" t="s">
        <v>432</v>
      </c>
    </row>
    <row r="2946" spans="1:3">
      <c r="A2946" s="627">
        <v>8772</v>
      </c>
      <c r="B2946" s="628" t="s">
        <v>2274</v>
      </c>
      <c r="C2946" s="629" t="s">
        <v>432</v>
      </c>
    </row>
    <row r="2947" spans="1:3">
      <c r="A2947" s="627">
        <v>8773</v>
      </c>
      <c r="B2947" s="628" t="s">
        <v>1760</v>
      </c>
      <c r="C2947" s="629" t="s">
        <v>432</v>
      </c>
    </row>
    <row r="2948" spans="1:3">
      <c r="A2948" s="627">
        <v>8773</v>
      </c>
      <c r="B2948" s="628" t="s">
        <v>2275</v>
      </c>
      <c r="C2948" s="629" t="s">
        <v>432</v>
      </c>
    </row>
    <row r="2949" spans="1:3">
      <c r="A2949" s="627">
        <v>8774</v>
      </c>
      <c r="B2949" s="628" t="s">
        <v>1761</v>
      </c>
      <c r="C2949" s="629" t="s">
        <v>432</v>
      </c>
    </row>
    <row r="2950" spans="1:3">
      <c r="A2950" s="627">
        <v>8774</v>
      </c>
      <c r="B2950" s="628" t="s">
        <v>1762</v>
      </c>
      <c r="C2950" s="629" t="s">
        <v>432</v>
      </c>
    </row>
    <row r="2951" spans="1:3">
      <c r="A2951" s="627">
        <v>8774</v>
      </c>
      <c r="B2951" s="628" t="s">
        <v>2276</v>
      </c>
      <c r="C2951" s="629" t="s">
        <v>432</v>
      </c>
    </row>
    <row r="2952" spans="1:3">
      <c r="A2952" s="627">
        <v>8776</v>
      </c>
      <c r="B2952" s="628" t="s">
        <v>1763</v>
      </c>
      <c r="C2952" s="629" t="s">
        <v>432</v>
      </c>
    </row>
    <row r="2953" spans="1:3">
      <c r="A2953" s="627">
        <v>8776</v>
      </c>
      <c r="B2953" s="628" t="s">
        <v>1764</v>
      </c>
      <c r="C2953" s="629" t="s">
        <v>432</v>
      </c>
    </row>
    <row r="2954" spans="1:3">
      <c r="A2954" s="627">
        <v>8776</v>
      </c>
      <c r="B2954" s="628" t="s">
        <v>2277</v>
      </c>
      <c r="C2954" s="629" t="s">
        <v>432</v>
      </c>
    </row>
    <row r="2955" spans="1:3">
      <c r="A2955" s="627">
        <v>8777</v>
      </c>
      <c r="B2955" s="628" t="s">
        <v>1765</v>
      </c>
      <c r="C2955" s="629" t="s">
        <v>432</v>
      </c>
    </row>
    <row r="2956" spans="1:3">
      <c r="A2956" s="627">
        <v>8777</v>
      </c>
      <c r="B2956" s="628" t="s">
        <v>1766</v>
      </c>
      <c r="C2956" s="629" t="s">
        <v>432</v>
      </c>
    </row>
    <row r="2957" spans="1:3">
      <c r="A2957" s="627">
        <v>8777</v>
      </c>
      <c r="B2957" s="628" t="s">
        <v>2278</v>
      </c>
      <c r="C2957" s="629" t="s">
        <v>432</v>
      </c>
    </row>
    <row r="2958" spans="1:3">
      <c r="A2958" s="627">
        <v>8778</v>
      </c>
      <c r="B2958" s="628" t="s">
        <v>2279</v>
      </c>
      <c r="C2958" s="629" t="s">
        <v>432</v>
      </c>
    </row>
    <row r="2959" spans="1:3">
      <c r="A2959" s="627">
        <v>8782</v>
      </c>
      <c r="B2959" s="628" t="s">
        <v>1767</v>
      </c>
      <c r="C2959" s="629" t="s">
        <v>432</v>
      </c>
    </row>
    <row r="2960" spans="1:3">
      <c r="A2960" s="627">
        <v>8782</v>
      </c>
      <c r="B2960" s="628" t="s">
        <v>2281</v>
      </c>
      <c r="C2960" s="629" t="s">
        <v>432</v>
      </c>
    </row>
    <row r="2961" spans="1:3">
      <c r="A2961" s="627">
        <v>8782</v>
      </c>
      <c r="B2961" s="628" t="s">
        <v>1768</v>
      </c>
      <c r="C2961" s="629" t="s">
        <v>432</v>
      </c>
    </row>
    <row r="2962" spans="1:3">
      <c r="A2962" s="627">
        <v>8784</v>
      </c>
      <c r="B2962" s="628" t="s">
        <v>2282</v>
      </c>
      <c r="C2962" s="629" t="s">
        <v>432</v>
      </c>
    </row>
    <row r="2963" spans="1:3">
      <c r="A2963" s="627">
        <v>8785</v>
      </c>
      <c r="B2963" s="628" t="s">
        <v>1769</v>
      </c>
      <c r="C2963" s="629" t="s">
        <v>432</v>
      </c>
    </row>
    <row r="2964" spans="1:3">
      <c r="A2964" s="627">
        <v>8785</v>
      </c>
      <c r="B2964" s="628" t="s">
        <v>4399</v>
      </c>
      <c r="C2964" s="629" t="s">
        <v>432</v>
      </c>
    </row>
    <row r="2965" spans="1:3">
      <c r="A2965" s="627">
        <v>8788</v>
      </c>
      <c r="B2965" s="628" t="s">
        <v>4397</v>
      </c>
      <c r="C2965" s="629" t="s">
        <v>432</v>
      </c>
    </row>
    <row r="2966" spans="1:3">
      <c r="A2966" s="627">
        <v>8788</v>
      </c>
      <c r="B2966" s="628" t="s">
        <v>4396</v>
      </c>
      <c r="C2966" s="629" t="s">
        <v>432</v>
      </c>
    </row>
    <row r="2967" spans="1:3">
      <c r="A2967" s="627">
        <v>8789</v>
      </c>
      <c r="B2967" s="628" t="s">
        <v>4399</v>
      </c>
      <c r="C2967" s="629" t="s">
        <v>432</v>
      </c>
    </row>
    <row r="2968" spans="1:3">
      <c r="A2968" s="627">
        <v>8790</v>
      </c>
      <c r="B2968" s="628" t="s">
        <v>4399</v>
      </c>
      <c r="C2968" s="629" t="s">
        <v>432</v>
      </c>
    </row>
    <row r="2969" spans="1:3">
      <c r="A2969" s="627">
        <v>8792</v>
      </c>
      <c r="B2969" s="628" t="s">
        <v>4400</v>
      </c>
      <c r="C2969" s="629" t="s">
        <v>432</v>
      </c>
    </row>
    <row r="2970" spans="1:3">
      <c r="A2970" s="627">
        <v>8793</v>
      </c>
      <c r="B2970" s="628" t="s">
        <v>4399</v>
      </c>
      <c r="C2970" s="629" t="s">
        <v>432</v>
      </c>
    </row>
    <row r="2971" spans="1:3">
      <c r="A2971" s="627">
        <v>8795</v>
      </c>
      <c r="B2971" s="628" t="s">
        <v>4399</v>
      </c>
      <c r="C2971" s="629" t="s">
        <v>432</v>
      </c>
    </row>
    <row r="2972" spans="1:3">
      <c r="A2972" s="627">
        <v>8796</v>
      </c>
      <c r="B2972" s="628" t="s">
        <v>4403</v>
      </c>
      <c r="C2972" s="629" t="s">
        <v>432</v>
      </c>
    </row>
    <row r="2973" spans="1:3">
      <c r="A2973" s="627">
        <v>8797</v>
      </c>
      <c r="B2973" s="628" t="s">
        <v>4404</v>
      </c>
      <c r="C2973" s="629" t="s">
        <v>432</v>
      </c>
    </row>
    <row r="2974" spans="1:3">
      <c r="A2974" s="627">
        <v>8798</v>
      </c>
      <c r="B2974" s="628" t="s">
        <v>4405</v>
      </c>
      <c r="C2974" s="629" t="s">
        <v>432</v>
      </c>
    </row>
    <row r="2975" spans="1:3">
      <c r="A2975" s="627">
        <v>8799</v>
      </c>
      <c r="B2975" s="628" t="s">
        <v>1774</v>
      </c>
      <c r="C2975" s="629" t="s">
        <v>432</v>
      </c>
    </row>
    <row r="2976" spans="1:3">
      <c r="A2976" s="627">
        <v>8799</v>
      </c>
      <c r="B2976" s="628" t="s">
        <v>4406</v>
      </c>
      <c r="C2976" s="629" t="s">
        <v>432</v>
      </c>
    </row>
    <row r="2977" spans="1:3">
      <c r="A2977" s="627">
        <v>8800</v>
      </c>
      <c r="B2977" s="628" t="s">
        <v>4407</v>
      </c>
      <c r="C2977" s="629" t="s">
        <v>432</v>
      </c>
    </row>
    <row r="2978" spans="1:3">
      <c r="A2978" s="627">
        <v>8808</v>
      </c>
      <c r="B2978" s="628" t="s">
        <v>4407</v>
      </c>
      <c r="C2978" s="629" t="s">
        <v>432</v>
      </c>
    </row>
    <row r="2979" spans="1:3">
      <c r="A2979" s="627">
        <v>8809</v>
      </c>
      <c r="B2979" s="628" t="s">
        <v>4407</v>
      </c>
      <c r="C2979" s="629" t="s">
        <v>432</v>
      </c>
    </row>
    <row r="2980" spans="1:3">
      <c r="A2980" s="627">
        <v>8821</v>
      </c>
      <c r="B2980" s="628" t="s">
        <v>4410</v>
      </c>
      <c r="C2980" s="629" t="s">
        <v>432</v>
      </c>
    </row>
    <row r="2981" spans="1:3">
      <c r="A2981" s="627">
        <v>8822</v>
      </c>
      <c r="B2981" s="628" t="s">
        <v>4411</v>
      </c>
      <c r="C2981" s="629" t="s">
        <v>432</v>
      </c>
    </row>
    <row r="2982" spans="1:3">
      <c r="A2982" s="627">
        <v>8824</v>
      </c>
      <c r="B2982" s="628" t="s">
        <v>4412</v>
      </c>
      <c r="C2982" s="629" t="s">
        <v>432</v>
      </c>
    </row>
    <row r="2983" spans="1:3">
      <c r="A2983" s="627">
        <v>8825</v>
      </c>
      <c r="B2983" s="628" t="s">
        <v>1778</v>
      </c>
      <c r="C2983" s="629" t="s">
        <v>432</v>
      </c>
    </row>
    <row r="2984" spans="1:3">
      <c r="A2984" s="627">
        <v>8825</v>
      </c>
      <c r="B2984" s="628" t="s">
        <v>4413</v>
      </c>
      <c r="C2984" s="629" t="s">
        <v>432</v>
      </c>
    </row>
    <row r="2985" spans="1:3">
      <c r="A2985" s="627">
        <v>8827</v>
      </c>
      <c r="B2985" s="628" t="s">
        <v>4414</v>
      </c>
      <c r="C2985" s="629" t="s">
        <v>432</v>
      </c>
    </row>
    <row r="2986" spans="1:3">
      <c r="A2986" s="627">
        <v>8831</v>
      </c>
      <c r="B2986" s="628" t="s">
        <v>4416</v>
      </c>
      <c r="C2986" s="629" t="s">
        <v>432</v>
      </c>
    </row>
    <row r="2987" spans="1:3">
      <c r="A2987" s="627">
        <v>8831</v>
      </c>
      <c r="B2987" s="628" t="s">
        <v>4407</v>
      </c>
      <c r="C2987" s="629" t="s">
        <v>432</v>
      </c>
    </row>
    <row r="2988" spans="1:3">
      <c r="A2988" s="627">
        <v>8834</v>
      </c>
      <c r="B2988" s="628" t="s">
        <v>4418</v>
      </c>
      <c r="C2988" s="629" t="s">
        <v>432</v>
      </c>
    </row>
    <row r="2989" spans="1:3">
      <c r="A2989" s="627">
        <v>8835</v>
      </c>
      <c r="B2989" s="628" t="s">
        <v>4417</v>
      </c>
      <c r="C2989" s="629" t="s">
        <v>432</v>
      </c>
    </row>
    <row r="2990" spans="1:3">
      <c r="A2990" s="627">
        <v>8840</v>
      </c>
      <c r="B2990" s="628" t="s">
        <v>1780</v>
      </c>
      <c r="C2990" s="629" t="s">
        <v>423</v>
      </c>
    </row>
    <row r="2991" spans="1:3">
      <c r="A2991" s="627">
        <v>8840</v>
      </c>
      <c r="B2991" s="628" t="s">
        <v>4419</v>
      </c>
      <c r="C2991" s="629" t="s">
        <v>423</v>
      </c>
    </row>
    <row r="2992" spans="1:3">
      <c r="A2992" s="627">
        <v>8849</v>
      </c>
      <c r="B2992" s="628" t="s">
        <v>4420</v>
      </c>
      <c r="C2992" s="629" t="s">
        <v>423</v>
      </c>
    </row>
    <row r="2993" spans="1:3">
      <c r="A2993" s="627">
        <v>8851</v>
      </c>
      <c r="B2993" s="628" t="s">
        <v>4421</v>
      </c>
      <c r="C2993" s="629" t="s">
        <v>423</v>
      </c>
    </row>
    <row r="2994" spans="1:3">
      <c r="A2994" s="627">
        <v>8853</v>
      </c>
      <c r="B2994" s="628" t="s">
        <v>4422</v>
      </c>
      <c r="C2994" s="629" t="s">
        <v>423</v>
      </c>
    </row>
    <row r="2995" spans="1:3">
      <c r="A2995" s="627">
        <v>8853</v>
      </c>
      <c r="B2995" s="628" t="s">
        <v>1781</v>
      </c>
      <c r="C2995" s="629" t="s">
        <v>423</v>
      </c>
    </row>
    <row r="2996" spans="1:3">
      <c r="A2996" s="627">
        <v>8854</v>
      </c>
      <c r="B2996" s="628" t="s">
        <v>4423</v>
      </c>
      <c r="C2996" s="629" t="s">
        <v>423</v>
      </c>
    </row>
    <row r="2997" spans="1:3">
      <c r="A2997" s="627">
        <v>8855</v>
      </c>
      <c r="B2997" s="628" t="s">
        <v>4424</v>
      </c>
      <c r="C2997" s="629" t="s">
        <v>432</v>
      </c>
    </row>
    <row r="2998" spans="1:3">
      <c r="A2998" s="627">
        <v>8856</v>
      </c>
      <c r="B2998" s="628" t="s">
        <v>1782</v>
      </c>
      <c r="C2998" s="629" t="s">
        <v>432</v>
      </c>
    </row>
    <row r="2999" spans="1:3">
      <c r="A2999" s="627">
        <v>8856</v>
      </c>
      <c r="B2999" s="628" t="s">
        <v>4425</v>
      </c>
      <c r="C2999" s="629" t="s">
        <v>432</v>
      </c>
    </row>
    <row r="3000" spans="1:3">
      <c r="A3000" s="627">
        <v>8858</v>
      </c>
      <c r="B3000" s="628" t="s">
        <v>1783</v>
      </c>
      <c r="C3000" s="629" t="s">
        <v>423</v>
      </c>
    </row>
    <row r="3001" spans="1:3">
      <c r="A3001" s="627">
        <v>8858</v>
      </c>
      <c r="B3001" s="628" t="s">
        <v>1784</v>
      </c>
      <c r="C3001" s="629" t="s">
        <v>423</v>
      </c>
    </row>
    <row r="3002" spans="1:3">
      <c r="A3002" s="627">
        <v>8858</v>
      </c>
      <c r="B3002" s="628" t="s">
        <v>1785</v>
      </c>
      <c r="C3002" s="629" t="s">
        <v>423</v>
      </c>
    </row>
    <row r="3003" spans="1:3">
      <c r="A3003" s="627">
        <v>8858</v>
      </c>
      <c r="B3003" s="628" t="s">
        <v>4427</v>
      </c>
      <c r="C3003" s="629" t="s">
        <v>423</v>
      </c>
    </row>
    <row r="3004" spans="1:3">
      <c r="A3004" s="627">
        <v>8861</v>
      </c>
      <c r="B3004" s="628" t="s">
        <v>4428</v>
      </c>
      <c r="C3004" s="629" t="s">
        <v>432</v>
      </c>
    </row>
    <row r="3005" spans="1:3">
      <c r="A3005" s="627">
        <v>8862</v>
      </c>
      <c r="B3005" s="628" t="s">
        <v>4429</v>
      </c>
      <c r="C3005" s="629" t="s">
        <v>432</v>
      </c>
    </row>
    <row r="3006" spans="1:3">
      <c r="A3006" s="627">
        <v>8863</v>
      </c>
      <c r="B3006" s="628" t="s">
        <v>4430</v>
      </c>
      <c r="C3006" s="629" t="s">
        <v>432</v>
      </c>
    </row>
    <row r="3007" spans="1:3">
      <c r="A3007" s="627">
        <v>8864</v>
      </c>
      <c r="B3007" s="628" t="s">
        <v>4431</v>
      </c>
      <c r="C3007" s="629" t="s">
        <v>432</v>
      </c>
    </row>
    <row r="3008" spans="1:3">
      <c r="A3008" s="627">
        <v>8865</v>
      </c>
      <c r="B3008" s="628" t="s">
        <v>4432</v>
      </c>
      <c r="C3008" s="629" t="s">
        <v>432</v>
      </c>
    </row>
    <row r="3009" spans="1:3">
      <c r="A3009" s="627">
        <v>8866</v>
      </c>
      <c r="B3009" s="628" t="s">
        <v>4433</v>
      </c>
      <c r="C3009" s="629" t="s">
        <v>432</v>
      </c>
    </row>
    <row r="3010" spans="1:3">
      <c r="A3010" s="627">
        <v>8866</v>
      </c>
      <c r="B3010" s="628" t="s">
        <v>4446</v>
      </c>
      <c r="C3010" s="629" t="s">
        <v>432</v>
      </c>
    </row>
    <row r="3011" spans="1:3">
      <c r="A3011" s="627">
        <v>8868</v>
      </c>
      <c r="B3011" s="628" t="s">
        <v>1786</v>
      </c>
      <c r="C3011" s="629" t="s">
        <v>432</v>
      </c>
    </row>
    <row r="3012" spans="1:3">
      <c r="A3012" s="627">
        <v>8868</v>
      </c>
      <c r="B3012" s="628" t="s">
        <v>1787</v>
      </c>
      <c r="C3012" s="629" t="s">
        <v>432</v>
      </c>
    </row>
    <row r="3013" spans="1:3">
      <c r="A3013" s="627">
        <v>8868</v>
      </c>
      <c r="B3013" s="628" t="s">
        <v>4435</v>
      </c>
      <c r="C3013" s="629" t="s">
        <v>432</v>
      </c>
    </row>
    <row r="3014" spans="1:3">
      <c r="A3014" s="627">
        <v>8868</v>
      </c>
      <c r="B3014" s="628" t="s">
        <v>4434</v>
      </c>
      <c r="C3014" s="629" t="s">
        <v>432</v>
      </c>
    </row>
    <row r="3015" spans="1:3">
      <c r="A3015" s="627">
        <v>8872</v>
      </c>
      <c r="B3015" s="628" t="s">
        <v>1788</v>
      </c>
      <c r="C3015" s="629" t="s">
        <v>432</v>
      </c>
    </row>
    <row r="3016" spans="1:3">
      <c r="A3016" s="627">
        <v>8872</v>
      </c>
      <c r="B3016" s="628" t="s">
        <v>1789</v>
      </c>
      <c r="C3016" s="629" t="s">
        <v>432</v>
      </c>
    </row>
    <row r="3017" spans="1:3">
      <c r="A3017" s="627">
        <v>8873</v>
      </c>
      <c r="B3017" s="628" t="s">
        <v>4437</v>
      </c>
      <c r="C3017" s="629" t="s">
        <v>432</v>
      </c>
    </row>
    <row r="3018" spans="1:3">
      <c r="A3018" s="627">
        <v>8874</v>
      </c>
      <c r="B3018" s="628" t="s">
        <v>1790</v>
      </c>
      <c r="C3018" s="629" t="s">
        <v>432</v>
      </c>
    </row>
    <row r="3019" spans="1:3">
      <c r="A3019" s="627">
        <v>8874</v>
      </c>
      <c r="B3019" s="628" t="s">
        <v>4438</v>
      </c>
      <c r="C3019" s="629" t="s">
        <v>432</v>
      </c>
    </row>
    <row r="3020" spans="1:3">
      <c r="A3020" s="627">
        <v>8876</v>
      </c>
      <c r="B3020" s="628" t="s">
        <v>4439</v>
      </c>
      <c r="C3020" s="629" t="s">
        <v>432</v>
      </c>
    </row>
    <row r="3021" spans="1:3">
      <c r="A3021" s="627">
        <v>8877</v>
      </c>
      <c r="B3021" s="628" t="s">
        <v>4440</v>
      </c>
      <c r="C3021" s="629" t="s">
        <v>432</v>
      </c>
    </row>
    <row r="3022" spans="1:3">
      <c r="A3022" s="627">
        <v>8878</v>
      </c>
      <c r="B3022" s="628" t="s">
        <v>4441</v>
      </c>
      <c r="C3022" s="629" t="s">
        <v>432</v>
      </c>
    </row>
    <row r="3023" spans="1:3">
      <c r="A3023" s="627">
        <v>8879</v>
      </c>
      <c r="B3023" s="628" t="s">
        <v>1791</v>
      </c>
      <c r="C3023" s="629" t="s">
        <v>432</v>
      </c>
    </row>
    <row r="3024" spans="1:3">
      <c r="A3024" s="627">
        <v>8879</v>
      </c>
      <c r="B3024" s="628" t="s">
        <v>4442</v>
      </c>
      <c r="C3024" s="629" t="s">
        <v>432</v>
      </c>
    </row>
    <row r="3025" spans="1:3">
      <c r="A3025" s="627">
        <v>8881</v>
      </c>
      <c r="B3025" s="628" t="s">
        <v>4443</v>
      </c>
      <c r="C3025" s="629" t="s">
        <v>432</v>
      </c>
    </row>
    <row r="3026" spans="1:3">
      <c r="A3026" s="627">
        <v>8882</v>
      </c>
      <c r="B3026" s="628" t="s">
        <v>4444</v>
      </c>
      <c r="C3026" s="629" t="s">
        <v>432</v>
      </c>
    </row>
    <row r="3027" spans="1:3">
      <c r="A3027" s="627">
        <v>8883</v>
      </c>
      <c r="B3027" s="628" t="s">
        <v>4445</v>
      </c>
      <c r="C3027" s="629" t="s">
        <v>432</v>
      </c>
    </row>
    <row r="3028" spans="1:3">
      <c r="A3028" s="627">
        <v>8885</v>
      </c>
      <c r="B3028" s="628" t="s">
        <v>1792</v>
      </c>
      <c r="C3028" s="629" t="s">
        <v>432</v>
      </c>
    </row>
    <row r="3029" spans="1:3">
      <c r="A3029" s="627">
        <v>8885</v>
      </c>
      <c r="B3029" s="628" t="s">
        <v>4447</v>
      </c>
      <c r="C3029" s="629" t="s">
        <v>432</v>
      </c>
    </row>
    <row r="3030" spans="1:3">
      <c r="A3030" s="627">
        <v>8886</v>
      </c>
      <c r="B3030" s="628" t="s">
        <v>4448</v>
      </c>
      <c r="C3030" s="629" t="s">
        <v>432</v>
      </c>
    </row>
    <row r="3031" spans="1:3">
      <c r="A3031" s="627">
        <v>8887</v>
      </c>
      <c r="B3031" s="628" t="s">
        <v>1793</v>
      </c>
      <c r="C3031" s="629" t="s">
        <v>432</v>
      </c>
    </row>
    <row r="3032" spans="1:3">
      <c r="A3032" s="627">
        <v>8887</v>
      </c>
      <c r="B3032" s="628" t="s">
        <v>4449</v>
      </c>
      <c r="C3032" s="629" t="s">
        <v>432</v>
      </c>
    </row>
    <row r="3033" spans="1:3">
      <c r="A3033" s="627">
        <v>8888</v>
      </c>
      <c r="B3033" s="628" t="s">
        <v>1794</v>
      </c>
      <c r="C3033" s="629" t="s">
        <v>432</v>
      </c>
    </row>
    <row r="3034" spans="1:3">
      <c r="A3034" s="627">
        <v>8888</v>
      </c>
      <c r="B3034" s="628" t="s">
        <v>1795</v>
      </c>
      <c r="C3034" s="629" t="s">
        <v>432</v>
      </c>
    </row>
    <row r="3035" spans="1:3">
      <c r="A3035" s="627">
        <v>8888</v>
      </c>
      <c r="B3035" s="628" t="s">
        <v>4450</v>
      </c>
      <c r="C3035" s="629" t="s">
        <v>432</v>
      </c>
    </row>
    <row r="3036" spans="1:3">
      <c r="A3036" s="627">
        <v>8891</v>
      </c>
      <c r="B3036" s="628" t="s">
        <v>1796</v>
      </c>
      <c r="C3036" s="629" t="s">
        <v>432</v>
      </c>
    </row>
    <row r="3037" spans="1:3">
      <c r="A3037" s="627">
        <v>8891</v>
      </c>
      <c r="B3037" s="628" t="s">
        <v>4451</v>
      </c>
      <c r="C3037" s="629" t="s">
        <v>432</v>
      </c>
    </row>
    <row r="3038" spans="1:3">
      <c r="A3038" s="627">
        <v>8893</v>
      </c>
      <c r="B3038" s="628" t="s">
        <v>1797</v>
      </c>
      <c r="C3038" s="629" t="s">
        <v>432</v>
      </c>
    </row>
    <row r="3039" spans="1:3">
      <c r="A3039" s="627">
        <v>8893</v>
      </c>
      <c r="B3039" s="628" t="s">
        <v>4452</v>
      </c>
      <c r="C3039" s="629" t="s">
        <v>432</v>
      </c>
    </row>
    <row r="3040" spans="1:3">
      <c r="A3040" s="627">
        <v>8895</v>
      </c>
      <c r="B3040" s="628" t="s">
        <v>4453</v>
      </c>
      <c r="C3040" s="629" t="s">
        <v>432</v>
      </c>
    </row>
    <row r="3041" spans="1:3">
      <c r="A3041" s="627">
        <v>8896</v>
      </c>
      <c r="B3041" s="628" t="s">
        <v>4454</v>
      </c>
      <c r="C3041" s="629" t="s">
        <v>432</v>
      </c>
    </row>
    <row r="3042" spans="1:3">
      <c r="A3042" s="627">
        <v>8897</v>
      </c>
      <c r="B3042" s="628" t="s">
        <v>4455</v>
      </c>
      <c r="C3042" s="629" t="s">
        <v>432</v>
      </c>
    </row>
    <row r="3043" spans="1:3">
      <c r="A3043" s="627">
        <v>8900</v>
      </c>
      <c r="B3043" s="628" t="s">
        <v>4456</v>
      </c>
      <c r="C3043" s="629" t="s">
        <v>432</v>
      </c>
    </row>
    <row r="3044" spans="1:3">
      <c r="A3044" s="61">
        <v>8904</v>
      </c>
      <c r="B3044" s="637" t="s">
        <v>4456</v>
      </c>
      <c r="C3044" s="629" t="s">
        <v>432</v>
      </c>
    </row>
    <row r="3045" spans="1:3">
      <c r="A3045" s="61">
        <v>8908</v>
      </c>
      <c r="B3045" s="637" t="s">
        <v>4456</v>
      </c>
      <c r="C3045" s="629" t="s">
        <v>432</v>
      </c>
    </row>
    <row r="3046" spans="1:3">
      <c r="A3046" s="627">
        <v>8911</v>
      </c>
      <c r="B3046" s="628" t="s">
        <v>1800</v>
      </c>
      <c r="C3046" s="629" t="s">
        <v>432</v>
      </c>
    </row>
    <row r="3047" spans="1:3">
      <c r="A3047" s="627">
        <v>8911</v>
      </c>
      <c r="B3047" s="628" t="s">
        <v>4459</v>
      </c>
      <c r="C3047" s="629" t="s">
        <v>432</v>
      </c>
    </row>
    <row r="3048" spans="1:3">
      <c r="A3048" s="627">
        <v>8912</v>
      </c>
      <c r="B3048" s="628" t="s">
        <v>107</v>
      </c>
      <c r="C3048" s="629" t="s">
        <v>432</v>
      </c>
    </row>
    <row r="3049" spans="1:3">
      <c r="A3049" s="627">
        <v>8912</v>
      </c>
      <c r="B3049" s="628" t="s">
        <v>4460</v>
      </c>
      <c r="C3049" s="629" t="s">
        <v>432</v>
      </c>
    </row>
    <row r="3050" spans="1:3">
      <c r="A3050" s="627">
        <v>8913</v>
      </c>
      <c r="B3050" s="628" t="s">
        <v>108</v>
      </c>
      <c r="C3050" s="629" t="s">
        <v>432</v>
      </c>
    </row>
    <row r="3051" spans="1:3">
      <c r="A3051" s="627">
        <v>8913</v>
      </c>
      <c r="B3051" s="628" t="s">
        <v>109</v>
      </c>
      <c r="C3051" s="629" t="s">
        <v>432</v>
      </c>
    </row>
    <row r="3052" spans="1:3">
      <c r="A3052" s="627">
        <v>8913</v>
      </c>
      <c r="B3052" s="628" t="s">
        <v>4461</v>
      </c>
      <c r="C3052" s="629" t="s">
        <v>432</v>
      </c>
    </row>
    <row r="3053" spans="1:3">
      <c r="A3053" s="627">
        <v>8914</v>
      </c>
      <c r="B3053" s="628" t="s">
        <v>4462</v>
      </c>
      <c r="C3053" s="629" t="s">
        <v>432</v>
      </c>
    </row>
    <row r="3054" spans="1:3">
      <c r="A3054" s="627">
        <v>8915</v>
      </c>
      <c r="B3054" s="628" t="s">
        <v>4463</v>
      </c>
      <c r="C3054" s="629" t="s">
        <v>432</v>
      </c>
    </row>
    <row r="3055" spans="1:3">
      <c r="A3055" s="627">
        <v>8917</v>
      </c>
      <c r="B3055" s="628" t="s">
        <v>110</v>
      </c>
      <c r="C3055" s="629" t="s">
        <v>432</v>
      </c>
    </row>
    <row r="3056" spans="1:3">
      <c r="A3056" s="627">
        <v>8918</v>
      </c>
      <c r="B3056" s="628" t="s">
        <v>111</v>
      </c>
      <c r="C3056" s="629" t="s">
        <v>432</v>
      </c>
    </row>
    <row r="3057" spans="1:3">
      <c r="A3057" s="627">
        <v>8918</v>
      </c>
      <c r="B3057" s="628" t="s">
        <v>4466</v>
      </c>
      <c r="C3057" s="629" t="s">
        <v>432</v>
      </c>
    </row>
    <row r="3058" spans="1:3">
      <c r="A3058" s="627">
        <v>8919</v>
      </c>
      <c r="B3058" s="628" t="s">
        <v>4467</v>
      </c>
      <c r="C3058" s="629" t="s">
        <v>432</v>
      </c>
    </row>
    <row r="3059" spans="1:3">
      <c r="A3059" s="627">
        <v>8921</v>
      </c>
      <c r="B3059" s="628" t="s">
        <v>112</v>
      </c>
      <c r="C3059" s="629" t="s">
        <v>432</v>
      </c>
    </row>
    <row r="3060" spans="1:3">
      <c r="A3060" s="627">
        <v>8921</v>
      </c>
      <c r="B3060" s="628" t="s">
        <v>113</v>
      </c>
      <c r="C3060" s="629" t="s">
        <v>432</v>
      </c>
    </row>
    <row r="3061" spans="1:3">
      <c r="A3061" s="627">
        <v>8921</v>
      </c>
      <c r="B3061" s="628" t="s">
        <v>114</v>
      </c>
      <c r="C3061" s="629" t="s">
        <v>432</v>
      </c>
    </row>
    <row r="3062" spans="1:3">
      <c r="A3062" s="627">
        <v>8921</v>
      </c>
      <c r="B3062" s="628" t="s">
        <v>115</v>
      </c>
      <c r="C3062" s="629" t="s">
        <v>432</v>
      </c>
    </row>
    <row r="3063" spans="1:3">
      <c r="A3063" s="627">
        <v>8923</v>
      </c>
      <c r="B3063" s="628" t="s">
        <v>4469</v>
      </c>
      <c r="C3063" s="629" t="s">
        <v>432</v>
      </c>
    </row>
    <row r="3064" spans="1:3">
      <c r="A3064" s="627">
        <v>8924</v>
      </c>
      <c r="B3064" s="628" t="s">
        <v>4470</v>
      </c>
      <c r="C3064" s="629" t="s">
        <v>432</v>
      </c>
    </row>
    <row r="3065" spans="1:3">
      <c r="A3065" s="627">
        <v>8925</v>
      </c>
      <c r="B3065" s="628" t="s">
        <v>116</v>
      </c>
      <c r="C3065" s="629" t="s">
        <v>432</v>
      </c>
    </row>
    <row r="3066" spans="1:3">
      <c r="A3066" s="627">
        <v>8925</v>
      </c>
      <c r="B3066" s="628" t="s">
        <v>4472</v>
      </c>
      <c r="C3066" s="629" t="s">
        <v>432</v>
      </c>
    </row>
    <row r="3067" spans="1:3">
      <c r="A3067" s="627">
        <v>8925</v>
      </c>
      <c r="B3067" s="628" t="s">
        <v>4473</v>
      </c>
      <c r="C3067" s="629" t="s">
        <v>432</v>
      </c>
    </row>
    <row r="3068" spans="1:3">
      <c r="A3068" s="627">
        <v>8925</v>
      </c>
      <c r="B3068" s="628" t="s">
        <v>117</v>
      </c>
      <c r="C3068" s="629" t="s">
        <v>432</v>
      </c>
    </row>
    <row r="3069" spans="1:3">
      <c r="A3069" s="627">
        <v>8925</v>
      </c>
      <c r="B3069" s="628" t="s">
        <v>4471</v>
      </c>
      <c r="C3069" s="629" t="s">
        <v>432</v>
      </c>
    </row>
    <row r="3070" spans="1:3">
      <c r="A3070" s="627">
        <v>8929</v>
      </c>
      <c r="B3070" s="628" t="s">
        <v>4474</v>
      </c>
      <c r="C3070" s="629" t="s">
        <v>432</v>
      </c>
    </row>
    <row r="3071" spans="1:3">
      <c r="A3071" s="627">
        <v>8931</v>
      </c>
      <c r="B3071" s="628" t="s">
        <v>118</v>
      </c>
      <c r="C3071" s="629" t="s">
        <v>432</v>
      </c>
    </row>
    <row r="3072" spans="1:3">
      <c r="A3072" s="627">
        <v>8931</v>
      </c>
      <c r="B3072" s="628" t="s">
        <v>4475</v>
      </c>
      <c r="C3072" s="629" t="s">
        <v>432</v>
      </c>
    </row>
    <row r="3073" spans="1:3">
      <c r="A3073" s="627">
        <v>8932</v>
      </c>
      <c r="B3073" s="628" t="s">
        <v>119</v>
      </c>
      <c r="C3073" s="629" t="s">
        <v>432</v>
      </c>
    </row>
    <row r="3074" spans="1:3">
      <c r="A3074" s="627">
        <v>8932</v>
      </c>
      <c r="B3074" s="628" t="s">
        <v>4476</v>
      </c>
      <c r="C3074" s="629" t="s">
        <v>432</v>
      </c>
    </row>
    <row r="3075" spans="1:3">
      <c r="A3075" s="627">
        <v>8932</v>
      </c>
      <c r="B3075" s="628" t="s">
        <v>4477</v>
      </c>
      <c r="C3075" s="629" t="s">
        <v>432</v>
      </c>
    </row>
    <row r="3076" spans="1:3">
      <c r="A3076" s="627">
        <v>8934</v>
      </c>
      <c r="B3076" s="628" t="s">
        <v>4478</v>
      </c>
      <c r="C3076" s="629" t="s">
        <v>432</v>
      </c>
    </row>
    <row r="3077" spans="1:3">
      <c r="A3077" s="627">
        <v>8935</v>
      </c>
      <c r="B3077" s="628" t="s">
        <v>120</v>
      </c>
      <c r="C3077" s="629" t="s">
        <v>432</v>
      </c>
    </row>
    <row r="3078" spans="1:3">
      <c r="A3078" s="627">
        <v>8935</v>
      </c>
      <c r="B3078" s="628" t="s">
        <v>121</v>
      </c>
      <c r="C3078" s="629" t="s">
        <v>432</v>
      </c>
    </row>
    <row r="3079" spans="1:3">
      <c r="A3079" s="627">
        <v>8935</v>
      </c>
      <c r="B3079" s="628" t="s">
        <v>122</v>
      </c>
      <c r="C3079" s="629" t="s">
        <v>432</v>
      </c>
    </row>
    <row r="3080" spans="1:3">
      <c r="A3080" s="627">
        <v>8935</v>
      </c>
      <c r="B3080" s="628" t="s">
        <v>123</v>
      </c>
      <c r="C3080" s="629" t="s">
        <v>432</v>
      </c>
    </row>
    <row r="3081" spans="1:3">
      <c r="A3081" s="627">
        <v>8935</v>
      </c>
      <c r="B3081" s="628" t="s">
        <v>4479</v>
      </c>
      <c r="C3081" s="629" t="s">
        <v>432</v>
      </c>
    </row>
    <row r="3082" spans="1:3">
      <c r="A3082" s="627">
        <v>8936</v>
      </c>
      <c r="B3082" s="628" t="s">
        <v>4480</v>
      </c>
      <c r="C3082" s="629" t="s">
        <v>432</v>
      </c>
    </row>
    <row r="3083" spans="1:3">
      <c r="A3083" s="627">
        <v>8943</v>
      </c>
      <c r="B3083" s="628" t="s">
        <v>4482</v>
      </c>
      <c r="C3083" s="629" t="s">
        <v>432</v>
      </c>
    </row>
    <row r="3084" spans="1:3">
      <c r="A3084" s="627">
        <v>8943</v>
      </c>
      <c r="B3084" s="628" t="s">
        <v>4481</v>
      </c>
      <c r="C3084" s="629" t="s">
        <v>432</v>
      </c>
    </row>
    <row r="3085" spans="1:3">
      <c r="A3085" s="627">
        <v>8944</v>
      </c>
      <c r="B3085" s="628" t="s">
        <v>4483</v>
      </c>
      <c r="C3085" s="629" t="s">
        <v>432</v>
      </c>
    </row>
    <row r="3086" spans="1:3">
      <c r="A3086" s="627">
        <v>8945</v>
      </c>
      <c r="B3086" s="628" t="s">
        <v>4484</v>
      </c>
      <c r="C3086" s="629" t="s">
        <v>432</v>
      </c>
    </row>
    <row r="3087" spans="1:3">
      <c r="A3087" s="627">
        <v>8946</v>
      </c>
      <c r="B3087" s="628" t="s">
        <v>124</v>
      </c>
      <c r="C3087" s="629" t="s">
        <v>432</v>
      </c>
    </row>
    <row r="3088" spans="1:3">
      <c r="A3088" s="627">
        <v>8946</v>
      </c>
      <c r="B3088" s="628" t="s">
        <v>125</v>
      </c>
      <c r="C3088" s="629" t="s">
        <v>432</v>
      </c>
    </row>
    <row r="3089" spans="1:3">
      <c r="A3089" s="627">
        <v>8946</v>
      </c>
      <c r="B3089" s="628" t="s">
        <v>4485</v>
      </c>
      <c r="C3089" s="629" t="s">
        <v>432</v>
      </c>
    </row>
    <row r="3090" spans="1:3">
      <c r="A3090" s="627">
        <v>8947</v>
      </c>
      <c r="B3090" s="628" t="s">
        <v>126</v>
      </c>
      <c r="C3090" s="629" t="s">
        <v>432</v>
      </c>
    </row>
    <row r="3091" spans="1:3">
      <c r="A3091" s="627">
        <v>8947</v>
      </c>
      <c r="B3091" s="628" t="s">
        <v>4486</v>
      </c>
      <c r="C3091" s="629" t="s">
        <v>432</v>
      </c>
    </row>
    <row r="3092" spans="1:3">
      <c r="A3092" s="627">
        <v>8948</v>
      </c>
      <c r="B3092" s="628" t="s">
        <v>127</v>
      </c>
      <c r="C3092" s="629" t="s">
        <v>432</v>
      </c>
    </row>
    <row r="3093" spans="1:3">
      <c r="A3093" s="627">
        <v>8948</v>
      </c>
      <c r="B3093" s="628" t="s">
        <v>1044</v>
      </c>
      <c r="C3093" s="629" t="s">
        <v>410</v>
      </c>
    </row>
    <row r="3094" spans="1:3">
      <c r="A3094" s="627">
        <v>8949</v>
      </c>
      <c r="B3094" s="628" t="s">
        <v>4488</v>
      </c>
      <c r="C3094" s="629" t="s">
        <v>432</v>
      </c>
    </row>
    <row r="3095" spans="1:3">
      <c r="A3095" s="627">
        <v>8951</v>
      </c>
      <c r="B3095" s="628" t="s">
        <v>128</v>
      </c>
      <c r="C3095" s="629" t="s">
        <v>432</v>
      </c>
    </row>
    <row r="3096" spans="1:3">
      <c r="A3096" s="627">
        <v>8951</v>
      </c>
      <c r="B3096" s="628" t="s">
        <v>4489</v>
      </c>
      <c r="C3096" s="629" t="s">
        <v>432</v>
      </c>
    </row>
    <row r="3097" spans="1:3">
      <c r="A3097" s="627">
        <v>8953</v>
      </c>
      <c r="B3097" s="628" t="s">
        <v>4490</v>
      </c>
      <c r="C3097" s="629" t="s">
        <v>432</v>
      </c>
    </row>
    <row r="3098" spans="1:3">
      <c r="A3098" s="627">
        <v>8954</v>
      </c>
      <c r="B3098" s="628" t="s">
        <v>4491</v>
      </c>
      <c r="C3098" s="629" t="s">
        <v>432</v>
      </c>
    </row>
    <row r="3099" spans="1:3">
      <c r="A3099" s="627">
        <v>8956</v>
      </c>
      <c r="B3099" s="628" t="s">
        <v>129</v>
      </c>
      <c r="C3099" s="629" t="s">
        <v>432</v>
      </c>
    </row>
    <row r="3100" spans="1:3">
      <c r="A3100" s="627">
        <v>8956</v>
      </c>
      <c r="B3100" s="628" t="s">
        <v>130</v>
      </c>
      <c r="C3100" s="629" t="s">
        <v>432</v>
      </c>
    </row>
    <row r="3101" spans="1:3">
      <c r="A3101" s="627">
        <v>8956</v>
      </c>
      <c r="B3101" s="628" t="s">
        <v>4492</v>
      </c>
      <c r="C3101" s="629" t="s">
        <v>432</v>
      </c>
    </row>
    <row r="3102" spans="1:3">
      <c r="A3102" s="627">
        <v>8957</v>
      </c>
      <c r="B3102" s="628" t="s">
        <v>131</v>
      </c>
      <c r="C3102" s="629" t="s">
        <v>432</v>
      </c>
    </row>
    <row r="3103" spans="1:3">
      <c r="A3103" s="627">
        <v>8957</v>
      </c>
      <c r="B3103" s="628" t="s">
        <v>132</v>
      </c>
      <c r="C3103" s="629" t="s">
        <v>432</v>
      </c>
    </row>
    <row r="3104" spans="1:3">
      <c r="A3104" s="627">
        <v>8957</v>
      </c>
      <c r="B3104" s="628" t="s">
        <v>133</v>
      </c>
      <c r="C3104" s="629" t="s">
        <v>432</v>
      </c>
    </row>
    <row r="3105" spans="1:3">
      <c r="A3105" s="627">
        <v>8957</v>
      </c>
      <c r="B3105" s="628" t="s">
        <v>4493</v>
      </c>
      <c r="C3105" s="629" t="s">
        <v>432</v>
      </c>
    </row>
    <row r="3106" spans="1:3">
      <c r="A3106" s="627">
        <v>8958</v>
      </c>
      <c r="B3106" s="628" t="s">
        <v>4494</v>
      </c>
      <c r="C3106" s="629" t="s">
        <v>432</v>
      </c>
    </row>
    <row r="3107" spans="1:3">
      <c r="A3107" s="627">
        <v>8960</v>
      </c>
      <c r="B3107" s="628" t="s">
        <v>4495</v>
      </c>
      <c r="C3107" s="629" t="s">
        <v>432</v>
      </c>
    </row>
    <row r="3108" spans="1:3">
      <c r="A3108" s="627">
        <v>8966</v>
      </c>
      <c r="B3108" s="628" t="s">
        <v>4495</v>
      </c>
      <c r="C3108" s="629" t="s">
        <v>432</v>
      </c>
    </row>
    <row r="3109" spans="1:3">
      <c r="A3109" s="627">
        <v>8969</v>
      </c>
      <c r="B3109" s="628" t="s">
        <v>135</v>
      </c>
      <c r="C3109" s="629" t="s">
        <v>432</v>
      </c>
    </row>
    <row r="3110" spans="1:3">
      <c r="A3110" s="627">
        <v>8969</v>
      </c>
      <c r="B3110" s="628" t="s">
        <v>136</v>
      </c>
      <c r="C3110" s="629" t="s">
        <v>432</v>
      </c>
    </row>
    <row r="3111" spans="1:3">
      <c r="A3111" s="627">
        <v>8969</v>
      </c>
      <c r="B3111" s="628" t="s">
        <v>137</v>
      </c>
      <c r="C3111" s="629" t="s">
        <v>432</v>
      </c>
    </row>
    <row r="3112" spans="1:3">
      <c r="A3112" s="627">
        <v>8969</v>
      </c>
      <c r="B3112" s="628" t="s">
        <v>4497</v>
      </c>
      <c r="C3112" s="629" t="s">
        <v>432</v>
      </c>
    </row>
    <row r="3113" spans="1:3">
      <c r="A3113" s="627">
        <v>8971</v>
      </c>
      <c r="B3113" s="628" t="s">
        <v>138</v>
      </c>
      <c r="C3113" s="629" t="s">
        <v>432</v>
      </c>
    </row>
    <row r="3114" spans="1:3">
      <c r="A3114" s="627">
        <v>8971</v>
      </c>
      <c r="B3114" s="628" t="s">
        <v>4498</v>
      </c>
      <c r="C3114" s="629" t="s">
        <v>432</v>
      </c>
    </row>
    <row r="3115" spans="1:3">
      <c r="A3115" s="627">
        <v>8973</v>
      </c>
      <c r="B3115" s="628" t="s">
        <v>4499</v>
      </c>
      <c r="C3115" s="629" t="s">
        <v>432</v>
      </c>
    </row>
    <row r="3116" spans="1:3">
      <c r="A3116" s="627">
        <v>8973</v>
      </c>
      <c r="B3116" s="628" t="s">
        <v>139</v>
      </c>
      <c r="C3116" s="629" t="s">
        <v>432</v>
      </c>
    </row>
    <row r="3117" spans="1:3">
      <c r="A3117" s="627">
        <v>8973</v>
      </c>
      <c r="B3117" s="628" t="s">
        <v>140</v>
      </c>
      <c r="C3117" s="629" t="s">
        <v>432</v>
      </c>
    </row>
    <row r="3118" spans="1:3">
      <c r="A3118" s="627">
        <v>8973</v>
      </c>
      <c r="B3118" s="628" t="s">
        <v>141</v>
      </c>
      <c r="C3118" s="629" t="s">
        <v>432</v>
      </c>
    </row>
    <row r="3119" spans="1:3">
      <c r="A3119" s="627">
        <v>8973</v>
      </c>
      <c r="B3119" s="628" t="s">
        <v>142</v>
      </c>
      <c r="C3119" s="629" t="s">
        <v>432</v>
      </c>
    </row>
    <row r="3120" spans="1:3">
      <c r="A3120" s="627">
        <v>8973</v>
      </c>
      <c r="B3120" s="628" t="s">
        <v>143</v>
      </c>
      <c r="C3120" s="629" t="s">
        <v>432</v>
      </c>
    </row>
    <row r="3121" spans="1:3">
      <c r="A3121" s="627">
        <v>8973</v>
      </c>
      <c r="B3121" s="628" t="s">
        <v>4500</v>
      </c>
      <c r="C3121" s="629" t="s">
        <v>432</v>
      </c>
    </row>
    <row r="3122" spans="1:3">
      <c r="A3122" s="627">
        <v>8975</v>
      </c>
      <c r="B3122" s="628" t="s">
        <v>4501</v>
      </c>
      <c r="C3122" s="629" t="s">
        <v>432</v>
      </c>
    </row>
    <row r="3123" spans="1:3">
      <c r="A3123" s="627">
        <v>8976</v>
      </c>
      <c r="B3123" s="628" t="s">
        <v>144</v>
      </c>
      <c r="C3123" s="629" t="s">
        <v>432</v>
      </c>
    </row>
    <row r="3124" spans="1:3">
      <c r="A3124" s="627">
        <v>8976</v>
      </c>
      <c r="B3124" s="628" t="s">
        <v>4502</v>
      </c>
      <c r="C3124" s="629" t="s">
        <v>432</v>
      </c>
    </row>
    <row r="3125" spans="1:3">
      <c r="A3125" s="627">
        <v>8977</v>
      </c>
      <c r="B3125" s="628" t="s">
        <v>3291</v>
      </c>
      <c r="C3125" s="629" t="s">
        <v>432</v>
      </c>
    </row>
    <row r="3126" spans="1:3">
      <c r="A3126" s="627">
        <v>8977</v>
      </c>
      <c r="B3126" s="628" t="s">
        <v>3292</v>
      </c>
      <c r="C3126" s="629" t="s">
        <v>432</v>
      </c>
    </row>
    <row r="3127" spans="1:3">
      <c r="A3127" s="627">
        <v>8977</v>
      </c>
      <c r="B3127" s="628" t="s">
        <v>4503</v>
      </c>
      <c r="C3127" s="629" t="s">
        <v>432</v>
      </c>
    </row>
    <row r="3128" spans="1:3">
      <c r="A3128" s="627">
        <v>8978</v>
      </c>
      <c r="B3128" s="628" t="s">
        <v>3293</v>
      </c>
      <c r="C3128" s="629" t="s">
        <v>432</v>
      </c>
    </row>
    <row r="3129" spans="1:3">
      <c r="A3129" s="627">
        <v>8978</v>
      </c>
      <c r="B3129" s="628" t="s">
        <v>2903</v>
      </c>
      <c r="C3129" s="629" t="s">
        <v>432</v>
      </c>
    </row>
    <row r="3130" spans="1:3">
      <c r="A3130" s="627">
        <v>8978</v>
      </c>
      <c r="B3130" s="628" t="s">
        <v>2904</v>
      </c>
      <c r="C3130" s="629" t="s">
        <v>432</v>
      </c>
    </row>
    <row r="3131" spans="1:3">
      <c r="A3131" s="627">
        <v>8978</v>
      </c>
      <c r="B3131" s="628" t="s">
        <v>2905</v>
      </c>
      <c r="C3131" s="629" t="s">
        <v>432</v>
      </c>
    </row>
    <row r="3132" spans="1:3">
      <c r="A3132" s="627">
        <v>8978</v>
      </c>
      <c r="B3132" s="628" t="s">
        <v>4504</v>
      </c>
      <c r="C3132" s="629" t="s">
        <v>432</v>
      </c>
    </row>
    <row r="3133" spans="1:3">
      <c r="A3133" s="627">
        <v>8981</v>
      </c>
      <c r="B3133" s="628" t="s">
        <v>2906</v>
      </c>
      <c r="C3133" s="629" t="s">
        <v>432</v>
      </c>
    </row>
    <row r="3134" spans="1:3">
      <c r="A3134" s="627">
        <v>8981</v>
      </c>
      <c r="B3134" s="628" t="s">
        <v>4505</v>
      </c>
      <c r="C3134" s="629" t="s">
        <v>432</v>
      </c>
    </row>
    <row r="3135" spans="1:3">
      <c r="A3135" s="627">
        <v>8983</v>
      </c>
      <c r="B3135" s="628" t="s">
        <v>4464</v>
      </c>
      <c r="C3135" s="629" t="s">
        <v>432</v>
      </c>
    </row>
    <row r="3136" spans="1:3">
      <c r="A3136" s="627">
        <v>8983</v>
      </c>
      <c r="B3136" s="628" t="s">
        <v>2907</v>
      </c>
      <c r="C3136" s="629" t="s">
        <v>432</v>
      </c>
    </row>
    <row r="3137" spans="1:3">
      <c r="A3137" s="627">
        <v>8983</v>
      </c>
      <c r="B3137" s="628" t="s">
        <v>4506</v>
      </c>
      <c r="C3137" s="629" t="s">
        <v>432</v>
      </c>
    </row>
    <row r="3138" spans="1:3">
      <c r="A3138" s="627">
        <v>8984</v>
      </c>
      <c r="B3138" s="628" t="s">
        <v>2908</v>
      </c>
      <c r="C3138" s="629" t="s">
        <v>432</v>
      </c>
    </row>
    <row r="3139" spans="1:3">
      <c r="A3139" s="627">
        <v>8984</v>
      </c>
      <c r="B3139" s="628" t="s">
        <v>2909</v>
      </c>
      <c r="C3139" s="629" t="s">
        <v>432</v>
      </c>
    </row>
    <row r="3140" spans="1:3">
      <c r="A3140" s="627">
        <v>8984</v>
      </c>
      <c r="B3140" s="628" t="s">
        <v>4507</v>
      </c>
      <c r="C3140" s="629" t="s">
        <v>432</v>
      </c>
    </row>
    <row r="3141" spans="1:3">
      <c r="A3141" s="627">
        <v>8985</v>
      </c>
      <c r="B3141" s="628" t="s">
        <v>799</v>
      </c>
      <c r="C3141" s="629" t="s">
        <v>432</v>
      </c>
    </row>
    <row r="3142" spans="1:3">
      <c r="A3142" s="627">
        <v>8986</v>
      </c>
      <c r="B3142" s="628" t="s">
        <v>2910</v>
      </c>
      <c r="C3142" s="629" t="s">
        <v>432</v>
      </c>
    </row>
    <row r="3143" spans="1:3">
      <c r="A3143" s="627">
        <v>8986</v>
      </c>
      <c r="B3143" s="628" t="s">
        <v>2911</v>
      </c>
      <c r="C3143" s="629" t="s">
        <v>432</v>
      </c>
    </row>
    <row r="3144" spans="1:3">
      <c r="A3144" s="627">
        <v>8986</v>
      </c>
      <c r="B3144" s="628" t="s">
        <v>800</v>
      </c>
      <c r="C3144" s="629" t="s">
        <v>432</v>
      </c>
    </row>
    <row r="3145" spans="1:3">
      <c r="A3145" s="627">
        <v>8988</v>
      </c>
      <c r="B3145" s="628" t="s">
        <v>2912</v>
      </c>
      <c r="C3145" s="629" t="s">
        <v>432</v>
      </c>
    </row>
    <row r="3146" spans="1:3">
      <c r="A3146" s="627">
        <v>8988</v>
      </c>
      <c r="B3146" s="628" t="s">
        <v>801</v>
      </c>
      <c r="C3146" s="629" t="s">
        <v>432</v>
      </c>
    </row>
    <row r="3147" spans="1:3">
      <c r="A3147" s="627">
        <v>8989</v>
      </c>
      <c r="B3147" s="628" t="s">
        <v>802</v>
      </c>
      <c r="C3147" s="629" t="s">
        <v>432</v>
      </c>
    </row>
    <row r="3148" spans="1:3">
      <c r="A3148" s="627">
        <v>8990</v>
      </c>
      <c r="B3148" s="628" t="s">
        <v>4465</v>
      </c>
      <c r="C3148" s="629" t="s">
        <v>432</v>
      </c>
    </row>
    <row r="3149" spans="1:3">
      <c r="A3149" s="627">
        <v>8991</v>
      </c>
      <c r="B3149" s="628" t="s">
        <v>2913</v>
      </c>
      <c r="C3149" s="629" t="s">
        <v>432</v>
      </c>
    </row>
    <row r="3150" spans="1:3">
      <c r="A3150" s="627">
        <v>8991</v>
      </c>
      <c r="B3150" s="628" t="s">
        <v>2914</v>
      </c>
      <c r="C3150" s="629" t="s">
        <v>432</v>
      </c>
    </row>
    <row r="3151" spans="1:3">
      <c r="A3151" s="627">
        <v>8991</v>
      </c>
      <c r="B3151" s="628" t="s">
        <v>803</v>
      </c>
      <c r="C3151" s="629" t="s">
        <v>432</v>
      </c>
    </row>
    <row r="3152" spans="1:3">
      <c r="A3152" s="627">
        <v>8992</v>
      </c>
      <c r="B3152" s="628" t="s">
        <v>2915</v>
      </c>
      <c r="C3152" s="629" t="s">
        <v>432</v>
      </c>
    </row>
    <row r="3153" spans="1:3">
      <c r="A3153" s="627">
        <v>8992</v>
      </c>
      <c r="B3153" s="628" t="s">
        <v>2916</v>
      </c>
      <c r="C3153" s="629" t="s">
        <v>432</v>
      </c>
    </row>
    <row r="3154" spans="1:3">
      <c r="A3154" s="627">
        <v>8992</v>
      </c>
      <c r="B3154" s="628" t="s">
        <v>3127</v>
      </c>
      <c r="C3154" s="629" t="s">
        <v>432</v>
      </c>
    </row>
    <row r="3155" spans="1:3">
      <c r="A3155" s="627">
        <v>8992</v>
      </c>
      <c r="B3155" s="628" t="s">
        <v>804</v>
      </c>
      <c r="C3155" s="629" t="s">
        <v>432</v>
      </c>
    </row>
    <row r="3156" spans="1:3">
      <c r="A3156" s="627">
        <v>8994</v>
      </c>
      <c r="B3156" s="628" t="s">
        <v>3128</v>
      </c>
      <c r="C3156" s="629" t="s">
        <v>432</v>
      </c>
    </row>
    <row r="3157" spans="1:3">
      <c r="A3157" s="627">
        <v>8994</v>
      </c>
      <c r="B3157" s="628" t="s">
        <v>805</v>
      </c>
      <c r="C3157" s="629" t="s">
        <v>432</v>
      </c>
    </row>
    <row r="3158" spans="1:3">
      <c r="A3158" s="627">
        <v>8995</v>
      </c>
      <c r="B3158" s="628" t="s">
        <v>3129</v>
      </c>
      <c r="C3158" s="629" t="s">
        <v>432</v>
      </c>
    </row>
    <row r="3159" spans="1:3">
      <c r="A3159" s="627">
        <v>8995</v>
      </c>
      <c r="B3159" s="628" t="s">
        <v>806</v>
      </c>
      <c r="C3159" s="629" t="s">
        <v>432</v>
      </c>
    </row>
    <row r="3160" spans="1:3">
      <c r="A3160" s="627">
        <v>8996</v>
      </c>
      <c r="B3160" s="628" t="s">
        <v>807</v>
      </c>
      <c r="C3160" s="629" t="s">
        <v>432</v>
      </c>
    </row>
    <row r="3161" spans="1:3">
      <c r="A3161" s="627">
        <v>8997</v>
      </c>
      <c r="B3161" s="628" t="s">
        <v>808</v>
      </c>
      <c r="C3161" s="629" t="s">
        <v>432</v>
      </c>
    </row>
    <row r="3162" spans="1:3">
      <c r="A3162" s="627">
        <v>8998</v>
      </c>
      <c r="B3162" s="628" t="s">
        <v>3130</v>
      </c>
      <c r="C3162" s="629" t="s">
        <v>432</v>
      </c>
    </row>
    <row r="3163" spans="1:3">
      <c r="A3163" s="627">
        <v>8998</v>
      </c>
      <c r="B3163" s="628" t="s">
        <v>809</v>
      </c>
      <c r="C3163" s="629" t="s">
        <v>432</v>
      </c>
    </row>
    <row r="3164" spans="1:3">
      <c r="A3164" s="627">
        <v>8999</v>
      </c>
      <c r="B3164" s="628" t="s">
        <v>3131</v>
      </c>
      <c r="C3164" s="629" t="s">
        <v>432</v>
      </c>
    </row>
    <row r="3165" spans="1:3">
      <c r="A3165" s="627">
        <v>8999</v>
      </c>
      <c r="B3165" s="628" t="s">
        <v>810</v>
      </c>
      <c r="C3165" s="629" t="s">
        <v>432</v>
      </c>
    </row>
    <row r="3166" spans="1:3">
      <c r="A3166" s="627">
        <v>9000</v>
      </c>
      <c r="B3166" s="628" t="s">
        <v>811</v>
      </c>
      <c r="C3166" s="629" t="s">
        <v>3180</v>
      </c>
    </row>
    <row r="3167" spans="1:3">
      <c r="A3167" s="627">
        <v>9011</v>
      </c>
      <c r="B3167" s="628" t="s">
        <v>811</v>
      </c>
      <c r="C3167" s="629" t="s">
        <v>3180</v>
      </c>
    </row>
    <row r="3168" spans="1:3">
      <c r="A3168" s="627">
        <v>9012</v>
      </c>
      <c r="B3168" s="628" t="s">
        <v>811</v>
      </c>
      <c r="C3168" s="629" t="s">
        <v>3180</v>
      </c>
    </row>
    <row r="3169" spans="1:3">
      <c r="A3169" s="627">
        <v>9019</v>
      </c>
      <c r="B3169" s="628" t="s">
        <v>811</v>
      </c>
      <c r="C3169" s="629" t="s">
        <v>3180</v>
      </c>
    </row>
    <row r="3170" spans="1:3">
      <c r="A3170" s="627">
        <v>9021</v>
      </c>
      <c r="B3170" s="628" t="s">
        <v>811</v>
      </c>
      <c r="C3170" s="629" t="s">
        <v>3180</v>
      </c>
    </row>
    <row r="3171" spans="1:3">
      <c r="A3171" s="627">
        <v>9022</v>
      </c>
      <c r="B3171" s="628" t="s">
        <v>811</v>
      </c>
      <c r="C3171" s="629" t="s">
        <v>3180</v>
      </c>
    </row>
    <row r="3172" spans="1:3">
      <c r="A3172" s="627">
        <v>9023</v>
      </c>
      <c r="B3172" s="628" t="s">
        <v>811</v>
      </c>
      <c r="C3172" s="629" t="s">
        <v>3180</v>
      </c>
    </row>
    <row r="3173" spans="1:3">
      <c r="A3173" s="627">
        <v>9024</v>
      </c>
      <c r="B3173" s="628" t="s">
        <v>811</v>
      </c>
      <c r="C3173" s="629" t="s">
        <v>3180</v>
      </c>
    </row>
    <row r="3174" spans="1:3">
      <c r="A3174" s="627">
        <v>9025</v>
      </c>
      <c r="B3174" s="628" t="s">
        <v>811</v>
      </c>
      <c r="C3174" s="629" t="s">
        <v>3180</v>
      </c>
    </row>
    <row r="3175" spans="1:3">
      <c r="A3175" s="627">
        <v>9026</v>
      </c>
      <c r="B3175" s="628" t="s">
        <v>811</v>
      </c>
      <c r="C3175" s="629" t="s">
        <v>3180</v>
      </c>
    </row>
    <row r="3176" spans="1:3">
      <c r="A3176" s="627">
        <v>9027</v>
      </c>
      <c r="B3176" s="628" t="s">
        <v>811</v>
      </c>
      <c r="C3176" s="629" t="s">
        <v>3180</v>
      </c>
    </row>
    <row r="3177" spans="1:3">
      <c r="A3177" s="627">
        <v>9028</v>
      </c>
      <c r="B3177" s="628" t="s">
        <v>811</v>
      </c>
      <c r="C3177" s="629" t="s">
        <v>3180</v>
      </c>
    </row>
    <row r="3178" spans="1:3">
      <c r="A3178" s="627">
        <v>9029</v>
      </c>
      <c r="B3178" s="628" t="s">
        <v>811</v>
      </c>
      <c r="C3178" s="629" t="s">
        <v>3180</v>
      </c>
    </row>
    <row r="3179" spans="1:3">
      <c r="A3179" s="627">
        <v>9030</v>
      </c>
      <c r="B3179" s="628" t="s">
        <v>811</v>
      </c>
      <c r="C3179" s="629" t="s">
        <v>3180</v>
      </c>
    </row>
    <row r="3180" spans="1:3">
      <c r="A3180" s="627">
        <v>9061</v>
      </c>
      <c r="B3180" s="628" t="s">
        <v>817</v>
      </c>
      <c r="C3180" s="629" t="s">
        <v>3180</v>
      </c>
    </row>
    <row r="3181" spans="1:3">
      <c r="A3181" s="627">
        <v>9062</v>
      </c>
      <c r="B3181" s="628" t="s">
        <v>3136</v>
      </c>
      <c r="C3181" s="629" t="s">
        <v>3180</v>
      </c>
    </row>
    <row r="3182" spans="1:3">
      <c r="A3182" s="627">
        <v>9062</v>
      </c>
      <c r="B3182" s="628" t="s">
        <v>818</v>
      </c>
      <c r="C3182" s="629" t="s">
        <v>3180</v>
      </c>
    </row>
    <row r="3183" spans="1:3">
      <c r="A3183" s="627">
        <v>9063</v>
      </c>
      <c r="B3183" s="628" t="s">
        <v>819</v>
      </c>
      <c r="C3183" s="629" t="s">
        <v>3180</v>
      </c>
    </row>
    <row r="3184" spans="1:3">
      <c r="A3184" s="627">
        <v>9071</v>
      </c>
      <c r="B3184" s="628" t="s">
        <v>2858</v>
      </c>
      <c r="C3184" s="629" t="s">
        <v>3180</v>
      </c>
    </row>
    <row r="3185" spans="1:3">
      <c r="A3185" s="627">
        <v>9072</v>
      </c>
      <c r="B3185" s="628" t="s">
        <v>2859</v>
      </c>
      <c r="C3185" s="629" t="s">
        <v>3180</v>
      </c>
    </row>
    <row r="3186" spans="1:3">
      <c r="A3186" s="627">
        <v>9073</v>
      </c>
      <c r="B3186" s="628" t="s">
        <v>3137</v>
      </c>
      <c r="C3186" s="629" t="s">
        <v>3180</v>
      </c>
    </row>
    <row r="3187" spans="1:3">
      <c r="A3187" s="627">
        <v>9074</v>
      </c>
      <c r="B3187" s="628" t="s">
        <v>2861</v>
      </c>
      <c r="C3187" s="629" t="s">
        <v>3180</v>
      </c>
    </row>
    <row r="3188" spans="1:3">
      <c r="A3188" s="627">
        <v>9081</v>
      </c>
      <c r="B3188" s="628" t="s">
        <v>2862</v>
      </c>
      <c r="C3188" s="629" t="s">
        <v>3180</v>
      </c>
    </row>
    <row r="3189" spans="1:3">
      <c r="A3189" s="627">
        <v>9082</v>
      </c>
      <c r="B3189" s="628" t="s">
        <v>2863</v>
      </c>
      <c r="C3189" s="629" t="s">
        <v>3180</v>
      </c>
    </row>
    <row r="3190" spans="1:3">
      <c r="A3190" s="627">
        <v>9083</v>
      </c>
      <c r="B3190" s="628" t="s">
        <v>2864</v>
      </c>
      <c r="C3190" s="629" t="s">
        <v>3180</v>
      </c>
    </row>
    <row r="3191" spans="1:3">
      <c r="A3191" s="627">
        <v>9084</v>
      </c>
      <c r="B3191" s="628" t="s">
        <v>2865</v>
      </c>
      <c r="C3191" s="629" t="s">
        <v>3180</v>
      </c>
    </row>
    <row r="3192" spans="1:3">
      <c r="A3192" s="627">
        <v>9085</v>
      </c>
      <c r="B3192" s="628" t="s">
        <v>2866</v>
      </c>
      <c r="C3192" s="629" t="s">
        <v>3180</v>
      </c>
    </row>
    <row r="3193" spans="1:3">
      <c r="A3193" s="627">
        <v>9086</v>
      </c>
      <c r="B3193" s="628" t="s">
        <v>2867</v>
      </c>
      <c r="C3193" s="629" t="s">
        <v>3180</v>
      </c>
    </row>
    <row r="3194" spans="1:3">
      <c r="A3194" s="627">
        <v>9088</v>
      </c>
      <c r="B3194" s="628" t="s">
        <v>1318</v>
      </c>
      <c r="C3194" s="629" t="s">
        <v>3180</v>
      </c>
    </row>
    <row r="3195" spans="1:3">
      <c r="A3195" s="627">
        <v>9089</v>
      </c>
      <c r="B3195" s="628" t="s">
        <v>1319</v>
      </c>
      <c r="C3195" s="629" t="s">
        <v>3180</v>
      </c>
    </row>
    <row r="3196" spans="1:3">
      <c r="A3196" s="627">
        <v>9090</v>
      </c>
      <c r="B3196" s="628" t="s">
        <v>2868</v>
      </c>
      <c r="C3196" s="629" t="s">
        <v>3180</v>
      </c>
    </row>
    <row r="3197" spans="1:3">
      <c r="A3197" s="627">
        <v>9091</v>
      </c>
      <c r="B3197" s="628" t="s">
        <v>2869</v>
      </c>
      <c r="C3197" s="629" t="s">
        <v>3180</v>
      </c>
    </row>
    <row r="3198" spans="1:3">
      <c r="A3198" s="627">
        <v>9092</v>
      </c>
      <c r="B3198" s="628" t="s">
        <v>2870</v>
      </c>
      <c r="C3198" s="629" t="s">
        <v>3180</v>
      </c>
    </row>
    <row r="3199" spans="1:3">
      <c r="A3199" s="627">
        <v>9093</v>
      </c>
      <c r="B3199" s="628" t="s">
        <v>2871</v>
      </c>
      <c r="C3199" s="629" t="s">
        <v>3180</v>
      </c>
    </row>
    <row r="3200" spans="1:3">
      <c r="A3200" s="627">
        <v>9094</v>
      </c>
      <c r="B3200" s="628" t="s">
        <v>2872</v>
      </c>
      <c r="C3200" s="629" t="s">
        <v>3180</v>
      </c>
    </row>
    <row r="3201" spans="1:3">
      <c r="A3201" s="627">
        <v>9095</v>
      </c>
      <c r="B3201" s="628" t="s">
        <v>2873</v>
      </c>
      <c r="C3201" s="629" t="s">
        <v>3180</v>
      </c>
    </row>
    <row r="3202" spans="1:3">
      <c r="A3202" s="627">
        <v>9096</v>
      </c>
      <c r="B3202" s="628" t="s">
        <v>2874</v>
      </c>
      <c r="C3202" s="629" t="s">
        <v>3180</v>
      </c>
    </row>
    <row r="3203" spans="1:3">
      <c r="A3203" s="627">
        <v>9097</v>
      </c>
      <c r="B3203" s="628" t="s">
        <v>2875</v>
      </c>
      <c r="C3203" s="629" t="s">
        <v>3180</v>
      </c>
    </row>
    <row r="3204" spans="1:3">
      <c r="A3204" s="627">
        <v>9098</v>
      </c>
      <c r="B3204" s="628" t="s">
        <v>2875</v>
      </c>
      <c r="C3204" s="629" t="s">
        <v>3180</v>
      </c>
    </row>
    <row r="3205" spans="1:3">
      <c r="A3205" s="627">
        <v>9099</v>
      </c>
      <c r="B3205" s="628" t="s">
        <v>2877</v>
      </c>
      <c r="C3205" s="629" t="s">
        <v>3180</v>
      </c>
    </row>
    <row r="3206" spans="1:3">
      <c r="A3206" s="627">
        <v>9100</v>
      </c>
      <c r="B3206" s="628" t="s">
        <v>2878</v>
      </c>
      <c r="C3206" s="629" t="s">
        <v>3180</v>
      </c>
    </row>
    <row r="3207" spans="1:3">
      <c r="A3207" s="627">
        <v>9111</v>
      </c>
      <c r="B3207" s="628" t="s">
        <v>2879</v>
      </c>
      <c r="C3207" s="629" t="s">
        <v>3180</v>
      </c>
    </row>
    <row r="3208" spans="1:3">
      <c r="A3208" s="627">
        <v>9112</v>
      </c>
      <c r="B3208" s="628" t="s">
        <v>2880</v>
      </c>
      <c r="C3208" s="629" t="s">
        <v>3180</v>
      </c>
    </row>
    <row r="3209" spans="1:3">
      <c r="A3209" s="627">
        <v>9113</v>
      </c>
      <c r="B3209" s="628" t="s">
        <v>2881</v>
      </c>
      <c r="C3209" s="629" t="s">
        <v>3180</v>
      </c>
    </row>
    <row r="3210" spans="1:3">
      <c r="A3210" s="627">
        <v>9121</v>
      </c>
      <c r="B3210" s="628" t="s">
        <v>2882</v>
      </c>
      <c r="C3210" s="629" t="s">
        <v>3180</v>
      </c>
    </row>
    <row r="3211" spans="1:3">
      <c r="A3211" s="627">
        <v>9122</v>
      </c>
      <c r="B3211" s="628" t="s">
        <v>2883</v>
      </c>
      <c r="C3211" s="629" t="s">
        <v>3180</v>
      </c>
    </row>
    <row r="3212" spans="1:3">
      <c r="A3212" s="627">
        <v>9123</v>
      </c>
      <c r="B3212" s="628" t="s">
        <v>2884</v>
      </c>
      <c r="C3212" s="629" t="s">
        <v>3180</v>
      </c>
    </row>
    <row r="3213" spans="1:3">
      <c r="A3213" s="627">
        <v>9124</v>
      </c>
      <c r="B3213" s="628" t="s">
        <v>2885</v>
      </c>
      <c r="C3213" s="629" t="s">
        <v>3180</v>
      </c>
    </row>
    <row r="3214" spans="1:3">
      <c r="A3214" s="627">
        <v>9125</v>
      </c>
      <c r="B3214" s="628" t="s">
        <v>2777</v>
      </c>
      <c r="C3214" s="629" t="s">
        <v>3180</v>
      </c>
    </row>
    <row r="3215" spans="1:3">
      <c r="A3215" s="627">
        <v>9126</v>
      </c>
      <c r="B3215" s="628" t="s">
        <v>2778</v>
      </c>
      <c r="C3215" s="629" t="s">
        <v>3180</v>
      </c>
    </row>
    <row r="3216" spans="1:3">
      <c r="A3216" s="627">
        <v>9127</v>
      </c>
      <c r="B3216" s="628" t="s">
        <v>2773</v>
      </c>
      <c r="C3216" s="629" t="s">
        <v>3180</v>
      </c>
    </row>
    <row r="3217" spans="1:3">
      <c r="A3217" s="627">
        <v>9131</v>
      </c>
      <c r="B3217" s="628" t="s">
        <v>2886</v>
      </c>
      <c r="C3217" s="629" t="s">
        <v>3180</v>
      </c>
    </row>
    <row r="3218" spans="1:3">
      <c r="A3218" s="627">
        <v>9132</v>
      </c>
      <c r="B3218" s="628" t="s">
        <v>2887</v>
      </c>
      <c r="C3218" s="629" t="s">
        <v>3180</v>
      </c>
    </row>
    <row r="3219" spans="1:3">
      <c r="A3219" s="627">
        <v>9133</v>
      </c>
      <c r="B3219" s="628" t="s">
        <v>3139</v>
      </c>
      <c r="C3219" s="629" t="s">
        <v>3180</v>
      </c>
    </row>
    <row r="3220" spans="1:3">
      <c r="A3220" s="627">
        <v>9133</v>
      </c>
      <c r="B3220" s="628" t="s">
        <v>2888</v>
      </c>
      <c r="C3220" s="629" t="s">
        <v>3180</v>
      </c>
    </row>
    <row r="3221" spans="1:3">
      <c r="A3221" s="627">
        <v>9134</v>
      </c>
      <c r="B3221" s="628" t="s">
        <v>2889</v>
      </c>
      <c r="C3221" s="629" t="s">
        <v>3180</v>
      </c>
    </row>
    <row r="3222" spans="1:3">
      <c r="A3222" s="627">
        <v>9135</v>
      </c>
      <c r="B3222" s="628" t="s">
        <v>2890</v>
      </c>
      <c r="C3222" s="629" t="s">
        <v>3180</v>
      </c>
    </row>
    <row r="3223" spans="1:3">
      <c r="A3223" s="627">
        <v>9136</v>
      </c>
      <c r="B3223" s="628" t="s">
        <v>3140</v>
      </c>
      <c r="C3223" s="629" t="s">
        <v>3180</v>
      </c>
    </row>
    <row r="3224" spans="1:3">
      <c r="A3224" s="627">
        <v>9136</v>
      </c>
      <c r="B3224" s="628" t="s">
        <v>2891</v>
      </c>
      <c r="C3224" s="629" t="s">
        <v>3180</v>
      </c>
    </row>
    <row r="3225" spans="1:3">
      <c r="A3225" s="627">
        <v>9141</v>
      </c>
      <c r="B3225" s="628" t="s">
        <v>2892</v>
      </c>
      <c r="C3225" s="629" t="s">
        <v>3180</v>
      </c>
    </row>
    <row r="3226" spans="1:3">
      <c r="A3226" s="627">
        <v>9142</v>
      </c>
      <c r="B3226" s="628" t="s">
        <v>2893</v>
      </c>
      <c r="C3226" s="629" t="s">
        <v>3180</v>
      </c>
    </row>
    <row r="3227" spans="1:3">
      <c r="A3227" s="627">
        <v>9143</v>
      </c>
      <c r="B3227" s="628" t="s">
        <v>2894</v>
      </c>
      <c r="C3227" s="629" t="s">
        <v>3180</v>
      </c>
    </row>
    <row r="3228" spans="1:3">
      <c r="A3228" s="627">
        <v>9144</v>
      </c>
      <c r="B3228" s="628" t="s">
        <v>2895</v>
      </c>
      <c r="C3228" s="629" t="s">
        <v>3180</v>
      </c>
    </row>
    <row r="3229" spans="1:3">
      <c r="A3229" s="627">
        <v>9145</v>
      </c>
      <c r="B3229" s="628" t="s">
        <v>2896</v>
      </c>
      <c r="C3229" s="629" t="s">
        <v>3180</v>
      </c>
    </row>
    <row r="3230" spans="1:3">
      <c r="A3230" s="627">
        <v>9146</v>
      </c>
      <c r="B3230" s="628" t="s">
        <v>2897</v>
      </c>
      <c r="C3230" s="629" t="s">
        <v>3180</v>
      </c>
    </row>
    <row r="3231" spans="1:3">
      <c r="A3231" s="627">
        <v>9147</v>
      </c>
      <c r="B3231" s="628" t="s">
        <v>2898</v>
      </c>
      <c r="C3231" s="629" t="s">
        <v>3180</v>
      </c>
    </row>
    <row r="3232" spans="1:3">
      <c r="A3232" s="627">
        <v>9151</v>
      </c>
      <c r="B3232" s="628" t="s">
        <v>2899</v>
      </c>
      <c r="C3232" s="629" t="s">
        <v>3180</v>
      </c>
    </row>
    <row r="3233" spans="1:3">
      <c r="A3233" s="627">
        <v>9152</v>
      </c>
      <c r="B3233" s="628" t="s">
        <v>2900</v>
      </c>
      <c r="C3233" s="629" t="s">
        <v>3180</v>
      </c>
    </row>
    <row r="3234" spans="1:3">
      <c r="A3234" s="627">
        <v>9153</v>
      </c>
      <c r="B3234" s="628" t="s">
        <v>2901</v>
      </c>
      <c r="C3234" s="629" t="s">
        <v>3180</v>
      </c>
    </row>
    <row r="3235" spans="1:3">
      <c r="A3235" s="627">
        <v>9154</v>
      </c>
      <c r="B3235" s="628" t="s">
        <v>919</v>
      </c>
      <c r="C3235" s="629" t="s">
        <v>3180</v>
      </c>
    </row>
    <row r="3236" spans="1:3">
      <c r="A3236" s="627">
        <v>9155</v>
      </c>
      <c r="B3236" s="628" t="s">
        <v>920</v>
      </c>
      <c r="C3236" s="629" t="s">
        <v>3180</v>
      </c>
    </row>
    <row r="3237" spans="1:3">
      <c r="A3237" s="627">
        <v>9161</v>
      </c>
      <c r="B3237" s="628" t="s">
        <v>921</v>
      </c>
      <c r="C3237" s="629" t="s">
        <v>3180</v>
      </c>
    </row>
    <row r="3238" spans="1:3">
      <c r="A3238" s="627">
        <v>9162</v>
      </c>
      <c r="B3238" s="628" t="s">
        <v>922</v>
      </c>
      <c r="C3238" s="629" t="s">
        <v>3180</v>
      </c>
    </row>
    <row r="3239" spans="1:3">
      <c r="A3239" s="627">
        <v>9163</v>
      </c>
      <c r="B3239" s="628" t="s">
        <v>923</v>
      </c>
      <c r="C3239" s="629" t="s">
        <v>3180</v>
      </c>
    </row>
    <row r="3240" spans="1:3">
      <c r="A3240" s="627">
        <v>9164</v>
      </c>
      <c r="B3240" s="628" t="s">
        <v>924</v>
      </c>
      <c r="C3240" s="629" t="s">
        <v>3180</v>
      </c>
    </row>
    <row r="3241" spans="1:3">
      <c r="A3241" s="627">
        <v>9165</v>
      </c>
      <c r="B3241" s="628" t="s">
        <v>3142</v>
      </c>
      <c r="C3241" s="629" t="s">
        <v>3180</v>
      </c>
    </row>
    <row r="3242" spans="1:3">
      <c r="A3242" s="627">
        <v>9165</v>
      </c>
      <c r="B3242" s="628" t="s">
        <v>2145</v>
      </c>
      <c r="C3242" s="629" t="s">
        <v>3180</v>
      </c>
    </row>
    <row r="3243" spans="1:3">
      <c r="A3243" s="627">
        <v>9165</v>
      </c>
      <c r="B3243" s="628" t="s">
        <v>3238</v>
      </c>
      <c r="C3243" s="629" t="s">
        <v>3180</v>
      </c>
    </row>
    <row r="3244" spans="1:3">
      <c r="A3244" s="627">
        <v>9167</v>
      </c>
      <c r="B3244" s="628" t="s">
        <v>3239</v>
      </c>
      <c r="C3244" s="629" t="s">
        <v>3180</v>
      </c>
    </row>
    <row r="3245" spans="1:3">
      <c r="A3245" s="627">
        <v>9168</v>
      </c>
      <c r="B3245" s="628" t="s">
        <v>3240</v>
      </c>
      <c r="C3245" s="629" t="s">
        <v>3180</v>
      </c>
    </row>
    <row r="3246" spans="1:3">
      <c r="A3246" s="627">
        <v>9169</v>
      </c>
      <c r="B3246" s="628" t="s">
        <v>2146</v>
      </c>
      <c r="C3246" s="629" t="s">
        <v>3180</v>
      </c>
    </row>
    <row r="3247" spans="1:3">
      <c r="A3247" s="627">
        <v>9169</v>
      </c>
      <c r="B3247" s="628" t="s">
        <v>3241</v>
      </c>
      <c r="C3247" s="629" t="s">
        <v>3180</v>
      </c>
    </row>
    <row r="3248" spans="1:3">
      <c r="A3248" s="627">
        <v>9171</v>
      </c>
      <c r="B3248" s="628" t="s">
        <v>3242</v>
      </c>
      <c r="C3248" s="629" t="s">
        <v>3180</v>
      </c>
    </row>
    <row r="3249" spans="1:3">
      <c r="A3249" s="627">
        <v>9172</v>
      </c>
      <c r="B3249" s="628" t="s">
        <v>3243</v>
      </c>
      <c r="C3249" s="629" t="s">
        <v>3180</v>
      </c>
    </row>
    <row r="3250" spans="1:3">
      <c r="A3250" s="627">
        <v>9173</v>
      </c>
      <c r="B3250" s="628" t="s">
        <v>3244</v>
      </c>
      <c r="C3250" s="629" t="s">
        <v>3180</v>
      </c>
    </row>
    <row r="3251" spans="1:3">
      <c r="A3251" s="627">
        <v>9174</v>
      </c>
      <c r="B3251" s="628" t="s">
        <v>3245</v>
      </c>
      <c r="C3251" s="629" t="s">
        <v>3180</v>
      </c>
    </row>
    <row r="3252" spans="1:3">
      <c r="A3252" s="627">
        <v>9175</v>
      </c>
      <c r="B3252" s="628" t="s">
        <v>3246</v>
      </c>
      <c r="C3252" s="629" t="s">
        <v>3180</v>
      </c>
    </row>
    <row r="3253" spans="1:3">
      <c r="A3253" s="627">
        <v>9176</v>
      </c>
      <c r="B3253" s="628" t="s">
        <v>3247</v>
      </c>
      <c r="C3253" s="629" t="s">
        <v>3180</v>
      </c>
    </row>
    <row r="3254" spans="1:3">
      <c r="A3254" s="627">
        <v>9177</v>
      </c>
      <c r="B3254" s="628" t="s">
        <v>3248</v>
      </c>
      <c r="C3254" s="629" t="s">
        <v>3180</v>
      </c>
    </row>
    <row r="3255" spans="1:3">
      <c r="A3255" s="627">
        <v>9178</v>
      </c>
      <c r="B3255" s="628" t="s">
        <v>3249</v>
      </c>
      <c r="C3255" s="629" t="s">
        <v>3180</v>
      </c>
    </row>
    <row r="3256" spans="1:3">
      <c r="A3256" s="627">
        <v>9181</v>
      </c>
      <c r="B3256" s="628" t="s">
        <v>2147</v>
      </c>
      <c r="C3256" s="629" t="s">
        <v>3180</v>
      </c>
    </row>
    <row r="3257" spans="1:3">
      <c r="A3257" s="627">
        <v>9182</v>
      </c>
      <c r="B3257" s="628" t="s">
        <v>3251</v>
      </c>
      <c r="C3257" s="629" t="s">
        <v>3180</v>
      </c>
    </row>
    <row r="3258" spans="1:3">
      <c r="A3258" s="627">
        <v>9183</v>
      </c>
      <c r="B3258" s="628" t="s">
        <v>919</v>
      </c>
      <c r="C3258" s="629" t="s">
        <v>3180</v>
      </c>
    </row>
    <row r="3259" spans="1:3">
      <c r="A3259" s="627">
        <v>9184</v>
      </c>
      <c r="B3259" s="628" t="s">
        <v>3253</v>
      </c>
      <c r="C3259" s="629" t="s">
        <v>3180</v>
      </c>
    </row>
    <row r="3260" spans="1:3">
      <c r="A3260" s="627">
        <v>9200</v>
      </c>
      <c r="B3260" s="628" t="s">
        <v>3254</v>
      </c>
      <c r="C3260" s="629" t="s">
        <v>3180</v>
      </c>
    </row>
    <row r="3261" spans="1:3">
      <c r="A3261" s="627">
        <v>9211</v>
      </c>
      <c r="B3261" s="628" t="s">
        <v>3255</v>
      </c>
      <c r="C3261" s="629" t="s">
        <v>3180</v>
      </c>
    </row>
    <row r="3262" spans="1:3">
      <c r="A3262" s="627">
        <v>9221</v>
      </c>
      <c r="B3262" s="628" t="s">
        <v>3256</v>
      </c>
      <c r="C3262" s="629" t="s">
        <v>3180</v>
      </c>
    </row>
    <row r="3263" spans="1:3">
      <c r="A3263" s="627">
        <v>9222</v>
      </c>
      <c r="B3263" s="628" t="s">
        <v>3257</v>
      </c>
      <c r="C3263" s="629" t="s">
        <v>3180</v>
      </c>
    </row>
    <row r="3264" spans="1:3">
      <c r="A3264" s="627">
        <v>9223</v>
      </c>
      <c r="B3264" s="628" t="s">
        <v>3258</v>
      </c>
      <c r="C3264" s="629" t="s">
        <v>3180</v>
      </c>
    </row>
    <row r="3265" spans="1:3">
      <c r="A3265" s="627">
        <v>9224</v>
      </c>
      <c r="B3265" s="628" t="s">
        <v>3259</v>
      </c>
      <c r="C3265" s="629" t="s">
        <v>3180</v>
      </c>
    </row>
    <row r="3266" spans="1:3">
      <c r="A3266" s="627">
        <v>9225</v>
      </c>
      <c r="B3266" s="628" t="s">
        <v>3260</v>
      </c>
      <c r="C3266" s="629" t="s">
        <v>3180</v>
      </c>
    </row>
    <row r="3267" spans="1:3">
      <c r="A3267" s="627">
        <v>9226</v>
      </c>
      <c r="B3267" s="628" t="s">
        <v>3261</v>
      </c>
      <c r="C3267" s="629" t="s">
        <v>3180</v>
      </c>
    </row>
    <row r="3268" spans="1:3">
      <c r="A3268" s="627">
        <v>9228</v>
      </c>
      <c r="B3268" s="628" t="s">
        <v>3262</v>
      </c>
      <c r="C3268" s="629" t="s">
        <v>3180</v>
      </c>
    </row>
    <row r="3269" spans="1:3">
      <c r="A3269" s="627">
        <v>9231</v>
      </c>
      <c r="B3269" s="628" t="s">
        <v>3263</v>
      </c>
      <c r="C3269" s="629" t="s">
        <v>3180</v>
      </c>
    </row>
    <row r="3270" spans="1:3">
      <c r="A3270" s="627">
        <v>9232</v>
      </c>
      <c r="B3270" s="628" t="s">
        <v>3264</v>
      </c>
      <c r="C3270" s="629" t="s">
        <v>3180</v>
      </c>
    </row>
    <row r="3271" spans="1:3">
      <c r="A3271" s="627">
        <v>9233</v>
      </c>
      <c r="B3271" s="628" t="s">
        <v>3265</v>
      </c>
      <c r="C3271" s="629" t="s">
        <v>3180</v>
      </c>
    </row>
    <row r="3272" spans="1:3">
      <c r="A3272" s="627">
        <v>9234</v>
      </c>
      <c r="B3272" s="628" t="s">
        <v>3266</v>
      </c>
      <c r="C3272" s="629" t="s">
        <v>3180</v>
      </c>
    </row>
    <row r="3273" spans="1:3">
      <c r="A3273" s="627">
        <v>9235</v>
      </c>
      <c r="B3273" s="628" t="s">
        <v>6</v>
      </c>
      <c r="C3273" s="629" t="s">
        <v>3180</v>
      </c>
    </row>
    <row r="3274" spans="1:3">
      <c r="A3274" s="627">
        <v>9235</v>
      </c>
      <c r="B3274" s="628" t="s">
        <v>3267</v>
      </c>
      <c r="C3274" s="629" t="s">
        <v>3180</v>
      </c>
    </row>
    <row r="3275" spans="1:3">
      <c r="A3275" s="627">
        <v>9241</v>
      </c>
      <c r="B3275" s="628" t="s">
        <v>3268</v>
      </c>
      <c r="C3275" s="629" t="s">
        <v>3180</v>
      </c>
    </row>
    <row r="3276" spans="1:3">
      <c r="A3276" s="627">
        <v>9242</v>
      </c>
      <c r="B3276" s="628" t="s">
        <v>3268</v>
      </c>
      <c r="C3276" s="629" t="s">
        <v>3180</v>
      </c>
    </row>
    <row r="3277" spans="1:3">
      <c r="A3277" s="627">
        <v>9243</v>
      </c>
      <c r="B3277" s="628" t="s">
        <v>3269</v>
      </c>
      <c r="C3277" s="629" t="s">
        <v>3180</v>
      </c>
    </row>
    <row r="3278" spans="1:3">
      <c r="A3278" s="627">
        <v>9244</v>
      </c>
      <c r="B3278" s="628" t="s">
        <v>3270</v>
      </c>
      <c r="C3278" s="629" t="s">
        <v>3180</v>
      </c>
    </row>
    <row r="3279" spans="1:3">
      <c r="A3279" s="627">
        <v>9245</v>
      </c>
      <c r="B3279" s="628" t="s">
        <v>3271</v>
      </c>
      <c r="C3279" s="629" t="s">
        <v>3180</v>
      </c>
    </row>
    <row r="3280" spans="1:3">
      <c r="A3280" s="61">
        <v>9246</v>
      </c>
      <c r="B3280" s="637" t="s">
        <v>3660</v>
      </c>
      <c r="C3280" s="629" t="s">
        <v>3180</v>
      </c>
    </row>
    <row r="3281" spans="1:3">
      <c r="A3281" s="627">
        <v>9300</v>
      </c>
      <c r="B3281" s="628" t="s">
        <v>9</v>
      </c>
      <c r="C3281" s="629" t="s">
        <v>3180</v>
      </c>
    </row>
    <row r="3282" spans="1:3">
      <c r="A3282" s="627">
        <v>9311</v>
      </c>
      <c r="B3282" s="628" t="s">
        <v>3273</v>
      </c>
      <c r="C3282" s="629" t="s">
        <v>3180</v>
      </c>
    </row>
    <row r="3283" spans="1:3">
      <c r="A3283" s="627">
        <v>9312</v>
      </c>
      <c r="B3283" s="628" t="s">
        <v>3274</v>
      </c>
      <c r="C3283" s="629" t="s">
        <v>3180</v>
      </c>
    </row>
    <row r="3284" spans="1:3">
      <c r="A3284" s="627">
        <v>9313</v>
      </c>
      <c r="B3284" s="628" t="s">
        <v>3275</v>
      </c>
      <c r="C3284" s="629" t="s">
        <v>3180</v>
      </c>
    </row>
    <row r="3285" spans="1:3">
      <c r="A3285" s="627">
        <v>9314</v>
      </c>
      <c r="B3285" s="628" t="s">
        <v>3276</v>
      </c>
      <c r="C3285" s="629" t="s">
        <v>3180</v>
      </c>
    </row>
    <row r="3286" spans="1:3">
      <c r="A3286" s="627">
        <v>9315</v>
      </c>
      <c r="B3286" s="628" t="s">
        <v>3277</v>
      </c>
      <c r="C3286" s="629" t="s">
        <v>3180</v>
      </c>
    </row>
    <row r="3287" spans="1:3">
      <c r="A3287" s="627">
        <v>9316</v>
      </c>
      <c r="B3287" s="628" t="s">
        <v>3278</v>
      </c>
      <c r="C3287" s="629" t="s">
        <v>3180</v>
      </c>
    </row>
    <row r="3288" spans="1:3">
      <c r="A3288" s="627">
        <v>9317</v>
      </c>
      <c r="B3288" s="628" t="s">
        <v>3279</v>
      </c>
      <c r="C3288" s="629" t="s">
        <v>3180</v>
      </c>
    </row>
    <row r="3289" spans="1:3">
      <c r="A3289" s="627">
        <v>9321</v>
      </c>
      <c r="B3289" s="628" t="s">
        <v>3830</v>
      </c>
      <c r="C3289" s="629" t="s">
        <v>3180</v>
      </c>
    </row>
    <row r="3290" spans="1:3">
      <c r="A3290" s="627">
        <v>9322</v>
      </c>
      <c r="B3290" s="628" t="s">
        <v>3831</v>
      </c>
      <c r="C3290" s="629" t="s">
        <v>3180</v>
      </c>
    </row>
    <row r="3291" spans="1:3">
      <c r="A3291" s="627">
        <v>9323</v>
      </c>
      <c r="B3291" s="628" t="s">
        <v>3832</v>
      </c>
      <c r="C3291" s="629" t="s">
        <v>3180</v>
      </c>
    </row>
    <row r="3292" spans="1:3">
      <c r="A3292" s="627">
        <v>9324</v>
      </c>
      <c r="B3292" s="628" t="s">
        <v>10</v>
      </c>
      <c r="C3292" s="629" t="s">
        <v>3180</v>
      </c>
    </row>
    <row r="3293" spans="1:3">
      <c r="A3293" s="627">
        <v>9324</v>
      </c>
      <c r="B3293" s="628" t="s">
        <v>3833</v>
      </c>
      <c r="C3293" s="629" t="s">
        <v>3180</v>
      </c>
    </row>
    <row r="3294" spans="1:3">
      <c r="A3294" s="627">
        <v>9325</v>
      </c>
      <c r="B3294" s="628" t="s">
        <v>3834</v>
      </c>
      <c r="C3294" s="629" t="s">
        <v>3180</v>
      </c>
    </row>
    <row r="3295" spans="1:3">
      <c r="A3295" s="627">
        <v>9326</v>
      </c>
      <c r="B3295" s="628" t="s">
        <v>3839</v>
      </c>
      <c r="C3295" s="629" t="s">
        <v>3180</v>
      </c>
    </row>
    <row r="3296" spans="1:3">
      <c r="A3296" s="627">
        <v>9327</v>
      </c>
      <c r="B3296" s="628" t="s">
        <v>11</v>
      </c>
      <c r="C3296" s="629" t="s">
        <v>3180</v>
      </c>
    </row>
    <row r="3297" spans="1:3">
      <c r="A3297" s="627">
        <v>9327</v>
      </c>
      <c r="B3297" s="628" t="s">
        <v>3840</v>
      </c>
      <c r="C3297" s="629" t="s">
        <v>3180</v>
      </c>
    </row>
    <row r="3298" spans="1:3">
      <c r="A3298" s="627">
        <v>9330</v>
      </c>
      <c r="B3298" s="628" t="s">
        <v>3841</v>
      </c>
      <c r="C3298" s="629" t="s">
        <v>3180</v>
      </c>
    </row>
    <row r="3299" spans="1:3">
      <c r="A3299" s="627">
        <v>9339</v>
      </c>
      <c r="B3299" s="628" t="s">
        <v>3841</v>
      </c>
      <c r="C3299" s="629" t="s">
        <v>3180</v>
      </c>
    </row>
    <row r="3300" spans="1:3">
      <c r="A3300" s="627">
        <v>9341</v>
      </c>
      <c r="B3300" s="628" t="s">
        <v>3843</v>
      </c>
      <c r="C3300" s="629" t="s">
        <v>3180</v>
      </c>
    </row>
    <row r="3301" spans="1:3">
      <c r="A3301" s="627">
        <v>9342</v>
      </c>
      <c r="B3301" s="628" t="s">
        <v>3844</v>
      </c>
      <c r="C3301" s="629" t="s">
        <v>3180</v>
      </c>
    </row>
    <row r="3302" spans="1:3">
      <c r="A3302" s="627">
        <v>9343</v>
      </c>
      <c r="B3302" s="628" t="s">
        <v>13</v>
      </c>
      <c r="C3302" s="629" t="s">
        <v>3180</v>
      </c>
    </row>
    <row r="3303" spans="1:3">
      <c r="A3303" s="627">
        <v>9343</v>
      </c>
      <c r="B3303" s="628" t="s">
        <v>14</v>
      </c>
      <c r="C3303" s="629" t="s">
        <v>3180</v>
      </c>
    </row>
    <row r="3304" spans="1:3">
      <c r="A3304" s="627">
        <v>9343</v>
      </c>
      <c r="B3304" s="628" t="s">
        <v>15</v>
      </c>
      <c r="C3304" s="629" t="s">
        <v>3180</v>
      </c>
    </row>
    <row r="3305" spans="1:3">
      <c r="A3305" s="627">
        <v>9344</v>
      </c>
      <c r="B3305" s="628" t="s">
        <v>3846</v>
      </c>
      <c r="C3305" s="629" t="s">
        <v>3180</v>
      </c>
    </row>
    <row r="3306" spans="1:3">
      <c r="A3306" s="627">
        <v>9345</v>
      </c>
      <c r="B3306" s="628" t="s">
        <v>3847</v>
      </c>
      <c r="C3306" s="629" t="s">
        <v>3180</v>
      </c>
    </row>
    <row r="3307" spans="1:3">
      <c r="A3307" s="627">
        <v>9346</v>
      </c>
      <c r="B3307" s="628" t="s">
        <v>16</v>
      </c>
      <c r="C3307" s="629" t="s">
        <v>3180</v>
      </c>
    </row>
    <row r="3308" spans="1:3">
      <c r="A3308" s="627">
        <v>9346</v>
      </c>
      <c r="B3308" s="628" t="s">
        <v>17</v>
      </c>
      <c r="C3308" s="629" t="s">
        <v>3180</v>
      </c>
    </row>
    <row r="3309" spans="1:3">
      <c r="A3309" s="627">
        <v>9346</v>
      </c>
      <c r="B3309" s="628" t="s">
        <v>3848</v>
      </c>
      <c r="C3309" s="629" t="s">
        <v>3180</v>
      </c>
    </row>
    <row r="3310" spans="1:3">
      <c r="A3310" s="627">
        <v>9351</v>
      </c>
      <c r="B3310" s="628" t="s">
        <v>3849</v>
      </c>
      <c r="C3310" s="629" t="s">
        <v>3180</v>
      </c>
    </row>
    <row r="3311" spans="1:3">
      <c r="A3311" s="627">
        <v>9352</v>
      </c>
      <c r="B3311" s="628" t="s">
        <v>3850</v>
      </c>
      <c r="C3311" s="629" t="s">
        <v>3180</v>
      </c>
    </row>
    <row r="3312" spans="1:3">
      <c r="A3312" s="627">
        <v>9353</v>
      </c>
      <c r="B3312" s="628" t="s">
        <v>3851</v>
      </c>
      <c r="C3312" s="629" t="s">
        <v>3180</v>
      </c>
    </row>
    <row r="3313" spans="1:3">
      <c r="A3313" s="627">
        <v>9354</v>
      </c>
      <c r="B3313" s="628" t="s">
        <v>3852</v>
      </c>
      <c r="C3313" s="629" t="s">
        <v>3180</v>
      </c>
    </row>
    <row r="3314" spans="1:3">
      <c r="A3314" s="627">
        <v>9361</v>
      </c>
      <c r="B3314" s="628" t="s">
        <v>3853</v>
      </c>
      <c r="C3314" s="629" t="s">
        <v>3180</v>
      </c>
    </row>
    <row r="3315" spans="1:3">
      <c r="A3315" s="627">
        <v>9362</v>
      </c>
      <c r="B3315" s="628" t="s">
        <v>3854</v>
      </c>
      <c r="C3315" s="629" t="s">
        <v>3180</v>
      </c>
    </row>
    <row r="3316" spans="1:3">
      <c r="A3316" s="627">
        <v>9363</v>
      </c>
      <c r="B3316" s="628" t="s">
        <v>3855</v>
      </c>
      <c r="C3316" s="629" t="s">
        <v>3180</v>
      </c>
    </row>
    <row r="3317" spans="1:3">
      <c r="A3317" s="627">
        <v>9363</v>
      </c>
      <c r="B3317" s="631" t="s">
        <v>3855</v>
      </c>
      <c r="C3317" s="632" t="s">
        <v>423</v>
      </c>
    </row>
    <row r="3318" spans="1:3">
      <c r="A3318" s="627">
        <v>9364</v>
      </c>
      <c r="B3318" s="628" t="s">
        <v>3666</v>
      </c>
      <c r="C3318" s="629" t="s">
        <v>406</v>
      </c>
    </row>
    <row r="3319" spans="1:3">
      <c r="A3319" s="627">
        <v>9365</v>
      </c>
      <c r="B3319" s="628" t="s">
        <v>3857</v>
      </c>
      <c r="C3319" s="629" t="s">
        <v>3180</v>
      </c>
    </row>
    <row r="3320" spans="1:3">
      <c r="A3320" s="627">
        <v>9371</v>
      </c>
      <c r="B3320" s="628" t="s">
        <v>3858</v>
      </c>
      <c r="C3320" s="629" t="s">
        <v>3180</v>
      </c>
    </row>
    <row r="3321" spans="1:3">
      <c r="A3321" s="627">
        <v>9372</v>
      </c>
      <c r="B3321" s="628" t="s">
        <v>3859</v>
      </c>
      <c r="C3321" s="629" t="s">
        <v>3180</v>
      </c>
    </row>
    <row r="3322" spans="1:3">
      <c r="A3322" s="627">
        <v>9373</v>
      </c>
      <c r="B3322" s="628" t="s">
        <v>3860</v>
      </c>
      <c r="C3322" s="629" t="s">
        <v>3180</v>
      </c>
    </row>
    <row r="3323" spans="1:3">
      <c r="A3323" s="627">
        <v>9374</v>
      </c>
      <c r="B3323" s="628" t="s">
        <v>3861</v>
      </c>
      <c r="C3323" s="629" t="s">
        <v>3180</v>
      </c>
    </row>
    <row r="3324" spans="1:3">
      <c r="A3324" s="627">
        <v>9375</v>
      </c>
      <c r="B3324" s="628" t="s">
        <v>4679</v>
      </c>
      <c r="C3324" s="629" t="s">
        <v>3180</v>
      </c>
    </row>
    <row r="3325" spans="1:3">
      <c r="A3325" s="627">
        <v>9375</v>
      </c>
      <c r="B3325" s="628" t="s">
        <v>4680</v>
      </c>
      <c r="C3325" s="629" t="s">
        <v>3180</v>
      </c>
    </row>
    <row r="3326" spans="1:3">
      <c r="A3326" s="627">
        <v>9375</v>
      </c>
      <c r="B3326" s="628" t="s">
        <v>3862</v>
      </c>
      <c r="C3326" s="629" t="s">
        <v>3180</v>
      </c>
    </row>
    <row r="3327" spans="1:3">
      <c r="A3327" s="627">
        <v>9400</v>
      </c>
      <c r="B3327" s="628" t="s">
        <v>3863</v>
      </c>
      <c r="C3327" s="629" t="s">
        <v>3180</v>
      </c>
    </row>
    <row r="3328" spans="1:3">
      <c r="A3328" s="627">
        <v>9407</v>
      </c>
      <c r="B3328" s="628" t="s">
        <v>3863</v>
      </c>
      <c r="C3328" s="629" t="s">
        <v>3180</v>
      </c>
    </row>
    <row r="3329" spans="1:3">
      <c r="A3329" s="627">
        <v>9408</v>
      </c>
      <c r="B3329" s="628" t="s">
        <v>3863</v>
      </c>
      <c r="C3329" s="629" t="s">
        <v>3180</v>
      </c>
    </row>
    <row r="3330" spans="1:3">
      <c r="A3330" s="627">
        <v>9421</v>
      </c>
      <c r="B3330" s="628" t="s">
        <v>3866</v>
      </c>
      <c r="C3330" s="629" t="s">
        <v>3180</v>
      </c>
    </row>
    <row r="3331" spans="1:3">
      <c r="A3331" s="627">
        <v>9422</v>
      </c>
      <c r="B3331" s="628" t="s">
        <v>3867</v>
      </c>
      <c r="C3331" s="629" t="s">
        <v>3180</v>
      </c>
    </row>
    <row r="3332" spans="1:3">
      <c r="A3332" s="627">
        <v>9423</v>
      </c>
      <c r="B3332" s="628" t="s">
        <v>3868</v>
      </c>
      <c r="C3332" s="629" t="s">
        <v>3180</v>
      </c>
    </row>
    <row r="3333" spans="1:3">
      <c r="A3333" s="627">
        <v>9431</v>
      </c>
      <c r="B3333" s="628" t="s">
        <v>4683</v>
      </c>
      <c r="C3333" s="629" t="s">
        <v>3180</v>
      </c>
    </row>
    <row r="3334" spans="1:3">
      <c r="A3334" s="627">
        <v>9433</v>
      </c>
      <c r="B3334" s="628" t="s">
        <v>4683</v>
      </c>
      <c r="C3334" s="629" t="s">
        <v>3180</v>
      </c>
    </row>
    <row r="3335" spans="1:3">
      <c r="A3335" s="627">
        <v>9434</v>
      </c>
      <c r="B3335" s="628" t="s">
        <v>4769</v>
      </c>
      <c r="C3335" s="629" t="s">
        <v>3180</v>
      </c>
    </row>
    <row r="3336" spans="1:3">
      <c r="A3336" s="627">
        <v>9435</v>
      </c>
      <c r="B3336" s="628" t="s">
        <v>4769</v>
      </c>
      <c r="C3336" s="629" t="s">
        <v>3180</v>
      </c>
    </row>
    <row r="3337" spans="1:3">
      <c r="A3337" s="627">
        <v>9436</v>
      </c>
      <c r="B3337" s="628" t="s">
        <v>4770</v>
      </c>
      <c r="C3337" s="629" t="s">
        <v>3180</v>
      </c>
    </row>
    <row r="3338" spans="1:3">
      <c r="A3338" s="627">
        <v>9437</v>
      </c>
      <c r="B3338" s="628" t="s">
        <v>4771</v>
      </c>
      <c r="C3338" s="629" t="s">
        <v>3180</v>
      </c>
    </row>
    <row r="3339" spans="1:3">
      <c r="A3339" s="627">
        <v>9441</v>
      </c>
      <c r="B3339" s="628" t="s">
        <v>4772</v>
      </c>
      <c r="C3339" s="629" t="s">
        <v>3180</v>
      </c>
    </row>
    <row r="3340" spans="1:3">
      <c r="A3340" s="627">
        <v>9442</v>
      </c>
      <c r="B3340" s="628" t="s">
        <v>4773</v>
      </c>
      <c r="C3340" s="629" t="s">
        <v>3180</v>
      </c>
    </row>
    <row r="3341" spans="1:3">
      <c r="A3341" s="627">
        <v>9443</v>
      </c>
      <c r="B3341" s="628" t="s">
        <v>4774</v>
      </c>
      <c r="C3341" s="629" t="s">
        <v>3180</v>
      </c>
    </row>
    <row r="3342" spans="1:3">
      <c r="A3342" s="627">
        <v>9444</v>
      </c>
      <c r="B3342" s="628" t="s">
        <v>4775</v>
      </c>
      <c r="C3342" s="629" t="s">
        <v>3180</v>
      </c>
    </row>
    <row r="3343" spans="1:3">
      <c r="A3343" s="627">
        <v>9451</v>
      </c>
      <c r="B3343" s="628" t="s">
        <v>4687</v>
      </c>
      <c r="C3343" s="629" t="s">
        <v>3180</v>
      </c>
    </row>
    <row r="3344" spans="1:3">
      <c r="A3344" s="627">
        <v>9451</v>
      </c>
      <c r="B3344" s="628" t="s">
        <v>4776</v>
      </c>
      <c r="C3344" s="629" t="s">
        <v>3180</v>
      </c>
    </row>
    <row r="3345" spans="1:3">
      <c r="A3345" s="627">
        <v>9461</v>
      </c>
      <c r="B3345" s="628" t="s">
        <v>4777</v>
      </c>
      <c r="C3345" s="629" t="s">
        <v>3180</v>
      </c>
    </row>
    <row r="3346" spans="1:3">
      <c r="A3346" s="627">
        <v>9462</v>
      </c>
      <c r="B3346" s="628" t="s">
        <v>4778</v>
      </c>
      <c r="C3346" s="629" t="s">
        <v>3180</v>
      </c>
    </row>
    <row r="3347" spans="1:3">
      <c r="A3347" s="627">
        <v>9463</v>
      </c>
      <c r="B3347" s="628" t="s">
        <v>4779</v>
      </c>
      <c r="C3347" s="629" t="s">
        <v>3180</v>
      </c>
    </row>
    <row r="3348" spans="1:3">
      <c r="A3348" s="627">
        <v>9464</v>
      </c>
      <c r="B3348" s="628" t="s">
        <v>4780</v>
      </c>
      <c r="C3348" s="629" t="s">
        <v>3180</v>
      </c>
    </row>
    <row r="3349" spans="1:3">
      <c r="A3349" s="627">
        <v>9471</v>
      </c>
      <c r="B3349" s="628" t="s">
        <v>4781</v>
      </c>
      <c r="C3349" s="629" t="s">
        <v>3180</v>
      </c>
    </row>
    <row r="3350" spans="1:3">
      <c r="A3350" s="627">
        <v>9472</v>
      </c>
      <c r="B3350" s="628" t="s">
        <v>4782</v>
      </c>
      <c r="C3350" s="629" t="s">
        <v>3180</v>
      </c>
    </row>
    <row r="3351" spans="1:3">
      <c r="A3351" s="627">
        <v>9473</v>
      </c>
      <c r="B3351" s="628" t="s">
        <v>4783</v>
      </c>
      <c r="C3351" s="629" t="s">
        <v>3180</v>
      </c>
    </row>
    <row r="3352" spans="1:3">
      <c r="A3352" s="627">
        <v>9474</v>
      </c>
      <c r="B3352" s="628" t="s">
        <v>4688</v>
      </c>
      <c r="C3352" s="629" t="s">
        <v>3180</v>
      </c>
    </row>
    <row r="3353" spans="1:3">
      <c r="A3353" s="627">
        <v>9474</v>
      </c>
      <c r="B3353" s="628" t="s">
        <v>4784</v>
      </c>
      <c r="C3353" s="629" t="s">
        <v>3180</v>
      </c>
    </row>
    <row r="3354" spans="1:3">
      <c r="A3354" s="627">
        <v>9475</v>
      </c>
      <c r="B3354" s="628" t="s">
        <v>4785</v>
      </c>
      <c r="C3354" s="629" t="s">
        <v>3180</v>
      </c>
    </row>
    <row r="3355" spans="1:3">
      <c r="A3355" s="627">
        <v>9476</v>
      </c>
      <c r="B3355" s="628" t="s">
        <v>4786</v>
      </c>
      <c r="C3355" s="629" t="s">
        <v>3180</v>
      </c>
    </row>
    <row r="3356" spans="1:3">
      <c r="A3356" s="627">
        <v>9481</v>
      </c>
      <c r="B3356" s="628" t="s">
        <v>4787</v>
      </c>
      <c r="C3356" s="629" t="s">
        <v>3180</v>
      </c>
    </row>
    <row r="3357" spans="1:3">
      <c r="A3357" s="627">
        <v>9482</v>
      </c>
      <c r="B3357" s="628" t="s">
        <v>4788</v>
      </c>
      <c r="C3357" s="629" t="s">
        <v>3180</v>
      </c>
    </row>
    <row r="3358" spans="1:3">
      <c r="A3358" s="627">
        <v>9483</v>
      </c>
      <c r="B3358" s="628" t="s">
        <v>4789</v>
      </c>
      <c r="C3358" s="629" t="s">
        <v>3180</v>
      </c>
    </row>
    <row r="3359" spans="1:3">
      <c r="A3359" s="627">
        <v>9484</v>
      </c>
      <c r="B3359" s="628" t="s">
        <v>4790</v>
      </c>
      <c r="C3359" s="629" t="s">
        <v>3180</v>
      </c>
    </row>
    <row r="3360" spans="1:3">
      <c r="A3360" s="627">
        <v>9485</v>
      </c>
      <c r="B3360" s="628" t="s">
        <v>4791</v>
      </c>
      <c r="C3360" s="629" t="s">
        <v>3180</v>
      </c>
    </row>
    <row r="3361" spans="1:3">
      <c r="A3361" s="627">
        <v>9491</v>
      </c>
      <c r="B3361" s="628" t="s">
        <v>4792</v>
      </c>
      <c r="C3361" s="629" t="s">
        <v>3180</v>
      </c>
    </row>
    <row r="3362" spans="1:3">
      <c r="A3362" s="627">
        <v>9492</v>
      </c>
      <c r="B3362" s="628" t="s">
        <v>4793</v>
      </c>
      <c r="C3362" s="629" t="s">
        <v>3180</v>
      </c>
    </row>
    <row r="3363" spans="1:3">
      <c r="A3363" s="627">
        <v>9493</v>
      </c>
      <c r="B3363" s="628" t="s">
        <v>4794</v>
      </c>
      <c r="C3363" s="629" t="s">
        <v>3180</v>
      </c>
    </row>
    <row r="3364" spans="1:3">
      <c r="A3364" s="627">
        <v>9494</v>
      </c>
      <c r="B3364" s="628" t="s">
        <v>3863</v>
      </c>
      <c r="C3364" s="629" t="s">
        <v>3180</v>
      </c>
    </row>
    <row r="3365" spans="1:3">
      <c r="A3365" s="627">
        <v>9495</v>
      </c>
      <c r="B3365" s="628" t="s">
        <v>4796</v>
      </c>
      <c r="C3365" s="629" t="s">
        <v>3180</v>
      </c>
    </row>
    <row r="3366" spans="1:3">
      <c r="A3366" s="627">
        <v>9500</v>
      </c>
      <c r="B3366" s="628" t="s">
        <v>4797</v>
      </c>
      <c r="C3366" s="629" t="s">
        <v>421</v>
      </c>
    </row>
    <row r="3367" spans="1:3">
      <c r="A3367" s="627">
        <v>9511</v>
      </c>
      <c r="B3367" s="628" t="s">
        <v>4689</v>
      </c>
      <c r="C3367" s="629" t="s">
        <v>421</v>
      </c>
    </row>
    <row r="3368" spans="1:3">
      <c r="A3368" s="627">
        <v>9512</v>
      </c>
      <c r="B3368" s="628" t="s">
        <v>4833</v>
      </c>
      <c r="C3368" s="629" t="s">
        <v>421</v>
      </c>
    </row>
    <row r="3369" spans="1:3">
      <c r="A3369" s="627">
        <v>9513</v>
      </c>
      <c r="B3369" s="628" t="s">
        <v>4834</v>
      </c>
      <c r="C3369" s="629" t="s">
        <v>421</v>
      </c>
    </row>
    <row r="3370" spans="1:3">
      <c r="A3370" s="627">
        <v>9514</v>
      </c>
      <c r="B3370" s="628" t="s">
        <v>4835</v>
      </c>
      <c r="C3370" s="629" t="s">
        <v>421</v>
      </c>
    </row>
    <row r="3371" spans="1:3">
      <c r="A3371" s="627">
        <v>9515</v>
      </c>
      <c r="B3371" s="628" t="s">
        <v>4836</v>
      </c>
      <c r="C3371" s="629" t="s">
        <v>421</v>
      </c>
    </row>
    <row r="3372" spans="1:3">
      <c r="A3372" s="627">
        <v>9516</v>
      </c>
      <c r="B3372" s="628" t="s">
        <v>4837</v>
      </c>
      <c r="C3372" s="629" t="s">
        <v>421</v>
      </c>
    </row>
    <row r="3373" spans="1:3">
      <c r="A3373" s="627">
        <v>9517</v>
      </c>
      <c r="B3373" s="628" t="s">
        <v>4838</v>
      </c>
      <c r="C3373" s="629" t="s">
        <v>421</v>
      </c>
    </row>
    <row r="3374" spans="1:3">
      <c r="A3374" s="627">
        <v>9521</v>
      </c>
      <c r="B3374" s="628" t="s">
        <v>4839</v>
      </c>
      <c r="C3374" s="629" t="s">
        <v>421</v>
      </c>
    </row>
    <row r="3375" spans="1:3">
      <c r="A3375" s="627">
        <v>9522</v>
      </c>
      <c r="B3375" s="628" t="s">
        <v>4840</v>
      </c>
      <c r="C3375" s="629" t="s">
        <v>421</v>
      </c>
    </row>
    <row r="3376" spans="1:3">
      <c r="A3376" s="627">
        <v>9523</v>
      </c>
      <c r="B3376" s="628" t="s">
        <v>4841</v>
      </c>
      <c r="C3376" s="629" t="s">
        <v>421</v>
      </c>
    </row>
    <row r="3377" spans="1:3">
      <c r="A3377" s="627">
        <v>9531</v>
      </c>
      <c r="B3377" s="628" t="s">
        <v>4842</v>
      </c>
      <c r="C3377" s="629" t="s">
        <v>421</v>
      </c>
    </row>
    <row r="3378" spans="1:3">
      <c r="A3378" s="627">
        <v>9532</v>
      </c>
      <c r="B3378" s="628" t="s">
        <v>4843</v>
      </c>
      <c r="C3378" s="629" t="s">
        <v>419</v>
      </c>
    </row>
    <row r="3379" spans="1:3">
      <c r="A3379" s="627">
        <v>9533</v>
      </c>
      <c r="B3379" s="628" t="s">
        <v>4844</v>
      </c>
      <c r="C3379" s="629" t="s">
        <v>419</v>
      </c>
    </row>
    <row r="3380" spans="1:3">
      <c r="A3380" s="627">
        <v>9534</v>
      </c>
      <c r="B3380" s="628" t="s">
        <v>4690</v>
      </c>
      <c r="C3380" s="629" t="s">
        <v>419</v>
      </c>
    </row>
    <row r="3381" spans="1:3">
      <c r="A3381" s="627">
        <v>9535</v>
      </c>
      <c r="B3381" s="628" t="s">
        <v>4845</v>
      </c>
      <c r="C3381" s="629" t="s">
        <v>419</v>
      </c>
    </row>
    <row r="3382" spans="1:3">
      <c r="A3382" s="627">
        <v>9541</v>
      </c>
      <c r="B3382" s="628" t="s">
        <v>4797</v>
      </c>
      <c r="C3382" s="629" t="s">
        <v>421</v>
      </c>
    </row>
    <row r="3383" spans="1:3">
      <c r="A3383" s="627">
        <v>9542</v>
      </c>
      <c r="B3383" s="628" t="s">
        <v>4692</v>
      </c>
      <c r="C3383" s="629" t="s">
        <v>421</v>
      </c>
    </row>
    <row r="3384" spans="1:3">
      <c r="A3384" s="627">
        <v>9542</v>
      </c>
      <c r="B3384" s="628" t="s">
        <v>2744</v>
      </c>
      <c r="C3384" s="629" t="s">
        <v>421</v>
      </c>
    </row>
    <row r="3385" spans="1:3">
      <c r="A3385" s="627">
        <v>9544</v>
      </c>
      <c r="B3385" s="628" t="s">
        <v>2745</v>
      </c>
      <c r="C3385" s="629" t="s">
        <v>421</v>
      </c>
    </row>
    <row r="3386" spans="1:3">
      <c r="A3386" s="627">
        <v>9545</v>
      </c>
      <c r="B3386" s="628" t="s">
        <v>2746</v>
      </c>
      <c r="C3386" s="629" t="s">
        <v>421</v>
      </c>
    </row>
    <row r="3387" spans="1:3">
      <c r="A3387" s="627">
        <v>9547</v>
      </c>
      <c r="B3387" s="628" t="s">
        <v>2747</v>
      </c>
      <c r="C3387" s="629" t="s">
        <v>421</v>
      </c>
    </row>
    <row r="3388" spans="1:3">
      <c r="A3388" s="627">
        <v>9548</v>
      </c>
      <c r="B3388" s="628" t="s">
        <v>2748</v>
      </c>
      <c r="C3388" s="629" t="s">
        <v>421</v>
      </c>
    </row>
    <row r="3389" spans="1:3">
      <c r="A3389" s="627">
        <v>9549</v>
      </c>
      <c r="B3389" s="628" t="s">
        <v>4858</v>
      </c>
      <c r="C3389" s="629" t="s">
        <v>421</v>
      </c>
    </row>
    <row r="3390" spans="1:3">
      <c r="A3390" s="627">
        <v>9551</v>
      </c>
      <c r="B3390" s="628" t="s">
        <v>4859</v>
      </c>
      <c r="C3390" s="629" t="s">
        <v>421</v>
      </c>
    </row>
    <row r="3391" spans="1:3">
      <c r="A3391" s="627">
        <v>9552</v>
      </c>
      <c r="B3391" s="628" t="s">
        <v>4860</v>
      </c>
      <c r="C3391" s="629" t="s">
        <v>421</v>
      </c>
    </row>
    <row r="3392" spans="1:3">
      <c r="A3392" s="627">
        <v>9553</v>
      </c>
      <c r="B3392" s="628" t="s">
        <v>4693</v>
      </c>
      <c r="C3392" s="629" t="s">
        <v>421</v>
      </c>
    </row>
    <row r="3393" spans="1:3">
      <c r="A3393" s="627">
        <v>9553</v>
      </c>
      <c r="B3393" s="628" t="s">
        <v>4861</v>
      </c>
      <c r="C3393" s="629" t="s">
        <v>421</v>
      </c>
    </row>
    <row r="3394" spans="1:3">
      <c r="A3394" s="627">
        <v>9554</v>
      </c>
      <c r="B3394" s="628" t="s">
        <v>4694</v>
      </c>
      <c r="C3394" s="629" t="s">
        <v>421</v>
      </c>
    </row>
    <row r="3395" spans="1:3">
      <c r="A3395" s="627">
        <v>9554</v>
      </c>
      <c r="B3395" s="628" t="s">
        <v>4862</v>
      </c>
      <c r="C3395" s="629" t="s">
        <v>421</v>
      </c>
    </row>
    <row r="3396" spans="1:3">
      <c r="A3396" s="627">
        <v>9555</v>
      </c>
      <c r="B3396" s="628" t="s">
        <v>4863</v>
      </c>
      <c r="C3396" s="629" t="s">
        <v>421</v>
      </c>
    </row>
    <row r="3397" spans="1:3">
      <c r="A3397" s="627">
        <v>9556</v>
      </c>
      <c r="B3397" s="628" t="s">
        <v>4864</v>
      </c>
      <c r="C3397" s="629" t="s">
        <v>421</v>
      </c>
    </row>
    <row r="3398" spans="1:3">
      <c r="A3398" s="627">
        <v>9561</v>
      </c>
      <c r="B3398" s="628" t="s">
        <v>4695</v>
      </c>
      <c r="C3398" s="629" t="s">
        <v>421</v>
      </c>
    </row>
    <row r="3399" spans="1:3">
      <c r="A3399" s="627">
        <v>9561</v>
      </c>
      <c r="B3399" s="628" t="s">
        <v>4865</v>
      </c>
      <c r="C3399" s="629" t="s">
        <v>421</v>
      </c>
    </row>
    <row r="3400" spans="1:3">
      <c r="A3400" s="627">
        <v>9600</v>
      </c>
      <c r="B3400" s="628" t="s">
        <v>3378</v>
      </c>
      <c r="C3400" s="629" t="s">
        <v>421</v>
      </c>
    </row>
    <row r="3401" spans="1:3">
      <c r="A3401" s="627">
        <v>9608</v>
      </c>
      <c r="B3401" s="628" t="s">
        <v>3378</v>
      </c>
      <c r="C3401" s="629" t="s">
        <v>421</v>
      </c>
    </row>
    <row r="3402" spans="1:3">
      <c r="A3402" s="627">
        <v>9609</v>
      </c>
      <c r="B3402" s="628" t="s">
        <v>3378</v>
      </c>
      <c r="C3402" s="629" t="s">
        <v>421</v>
      </c>
    </row>
    <row r="3403" spans="1:3">
      <c r="A3403" s="627">
        <v>9611</v>
      </c>
      <c r="B3403" s="628" t="s">
        <v>3381</v>
      </c>
      <c r="C3403" s="629" t="s">
        <v>421</v>
      </c>
    </row>
    <row r="3404" spans="1:3">
      <c r="A3404" s="627">
        <v>9612</v>
      </c>
      <c r="B3404" s="628" t="s">
        <v>4698</v>
      </c>
      <c r="C3404" s="629" t="s">
        <v>421</v>
      </c>
    </row>
    <row r="3405" spans="1:3">
      <c r="A3405" s="627">
        <v>9612</v>
      </c>
      <c r="B3405" s="628" t="s">
        <v>3382</v>
      </c>
      <c r="C3405" s="629" t="s">
        <v>421</v>
      </c>
    </row>
    <row r="3406" spans="1:3">
      <c r="A3406" s="627">
        <v>9621</v>
      </c>
      <c r="B3406" s="628" t="s">
        <v>3383</v>
      </c>
      <c r="C3406" s="629" t="s">
        <v>421</v>
      </c>
    </row>
    <row r="3407" spans="1:3">
      <c r="A3407" s="627">
        <v>9622</v>
      </c>
      <c r="B3407" s="628" t="s">
        <v>3384</v>
      </c>
      <c r="C3407" s="629" t="s">
        <v>421</v>
      </c>
    </row>
    <row r="3408" spans="1:3">
      <c r="A3408" s="627">
        <v>9623</v>
      </c>
      <c r="B3408" s="628" t="s">
        <v>3385</v>
      </c>
      <c r="C3408" s="629" t="s">
        <v>421</v>
      </c>
    </row>
    <row r="3409" spans="1:3">
      <c r="A3409" s="627">
        <v>9624</v>
      </c>
      <c r="B3409" s="628" t="s">
        <v>683</v>
      </c>
      <c r="C3409" s="629" t="s">
        <v>404</v>
      </c>
    </row>
    <row r="3410" spans="1:3">
      <c r="A3410" s="627">
        <v>9625</v>
      </c>
      <c r="B3410" s="628" t="s">
        <v>4699</v>
      </c>
      <c r="C3410" s="629" t="s">
        <v>421</v>
      </c>
    </row>
    <row r="3411" spans="1:3">
      <c r="A3411" s="627">
        <v>9625</v>
      </c>
      <c r="B3411" s="628" t="s">
        <v>3387</v>
      </c>
      <c r="C3411" s="629" t="s">
        <v>421</v>
      </c>
    </row>
    <row r="3412" spans="1:3">
      <c r="A3412" s="627">
        <v>9631</v>
      </c>
      <c r="B3412" s="628" t="s">
        <v>4700</v>
      </c>
      <c r="C3412" s="629" t="s">
        <v>421</v>
      </c>
    </row>
    <row r="3413" spans="1:3">
      <c r="A3413" s="627">
        <v>9632</v>
      </c>
      <c r="B3413" s="628" t="s">
        <v>3389</v>
      </c>
      <c r="C3413" s="629" t="s">
        <v>421</v>
      </c>
    </row>
    <row r="3414" spans="1:3">
      <c r="A3414" s="627">
        <v>9633</v>
      </c>
      <c r="B3414" s="628" t="s">
        <v>3390</v>
      </c>
      <c r="C3414" s="629" t="s">
        <v>421</v>
      </c>
    </row>
    <row r="3415" spans="1:3">
      <c r="A3415" s="627">
        <v>9634</v>
      </c>
      <c r="B3415" s="628" t="s">
        <v>4701</v>
      </c>
      <c r="C3415" s="629" t="s">
        <v>421</v>
      </c>
    </row>
    <row r="3416" spans="1:3">
      <c r="A3416" s="627">
        <v>9634</v>
      </c>
      <c r="B3416" s="628" t="s">
        <v>3391</v>
      </c>
      <c r="C3416" s="629" t="s">
        <v>421</v>
      </c>
    </row>
    <row r="3417" spans="1:3">
      <c r="A3417" s="627">
        <v>9635</v>
      </c>
      <c r="B3417" s="628" t="s">
        <v>3388</v>
      </c>
      <c r="C3417" s="629" t="s">
        <v>421</v>
      </c>
    </row>
    <row r="3418" spans="1:3">
      <c r="A3418" s="627">
        <v>9636</v>
      </c>
      <c r="B3418" s="628" t="s">
        <v>3392</v>
      </c>
      <c r="C3418" s="629" t="s">
        <v>421</v>
      </c>
    </row>
    <row r="3419" spans="1:3">
      <c r="A3419" s="627">
        <v>9641</v>
      </c>
      <c r="B3419" s="628" t="s">
        <v>3393</v>
      </c>
      <c r="C3419" s="629" t="s">
        <v>421</v>
      </c>
    </row>
    <row r="3420" spans="1:3">
      <c r="A3420" s="627">
        <v>9643</v>
      </c>
      <c r="B3420" s="628" t="s">
        <v>3394</v>
      </c>
      <c r="C3420" s="629" t="s">
        <v>421</v>
      </c>
    </row>
    <row r="3421" spans="1:3">
      <c r="A3421" s="627">
        <v>9651</v>
      </c>
      <c r="B3421" s="628" t="s">
        <v>3395</v>
      </c>
      <c r="C3421" s="629" t="s">
        <v>421</v>
      </c>
    </row>
    <row r="3422" spans="1:3">
      <c r="A3422" s="627">
        <v>9652</v>
      </c>
      <c r="B3422" s="628" t="s">
        <v>3396</v>
      </c>
      <c r="C3422" s="629" t="s">
        <v>421</v>
      </c>
    </row>
    <row r="3423" spans="1:3">
      <c r="A3423" s="627">
        <v>9653</v>
      </c>
      <c r="B3423" s="628" t="s">
        <v>3397</v>
      </c>
      <c r="C3423" s="629" t="s">
        <v>421</v>
      </c>
    </row>
    <row r="3424" spans="1:3">
      <c r="A3424" s="627">
        <v>9654</v>
      </c>
      <c r="B3424" s="628" t="s">
        <v>3398</v>
      </c>
      <c r="C3424" s="629" t="s">
        <v>421</v>
      </c>
    </row>
    <row r="3425" spans="1:3">
      <c r="A3425" s="627">
        <v>9661</v>
      </c>
      <c r="B3425" s="628" t="s">
        <v>3399</v>
      </c>
      <c r="C3425" s="629" t="s">
        <v>421</v>
      </c>
    </row>
    <row r="3426" spans="1:3">
      <c r="A3426" s="627">
        <v>9662</v>
      </c>
      <c r="B3426" s="628" t="s">
        <v>4702</v>
      </c>
      <c r="C3426" s="629" t="s">
        <v>421</v>
      </c>
    </row>
    <row r="3427" spans="1:3">
      <c r="A3427" s="627">
        <v>9662</v>
      </c>
      <c r="B3427" s="628" t="s">
        <v>3400</v>
      </c>
      <c r="C3427" s="629" t="s">
        <v>421</v>
      </c>
    </row>
    <row r="3428" spans="1:3">
      <c r="A3428" s="627">
        <v>9663</v>
      </c>
      <c r="B3428" s="628" t="s">
        <v>3401</v>
      </c>
      <c r="C3428" s="629" t="s">
        <v>421</v>
      </c>
    </row>
    <row r="3429" spans="1:3">
      <c r="A3429" s="627">
        <v>9664</v>
      </c>
      <c r="B3429" s="628" t="s">
        <v>3402</v>
      </c>
      <c r="C3429" s="629" t="s">
        <v>421</v>
      </c>
    </row>
    <row r="3430" spans="1:3">
      <c r="A3430" s="627">
        <v>9665</v>
      </c>
      <c r="B3430" s="628" t="s">
        <v>3403</v>
      </c>
      <c r="C3430" s="629" t="s">
        <v>421</v>
      </c>
    </row>
    <row r="3431" spans="1:3">
      <c r="A3431" s="627">
        <v>9671</v>
      </c>
      <c r="B3431" s="628" t="s">
        <v>3404</v>
      </c>
      <c r="C3431" s="629" t="s">
        <v>421</v>
      </c>
    </row>
    <row r="3432" spans="1:3">
      <c r="A3432" s="627">
        <v>9672</v>
      </c>
      <c r="B3432" s="628" t="s">
        <v>3405</v>
      </c>
      <c r="C3432" s="629" t="s">
        <v>421</v>
      </c>
    </row>
    <row r="3433" spans="1:3">
      <c r="A3433" s="627">
        <v>9673</v>
      </c>
      <c r="B3433" s="628" t="s">
        <v>4136</v>
      </c>
      <c r="C3433" s="629" t="s">
        <v>421</v>
      </c>
    </row>
    <row r="3434" spans="1:3">
      <c r="A3434" s="627">
        <v>9674</v>
      </c>
      <c r="B3434" s="628" t="s">
        <v>4137</v>
      </c>
      <c r="C3434" s="629" t="s">
        <v>421</v>
      </c>
    </row>
    <row r="3435" spans="1:3">
      <c r="A3435" s="627">
        <v>9675</v>
      </c>
      <c r="B3435" s="628" t="s">
        <v>4138</v>
      </c>
      <c r="C3435" s="629" t="s">
        <v>421</v>
      </c>
    </row>
    <row r="3436" spans="1:3">
      <c r="A3436" s="627">
        <v>9676</v>
      </c>
      <c r="B3436" s="628" t="s">
        <v>4139</v>
      </c>
      <c r="C3436" s="629" t="s">
        <v>421</v>
      </c>
    </row>
    <row r="3437" spans="1:3">
      <c r="A3437" s="627">
        <v>9681</v>
      </c>
      <c r="B3437" s="628" t="s">
        <v>4140</v>
      </c>
      <c r="C3437" s="629" t="s">
        <v>421</v>
      </c>
    </row>
    <row r="3438" spans="1:3">
      <c r="A3438" s="627">
        <v>9682</v>
      </c>
      <c r="B3438" s="628" t="s">
        <v>199</v>
      </c>
      <c r="C3438" s="629" t="s">
        <v>412</v>
      </c>
    </row>
    <row r="3439" spans="1:3">
      <c r="A3439" s="627">
        <v>9683</v>
      </c>
      <c r="B3439" s="628" t="s">
        <v>4142</v>
      </c>
      <c r="C3439" s="629" t="s">
        <v>421</v>
      </c>
    </row>
    <row r="3440" spans="1:3">
      <c r="A3440" s="627">
        <v>9684</v>
      </c>
      <c r="B3440" s="628" t="s">
        <v>4143</v>
      </c>
      <c r="C3440" s="629" t="s">
        <v>421</v>
      </c>
    </row>
    <row r="3441" spans="1:3">
      <c r="A3441" s="627">
        <v>9685</v>
      </c>
      <c r="B3441" s="628" t="s">
        <v>4144</v>
      </c>
      <c r="C3441" s="629" t="s">
        <v>421</v>
      </c>
    </row>
    <row r="3442" spans="1:3">
      <c r="A3442" s="627">
        <v>9700</v>
      </c>
      <c r="B3442" s="628" t="s">
        <v>4145</v>
      </c>
      <c r="C3442" s="629" t="s">
        <v>421</v>
      </c>
    </row>
    <row r="3443" spans="1:3">
      <c r="A3443" s="627">
        <v>9707</v>
      </c>
      <c r="B3443" s="628" t="s">
        <v>4145</v>
      </c>
      <c r="C3443" s="629" t="s">
        <v>421</v>
      </c>
    </row>
    <row r="3444" spans="1:3">
      <c r="A3444" s="627">
        <v>9719</v>
      </c>
      <c r="B3444" s="628" t="s">
        <v>4145</v>
      </c>
      <c r="C3444" s="629" t="s">
        <v>421</v>
      </c>
    </row>
    <row r="3445" spans="1:3">
      <c r="A3445" s="627">
        <v>9721</v>
      </c>
      <c r="B3445" s="628" t="s">
        <v>4148</v>
      </c>
      <c r="C3445" s="629" t="s">
        <v>421</v>
      </c>
    </row>
    <row r="3446" spans="1:3">
      <c r="A3446" s="627">
        <v>9722</v>
      </c>
      <c r="B3446" s="628" t="s">
        <v>4149</v>
      </c>
      <c r="C3446" s="629" t="s">
        <v>421</v>
      </c>
    </row>
    <row r="3447" spans="1:3">
      <c r="A3447" s="627">
        <v>9723</v>
      </c>
      <c r="B3447" s="628" t="s">
        <v>4150</v>
      </c>
      <c r="C3447" s="629" t="s">
        <v>421</v>
      </c>
    </row>
    <row r="3448" spans="1:3">
      <c r="A3448" s="627">
        <v>9724</v>
      </c>
      <c r="B3448" s="628" t="s">
        <v>4151</v>
      </c>
      <c r="C3448" s="629" t="s">
        <v>421</v>
      </c>
    </row>
    <row r="3449" spans="1:3">
      <c r="A3449" s="627">
        <v>9725</v>
      </c>
      <c r="B3449" s="628" t="s">
        <v>4706</v>
      </c>
      <c r="C3449" s="629" t="s">
        <v>421</v>
      </c>
    </row>
    <row r="3450" spans="1:3">
      <c r="A3450" s="627">
        <v>9725</v>
      </c>
      <c r="B3450" s="628" t="s">
        <v>4707</v>
      </c>
      <c r="C3450" s="629" t="s">
        <v>421</v>
      </c>
    </row>
    <row r="3451" spans="1:3">
      <c r="A3451" s="627">
        <v>9725</v>
      </c>
      <c r="B3451" s="628" t="s">
        <v>4152</v>
      </c>
      <c r="C3451" s="629" t="s">
        <v>421</v>
      </c>
    </row>
    <row r="3452" spans="1:3">
      <c r="A3452" s="627">
        <v>9726</v>
      </c>
      <c r="B3452" s="628" t="s">
        <v>4153</v>
      </c>
      <c r="C3452" s="629" t="s">
        <v>421</v>
      </c>
    </row>
    <row r="3453" spans="1:3">
      <c r="A3453" s="627">
        <v>9727</v>
      </c>
      <c r="B3453" s="628" t="s">
        <v>4154</v>
      </c>
      <c r="C3453" s="629" t="s">
        <v>421</v>
      </c>
    </row>
    <row r="3454" spans="1:3">
      <c r="A3454" s="627">
        <v>9730</v>
      </c>
      <c r="B3454" s="628" t="s">
        <v>4155</v>
      </c>
      <c r="C3454" s="629" t="s">
        <v>421</v>
      </c>
    </row>
    <row r="3455" spans="1:3">
      <c r="A3455" s="627">
        <v>9733</v>
      </c>
      <c r="B3455" s="628" t="s">
        <v>4708</v>
      </c>
      <c r="C3455" s="629" t="s">
        <v>421</v>
      </c>
    </row>
    <row r="3456" spans="1:3">
      <c r="A3456" s="627">
        <v>9733</v>
      </c>
      <c r="B3456" s="628" t="s">
        <v>4709</v>
      </c>
      <c r="C3456" s="629" t="s">
        <v>421</v>
      </c>
    </row>
    <row r="3457" spans="1:3">
      <c r="A3457" s="627">
        <v>9733</v>
      </c>
      <c r="B3457" s="628" t="s">
        <v>4157</v>
      </c>
      <c r="C3457" s="629" t="s">
        <v>421</v>
      </c>
    </row>
    <row r="3458" spans="1:3">
      <c r="A3458" s="627">
        <v>9734</v>
      </c>
      <c r="B3458" s="628" t="s">
        <v>4158</v>
      </c>
      <c r="C3458" s="629" t="s">
        <v>421</v>
      </c>
    </row>
    <row r="3459" spans="1:3">
      <c r="A3459" s="627">
        <v>9735</v>
      </c>
      <c r="B3459" s="628" t="s">
        <v>4159</v>
      </c>
      <c r="C3459" s="629" t="s">
        <v>421</v>
      </c>
    </row>
    <row r="3460" spans="1:3">
      <c r="A3460" s="627">
        <v>9736</v>
      </c>
      <c r="B3460" s="628" t="s">
        <v>4160</v>
      </c>
      <c r="C3460" s="629" t="s">
        <v>421</v>
      </c>
    </row>
    <row r="3461" spans="1:3">
      <c r="A3461" s="627">
        <v>9737</v>
      </c>
      <c r="B3461" s="628" t="s">
        <v>4161</v>
      </c>
      <c r="C3461" s="629" t="s">
        <v>421</v>
      </c>
    </row>
    <row r="3462" spans="1:3">
      <c r="A3462" s="627">
        <v>9738</v>
      </c>
      <c r="B3462" s="628" t="s">
        <v>4162</v>
      </c>
      <c r="C3462" s="629" t="s">
        <v>421</v>
      </c>
    </row>
    <row r="3463" spans="1:3">
      <c r="A3463" s="627">
        <v>9739</v>
      </c>
      <c r="B3463" s="628" t="s">
        <v>4710</v>
      </c>
      <c r="C3463" s="629" t="s">
        <v>421</v>
      </c>
    </row>
    <row r="3464" spans="1:3">
      <c r="A3464" s="627">
        <v>9739</v>
      </c>
      <c r="B3464" s="628" t="s">
        <v>4711</v>
      </c>
      <c r="C3464" s="629" t="s">
        <v>421</v>
      </c>
    </row>
    <row r="3465" spans="1:3">
      <c r="A3465" s="627">
        <v>9739</v>
      </c>
      <c r="B3465" s="628" t="s">
        <v>4163</v>
      </c>
      <c r="C3465" s="629" t="s">
        <v>421</v>
      </c>
    </row>
    <row r="3466" spans="1:3">
      <c r="A3466" s="627">
        <v>9740</v>
      </c>
      <c r="B3466" s="628" t="s">
        <v>2214</v>
      </c>
      <c r="C3466" s="629" t="s">
        <v>423</v>
      </c>
    </row>
    <row r="3467" spans="1:3">
      <c r="A3467" s="627">
        <v>9741</v>
      </c>
      <c r="B3467" s="628" t="s">
        <v>4165</v>
      </c>
      <c r="C3467" s="629" t="s">
        <v>421</v>
      </c>
    </row>
    <row r="3468" spans="1:3">
      <c r="A3468" s="627">
        <v>9742</v>
      </c>
      <c r="B3468" s="628" t="s">
        <v>4170</v>
      </c>
      <c r="C3468" s="629" t="s">
        <v>421</v>
      </c>
    </row>
    <row r="3469" spans="1:3">
      <c r="A3469" s="627">
        <v>9743</v>
      </c>
      <c r="B3469" s="628" t="s">
        <v>4171</v>
      </c>
      <c r="C3469" s="629" t="s">
        <v>421</v>
      </c>
    </row>
    <row r="3470" spans="1:3">
      <c r="A3470" s="627">
        <v>9744</v>
      </c>
      <c r="B3470" s="628" t="s">
        <v>4172</v>
      </c>
      <c r="C3470" s="629" t="s">
        <v>421</v>
      </c>
    </row>
    <row r="3471" spans="1:3">
      <c r="A3471" s="627">
        <v>9745</v>
      </c>
      <c r="B3471" s="628" t="s">
        <v>4173</v>
      </c>
      <c r="C3471" s="629" t="s">
        <v>421</v>
      </c>
    </row>
    <row r="3472" spans="1:3">
      <c r="A3472" s="627">
        <v>9746</v>
      </c>
      <c r="B3472" s="628" t="s">
        <v>4174</v>
      </c>
      <c r="C3472" s="629" t="s">
        <v>421</v>
      </c>
    </row>
    <row r="3473" spans="1:3">
      <c r="A3473" s="627">
        <v>9747</v>
      </c>
      <c r="B3473" s="628" t="s">
        <v>4175</v>
      </c>
      <c r="C3473" s="629" t="s">
        <v>421</v>
      </c>
    </row>
    <row r="3474" spans="1:3">
      <c r="A3474" s="627">
        <v>9748</v>
      </c>
      <c r="B3474" s="628" t="s">
        <v>4176</v>
      </c>
      <c r="C3474" s="629" t="s">
        <v>421</v>
      </c>
    </row>
    <row r="3475" spans="1:3">
      <c r="A3475" s="627">
        <v>9749</v>
      </c>
      <c r="B3475" s="637" t="s">
        <v>4177</v>
      </c>
      <c r="C3475" s="629" t="s">
        <v>421</v>
      </c>
    </row>
    <row r="3476" spans="1:3">
      <c r="A3476" s="627">
        <v>9751</v>
      </c>
      <c r="B3476" s="628" t="s">
        <v>4178</v>
      </c>
      <c r="C3476" s="629" t="s">
        <v>421</v>
      </c>
    </row>
    <row r="3477" spans="1:3">
      <c r="A3477" s="627">
        <v>9752</v>
      </c>
      <c r="B3477" s="628" t="s">
        <v>4713</v>
      </c>
      <c r="C3477" s="629" t="s">
        <v>421</v>
      </c>
    </row>
    <row r="3478" spans="1:3">
      <c r="A3478" s="627">
        <v>9752</v>
      </c>
      <c r="B3478" s="628" t="s">
        <v>4179</v>
      </c>
      <c r="C3478" s="629" t="s">
        <v>421</v>
      </c>
    </row>
    <row r="3479" spans="1:3">
      <c r="A3479" s="627">
        <v>9754</v>
      </c>
      <c r="B3479" s="628" t="s">
        <v>4714</v>
      </c>
      <c r="C3479" s="629" t="s">
        <v>421</v>
      </c>
    </row>
    <row r="3480" spans="1:3">
      <c r="A3480" s="627">
        <v>9754</v>
      </c>
      <c r="B3480" s="628" t="s">
        <v>4180</v>
      </c>
      <c r="C3480" s="629" t="s">
        <v>421</v>
      </c>
    </row>
    <row r="3481" spans="1:3">
      <c r="A3481" s="627">
        <v>9756</v>
      </c>
      <c r="B3481" s="628" t="s">
        <v>4181</v>
      </c>
      <c r="C3481" s="629" t="s">
        <v>421</v>
      </c>
    </row>
    <row r="3482" spans="1:3">
      <c r="A3482" s="627">
        <v>9757</v>
      </c>
      <c r="B3482" s="628" t="s">
        <v>4182</v>
      </c>
      <c r="C3482" s="629" t="s">
        <v>421</v>
      </c>
    </row>
    <row r="3483" spans="1:3">
      <c r="A3483" s="627">
        <v>9761</v>
      </c>
      <c r="B3483" s="628" t="s">
        <v>4183</v>
      </c>
      <c r="C3483" s="629" t="s">
        <v>421</v>
      </c>
    </row>
    <row r="3484" spans="1:3">
      <c r="A3484" s="627">
        <v>9762</v>
      </c>
      <c r="B3484" s="628" t="s">
        <v>4184</v>
      </c>
      <c r="C3484" s="629" t="s">
        <v>421</v>
      </c>
    </row>
    <row r="3485" spans="1:3">
      <c r="A3485" s="627">
        <v>9763</v>
      </c>
      <c r="B3485" s="628" t="s">
        <v>4185</v>
      </c>
      <c r="C3485" s="629" t="s">
        <v>421</v>
      </c>
    </row>
    <row r="3486" spans="1:3">
      <c r="A3486" s="627">
        <v>9764</v>
      </c>
      <c r="B3486" s="628" t="s">
        <v>4186</v>
      </c>
      <c r="C3486" s="629" t="s">
        <v>421</v>
      </c>
    </row>
    <row r="3487" spans="1:3">
      <c r="A3487" s="627">
        <v>9766</v>
      </c>
      <c r="B3487" s="628" t="s">
        <v>4187</v>
      </c>
      <c r="C3487" s="629" t="s">
        <v>421</v>
      </c>
    </row>
    <row r="3488" spans="1:3">
      <c r="A3488" s="627">
        <v>9766</v>
      </c>
      <c r="B3488" s="628" t="s">
        <v>4715</v>
      </c>
      <c r="C3488" s="629" t="s">
        <v>421</v>
      </c>
    </row>
    <row r="3489" spans="1:3">
      <c r="A3489" s="627">
        <v>9766</v>
      </c>
      <c r="B3489" s="628" t="s">
        <v>4188</v>
      </c>
      <c r="C3489" s="629" t="s">
        <v>421</v>
      </c>
    </row>
    <row r="3490" spans="1:3">
      <c r="A3490" s="627">
        <v>9771</v>
      </c>
      <c r="B3490" s="628" t="s">
        <v>4189</v>
      </c>
      <c r="C3490" s="629" t="s">
        <v>421</v>
      </c>
    </row>
    <row r="3491" spans="1:3">
      <c r="A3491" s="627">
        <v>9772</v>
      </c>
      <c r="B3491" s="628" t="s">
        <v>4190</v>
      </c>
      <c r="C3491" s="629" t="s">
        <v>421</v>
      </c>
    </row>
    <row r="3492" spans="1:3">
      <c r="A3492" s="627">
        <v>9773</v>
      </c>
      <c r="B3492" s="628" t="s">
        <v>3203</v>
      </c>
      <c r="C3492" s="629" t="s">
        <v>421</v>
      </c>
    </row>
    <row r="3493" spans="1:3">
      <c r="A3493" s="627">
        <v>9774</v>
      </c>
      <c r="B3493" s="628" t="s">
        <v>4716</v>
      </c>
      <c r="C3493" s="629" t="s">
        <v>421</v>
      </c>
    </row>
    <row r="3494" spans="1:3">
      <c r="A3494" s="627">
        <v>9774</v>
      </c>
      <c r="B3494" s="628" t="s">
        <v>4717</v>
      </c>
      <c r="C3494" s="629" t="s">
        <v>421</v>
      </c>
    </row>
    <row r="3495" spans="1:3">
      <c r="A3495" s="627">
        <v>9774</v>
      </c>
      <c r="B3495" s="628" t="s">
        <v>2478</v>
      </c>
      <c r="C3495" s="629" t="s">
        <v>421</v>
      </c>
    </row>
    <row r="3496" spans="1:3">
      <c r="A3496" s="627">
        <v>9775</v>
      </c>
      <c r="B3496" s="628" t="s">
        <v>2479</v>
      </c>
      <c r="C3496" s="629" t="s">
        <v>421</v>
      </c>
    </row>
    <row r="3497" spans="1:3">
      <c r="A3497" s="627">
        <v>9776</v>
      </c>
      <c r="B3497" s="628" t="s">
        <v>2480</v>
      </c>
      <c r="C3497" s="629" t="s">
        <v>421</v>
      </c>
    </row>
    <row r="3498" spans="1:3">
      <c r="A3498" s="627">
        <v>9777</v>
      </c>
      <c r="B3498" s="628" t="s">
        <v>4718</v>
      </c>
      <c r="C3498" s="629" t="s">
        <v>421</v>
      </c>
    </row>
    <row r="3499" spans="1:3">
      <c r="A3499" s="627">
        <v>9781</v>
      </c>
      <c r="B3499" s="628" t="s">
        <v>4719</v>
      </c>
      <c r="C3499" s="629" t="s">
        <v>421</v>
      </c>
    </row>
    <row r="3500" spans="1:3">
      <c r="A3500" s="627">
        <v>9782</v>
      </c>
      <c r="B3500" s="628" t="s">
        <v>2483</v>
      </c>
      <c r="C3500" s="629" t="s">
        <v>421</v>
      </c>
    </row>
    <row r="3501" spans="1:3">
      <c r="A3501" s="627">
        <v>9783</v>
      </c>
      <c r="B3501" s="628" t="s">
        <v>2484</v>
      </c>
      <c r="C3501" s="629" t="s">
        <v>421</v>
      </c>
    </row>
    <row r="3502" spans="1:3">
      <c r="A3502" s="627">
        <v>9784</v>
      </c>
      <c r="B3502" s="628" t="s">
        <v>4720</v>
      </c>
      <c r="C3502" s="629" t="s">
        <v>421</v>
      </c>
    </row>
    <row r="3503" spans="1:3">
      <c r="A3503" s="627">
        <v>9784</v>
      </c>
      <c r="B3503" s="628" t="s">
        <v>4721</v>
      </c>
      <c r="C3503" s="629" t="s">
        <v>421</v>
      </c>
    </row>
    <row r="3504" spans="1:3">
      <c r="A3504" s="627">
        <v>9784</v>
      </c>
      <c r="B3504" s="628" t="s">
        <v>2485</v>
      </c>
      <c r="C3504" s="629" t="s">
        <v>421</v>
      </c>
    </row>
    <row r="3505" spans="1:3">
      <c r="A3505" s="627">
        <v>9789</v>
      </c>
      <c r="B3505" s="628" t="s">
        <v>2486</v>
      </c>
      <c r="C3505" s="629" t="s">
        <v>421</v>
      </c>
    </row>
    <row r="3506" spans="1:3">
      <c r="A3506" s="627">
        <v>9791</v>
      </c>
      <c r="B3506" s="628" t="s">
        <v>4722</v>
      </c>
      <c r="C3506" s="629" t="s">
        <v>421</v>
      </c>
    </row>
    <row r="3507" spans="1:3">
      <c r="A3507" s="627">
        <v>9791</v>
      </c>
      <c r="B3507" s="628" t="s">
        <v>2487</v>
      </c>
      <c r="C3507" s="629" t="s">
        <v>421</v>
      </c>
    </row>
    <row r="3508" spans="1:3">
      <c r="A3508" s="627">
        <v>9792</v>
      </c>
      <c r="B3508" s="628" t="s">
        <v>2488</v>
      </c>
      <c r="C3508" s="629" t="s">
        <v>421</v>
      </c>
    </row>
    <row r="3509" spans="1:3">
      <c r="A3509" s="627">
        <v>9793</v>
      </c>
      <c r="B3509" s="628" t="s">
        <v>2489</v>
      </c>
      <c r="C3509" s="629" t="s">
        <v>421</v>
      </c>
    </row>
    <row r="3510" spans="1:3">
      <c r="A3510" s="627">
        <v>9794</v>
      </c>
      <c r="B3510" s="628" t="s">
        <v>2490</v>
      </c>
      <c r="C3510" s="629" t="s">
        <v>421</v>
      </c>
    </row>
    <row r="3511" spans="1:3">
      <c r="A3511" s="627">
        <v>9795</v>
      </c>
      <c r="B3511" s="628" t="s">
        <v>2491</v>
      </c>
      <c r="C3511" s="629" t="s">
        <v>421</v>
      </c>
    </row>
    <row r="3512" spans="1:3">
      <c r="A3512" s="627">
        <v>9796</v>
      </c>
      <c r="B3512" s="628" t="s">
        <v>4723</v>
      </c>
      <c r="C3512" s="629" t="s">
        <v>421</v>
      </c>
    </row>
    <row r="3513" spans="1:3">
      <c r="A3513" s="627">
        <v>9796</v>
      </c>
      <c r="B3513" s="628" t="s">
        <v>2492</v>
      </c>
      <c r="C3513" s="629" t="s">
        <v>421</v>
      </c>
    </row>
    <row r="3514" spans="1:3">
      <c r="A3514" s="627">
        <v>9797</v>
      </c>
      <c r="B3514" s="628" t="s">
        <v>2493</v>
      </c>
      <c r="C3514" s="629" t="s">
        <v>421</v>
      </c>
    </row>
    <row r="3515" spans="1:3">
      <c r="A3515" s="627">
        <v>9798</v>
      </c>
      <c r="B3515" s="628" t="s">
        <v>2494</v>
      </c>
      <c r="C3515" s="629" t="s">
        <v>421</v>
      </c>
    </row>
    <row r="3516" spans="1:3">
      <c r="A3516" s="627">
        <v>9799</v>
      </c>
      <c r="B3516" s="628" t="s">
        <v>2495</v>
      </c>
      <c r="C3516" s="629" t="s">
        <v>421</v>
      </c>
    </row>
    <row r="3517" spans="1:3">
      <c r="A3517" s="627">
        <v>9800</v>
      </c>
      <c r="B3517" s="628" t="s">
        <v>2496</v>
      </c>
      <c r="C3517" s="629" t="s">
        <v>421</v>
      </c>
    </row>
    <row r="3518" spans="1:3">
      <c r="A3518" s="627">
        <v>9811</v>
      </c>
      <c r="B3518" s="628" t="s">
        <v>2497</v>
      </c>
      <c r="C3518" s="629" t="s">
        <v>421</v>
      </c>
    </row>
    <row r="3519" spans="1:3">
      <c r="A3519" s="627">
        <v>9812</v>
      </c>
      <c r="B3519" s="628" t="s">
        <v>2498</v>
      </c>
      <c r="C3519" s="629" t="s">
        <v>421</v>
      </c>
    </row>
    <row r="3520" spans="1:3">
      <c r="A3520" s="627">
        <v>9813</v>
      </c>
      <c r="B3520" s="628" t="s">
        <v>4724</v>
      </c>
      <c r="C3520" s="629" t="s">
        <v>421</v>
      </c>
    </row>
    <row r="3521" spans="1:3">
      <c r="A3521" s="627">
        <v>9813</v>
      </c>
      <c r="B3521" s="628" t="s">
        <v>2499</v>
      </c>
      <c r="C3521" s="629" t="s">
        <v>421</v>
      </c>
    </row>
    <row r="3522" spans="1:3">
      <c r="A3522" s="627">
        <v>9814</v>
      </c>
      <c r="B3522" s="628" t="s">
        <v>2500</v>
      </c>
      <c r="C3522" s="629" t="s">
        <v>421</v>
      </c>
    </row>
    <row r="3523" spans="1:3">
      <c r="A3523" s="627">
        <v>9821</v>
      </c>
      <c r="B3523" s="628" t="s">
        <v>4725</v>
      </c>
      <c r="C3523" s="629" t="s">
        <v>421</v>
      </c>
    </row>
    <row r="3524" spans="1:3">
      <c r="A3524" s="627">
        <v>9823</v>
      </c>
      <c r="B3524" s="628" t="s">
        <v>2502</v>
      </c>
      <c r="C3524" s="629" t="s">
        <v>421</v>
      </c>
    </row>
    <row r="3525" spans="1:3">
      <c r="A3525" s="627">
        <v>9824</v>
      </c>
      <c r="B3525" s="628" t="s">
        <v>2503</v>
      </c>
      <c r="C3525" s="629" t="s">
        <v>421</v>
      </c>
    </row>
    <row r="3526" spans="1:3">
      <c r="A3526" s="627">
        <v>9825</v>
      </c>
      <c r="B3526" s="628" t="s">
        <v>2504</v>
      </c>
      <c r="C3526" s="629" t="s">
        <v>421</v>
      </c>
    </row>
    <row r="3527" spans="1:3">
      <c r="A3527" s="627">
        <v>9826</v>
      </c>
      <c r="B3527" s="628" t="s">
        <v>2501</v>
      </c>
      <c r="C3527" s="629" t="s">
        <v>421</v>
      </c>
    </row>
    <row r="3528" spans="1:3">
      <c r="A3528" s="627">
        <v>9826</v>
      </c>
      <c r="B3528" s="628" t="s">
        <v>2505</v>
      </c>
      <c r="C3528" s="629" t="s">
        <v>421</v>
      </c>
    </row>
    <row r="3529" spans="1:3">
      <c r="A3529" s="627">
        <v>9831</v>
      </c>
      <c r="B3529" s="628" t="s">
        <v>2506</v>
      </c>
      <c r="C3529" s="629" t="s">
        <v>421</v>
      </c>
    </row>
    <row r="3530" spans="1:3">
      <c r="A3530" s="627">
        <v>9832</v>
      </c>
      <c r="B3530" s="628" t="s">
        <v>2507</v>
      </c>
      <c r="C3530" s="629" t="s">
        <v>421</v>
      </c>
    </row>
    <row r="3531" spans="1:3">
      <c r="A3531" s="627">
        <v>9833</v>
      </c>
      <c r="B3531" s="628" t="s">
        <v>2508</v>
      </c>
      <c r="C3531" s="629" t="s">
        <v>421</v>
      </c>
    </row>
    <row r="3532" spans="1:3">
      <c r="A3532" s="627">
        <v>9834</v>
      </c>
      <c r="B3532" s="628" t="s">
        <v>2509</v>
      </c>
      <c r="C3532" s="629" t="s">
        <v>421</v>
      </c>
    </row>
    <row r="3533" spans="1:3">
      <c r="A3533" s="627">
        <v>9835</v>
      </c>
      <c r="B3533" s="628" t="s">
        <v>2510</v>
      </c>
      <c r="C3533" s="629" t="s">
        <v>421</v>
      </c>
    </row>
    <row r="3534" spans="1:3">
      <c r="A3534" s="627">
        <v>9836</v>
      </c>
      <c r="B3534" s="628" t="s">
        <v>2511</v>
      </c>
      <c r="C3534" s="629" t="s">
        <v>421</v>
      </c>
    </row>
    <row r="3535" spans="1:3">
      <c r="A3535" s="627">
        <v>9841</v>
      </c>
      <c r="B3535" s="628" t="s">
        <v>2512</v>
      </c>
      <c r="C3535" s="629" t="s">
        <v>421</v>
      </c>
    </row>
    <row r="3536" spans="1:3">
      <c r="A3536" s="627">
        <v>9842</v>
      </c>
      <c r="B3536" s="628" t="s">
        <v>2513</v>
      </c>
      <c r="C3536" s="629" t="s">
        <v>421</v>
      </c>
    </row>
    <row r="3537" spans="1:3">
      <c r="A3537" s="627">
        <v>9900</v>
      </c>
      <c r="B3537" s="628" t="s">
        <v>2514</v>
      </c>
      <c r="C3537" s="629" t="s">
        <v>421</v>
      </c>
    </row>
    <row r="3538" spans="1:3">
      <c r="A3538" s="627">
        <v>9909</v>
      </c>
      <c r="B3538" s="628" t="s">
        <v>2514</v>
      </c>
      <c r="C3538" s="629" t="s">
        <v>421</v>
      </c>
    </row>
    <row r="3539" spans="1:3">
      <c r="A3539" s="627">
        <v>9909</v>
      </c>
      <c r="B3539" s="628" t="s">
        <v>2515</v>
      </c>
      <c r="C3539" s="629" t="s">
        <v>421</v>
      </c>
    </row>
    <row r="3540" spans="1:3">
      <c r="A3540" s="627">
        <v>9912</v>
      </c>
      <c r="B3540" s="628" t="s">
        <v>2516</v>
      </c>
      <c r="C3540" s="629" t="s">
        <v>421</v>
      </c>
    </row>
    <row r="3541" spans="1:3">
      <c r="A3541" s="627">
        <v>9912</v>
      </c>
      <c r="B3541" s="628" t="s">
        <v>2517</v>
      </c>
      <c r="C3541" s="629" t="s">
        <v>421</v>
      </c>
    </row>
    <row r="3542" spans="1:3">
      <c r="A3542" s="627">
        <v>9913</v>
      </c>
      <c r="B3542" s="628" t="s">
        <v>4727</v>
      </c>
      <c r="C3542" s="629" t="s">
        <v>421</v>
      </c>
    </row>
    <row r="3543" spans="1:3">
      <c r="A3543" s="627">
        <v>9913</v>
      </c>
      <c r="B3543" s="628" t="s">
        <v>4728</v>
      </c>
      <c r="C3543" s="629" t="s">
        <v>421</v>
      </c>
    </row>
    <row r="3544" spans="1:3">
      <c r="A3544" s="627">
        <v>9913</v>
      </c>
      <c r="B3544" s="628" t="s">
        <v>2518</v>
      </c>
      <c r="C3544" s="629" t="s">
        <v>421</v>
      </c>
    </row>
    <row r="3545" spans="1:3">
      <c r="A3545" s="627">
        <v>9914</v>
      </c>
      <c r="B3545" s="628" t="s">
        <v>2519</v>
      </c>
      <c r="C3545" s="629" t="s">
        <v>421</v>
      </c>
    </row>
    <row r="3546" spans="1:3">
      <c r="A3546" s="627">
        <v>9915</v>
      </c>
      <c r="B3546" s="628" t="s">
        <v>4729</v>
      </c>
      <c r="C3546" s="629" t="s">
        <v>421</v>
      </c>
    </row>
    <row r="3547" spans="1:3">
      <c r="A3547" s="627">
        <v>9915</v>
      </c>
      <c r="B3547" s="628" t="s">
        <v>4730</v>
      </c>
      <c r="C3547" s="629" t="s">
        <v>421</v>
      </c>
    </row>
    <row r="3548" spans="1:3">
      <c r="A3548" s="627">
        <v>9915</v>
      </c>
      <c r="B3548" s="628" t="s">
        <v>4731</v>
      </c>
      <c r="C3548" s="629" t="s">
        <v>421</v>
      </c>
    </row>
    <row r="3549" spans="1:3">
      <c r="A3549" s="627">
        <v>9915</v>
      </c>
      <c r="B3549" s="628" t="s">
        <v>2520</v>
      </c>
      <c r="C3549" s="629" t="s">
        <v>421</v>
      </c>
    </row>
    <row r="3550" spans="1:3">
      <c r="A3550" s="627">
        <v>9917</v>
      </c>
      <c r="B3550" s="628" t="s">
        <v>4732</v>
      </c>
      <c r="C3550" s="629" t="s">
        <v>421</v>
      </c>
    </row>
    <row r="3551" spans="1:3">
      <c r="A3551" s="627">
        <v>9917</v>
      </c>
      <c r="B3551" s="628" t="s">
        <v>2521</v>
      </c>
      <c r="C3551" s="629" t="s">
        <v>421</v>
      </c>
    </row>
    <row r="3552" spans="1:3">
      <c r="A3552" s="627">
        <v>9918</v>
      </c>
      <c r="B3552" s="628" t="s">
        <v>2522</v>
      </c>
      <c r="C3552" s="629" t="s">
        <v>421</v>
      </c>
    </row>
    <row r="3553" spans="1:3">
      <c r="A3553" s="627">
        <v>9919</v>
      </c>
      <c r="B3553" s="628" t="s">
        <v>2523</v>
      </c>
      <c r="C3553" s="629" t="s">
        <v>421</v>
      </c>
    </row>
    <row r="3554" spans="1:3">
      <c r="A3554" s="627">
        <v>9921</v>
      </c>
      <c r="B3554" s="628" t="s">
        <v>2524</v>
      </c>
      <c r="C3554" s="629" t="s">
        <v>421</v>
      </c>
    </row>
    <row r="3555" spans="1:3">
      <c r="A3555" s="627">
        <v>9922</v>
      </c>
      <c r="B3555" s="628" t="s">
        <v>2525</v>
      </c>
      <c r="C3555" s="629" t="s">
        <v>421</v>
      </c>
    </row>
    <row r="3556" spans="1:3">
      <c r="A3556" s="627">
        <v>9923</v>
      </c>
      <c r="B3556" s="628" t="s">
        <v>2526</v>
      </c>
      <c r="C3556" s="629" t="s">
        <v>421</v>
      </c>
    </row>
    <row r="3557" spans="1:3">
      <c r="A3557" s="627">
        <v>9931</v>
      </c>
      <c r="B3557" s="628" t="s">
        <v>4733</v>
      </c>
      <c r="C3557" s="629" t="s">
        <v>421</v>
      </c>
    </row>
    <row r="3558" spans="1:3">
      <c r="A3558" s="627">
        <v>9931</v>
      </c>
      <c r="B3558" s="628" t="s">
        <v>2527</v>
      </c>
      <c r="C3558" s="629" t="s">
        <v>421</v>
      </c>
    </row>
    <row r="3559" spans="1:3">
      <c r="A3559" s="627">
        <v>9932</v>
      </c>
      <c r="B3559" s="628" t="s">
        <v>4866</v>
      </c>
      <c r="C3559" s="629" t="s">
        <v>421</v>
      </c>
    </row>
    <row r="3560" spans="1:3">
      <c r="A3560" s="627">
        <v>9933</v>
      </c>
      <c r="B3560" s="628" t="s">
        <v>4734</v>
      </c>
      <c r="C3560" s="629" t="s">
        <v>421</v>
      </c>
    </row>
    <row r="3561" spans="1:3">
      <c r="A3561" s="627">
        <v>9934</v>
      </c>
      <c r="B3561" s="628" t="s">
        <v>4336</v>
      </c>
      <c r="C3561" s="629" t="s">
        <v>421</v>
      </c>
    </row>
    <row r="3562" spans="1:3">
      <c r="A3562" s="627">
        <v>9934</v>
      </c>
      <c r="B3562" s="628" t="s">
        <v>4735</v>
      </c>
      <c r="C3562" s="629" t="s">
        <v>421</v>
      </c>
    </row>
    <row r="3563" spans="1:3">
      <c r="A3563" s="627">
        <v>9934</v>
      </c>
      <c r="B3563" s="628" t="s">
        <v>4736</v>
      </c>
      <c r="C3563" s="629" t="s">
        <v>421</v>
      </c>
    </row>
    <row r="3564" spans="1:3">
      <c r="A3564" s="627">
        <v>9935</v>
      </c>
      <c r="B3564" s="628" t="s">
        <v>4337</v>
      </c>
      <c r="C3564" s="629" t="s">
        <v>421</v>
      </c>
    </row>
    <row r="3565" spans="1:3">
      <c r="A3565" s="627">
        <v>9936</v>
      </c>
      <c r="B3565" s="628" t="s">
        <v>4338</v>
      </c>
      <c r="C3565" s="629" t="s">
        <v>421</v>
      </c>
    </row>
    <row r="3566" spans="1:3">
      <c r="A3566" s="627">
        <v>9937</v>
      </c>
      <c r="B3566" s="628" t="s">
        <v>4339</v>
      </c>
      <c r="C3566" s="629" t="s">
        <v>421</v>
      </c>
    </row>
    <row r="3567" spans="1:3">
      <c r="A3567" s="627">
        <v>9938</v>
      </c>
      <c r="B3567" s="628" t="s">
        <v>4737</v>
      </c>
      <c r="C3567" s="629" t="s">
        <v>421</v>
      </c>
    </row>
    <row r="3568" spans="1:3">
      <c r="A3568" s="627">
        <v>9938</v>
      </c>
      <c r="B3568" s="628" t="s">
        <v>4340</v>
      </c>
      <c r="C3568" s="629" t="s">
        <v>421</v>
      </c>
    </row>
    <row r="3569" spans="1:3">
      <c r="A3569" s="627">
        <v>9941</v>
      </c>
      <c r="B3569" s="628" t="s">
        <v>4738</v>
      </c>
      <c r="C3569" s="629" t="s">
        <v>421</v>
      </c>
    </row>
    <row r="3570" spans="1:3">
      <c r="A3570" s="627">
        <v>9941</v>
      </c>
      <c r="B3570" s="628" t="s">
        <v>4341</v>
      </c>
      <c r="C3570" s="629" t="s">
        <v>421</v>
      </c>
    </row>
    <row r="3571" spans="1:3">
      <c r="A3571" s="627">
        <v>9942</v>
      </c>
      <c r="B3571" s="628" t="s">
        <v>4342</v>
      </c>
      <c r="C3571" s="629" t="s">
        <v>421</v>
      </c>
    </row>
    <row r="3572" spans="1:3">
      <c r="A3572" s="627">
        <v>9943</v>
      </c>
      <c r="B3572" s="628" t="s">
        <v>4343</v>
      </c>
      <c r="C3572" s="629" t="s">
        <v>421</v>
      </c>
    </row>
    <row r="3573" spans="1:3">
      <c r="A3573" s="627">
        <v>9944</v>
      </c>
      <c r="B3573" s="628" t="s">
        <v>4739</v>
      </c>
      <c r="C3573" s="629" t="s">
        <v>421</v>
      </c>
    </row>
    <row r="3574" spans="1:3">
      <c r="A3574" s="627">
        <v>9944</v>
      </c>
      <c r="B3574" s="628" t="s">
        <v>4344</v>
      </c>
      <c r="C3574" s="629" t="s">
        <v>421</v>
      </c>
    </row>
    <row r="3575" spans="1:3">
      <c r="A3575" s="627">
        <v>9945</v>
      </c>
      <c r="B3575" s="628" t="s">
        <v>3510</v>
      </c>
      <c r="C3575" s="629" t="s">
        <v>421</v>
      </c>
    </row>
    <row r="3576" spans="1:3">
      <c r="A3576" s="627">
        <v>9946</v>
      </c>
      <c r="B3576" s="628" t="s">
        <v>4740</v>
      </c>
      <c r="C3576" s="629" t="s">
        <v>421</v>
      </c>
    </row>
    <row r="3577" spans="1:3">
      <c r="A3577" s="627">
        <v>9946</v>
      </c>
      <c r="B3577" s="628" t="s">
        <v>3511</v>
      </c>
      <c r="C3577" s="629" t="s">
        <v>421</v>
      </c>
    </row>
    <row r="3578" spans="1:3">
      <c r="A3578" s="627">
        <v>9951</v>
      </c>
      <c r="B3578" s="628" t="s">
        <v>3512</v>
      </c>
      <c r="C3578" s="629" t="s">
        <v>421</v>
      </c>
    </row>
    <row r="3579" spans="1:3">
      <c r="A3579" s="627">
        <v>9952</v>
      </c>
      <c r="B3579" s="628" t="s">
        <v>3513</v>
      </c>
      <c r="C3579" s="629" t="s">
        <v>421</v>
      </c>
    </row>
    <row r="3580" spans="1:3">
      <c r="A3580" s="627">
        <v>9953</v>
      </c>
      <c r="B3580" s="628" t="s">
        <v>4741</v>
      </c>
      <c r="C3580" s="629" t="s">
        <v>421</v>
      </c>
    </row>
    <row r="3581" spans="1:3">
      <c r="A3581" s="627">
        <v>9953</v>
      </c>
      <c r="B3581" s="628" t="s">
        <v>3514</v>
      </c>
      <c r="C3581" s="629" t="s">
        <v>421</v>
      </c>
    </row>
    <row r="3582" spans="1:3">
      <c r="A3582" s="627">
        <v>9954</v>
      </c>
      <c r="B3582" s="628" t="s">
        <v>3515</v>
      </c>
      <c r="C3582" s="629" t="s">
        <v>421</v>
      </c>
    </row>
    <row r="3583" spans="1:3">
      <c r="A3583" s="627">
        <v>9955</v>
      </c>
      <c r="B3583" s="628" t="s">
        <v>1135</v>
      </c>
      <c r="C3583" s="629" t="s">
        <v>421</v>
      </c>
    </row>
    <row r="3584" spans="1:3">
      <c r="A3584" s="627">
        <v>9961</v>
      </c>
      <c r="B3584" s="628" t="s">
        <v>1133</v>
      </c>
      <c r="C3584" s="629" t="s">
        <v>421</v>
      </c>
    </row>
    <row r="3585" spans="1:3">
      <c r="A3585" s="627">
        <v>9962</v>
      </c>
      <c r="B3585" s="628" t="s">
        <v>4743</v>
      </c>
      <c r="C3585" s="629" t="s">
        <v>421</v>
      </c>
    </row>
    <row r="3586" spans="1:3">
      <c r="A3586" s="627">
        <v>9962</v>
      </c>
      <c r="B3586" s="628" t="s">
        <v>1134</v>
      </c>
      <c r="C3586" s="629" t="s">
        <v>421</v>
      </c>
    </row>
    <row r="3587" spans="1:3">
      <c r="A3587" s="627">
        <v>9970</v>
      </c>
      <c r="B3587" s="628" t="s">
        <v>1135</v>
      </c>
      <c r="C3587" s="629" t="s">
        <v>421</v>
      </c>
    </row>
    <row r="3588" spans="1:3">
      <c r="A3588" s="627">
        <v>9981</v>
      </c>
      <c r="B3588" s="628" t="s">
        <v>1135</v>
      </c>
      <c r="C3588" s="629" t="s">
        <v>421</v>
      </c>
    </row>
    <row r="3589" spans="1:3">
      <c r="A3589" s="627">
        <v>9982</v>
      </c>
      <c r="B3589" s="628" t="s">
        <v>4745</v>
      </c>
      <c r="C3589" s="629" t="s">
        <v>421</v>
      </c>
    </row>
    <row r="3590" spans="1:3">
      <c r="A3590" s="627">
        <v>9982</v>
      </c>
      <c r="B3590" s="628" t="s">
        <v>4746</v>
      </c>
      <c r="C3590" s="629" t="s">
        <v>421</v>
      </c>
    </row>
    <row r="3591" spans="1:3">
      <c r="A3591" s="627">
        <v>9982</v>
      </c>
      <c r="B3591" s="628" t="s">
        <v>1137</v>
      </c>
      <c r="C3591" s="629" t="s">
        <v>421</v>
      </c>
    </row>
    <row r="3592" spans="1:3">
      <c r="A3592" s="627">
        <v>9983</v>
      </c>
      <c r="B3592" s="628" t="s">
        <v>4747</v>
      </c>
      <c r="C3592" s="629" t="s">
        <v>421</v>
      </c>
    </row>
    <row r="3593" spans="1:3">
      <c r="A3593" s="627">
        <v>9983</v>
      </c>
      <c r="B3593" s="628" t="s">
        <v>1138</v>
      </c>
      <c r="C3593" s="629" t="s">
        <v>421</v>
      </c>
    </row>
    <row r="3594" spans="1:3">
      <c r="A3594" s="627">
        <v>9985</v>
      </c>
      <c r="B3594" s="633" t="s">
        <v>1139</v>
      </c>
      <c r="C3594" s="634" t="s">
        <v>421</v>
      </c>
    </row>
    <row r="3595" spans="1:3">
      <c r="A3595" s="627"/>
      <c r="B3595" s="628"/>
      <c r="C3595" s="629"/>
    </row>
    <row r="3596" spans="1:3">
      <c r="A3596" s="627"/>
      <c r="B3596" s="628"/>
      <c r="C3596" s="629"/>
    </row>
    <row r="3597" spans="1:3">
      <c r="A3597" s="627"/>
      <c r="B3597" s="628"/>
      <c r="C3597" s="629"/>
    </row>
    <row r="3598" spans="1:3">
      <c r="A3598" s="627"/>
      <c r="B3598" s="628"/>
      <c r="C3598" s="629"/>
    </row>
    <row r="3599" spans="1:3">
      <c r="A3599" s="627"/>
      <c r="B3599" s="628"/>
      <c r="C3599" s="629"/>
    </row>
    <row r="3600" spans="1:3">
      <c r="A3600" s="627"/>
      <c r="B3600" s="628"/>
      <c r="C3600" s="629"/>
    </row>
    <row r="3601" spans="1:3">
      <c r="A3601" s="627"/>
      <c r="B3601" s="628"/>
      <c r="C3601" s="629"/>
    </row>
    <row r="3602" spans="1:3">
      <c r="A3602" s="627"/>
      <c r="B3602" s="628"/>
      <c r="C3602" s="629"/>
    </row>
    <row r="3603" spans="1:3">
      <c r="A3603" s="627"/>
      <c r="B3603" s="628"/>
      <c r="C3603" s="629"/>
    </row>
    <row r="3604" spans="1:3">
      <c r="A3604" s="627"/>
      <c r="B3604" s="628"/>
      <c r="C3604" s="629"/>
    </row>
    <row r="3605" spans="1:3">
      <c r="A3605" s="627"/>
      <c r="B3605" s="633"/>
      <c r="C3605" s="634"/>
    </row>
    <row r="3606" spans="1:3">
      <c r="A3606" s="495"/>
      <c r="B3606" s="364"/>
    </row>
    <row r="3607" spans="1:3">
      <c r="A3607" s="495"/>
      <c r="B3607" s="364"/>
    </row>
    <row r="3608" spans="1:3">
      <c r="A3608" s="495"/>
      <c r="B3608" s="364"/>
    </row>
    <row r="3609" spans="1:3">
      <c r="A3609" s="495"/>
      <c r="B3609" s="364"/>
    </row>
    <row r="3610" spans="1:3">
      <c r="A3610" s="495"/>
      <c r="B3610" s="364"/>
    </row>
    <row r="3611" spans="1:3">
      <c r="A3611" s="495"/>
      <c r="B3611" s="364"/>
    </row>
    <row r="3612" spans="1:3">
      <c r="A3612" s="495"/>
      <c r="B3612" s="364"/>
    </row>
    <row r="3613" spans="1:3">
      <c r="A3613" s="495"/>
      <c r="B3613" s="364"/>
    </row>
    <row r="3614" spans="1:3">
      <c r="A3614" s="495"/>
      <c r="B3614" s="364"/>
    </row>
    <row r="3615" spans="1:3">
      <c r="A3615" s="495"/>
      <c r="B3615" s="364"/>
    </row>
    <row r="3616" spans="1:3">
      <c r="A3616" s="495"/>
      <c r="B3616" s="364"/>
    </row>
    <row r="3617" spans="1:2">
      <c r="A3617" s="495"/>
      <c r="B3617" s="364"/>
    </row>
    <row r="3618" spans="1:2">
      <c r="A3618" s="495"/>
      <c r="B3618" s="364"/>
    </row>
    <row r="3619" spans="1:2">
      <c r="A3619" s="495"/>
      <c r="B3619" s="364"/>
    </row>
    <row r="3620" spans="1:2">
      <c r="A3620" s="495"/>
      <c r="B3620" s="364"/>
    </row>
    <row r="3621" spans="1:2">
      <c r="A3621" s="495"/>
      <c r="B3621" s="364"/>
    </row>
    <row r="3622" spans="1:2">
      <c r="A3622" s="495"/>
      <c r="B3622" s="364"/>
    </row>
    <row r="3623" spans="1:2">
      <c r="A3623" s="495"/>
      <c r="B3623" s="364"/>
    </row>
    <row r="3624" spans="1:2">
      <c r="A3624" s="495"/>
      <c r="B3624" s="364"/>
    </row>
    <row r="3625" spans="1:2">
      <c r="A3625" s="495"/>
      <c r="B3625" s="364"/>
    </row>
    <row r="3626" spans="1:2">
      <c r="A3626" s="495"/>
      <c r="B3626" s="364"/>
    </row>
    <row r="3627" spans="1:2">
      <c r="A3627" s="495"/>
      <c r="B3627" s="364"/>
    </row>
    <row r="3628" spans="1:2">
      <c r="A3628" s="495"/>
      <c r="B3628" s="364"/>
    </row>
    <row r="3629" spans="1:2">
      <c r="A3629" s="495"/>
      <c r="B3629" s="364"/>
    </row>
    <row r="3630" spans="1:2">
      <c r="A3630" s="495"/>
      <c r="B3630" s="364"/>
    </row>
    <row r="3631" spans="1:2">
      <c r="A3631" s="495"/>
      <c r="B3631" s="364"/>
    </row>
    <row r="3632" spans="1:2">
      <c r="A3632" s="495"/>
      <c r="B3632" s="364"/>
    </row>
    <row r="3633" spans="1:2">
      <c r="A3633" s="495"/>
      <c r="B3633" s="364"/>
    </row>
    <row r="3634" spans="1:2">
      <c r="A3634" s="495"/>
      <c r="B3634" s="364"/>
    </row>
    <row r="3635" spans="1:2">
      <c r="A3635" s="495"/>
      <c r="B3635" s="364"/>
    </row>
    <row r="3636" spans="1:2">
      <c r="A3636" s="495"/>
      <c r="B3636" s="364"/>
    </row>
    <row r="3637" spans="1:2">
      <c r="A3637" s="495"/>
      <c r="B3637" s="364"/>
    </row>
    <row r="3638" spans="1:2">
      <c r="A3638" s="495"/>
      <c r="B3638" s="364"/>
    </row>
    <row r="3639" spans="1:2">
      <c r="A3639" s="495"/>
      <c r="B3639" s="364"/>
    </row>
    <row r="3640" spans="1:2">
      <c r="A3640" s="495"/>
      <c r="B3640" s="364"/>
    </row>
    <row r="3641" spans="1:2">
      <c r="A3641" s="495"/>
      <c r="B3641" s="364"/>
    </row>
    <row r="3642" spans="1:2">
      <c r="A3642" s="495"/>
      <c r="B3642" s="364"/>
    </row>
    <row r="3643" spans="1:2">
      <c r="A3643" s="495"/>
      <c r="B3643" s="364"/>
    </row>
    <row r="3644" spans="1:2">
      <c r="A3644" s="495"/>
      <c r="B3644" s="364"/>
    </row>
    <row r="3645" spans="1:2">
      <c r="A3645" s="495"/>
      <c r="B3645" s="364"/>
    </row>
    <row r="3646" spans="1:2">
      <c r="A3646" s="495"/>
      <c r="B3646" s="364"/>
    </row>
    <row r="3647" spans="1:2">
      <c r="A3647" s="495"/>
      <c r="B3647" s="364"/>
    </row>
    <row r="3648" spans="1:2">
      <c r="A3648" s="495"/>
      <c r="B3648" s="364"/>
    </row>
    <row r="3649" spans="1:2">
      <c r="A3649" s="495"/>
      <c r="B3649" s="364"/>
    </row>
    <row r="3650" spans="1:2">
      <c r="A3650" s="495"/>
      <c r="B3650" s="364"/>
    </row>
    <row r="3651" spans="1:2">
      <c r="A3651" s="495"/>
      <c r="B3651" s="364"/>
    </row>
    <row r="3652" spans="1:2">
      <c r="A3652" s="495"/>
      <c r="B3652" s="364"/>
    </row>
    <row r="3653" spans="1:2">
      <c r="A3653" s="495"/>
      <c r="B3653" s="364"/>
    </row>
    <row r="3654" spans="1:2">
      <c r="A3654" s="495"/>
      <c r="B3654" s="364"/>
    </row>
    <row r="3655" spans="1:2">
      <c r="A3655" s="495"/>
      <c r="B3655" s="364"/>
    </row>
    <row r="3656" spans="1:2">
      <c r="A3656" s="495"/>
      <c r="B3656" s="364"/>
    </row>
    <row r="3657" spans="1:2">
      <c r="A3657" s="495"/>
      <c r="B3657" s="364"/>
    </row>
    <row r="3658" spans="1:2">
      <c r="A3658" s="495"/>
      <c r="B3658" s="364"/>
    </row>
    <row r="3659" spans="1:2">
      <c r="A3659" s="495"/>
      <c r="B3659" s="364"/>
    </row>
    <row r="3660" spans="1:2">
      <c r="A3660" s="495"/>
      <c r="B3660" s="364"/>
    </row>
    <row r="3661" spans="1:2">
      <c r="A3661" s="495"/>
      <c r="B3661" s="364"/>
    </row>
    <row r="3662" spans="1:2">
      <c r="A3662" s="495"/>
      <c r="B3662" s="364"/>
    </row>
    <row r="3663" spans="1:2">
      <c r="A3663" s="495"/>
      <c r="B3663" s="364"/>
    </row>
    <row r="3664" spans="1:2">
      <c r="A3664" s="495"/>
      <c r="B3664" s="364"/>
    </row>
    <row r="3665" spans="1:2">
      <c r="A3665" s="495"/>
      <c r="B3665" s="364"/>
    </row>
    <row r="3666" spans="1:2">
      <c r="A3666" s="495"/>
      <c r="B3666" s="364"/>
    </row>
    <row r="3667" spans="1:2">
      <c r="A3667" s="495"/>
      <c r="B3667" s="364"/>
    </row>
    <row r="3668" spans="1:2">
      <c r="A3668" s="495"/>
      <c r="B3668" s="364"/>
    </row>
    <row r="3669" spans="1:2">
      <c r="A3669" s="495"/>
      <c r="B3669" s="364"/>
    </row>
    <row r="3670" spans="1:2">
      <c r="A3670" s="495"/>
      <c r="B3670" s="364"/>
    </row>
    <row r="3671" spans="1:2">
      <c r="A3671" s="495"/>
      <c r="B3671" s="364"/>
    </row>
    <row r="3672" spans="1:2">
      <c r="A3672" s="495"/>
      <c r="B3672" s="364"/>
    </row>
    <row r="3673" spans="1:2">
      <c r="A3673" s="495"/>
      <c r="B3673" s="364"/>
    </row>
    <row r="3674" spans="1:2">
      <c r="A3674" s="495"/>
      <c r="B3674" s="364"/>
    </row>
    <row r="3675" spans="1:2">
      <c r="A3675" s="495"/>
      <c r="B3675" s="364"/>
    </row>
    <row r="3676" spans="1:2">
      <c r="A3676" s="495"/>
      <c r="B3676" s="364"/>
    </row>
    <row r="3677" spans="1:2">
      <c r="A3677" s="495"/>
      <c r="B3677" s="364"/>
    </row>
    <row r="3678" spans="1:2">
      <c r="A3678" s="495"/>
      <c r="B3678" s="364"/>
    </row>
    <row r="3679" spans="1:2">
      <c r="A3679" s="495"/>
      <c r="B3679" s="364"/>
    </row>
    <row r="3680" spans="1:2">
      <c r="A3680" s="495"/>
      <c r="B3680" s="364"/>
    </row>
    <row r="3681" spans="1:2">
      <c r="A3681" s="495"/>
      <c r="B3681" s="364"/>
    </row>
    <row r="3682" spans="1:2">
      <c r="A3682" s="495"/>
      <c r="B3682" s="364"/>
    </row>
    <row r="3683" spans="1:2">
      <c r="A3683" s="495"/>
      <c r="B3683" s="364"/>
    </row>
    <row r="3684" spans="1:2">
      <c r="A3684" s="495"/>
      <c r="B3684" s="364"/>
    </row>
    <row r="3685" spans="1:2">
      <c r="A3685" s="495"/>
      <c r="B3685" s="364"/>
    </row>
    <row r="3686" spans="1:2">
      <c r="A3686" s="495"/>
      <c r="B3686" s="364"/>
    </row>
    <row r="3687" spans="1:2">
      <c r="A3687" s="495"/>
      <c r="B3687" s="364"/>
    </row>
    <row r="3688" spans="1:2">
      <c r="A3688" s="495"/>
      <c r="B3688" s="364"/>
    </row>
    <row r="3689" spans="1:2">
      <c r="A3689" s="495"/>
      <c r="B3689" s="364"/>
    </row>
    <row r="3690" spans="1:2">
      <c r="A3690" s="495"/>
      <c r="B3690" s="364"/>
    </row>
    <row r="3691" spans="1:2">
      <c r="A3691" s="495"/>
      <c r="B3691" s="364"/>
    </row>
    <row r="3692" spans="1:2">
      <c r="A3692" s="495"/>
      <c r="B3692" s="364"/>
    </row>
    <row r="3693" spans="1:2">
      <c r="A3693" s="495"/>
      <c r="B3693" s="364"/>
    </row>
    <row r="3694" spans="1:2">
      <c r="A3694" s="495"/>
      <c r="B3694" s="364"/>
    </row>
    <row r="3695" spans="1:2">
      <c r="A3695" s="495"/>
      <c r="B3695" s="364"/>
    </row>
    <row r="3696" spans="1:2">
      <c r="A3696" s="495"/>
      <c r="B3696" s="364"/>
    </row>
    <row r="3697" spans="1:2">
      <c r="A3697" s="495"/>
      <c r="B3697" s="364"/>
    </row>
    <row r="3698" spans="1:2">
      <c r="A3698" s="495"/>
      <c r="B3698" s="364"/>
    </row>
    <row r="3699" spans="1:2">
      <c r="A3699" s="495"/>
      <c r="B3699" s="364"/>
    </row>
    <row r="3700" spans="1:2">
      <c r="A3700" s="495"/>
      <c r="B3700" s="364"/>
    </row>
    <row r="3701" spans="1:2">
      <c r="A3701" s="495"/>
      <c r="B3701" s="364"/>
    </row>
    <row r="3702" spans="1:2">
      <c r="A3702" s="495"/>
      <c r="B3702" s="364"/>
    </row>
    <row r="3703" spans="1:2">
      <c r="A3703" s="495"/>
      <c r="B3703" s="364"/>
    </row>
    <row r="3704" spans="1:2">
      <c r="A3704" s="495"/>
      <c r="B3704" s="364"/>
    </row>
    <row r="3705" spans="1:2">
      <c r="A3705" s="495"/>
      <c r="B3705" s="364"/>
    </row>
    <row r="3706" spans="1:2">
      <c r="A3706" s="495"/>
      <c r="B3706" s="364"/>
    </row>
    <row r="3707" spans="1:2">
      <c r="A3707" s="495"/>
      <c r="B3707" s="364"/>
    </row>
    <row r="3708" spans="1:2">
      <c r="A3708" s="495"/>
      <c r="B3708" s="364"/>
    </row>
    <row r="3709" spans="1:2">
      <c r="A3709" s="495"/>
      <c r="B3709" s="364"/>
    </row>
    <row r="3710" spans="1:2">
      <c r="A3710" s="495"/>
      <c r="B3710" s="364"/>
    </row>
    <row r="3711" spans="1:2">
      <c r="A3711" s="495"/>
      <c r="B3711" s="364"/>
    </row>
    <row r="3712" spans="1:2">
      <c r="A3712" s="495"/>
      <c r="B3712" s="364"/>
    </row>
    <row r="3713" spans="1:2">
      <c r="A3713" s="495"/>
      <c r="B3713" s="364"/>
    </row>
    <row r="3714" spans="1:2">
      <c r="A3714" s="495"/>
      <c r="B3714" s="364"/>
    </row>
    <row r="3715" spans="1:2">
      <c r="A3715" s="495"/>
      <c r="B3715" s="364"/>
    </row>
    <row r="3716" spans="1:2">
      <c r="A3716" s="495"/>
      <c r="B3716" s="364"/>
    </row>
    <row r="3717" spans="1:2">
      <c r="A3717" s="495"/>
      <c r="B3717" s="364"/>
    </row>
    <row r="3718" spans="1:2">
      <c r="A3718" s="495"/>
      <c r="B3718" s="364"/>
    </row>
    <row r="3719" spans="1:2">
      <c r="A3719" s="495"/>
      <c r="B3719" s="364"/>
    </row>
    <row r="3720" spans="1:2">
      <c r="A3720" s="495"/>
      <c r="B3720" s="364"/>
    </row>
    <row r="3721" spans="1:2">
      <c r="A3721" s="495"/>
      <c r="B3721" s="364"/>
    </row>
    <row r="3722" spans="1:2">
      <c r="A3722" s="495"/>
      <c r="B3722" s="364"/>
    </row>
    <row r="3723" spans="1:2">
      <c r="A3723" s="495"/>
      <c r="B3723" s="364"/>
    </row>
    <row r="3724" spans="1:2">
      <c r="A3724" s="495"/>
      <c r="B3724" s="364"/>
    </row>
    <row r="3725" spans="1:2">
      <c r="A3725" s="495"/>
      <c r="B3725" s="364"/>
    </row>
    <row r="3726" spans="1:2">
      <c r="A3726" s="495"/>
      <c r="B3726" s="364"/>
    </row>
    <row r="3727" spans="1:2">
      <c r="A3727" s="495"/>
      <c r="B3727" s="364"/>
    </row>
    <row r="3728" spans="1:2">
      <c r="A3728" s="495"/>
      <c r="B3728" s="364"/>
    </row>
    <row r="3729" spans="1:2">
      <c r="A3729" s="495"/>
      <c r="B3729" s="364"/>
    </row>
    <row r="3730" spans="1:2">
      <c r="A3730" s="495"/>
      <c r="B3730" s="364"/>
    </row>
    <row r="3731" spans="1:2">
      <c r="A3731" s="495"/>
      <c r="B3731" s="364"/>
    </row>
    <row r="3732" spans="1:2">
      <c r="A3732" s="495"/>
      <c r="B3732" s="364"/>
    </row>
    <row r="3733" spans="1:2">
      <c r="A3733" s="495"/>
      <c r="B3733" s="364"/>
    </row>
    <row r="3734" spans="1:2">
      <c r="A3734" s="495"/>
      <c r="B3734" s="364"/>
    </row>
    <row r="3735" spans="1:2">
      <c r="A3735" s="495"/>
      <c r="B3735" s="364"/>
    </row>
    <row r="3736" spans="1:2">
      <c r="A3736" s="495"/>
      <c r="B3736" s="364"/>
    </row>
    <row r="3737" spans="1:2">
      <c r="A3737" s="495"/>
      <c r="B3737" s="364"/>
    </row>
    <row r="3738" spans="1:2">
      <c r="A3738" s="495"/>
      <c r="B3738" s="364"/>
    </row>
    <row r="3739" spans="1:2">
      <c r="A3739" s="495"/>
      <c r="B3739" s="364"/>
    </row>
    <row r="3740" spans="1:2">
      <c r="A3740" s="495"/>
      <c r="B3740" s="364"/>
    </row>
    <row r="3741" spans="1:2">
      <c r="A3741" s="495"/>
      <c r="B3741" s="364"/>
    </row>
    <row r="3742" spans="1:2">
      <c r="A3742" s="495"/>
      <c r="B3742" s="364"/>
    </row>
    <row r="3743" spans="1:2">
      <c r="A3743" s="495"/>
      <c r="B3743" s="364"/>
    </row>
    <row r="3744" spans="1:2">
      <c r="A3744" s="495"/>
      <c r="B3744" s="364"/>
    </row>
    <row r="3745" spans="1:2">
      <c r="A3745" s="495"/>
      <c r="B3745" s="364"/>
    </row>
    <row r="3746" spans="1:2">
      <c r="A3746" s="495"/>
      <c r="B3746" s="364"/>
    </row>
    <row r="3747" spans="1:2">
      <c r="A3747" s="495"/>
      <c r="B3747" s="364"/>
    </row>
    <row r="3748" spans="1:2">
      <c r="A3748" s="495"/>
      <c r="B3748" s="364"/>
    </row>
    <row r="3749" spans="1:2">
      <c r="A3749" s="495"/>
      <c r="B3749" s="364"/>
    </row>
    <row r="3750" spans="1:2">
      <c r="A3750" s="495"/>
      <c r="B3750" s="364"/>
    </row>
    <row r="3751" spans="1:2">
      <c r="A3751" s="495"/>
      <c r="B3751" s="364"/>
    </row>
    <row r="3752" spans="1:2">
      <c r="A3752" s="495"/>
      <c r="B3752" s="364"/>
    </row>
    <row r="3753" spans="1:2">
      <c r="A3753" s="495"/>
      <c r="B3753" s="364"/>
    </row>
    <row r="3754" spans="1:2">
      <c r="A3754" s="495"/>
      <c r="B3754" s="364"/>
    </row>
    <row r="3755" spans="1:2">
      <c r="A3755" s="495"/>
      <c r="B3755" s="364"/>
    </row>
    <row r="3756" spans="1:2">
      <c r="A3756" s="495"/>
      <c r="B3756" s="364"/>
    </row>
    <row r="3757" spans="1:2">
      <c r="A3757" s="495"/>
      <c r="B3757" s="364"/>
    </row>
    <row r="3758" spans="1:2">
      <c r="A3758" s="495"/>
      <c r="B3758" s="364"/>
    </row>
    <row r="3759" spans="1:2">
      <c r="A3759" s="495"/>
      <c r="B3759" s="364"/>
    </row>
    <row r="3760" spans="1:2">
      <c r="A3760" s="495"/>
      <c r="B3760" s="364"/>
    </row>
    <row r="3761" spans="1:2">
      <c r="A3761" s="495"/>
      <c r="B3761" s="364"/>
    </row>
    <row r="3762" spans="1:2">
      <c r="A3762" s="495"/>
      <c r="B3762" s="364"/>
    </row>
    <row r="3763" spans="1:2">
      <c r="A3763" s="495"/>
      <c r="B3763" s="364"/>
    </row>
    <row r="3764" spans="1:2">
      <c r="A3764" s="495"/>
      <c r="B3764" s="364"/>
    </row>
    <row r="3765" spans="1:2">
      <c r="A3765" s="495"/>
      <c r="B3765" s="364"/>
    </row>
    <row r="3766" spans="1:2">
      <c r="A3766" s="495"/>
      <c r="B3766" s="364"/>
    </row>
    <row r="3767" spans="1:2">
      <c r="A3767" s="495"/>
      <c r="B3767" s="364"/>
    </row>
    <row r="3768" spans="1:2">
      <c r="A3768" s="495"/>
      <c r="B3768" s="364"/>
    </row>
    <row r="3769" spans="1:2">
      <c r="A3769" s="495"/>
      <c r="B3769" s="364"/>
    </row>
    <row r="3770" spans="1:2">
      <c r="A3770" s="495"/>
      <c r="B3770" s="364"/>
    </row>
    <row r="3771" spans="1:2">
      <c r="A3771" s="495"/>
      <c r="B3771" s="364"/>
    </row>
    <row r="3772" spans="1:2">
      <c r="A3772" s="495"/>
      <c r="B3772" s="364"/>
    </row>
    <row r="3773" spans="1:2">
      <c r="A3773" s="495"/>
      <c r="B3773" s="364"/>
    </row>
    <row r="3774" spans="1:2">
      <c r="A3774" s="495"/>
      <c r="B3774" s="364"/>
    </row>
    <row r="3775" spans="1:2">
      <c r="A3775" s="495"/>
      <c r="B3775" s="364"/>
    </row>
    <row r="3776" spans="1:2">
      <c r="A3776" s="495"/>
      <c r="B3776" s="364"/>
    </row>
    <row r="3777" spans="1:2">
      <c r="A3777" s="495"/>
      <c r="B3777" s="364"/>
    </row>
    <row r="3778" spans="1:2">
      <c r="A3778" s="495"/>
      <c r="B3778" s="364"/>
    </row>
    <row r="3779" spans="1:2">
      <c r="A3779" s="495"/>
      <c r="B3779" s="364"/>
    </row>
    <row r="3780" spans="1:2">
      <c r="A3780" s="495"/>
      <c r="B3780" s="364"/>
    </row>
    <row r="3781" spans="1:2">
      <c r="A3781" s="495"/>
      <c r="B3781" s="364"/>
    </row>
    <row r="3782" spans="1:2">
      <c r="A3782" s="495"/>
      <c r="B3782" s="364"/>
    </row>
    <row r="3783" spans="1:2">
      <c r="A3783" s="495"/>
      <c r="B3783" s="364"/>
    </row>
    <row r="3784" spans="1:2">
      <c r="A3784" s="495"/>
      <c r="B3784" s="364"/>
    </row>
    <row r="3785" spans="1:2">
      <c r="A3785" s="495"/>
      <c r="B3785" s="364"/>
    </row>
    <row r="3786" spans="1:2">
      <c r="A3786" s="495"/>
      <c r="B3786" s="364"/>
    </row>
    <row r="3787" spans="1:2">
      <c r="A3787" s="495"/>
      <c r="B3787" s="364"/>
    </row>
    <row r="3788" spans="1:2">
      <c r="A3788" s="495"/>
      <c r="B3788" s="364"/>
    </row>
    <row r="3789" spans="1:2">
      <c r="A3789" s="495"/>
      <c r="B3789" s="364"/>
    </row>
    <row r="3790" spans="1:2">
      <c r="A3790" s="495"/>
      <c r="B3790" s="364"/>
    </row>
    <row r="3791" spans="1:2">
      <c r="A3791" s="495"/>
      <c r="B3791" s="364"/>
    </row>
    <row r="3792" spans="1:2">
      <c r="A3792" s="495"/>
      <c r="B3792" s="364"/>
    </row>
    <row r="3793" spans="1:2">
      <c r="A3793" s="495"/>
      <c r="B3793" s="364"/>
    </row>
    <row r="3794" spans="1:2">
      <c r="A3794" s="495"/>
      <c r="B3794" s="364"/>
    </row>
    <row r="3795" spans="1:2">
      <c r="A3795" s="495"/>
      <c r="B3795" s="364"/>
    </row>
    <row r="3796" spans="1:2">
      <c r="A3796" s="495"/>
      <c r="B3796" s="364"/>
    </row>
    <row r="3797" spans="1:2">
      <c r="A3797" s="495"/>
      <c r="B3797" s="364"/>
    </row>
    <row r="3798" spans="1:2">
      <c r="A3798" s="495"/>
      <c r="B3798" s="364"/>
    </row>
    <row r="3799" spans="1:2">
      <c r="A3799" s="495"/>
      <c r="B3799" s="364"/>
    </row>
    <row r="3800" spans="1:2">
      <c r="A3800" s="495"/>
      <c r="B3800" s="364"/>
    </row>
    <row r="3801" spans="1:2">
      <c r="A3801" s="495"/>
      <c r="B3801" s="364"/>
    </row>
    <row r="3802" spans="1:2">
      <c r="A3802" s="495"/>
      <c r="B3802" s="364"/>
    </row>
    <row r="3803" spans="1:2">
      <c r="A3803" s="495"/>
      <c r="B3803" s="364"/>
    </row>
    <row r="3804" spans="1:2">
      <c r="A3804" s="495"/>
      <c r="B3804" s="364"/>
    </row>
    <row r="3805" spans="1:2">
      <c r="A3805" s="495"/>
      <c r="B3805" s="364"/>
    </row>
    <row r="3806" spans="1:2">
      <c r="A3806" s="495"/>
      <c r="B3806" s="364"/>
    </row>
    <row r="3807" spans="1:2">
      <c r="A3807" s="495"/>
      <c r="B3807" s="364"/>
    </row>
    <row r="3808" spans="1:2">
      <c r="A3808" s="495"/>
      <c r="B3808" s="364"/>
    </row>
    <row r="3809" spans="1:2">
      <c r="A3809" s="495"/>
      <c r="B3809" s="364"/>
    </row>
    <row r="3810" spans="1:2">
      <c r="A3810" s="495"/>
      <c r="B3810" s="364"/>
    </row>
    <row r="3811" spans="1:2">
      <c r="A3811" s="495"/>
      <c r="B3811" s="364"/>
    </row>
    <row r="3812" spans="1:2">
      <c r="A3812" s="495"/>
      <c r="B3812" s="364"/>
    </row>
    <row r="3813" spans="1:2">
      <c r="A3813" s="495"/>
      <c r="B3813" s="364"/>
    </row>
    <row r="3814" spans="1:2">
      <c r="A3814" s="495"/>
      <c r="B3814" s="364"/>
    </row>
    <row r="3815" spans="1:2">
      <c r="A3815" s="495"/>
      <c r="B3815" s="364"/>
    </row>
    <row r="3816" spans="1:2">
      <c r="A3816" s="495"/>
      <c r="B3816" s="364"/>
    </row>
    <row r="3817" spans="1:2">
      <c r="A3817" s="495"/>
      <c r="B3817" s="364"/>
    </row>
    <row r="3818" spans="1:2">
      <c r="A3818" s="495"/>
      <c r="B3818" s="364"/>
    </row>
    <row r="3819" spans="1:2">
      <c r="A3819" s="495"/>
      <c r="B3819" s="364"/>
    </row>
    <row r="3820" spans="1:2">
      <c r="A3820" s="495"/>
      <c r="B3820" s="364"/>
    </row>
    <row r="3821" spans="1:2">
      <c r="A3821" s="495"/>
      <c r="B3821" s="364"/>
    </row>
    <row r="3822" spans="1:2">
      <c r="A3822" s="495"/>
      <c r="B3822" s="364"/>
    </row>
    <row r="3823" spans="1:2">
      <c r="A3823" s="495"/>
      <c r="B3823" s="364"/>
    </row>
    <row r="3824" spans="1:2">
      <c r="A3824" s="495"/>
      <c r="B3824" s="364"/>
    </row>
    <row r="3825" spans="1:2">
      <c r="A3825" s="495"/>
      <c r="B3825" s="364"/>
    </row>
    <row r="3826" spans="1:2">
      <c r="A3826" s="495"/>
      <c r="B3826" s="364"/>
    </row>
    <row r="3827" spans="1:2">
      <c r="A3827" s="495"/>
      <c r="B3827" s="364"/>
    </row>
    <row r="3828" spans="1:2">
      <c r="A3828" s="495"/>
      <c r="B3828" s="364"/>
    </row>
    <row r="3829" spans="1:2">
      <c r="A3829" s="495"/>
      <c r="B3829" s="364"/>
    </row>
    <row r="3830" spans="1:2">
      <c r="A3830" s="495"/>
      <c r="B3830" s="364"/>
    </row>
    <row r="3831" spans="1:2">
      <c r="A3831" s="495"/>
      <c r="B3831" s="364"/>
    </row>
    <row r="3832" spans="1:2">
      <c r="A3832" s="495"/>
      <c r="B3832" s="364"/>
    </row>
    <row r="3833" spans="1:2">
      <c r="A3833" s="495"/>
      <c r="B3833" s="364"/>
    </row>
    <row r="3834" spans="1:2">
      <c r="A3834" s="495"/>
      <c r="B3834" s="364"/>
    </row>
    <row r="3835" spans="1:2">
      <c r="A3835" s="495"/>
      <c r="B3835" s="364"/>
    </row>
    <row r="3836" spans="1:2">
      <c r="A3836" s="495"/>
      <c r="B3836" s="364"/>
    </row>
    <row r="3837" spans="1:2">
      <c r="A3837" s="495"/>
      <c r="B3837" s="364"/>
    </row>
    <row r="3838" spans="1:2">
      <c r="A3838" s="495"/>
      <c r="B3838" s="364"/>
    </row>
    <row r="3839" spans="1:2">
      <c r="A3839" s="495"/>
      <c r="B3839" s="364"/>
    </row>
    <row r="3840" spans="1:2">
      <c r="A3840" s="495"/>
      <c r="B3840" s="364"/>
    </row>
    <row r="3841" spans="1:2">
      <c r="A3841" s="495"/>
      <c r="B3841" s="364"/>
    </row>
    <row r="3842" spans="1:2">
      <c r="A3842" s="495"/>
      <c r="B3842" s="364"/>
    </row>
    <row r="3843" spans="1:2">
      <c r="A3843" s="495"/>
      <c r="B3843" s="364"/>
    </row>
    <row r="3844" spans="1:2">
      <c r="A3844" s="495"/>
      <c r="B3844" s="364"/>
    </row>
    <row r="3845" spans="1:2">
      <c r="A3845" s="495"/>
      <c r="B3845" s="364"/>
    </row>
    <row r="3846" spans="1:2">
      <c r="A3846" s="495"/>
      <c r="B3846" s="364"/>
    </row>
    <row r="3847" spans="1:2">
      <c r="A3847" s="495"/>
      <c r="B3847" s="364"/>
    </row>
    <row r="3848" spans="1:2">
      <c r="A3848" s="495"/>
      <c r="B3848" s="364"/>
    </row>
    <row r="3849" spans="1:2">
      <c r="A3849" s="495"/>
      <c r="B3849" s="364"/>
    </row>
    <row r="3850" spans="1:2">
      <c r="A3850" s="495"/>
      <c r="B3850" s="364"/>
    </row>
    <row r="3851" spans="1:2">
      <c r="A3851" s="495"/>
      <c r="B3851" s="364"/>
    </row>
    <row r="3852" spans="1:2">
      <c r="A3852" s="495"/>
      <c r="B3852" s="364"/>
    </row>
    <row r="3853" spans="1:2">
      <c r="A3853" s="495"/>
      <c r="B3853" s="364"/>
    </row>
    <row r="3854" spans="1:2">
      <c r="A3854" s="495"/>
      <c r="B3854" s="364"/>
    </row>
    <row r="3855" spans="1:2">
      <c r="A3855" s="495"/>
      <c r="B3855" s="364"/>
    </row>
    <row r="3856" spans="1:2">
      <c r="A3856" s="495"/>
      <c r="B3856" s="364"/>
    </row>
    <row r="3857" spans="1:2">
      <c r="A3857" s="495"/>
      <c r="B3857" s="364"/>
    </row>
    <row r="3858" spans="1:2">
      <c r="A3858" s="495"/>
      <c r="B3858" s="364"/>
    </row>
    <row r="3859" spans="1:2">
      <c r="A3859" s="495"/>
      <c r="B3859" s="364"/>
    </row>
    <row r="3860" spans="1:2">
      <c r="A3860" s="495"/>
      <c r="B3860" s="364"/>
    </row>
    <row r="3861" spans="1:2">
      <c r="A3861" s="495"/>
      <c r="B3861" s="364"/>
    </row>
    <row r="3862" spans="1:2">
      <c r="A3862" s="495"/>
      <c r="B3862" s="364"/>
    </row>
    <row r="3863" spans="1:2">
      <c r="A3863" s="495"/>
      <c r="B3863" s="364"/>
    </row>
    <row r="3864" spans="1:2">
      <c r="A3864" s="495"/>
      <c r="B3864" s="364"/>
    </row>
    <row r="3865" spans="1:2">
      <c r="A3865" s="495"/>
      <c r="B3865" s="364"/>
    </row>
    <row r="3866" spans="1:2">
      <c r="A3866" s="495"/>
      <c r="B3866" s="364"/>
    </row>
    <row r="3867" spans="1:2">
      <c r="A3867" s="495"/>
      <c r="B3867" s="364"/>
    </row>
    <row r="3868" spans="1:2">
      <c r="A3868" s="495"/>
      <c r="B3868" s="364"/>
    </row>
    <row r="3869" spans="1:2">
      <c r="A3869" s="495"/>
      <c r="B3869" s="364"/>
    </row>
    <row r="3870" spans="1:2">
      <c r="A3870" s="495"/>
      <c r="B3870" s="364"/>
    </row>
    <row r="3871" spans="1:2">
      <c r="A3871" s="495"/>
      <c r="B3871" s="364"/>
    </row>
    <row r="3872" spans="1:2">
      <c r="A3872" s="495"/>
      <c r="B3872" s="364"/>
    </row>
    <row r="3873" spans="1:2">
      <c r="A3873" s="495"/>
      <c r="B3873" s="364"/>
    </row>
    <row r="3874" spans="1:2">
      <c r="A3874" s="495"/>
      <c r="B3874" s="364"/>
    </row>
    <row r="3875" spans="1:2">
      <c r="A3875" s="495"/>
      <c r="B3875" s="364"/>
    </row>
    <row r="3876" spans="1:2">
      <c r="A3876" s="495"/>
      <c r="B3876" s="364"/>
    </row>
    <row r="3877" spans="1:2">
      <c r="A3877" s="495"/>
      <c r="B3877" s="364"/>
    </row>
    <row r="3878" spans="1:2">
      <c r="A3878" s="495"/>
      <c r="B3878" s="364"/>
    </row>
    <row r="3879" spans="1:2">
      <c r="A3879" s="495"/>
      <c r="B3879" s="364"/>
    </row>
    <row r="3880" spans="1:2">
      <c r="A3880" s="495"/>
      <c r="B3880" s="364"/>
    </row>
    <row r="3881" spans="1:2">
      <c r="A3881" s="495"/>
      <c r="B3881" s="364"/>
    </row>
    <row r="3882" spans="1:2">
      <c r="A3882" s="495"/>
      <c r="B3882" s="364"/>
    </row>
    <row r="3883" spans="1:2">
      <c r="A3883" s="495"/>
      <c r="B3883" s="364"/>
    </row>
    <row r="3884" spans="1:2">
      <c r="A3884" s="495"/>
      <c r="B3884" s="364"/>
    </row>
    <row r="3885" spans="1:2">
      <c r="A3885" s="495"/>
      <c r="B3885" s="364"/>
    </row>
    <row r="3886" spans="1:2">
      <c r="A3886" s="495"/>
      <c r="B3886" s="364"/>
    </row>
    <row r="3887" spans="1:2">
      <c r="A3887" s="495"/>
      <c r="B3887" s="364"/>
    </row>
    <row r="3888" spans="1:2">
      <c r="A3888" s="495"/>
      <c r="B3888" s="364"/>
    </row>
    <row r="3889" spans="1:2">
      <c r="A3889" s="495"/>
      <c r="B3889" s="364"/>
    </row>
    <row r="3890" spans="1:2">
      <c r="A3890" s="495"/>
      <c r="B3890" s="364"/>
    </row>
    <row r="3891" spans="1:2">
      <c r="A3891" s="495"/>
      <c r="B3891" s="364"/>
    </row>
    <row r="3892" spans="1:2">
      <c r="A3892" s="495"/>
      <c r="B3892" s="364"/>
    </row>
    <row r="3893" spans="1:2">
      <c r="A3893" s="495"/>
      <c r="B3893" s="364"/>
    </row>
    <row r="3894" spans="1:2">
      <c r="A3894" s="495"/>
      <c r="B3894" s="364"/>
    </row>
    <row r="3895" spans="1:2">
      <c r="A3895" s="495"/>
      <c r="B3895" s="364"/>
    </row>
    <row r="3896" spans="1:2">
      <c r="A3896" s="495"/>
      <c r="B3896" s="364"/>
    </row>
    <row r="3897" spans="1:2">
      <c r="A3897" s="495"/>
      <c r="B3897" s="364"/>
    </row>
    <row r="3898" spans="1:2">
      <c r="A3898" s="495"/>
      <c r="B3898" s="364"/>
    </row>
    <row r="3899" spans="1:2">
      <c r="A3899" s="495"/>
      <c r="B3899" s="364"/>
    </row>
    <row r="3900" spans="1:2">
      <c r="A3900" s="495"/>
      <c r="B3900" s="364"/>
    </row>
    <row r="3901" spans="1:2">
      <c r="A3901" s="495"/>
      <c r="B3901" s="364"/>
    </row>
    <row r="3902" spans="1:2">
      <c r="A3902" s="495"/>
      <c r="B3902" s="364"/>
    </row>
    <row r="3903" spans="1:2">
      <c r="A3903" s="495"/>
      <c r="B3903" s="364"/>
    </row>
    <row r="3904" spans="1:2">
      <c r="A3904" s="495"/>
      <c r="B3904" s="364"/>
    </row>
    <row r="3905" spans="1:2">
      <c r="A3905" s="495"/>
      <c r="B3905" s="364"/>
    </row>
    <row r="3906" spans="1:2">
      <c r="A3906" s="495"/>
      <c r="B3906" s="364"/>
    </row>
    <row r="3907" spans="1:2">
      <c r="A3907" s="495"/>
      <c r="B3907" s="364"/>
    </row>
    <row r="3908" spans="1:2">
      <c r="A3908" s="495"/>
      <c r="B3908" s="364"/>
    </row>
    <row r="3909" spans="1:2">
      <c r="A3909" s="495"/>
      <c r="B3909" s="364"/>
    </row>
    <row r="3910" spans="1:2">
      <c r="A3910" s="495"/>
      <c r="B3910" s="364"/>
    </row>
    <row r="3911" spans="1:2">
      <c r="A3911" s="495"/>
      <c r="B3911" s="364"/>
    </row>
    <row r="3912" spans="1:2">
      <c r="A3912" s="495"/>
      <c r="B3912" s="364"/>
    </row>
    <row r="3913" spans="1:2">
      <c r="A3913" s="495"/>
      <c r="B3913" s="364"/>
    </row>
    <row r="3914" spans="1:2">
      <c r="A3914" s="495"/>
      <c r="B3914" s="364"/>
    </row>
    <row r="3915" spans="1:2">
      <c r="A3915" s="495"/>
      <c r="B3915" s="364"/>
    </row>
    <row r="3916" spans="1:2">
      <c r="A3916" s="495"/>
      <c r="B3916" s="364"/>
    </row>
    <row r="3917" spans="1:2">
      <c r="A3917" s="495"/>
      <c r="B3917" s="364"/>
    </row>
    <row r="3918" spans="1:2">
      <c r="A3918" s="495"/>
      <c r="B3918" s="364"/>
    </row>
    <row r="3919" spans="1:2">
      <c r="A3919" s="495"/>
      <c r="B3919" s="364"/>
    </row>
    <row r="3920" spans="1:2">
      <c r="A3920" s="495"/>
      <c r="B3920" s="364"/>
    </row>
    <row r="3921" spans="1:2">
      <c r="A3921" s="495"/>
      <c r="B3921" s="364"/>
    </row>
    <row r="3922" spans="1:2">
      <c r="A3922" s="495"/>
      <c r="B3922" s="364"/>
    </row>
    <row r="3923" spans="1:2">
      <c r="A3923" s="495"/>
      <c r="B3923" s="364"/>
    </row>
    <row r="3924" spans="1:2">
      <c r="A3924" s="495"/>
      <c r="B3924" s="364"/>
    </row>
    <row r="3925" spans="1:2">
      <c r="A3925" s="495"/>
      <c r="B3925" s="364"/>
    </row>
    <row r="3926" spans="1:2">
      <c r="A3926" s="495"/>
      <c r="B3926" s="364"/>
    </row>
    <row r="3927" spans="1:2">
      <c r="A3927" s="495"/>
      <c r="B3927" s="364"/>
    </row>
    <row r="3928" spans="1:2">
      <c r="A3928" s="495"/>
      <c r="B3928" s="364"/>
    </row>
    <row r="3929" spans="1:2">
      <c r="A3929" s="495"/>
      <c r="B3929" s="364"/>
    </row>
    <row r="3930" spans="1:2">
      <c r="A3930" s="495"/>
      <c r="B3930" s="364"/>
    </row>
    <row r="3931" spans="1:2">
      <c r="A3931" s="495"/>
      <c r="B3931" s="364"/>
    </row>
    <row r="3932" spans="1:2">
      <c r="A3932" s="495"/>
      <c r="B3932" s="364"/>
    </row>
    <row r="3933" spans="1:2">
      <c r="A3933" s="495"/>
      <c r="B3933" s="364"/>
    </row>
    <row r="3934" spans="1:2">
      <c r="A3934" s="495"/>
      <c r="B3934" s="364"/>
    </row>
    <row r="3935" spans="1:2">
      <c r="A3935" s="495"/>
      <c r="B3935" s="364"/>
    </row>
    <row r="3936" spans="1:2">
      <c r="A3936" s="495"/>
      <c r="B3936" s="364"/>
    </row>
    <row r="3937" spans="1:2">
      <c r="A3937" s="495"/>
      <c r="B3937" s="364"/>
    </row>
    <row r="3938" spans="1:2">
      <c r="A3938" s="495"/>
      <c r="B3938" s="364"/>
    </row>
    <row r="3939" spans="1:2">
      <c r="A3939" s="495"/>
      <c r="B3939" s="364"/>
    </row>
    <row r="3940" spans="1:2">
      <c r="A3940" s="495"/>
      <c r="B3940" s="364"/>
    </row>
    <row r="3941" spans="1:2">
      <c r="A3941" s="495"/>
      <c r="B3941" s="364"/>
    </row>
    <row r="3942" spans="1:2">
      <c r="A3942" s="495"/>
      <c r="B3942" s="364"/>
    </row>
    <row r="3943" spans="1:2">
      <c r="A3943" s="495"/>
      <c r="B3943" s="364"/>
    </row>
    <row r="3944" spans="1:2">
      <c r="A3944" s="495"/>
      <c r="B3944" s="364"/>
    </row>
    <row r="3945" spans="1:2">
      <c r="A3945" s="495"/>
      <c r="B3945" s="364"/>
    </row>
    <row r="3946" spans="1:2">
      <c r="A3946" s="495"/>
      <c r="B3946" s="364"/>
    </row>
    <row r="3947" spans="1:2">
      <c r="A3947" s="495"/>
      <c r="B3947" s="364"/>
    </row>
    <row r="3948" spans="1:2">
      <c r="A3948" s="495"/>
      <c r="B3948" s="364"/>
    </row>
    <row r="3949" spans="1:2">
      <c r="A3949" s="495"/>
      <c r="B3949" s="364"/>
    </row>
    <row r="3950" spans="1:2">
      <c r="A3950" s="495"/>
      <c r="B3950" s="364"/>
    </row>
    <row r="3951" spans="1:2">
      <c r="A3951" s="495"/>
      <c r="B3951" s="364"/>
    </row>
    <row r="3952" spans="1:2">
      <c r="A3952" s="495"/>
      <c r="B3952" s="364"/>
    </row>
    <row r="3953" spans="1:2">
      <c r="A3953" s="495"/>
      <c r="B3953" s="364"/>
    </row>
    <row r="3954" spans="1:2">
      <c r="A3954" s="495"/>
      <c r="B3954" s="364"/>
    </row>
    <row r="3955" spans="1:2">
      <c r="A3955" s="495"/>
      <c r="B3955" s="364"/>
    </row>
    <row r="3956" spans="1:2">
      <c r="A3956" s="495"/>
      <c r="B3956" s="364"/>
    </row>
    <row r="3957" spans="1:2">
      <c r="A3957" s="495"/>
      <c r="B3957" s="364"/>
    </row>
    <row r="3958" spans="1:2">
      <c r="A3958" s="495"/>
      <c r="B3958" s="364"/>
    </row>
    <row r="3959" spans="1:2">
      <c r="A3959" s="495"/>
      <c r="B3959" s="364"/>
    </row>
    <row r="3960" spans="1:2">
      <c r="A3960" s="495"/>
      <c r="B3960" s="364"/>
    </row>
    <row r="3961" spans="1:2">
      <c r="A3961" s="495"/>
      <c r="B3961" s="364"/>
    </row>
    <row r="3962" spans="1:2">
      <c r="A3962" s="495"/>
      <c r="B3962" s="364"/>
    </row>
    <row r="3963" spans="1:2">
      <c r="A3963" s="495"/>
      <c r="B3963" s="364"/>
    </row>
    <row r="3964" spans="1:2">
      <c r="A3964" s="495"/>
      <c r="B3964" s="364"/>
    </row>
    <row r="3965" spans="1:2">
      <c r="A3965" s="495"/>
      <c r="B3965" s="364"/>
    </row>
    <row r="3966" spans="1:2">
      <c r="A3966" s="495"/>
      <c r="B3966" s="364"/>
    </row>
    <row r="3967" spans="1:2">
      <c r="A3967" s="495"/>
      <c r="B3967" s="364"/>
    </row>
    <row r="3968" spans="1:2">
      <c r="A3968" s="495"/>
      <c r="B3968" s="364"/>
    </row>
    <row r="3969" spans="1:2">
      <c r="A3969" s="495"/>
      <c r="B3969" s="364"/>
    </row>
    <row r="3970" spans="1:2">
      <c r="A3970" s="495"/>
      <c r="B3970" s="364"/>
    </row>
    <row r="3971" spans="1:2">
      <c r="A3971" s="495"/>
      <c r="B3971" s="364"/>
    </row>
    <row r="3972" spans="1:2">
      <c r="A3972" s="495"/>
      <c r="B3972" s="364"/>
    </row>
    <row r="3973" spans="1:2">
      <c r="A3973" s="495"/>
      <c r="B3973" s="364"/>
    </row>
    <row r="3974" spans="1:2">
      <c r="A3974" s="495"/>
      <c r="B3974" s="364"/>
    </row>
    <row r="3975" spans="1:2">
      <c r="A3975" s="495"/>
      <c r="B3975" s="364"/>
    </row>
    <row r="3976" spans="1:2">
      <c r="A3976" s="495"/>
      <c r="B3976" s="364"/>
    </row>
    <row r="3977" spans="1:2">
      <c r="A3977" s="495"/>
      <c r="B3977" s="364"/>
    </row>
    <row r="3978" spans="1:2">
      <c r="A3978" s="495"/>
      <c r="B3978" s="364"/>
    </row>
    <row r="3979" spans="1:2">
      <c r="A3979" s="495"/>
      <c r="B3979" s="364"/>
    </row>
    <row r="3980" spans="1:2">
      <c r="A3980" s="495"/>
      <c r="B3980" s="364"/>
    </row>
    <row r="3981" spans="1:2">
      <c r="A3981" s="495"/>
      <c r="B3981" s="364"/>
    </row>
    <row r="3982" spans="1:2">
      <c r="A3982" s="495"/>
      <c r="B3982" s="364"/>
    </row>
    <row r="3983" spans="1:2">
      <c r="A3983" s="495"/>
      <c r="B3983" s="364"/>
    </row>
    <row r="3984" spans="1:2">
      <c r="A3984" s="495"/>
      <c r="B3984" s="364"/>
    </row>
    <row r="3985" spans="1:2">
      <c r="A3985" s="495"/>
      <c r="B3985" s="364"/>
    </row>
    <row r="3986" spans="1:2">
      <c r="A3986" s="495"/>
      <c r="B3986" s="364"/>
    </row>
    <row r="3987" spans="1:2">
      <c r="A3987" s="495"/>
      <c r="B3987" s="364"/>
    </row>
    <row r="3988" spans="1:2">
      <c r="A3988" s="495"/>
      <c r="B3988" s="364"/>
    </row>
    <row r="3989" spans="1:2">
      <c r="A3989" s="495"/>
      <c r="B3989" s="364"/>
    </row>
    <row r="3990" spans="1:2">
      <c r="A3990" s="495"/>
      <c r="B3990" s="364"/>
    </row>
    <row r="3991" spans="1:2">
      <c r="A3991" s="495"/>
      <c r="B3991" s="364"/>
    </row>
    <row r="3992" spans="1:2">
      <c r="A3992" s="495"/>
      <c r="B3992" s="364"/>
    </row>
    <row r="3993" spans="1:2">
      <c r="A3993" s="495"/>
      <c r="B3993" s="364"/>
    </row>
    <row r="3994" spans="1:2">
      <c r="A3994" s="495"/>
      <c r="B3994" s="364"/>
    </row>
    <row r="3995" spans="1:2">
      <c r="A3995" s="495"/>
      <c r="B3995" s="364"/>
    </row>
    <row r="3996" spans="1:2">
      <c r="A3996" s="495"/>
      <c r="B3996" s="364"/>
    </row>
    <row r="3997" spans="1:2">
      <c r="A3997" s="495"/>
      <c r="B3997" s="364"/>
    </row>
    <row r="3998" spans="1:2">
      <c r="A3998" s="495"/>
      <c r="B3998" s="364"/>
    </row>
    <row r="3999" spans="1:2">
      <c r="A3999" s="495"/>
      <c r="B3999" s="364"/>
    </row>
    <row r="4000" spans="1:2">
      <c r="A4000" s="495"/>
      <c r="B4000" s="364"/>
    </row>
    <row r="4001" spans="1:2">
      <c r="A4001" s="495"/>
      <c r="B4001" s="364"/>
    </row>
    <row r="4002" spans="1:2">
      <c r="A4002" s="495"/>
      <c r="B4002" s="364"/>
    </row>
    <row r="4003" spans="1:2">
      <c r="A4003" s="495"/>
      <c r="B4003" s="364"/>
    </row>
    <row r="4004" spans="1:2">
      <c r="A4004" s="495"/>
      <c r="B4004" s="364"/>
    </row>
    <row r="4005" spans="1:2">
      <c r="A4005" s="495"/>
      <c r="B4005" s="364"/>
    </row>
    <row r="4006" spans="1:2">
      <c r="A4006" s="495"/>
      <c r="B4006" s="364"/>
    </row>
    <row r="4007" spans="1:2">
      <c r="A4007" s="495"/>
      <c r="B4007" s="364"/>
    </row>
    <row r="4008" spans="1:2">
      <c r="A4008" s="495"/>
      <c r="B4008" s="364"/>
    </row>
    <row r="4009" spans="1:2">
      <c r="A4009" s="495"/>
      <c r="B4009" s="364"/>
    </row>
    <row r="4010" spans="1:2">
      <c r="A4010" s="495"/>
      <c r="B4010" s="364"/>
    </row>
    <row r="4011" spans="1:2">
      <c r="A4011" s="495"/>
      <c r="B4011" s="364"/>
    </row>
    <row r="4012" spans="1:2">
      <c r="A4012" s="495"/>
      <c r="B4012" s="364"/>
    </row>
    <row r="4013" spans="1:2">
      <c r="A4013" s="495"/>
      <c r="B4013" s="364"/>
    </row>
    <row r="4014" spans="1:2">
      <c r="A4014" s="495"/>
      <c r="B4014" s="364"/>
    </row>
    <row r="4015" spans="1:2">
      <c r="A4015" s="495"/>
      <c r="B4015" s="364"/>
    </row>
    <row r="4016" spans="1:2">
      <c r="A4016" s="495"/>
      <c r="B4016" s="364"/>
    </row>
    <row r="4017" spans="1:2">
      <c r="A4017" s="495"/>
      <c r="B4017" s="364"/>
    </row>
    <row r="4018" spans="1:2">
      <c r="A4018" s="495"/>
      <c r="B4018" s="364"/>
    </row>
    <row r="4019" spans="1:2">
      <c r="A4019" s="495"/>
      <c r="B4019" s="364"/>
    </row>
    <row r="4020" spans="1:2">
      <c r="A4020" s="495"/>
      <c r="B4020" s="364"/>
    </row>
    <row r="4021" spans="1:2">
      <c r="A4021" s="495"/>
      <c r="B4021" s="364"/>
    </row>
    <row r="4022" spans="1:2">
      <c r="A4022" s="495"/>
      <c r="B4022" s="364"/>
    </row>
    <row r="4023" spans="1:2">
      <c r="A4023" s="495"/>
      <c r="B4023" s="364"/>
    </row>
    <row r="4024" spans="1:2">
      <c r="A4024" s="495"/>
      <c r="B4024" s="364"/>
    </row>
    <row r="4025" spans="1:2">
      <c r="A4025" s="495"/>
      <c r="B4025" s="364"/>
    </row>
    <row r="4026" spans="1:2">
      <c r="A4026" s="495"/>
      <c r="B4026" s="364"/>
    </row>
    <row r="4027" spans="1:2">
      <c r="A4027" s="495"/>
      <c r="B4027" s="364"/>
    </row>
    <row r="4028" spans="1:2">
      <c r="A4028" s="495"/>
      <c r="B4028" s="364"/>
    </row>
    <row r="4029" spans="1:2">
      <c r="A4029" s="495"/>
      <c r="B4029" s="364"/>
    </row>
    <row r="4030" spans="1:2">
      <c r="A4030" s="495"/>
      <c r="B4030" s="364"/>
    </row>
    <row r="4031" spans="1:2">
      <c r="A4031" s="495"/>
      <c r="B4031" s="364"/>
    </row>
    <row r="4032" spans="1:2">
      <c r="A4032" s="495"/>
      <c r="B4032" s="364"/>
    </row>
    <row r="4033" spans="1:2">
      <c r="A4033" s="495"/>
      <c r="B4033" s="364"/>
    </row>
    <row r="4034" spans="1:2">
      <c r="A4034" s="495"/>
      <c r="B4034" s="364"/>
    </row>
    <row r="4035" spans="1:2">
      <c r="A4035" s="495"/>
      <c r="B4035" s="364"/>
    </row>
    <row r="4036" spans="1:2">
      <c r="A4036" s="495"/>
      <c r="B4036" s="364"/>
    </row>
    <row r="4037" spans="1:2">
      <c r="A4037" s="495"/>
      <c r="B4037" s="364"/>
    </row>
    <row r="4038" spans="1:2">
      <c r="A4038" s="495"/>
      <c r="B4038" s="364"/>
    </row>
    <row r="4039" spans="1:2">
      <c r="A4039" s="495"/>
      <c r="B4039" s="364"/>
    </row>
    <row r="4040" spans="1:2">
      <c r="A4040" s="495"/>
      <c r="B4040" s="364"/>
    </row>
    <row r="4041" spans="1:2">
      <c r="A4041" s="495"/>
      <c r="B4041" s="364"/>
    </row>
    <row r="4042" spans="1:2">
      <c r="A4042" s="495"/>
      <c r="B4042" s="364"/>
    </row>
    <row r="4043" spans="1:2">
      <c r="A4043" s="495"/>
      <c r="B4043" s="364"/>
    </row>
    <row r="4044" spans="1:2">
      <c r="A4044" s="495"/>
      <c r="B4044" s="364"/>
    </row>
    <row r="4045" spans="1:2">
      <c r="A4045" s="495"/>
      <c r="B4045" s="364"/>
    </row>
    <row r="4046" spans="1:2">
      <c r="A4046" s="495"/>
      <c r="B4046" s="364"/>
    </row>
    <row r="4047" spans="1:2">
      <c r="A4047" s="495"/>
      <c r="B4047" s="364"/>
    </row>
    <row r="4048" spans="1:2">
      <c r="A4048" s="495"/>
      <c r="B4048" s="364"/>
    </row>
    <row r="4049" spans="1:2">
      <c r="A4049" s="495"/>
      <c r="B4049" s="364"/>
    </row>
    <row r="4050" spans="1:2">
      <c r="A4050" s="495"/>
      <c r="B4050" s="364"/>
    </row>
    <row r="4051" spans="1:2">
      <c r="A4051" s="495"/>
      <c r="B4051" s="364"/>
    </row>
    <row r="4052" spans="1:2">
      <c r="A4052" s="495"/>
      <c r="B4052" s="364"/>
    </row>
    <row r="4053" spans="1:2">
      <c r="A4053" s="495"/>
      <c r="B4053" s="364"/>
    </row>
    <row r="4054" spans="1:2">
      <c r="A4054" s="495"/>
      <c r="B4054" s="364"/>
    </row>
    <row r="4055" spans="1:2">
      <c r="A4055" s="495"/>
      <c r="B4055" s="364"/>
    </row>
    <row r="4056" spans="1:2">
      <c r="A4056" s="495"/>
      <c r="B4056" s="364"/>
    </row>
    <row r="4057" spans="1:2">
      <c r="A4057" s="495"/>
      <c r="B4057" s="364"/>
    </row>
    <row r="4058" spans="1:2">
      <c r="A4058" s="495"/>
      <c r="B4058" s="364"/>
    </row>
    <row r="4059" spans="1:2">
      <c r="A4059" s="495"/>
      <c r="B4059" s="364"/>
    </row>
    <row r="4060" spans="1:2">
      <c r="A4060" s="495"/>
      <c r="B4060" s="364"/>
    </row>
    <row r="4061" spans="1:2">
      <c r="A4061" s="495"/>
      <c r="B4061" s="364"/>
    </row>
    <row r="4062" spans="1:2">
      <c r="A4062" s="495"/>
      <c r="B4062" s="364"/>
    </row>
    <row r="4063" spans="1:2">
      <c r="A4063" s="495"/>
      <c r="B4063" s="364"/>
    </row>
    <row r="4064" spans="1:2">
      <c r="A4064" s="495"/>
      <c r="B4064" s="364"/>
    </row>
    <row r="4065" spans="1:2">
      <c r="A4065" s="495"/>
      <c r="B4065" s="364"/>
    </row>
    <row r="4066" spans="1:2">
      <c r="A4066" s="495"/>
      <c r="B4066" s="364"/>
    </row>
    <row r="4067" spans="1:2">
      <c r="A4067" s="495"/>
      <c r="B4067" s="364"/>
    </row>
    <row r="4068" spans="1:2">
      <c r="A4068" s="495"/>
      <c r="B4068" s="364"/>
    </row>
    <row r="4069" spans="1:2">
      <c r="A4069" s="495"/>
      <c r="B4069" s="364"/>
    </row>
    <row r="4070" spans="1:2">
      <c r="A4070" s="495"/>
      <c r="B4070" s="364"/>
    </row>
    <row r="4071" spans="1:2">
      <c r="A4071" s="495"/>
      <c r="B4071" s="364"/>
    </row>
    <row r="4072" spans="1:2">
      <c r="A4072" s="495"/>
      <c r="B4072" s="364"/>
    </row>
    <row r="4073" spans="1:2">
      <c r="A4073" s="495"/>
      <c r="B4073" s="364"/>
    </row>
    <row r="4074" spans="1:2">
      <c r="A4074" s="495"/>
      <c r="B4074" s="364"/>
    </row>
    <row r="4075" spans="1:2">
      <c r="A4075" s="495"/>
      <c r="B4075" s="364"/>
    </row>
    <row r="4076" spans="1:2">
      <c r="A4076" s="495"/>
      <c r="B4076" s="364"/>
    </row>
    <row r="4077" spans="1:2">
      <c r="A4077" s="495"/>
      <c r="B4077" s="364"/>
    </row>
    <row r="4078" spans="1:2">
      <c r="A4078" s="495"/>
      <c r="B4078" s="364"/>
    </row>
    <row r="4079" spans="1:2">
      <c r="A4079" s="495"/>
      <c r="B4079" s="364"/>
    </row>
    <row r="4080" spans="1:2">
      <c r="A4080" s="495"/>
      <c r="B4080" s="364"/>
    </row>
    <row r="4081" spans="1:2">
      <c r="A4081" s="495"/>
      <c r="B4081" s="364"/>
    </row>
    <row r="4082" spans="1:2">
      <c r="A4082" s="495"/>
      <c r="B4082" s="364"/>
    </row>
    <row r="4083" spans="1:2">
      <c r="A4083" s="495"/>
      <c r="B4083" s="364"/>
    </row>
    <row r="4084" spans="1:2">
      <c r="A4084" s="495"/>
      <c r="B4084" s="364"/>
    </row>
    <row r="4085" spans="1:2">
      <c r="A4085" s="495"/>
      <c r="B4085" s="364"/>
    </row>
    <row r="4086" spans="1:2">
      <c r="A4086" s="495"/>
      <c r="B4086" s="364"/>
    </row>
    <row r="4087" spans="1:2">
      <c r="A4087" s="495"/>
      <c r="B4087" s="364"/>
    </row>
    <row r="4088" spans="1:2">
      <c r="A4088" s="495"/>
      <c r="B4088" s="364"/>
    </row>
    <row r="4089" spans="1:2">
      <c r="A4089" s="495"/>
      <c r="B4089" s="364"/>
    </row>
    <row r="4090" spans="1:2">
      <c r="A4090" s="495"/>
      <c r="B4090" s="364"/>
    </row>
    <row r="4091" spans="1:2">
      <c r="A4091" s="495"/>
      <c r="B4091" s="364"/>
    </row>
    <row r="4092" spans="1:2">
      <c r="A4092" s="495"/>
      <c r="B4092" s="364"/>
    </row>
    <row r="4093" spans="1:2">
      <c r="A4093" s="495"/>
      <c r="B4093" s="364"/>
    </row>
    <row r="4094" spans="1:2">
      <c r="A4094" s="495"/>
      <c r="B4094" s="364"/>
    </row>
    <row r="4095" spans="1:2">
      <c r="A4095" s="495"/>
      <c r="B4095" s="364"/>
    </row>
    <row r="4096" spans="1:2">
      <c r="A4096" s="495"/>
      <c r="B4096" s="364"/>
    </row>
    <row r="4097" spans="1:2">
      <c r="A4097" s="495"/>
      <c r="B4097" s="364"/>
    </row>
    <row r="4098" spans="1:2">
      <c r="A4098" s="495"/>
      <c r="B4098" s="364"/>
    </row>
    <row r="4099" spans="1:2">
      <c r="A4099" s="495"/>
      <c r="B4099" s="364"/>
    </row>
    <row r="4100" spans="1:2">
      <c r="A4100" s="495"/>
      <c r="B4100" s="364"/>
    </row>
    <row r="4101" spans="1:2">
      <c r="A4101" s="495"/>
      <c r="B4101" s="364"/>
    </row>
    <row r="4102" spans="1:2">
      <c r="A4102" s="495"/>
      <c r="B4102" s="364"/>
    </row>
    <row r="4103" spans="1:2">
      <c r="A4103" s="495"/>
      <c r="B4103" s="364"/>
    </row>
    <row r="4104" spans="1:2">
      <c r="A4104" s="495"/>
      <c r="B4104" s="364"/>
    </row>
    <row r="4105" spans="1:2">
      <c r="A4105" s="495"/>
      <c r="B4105" s="364"/>
    </row>
    <row r="4106" spans="1:2">
      <c r="A4106" s="495"/>
      <c r="B4106" s="364"/>
    </row>
    <row r="4107" spans="1:2">
      <c r="A4107" s="495"/>
      <c r="B4107" s="364"/>
    </row>
    <row r="4108" spans="1:2">
      <c r="A4108" s="495"/>
      <c r="B4108" s="364"/>
    </row>
    <row r="4109" spans="1:2">
      <c r="A4109" s="495"/>
      <c r="B4109" s="364"/>
    </row>
    <row r="4110" spans="1:2">
      <c r="A4110" s="495"/>
      <c r="B4110" s="364"/>
    </row>
    <row r="4111" spans="1:2">
      <c r="A4111" s="495"/>
      <c r="B4111" s="364"/>
    </row>
    <row r="4112" spans="1:2">
      <c r="A4112" s="495"/>
      <c r="B4112" s="364"/>
    </row>
    <row r="4113" spans="1:2">
      <c r="A4113" s="495"/>
      <c r="B4113" s="364"/>
    </row>
    <row r="4114" spans="1:2">
      <c r="A4114" s="495"/>
      <c r="B4114" s="364"/>
    </row>
    <row r="4115" spans="1:2">
      <c r="A4115" s="495"/>
      <c r="B4115" s="364"/>
    </row>
    <row r="4116" spans="1:2">
      <c r="A4116" s="495"/>
      <c r="B4116" s="364"/>
    </row>
    <row r="4117" spans="1:2">
      <c r="A4117" s="495"/>
      <c r="B4117" s="364"/>
    </row>
    <row r="4118" spans="1:2">
      <c r="A4118" s="495"/>
      <c r="B4118" s="364"/>
    </row>
    <row r="4119" spans="1:2">
      <c r="A4119" s="495"/>
      <c r="B4119" s="364"/>
    </row>
    <row r="4120" spans="1:2">
      <c r="A4120" s="495"/>
      <c r="B4120" s="364"/>
    </row>
    <row r="4121" spans="1:2">
      <c r="A4121" s="495"/>
      <c r="B4121" s="364"/>
    </row>
    <row r="4122" spans="1:2">
      <c r="A4122" s="495"/>
      <c r="B4122" s="364"/>
    </row>
    <row r="4123" spans="1:2">
      <c r="A4123" s="495"/>
      <c r="B4123" s="364"/>
    </row>
    <row r="4124" spans="1:2">
      <c r="A4124" s="495"/>
      <c r="B4124" s="364"/>
    </row>
    <row r="4125" spans="1:2">
      <c r="A4125" s="495"/>
      <c r="B4125" s="364"/>
    </row>
    <row r="4126" spans="1:2">
      <c r="A4126" s="495"/>
      <c r="B4126" s="364"/>
    </row>
    <row r="4127" spans="1:2">
      <c r="A4127" s="495"/>
      <c r="B4127" s="364"/>
    </row>
    <row r="4128" spans="1:2">
      <c r="A4128" s="495"/>
      <c r="B4128" s="364"/>
    </row>
    <row r="4129" spans="1:2">
      <c r="A4129" s="495"/>
      <c r="B4129" s="364"/>
    </row>
    <row r="4130" spans="1:2">
      <c r="A4130" s="495"/>
      <c r="B4130" s="364"/>
    </row>
    <row r="4131" spans="1:2">
      <c r="A4131" s="495"/>
      <c r="B4131" s="364"/>
    </row>
    <row r="4132" spans="1:2">
      <c r="A4132" s="495"/>
      <c r="B4132" s="364"/>
    </row>
    <row r="4133" spans="1:2">
      <c r="A4133" s="495"/>
      <c r="B4133" s="364"/>
    </row>
    <row r="4134" spans="1:2">
      <c r="A4134" s="495"/>
      <c r="B4134" s="364"/>
    </row>
    <row r="4135" spans="1:2">
      <c r="A4135" s="495"/>
      <c r="B4135" s="364"/>
    </row>
    <row r="4136" spans="1:2">
      <c r="A4136" s="495"/>
      <c r="B4136" s="364"/>
    </row>
    <row r="4137" spans="1:2">
      <c r="A4137" s="495"/>
      <c r="B4137" s="364"/>
    </row>
    <row r="4138" spans="1:2">
      <c r="A4138" s="495"/>
      <c r="B4138" s="364"/>
    </row>
    <row r="4139" spans="1:2">
      <c r="A4139" s="495"/>
      <c r="B4139" s="364"/>
    </row>
    <row r="4140" spans="1:2">
      <c r="A4140" s="495"/>
      <c r="B4140" s="364"/>
    </row>
    <row r="4141" spans="1:2">
      <c r="A4141" s="495"/>
      <c r="B4141" s="364"/>
    </row>
    <row r="4142" spans="1:2">
      <c r="A4142" s="495"/>
      <c r="B4142" s="364"/>
    </row>
    <row r="4143" spans="1:2">
      <c r="A4143" s="495"/>
      <c r="B4143" s="364"/>
    </row>
    <row r="4144" spans="1:2">
      <c r="A4144" s="495"/>
      <c r="B4144" s="364"/>
    </row>
    <row r="4145" spans="1:2">
      <c r="A4145" s="495"/>
      <c r="B4145" s="364"/>
    </row>
    <row r="4146" spans="1:2">
      <c r="A4146" s="495"/>
      <c r="B4146" s="364"/>
    </row>
    <row r="4147" spans="1:2">
      <c r="A4147" s="495"/>
      <c r="B4147" s="364"/>
    </row>
    <row r="4148" spans="1:2">
      <c r="A4148" s="495"/>
      <c r="B4148" s="364"/>
    </row>
    <row r="4149" spans="1:2">
      <c r="A4149" s="495"/>
      <c r="B4149" s="364"/>
    </row>
    <row r="4150" spans="1:2">
      <c r="A4150" s="495"/>
      <c r="B4150" s="364"/>
    </row>
    <row r="4151" spans="1:2">
      <c r="A4151" s="495"/>
      <c r="B4151" s="364"/>
    </row>
    <row r="4152" spans="1:2">
      <c r="A4152" s="495"/>
      <c r="B4152" s="364"/>
    </row>
    <row r="4153" spans="1:2">
      <c r="A4153" s="495"/>
      <c r="B4153" s="364"/>
    </row>
    <row r="4154" spans="1:2">
      <c r="A4154" s="495"/>
      <c r="B4154" s="364"/>
    </row>
    <row r="4155" spans="1:2">
      <c r="A4155" s="495"/>
      <c r="B4155" s="364"/>
    </row>
    <row r="4156" spans="1:2">
      <c r="A4156" s="495"/>
      <c r="B4156" s="364"/>
    </row>
    <row r="4157" spans="1:2">
      <c r="A4157" s="495"/>
      <c r="B4157" s="364"/>
    </row>
    <row r="4158" spans="1:2">
      <c r="A4158" s="495"/>
      <c r="B4158" s="364"/>
    </row>
    <row r="4159" spans="1:2">
      <c r="A4159" s="495"/>
      <c r="B4159" s="364"/>
    </row>
    <row r="4160" spans="1:2">
      <c r="A4160" s="495"/>
      <c r="B4160" s="364"/>
    </row>
    <row r="4161" spans="1:2">
      <c r="A4161" s="495"/>
      <c r="B4161" s="364"/>
    </row>
    <row r="4162" spans="1:2">
      <c r="A4162" s="495"/>
      <c r="B4162" s="364"/>
    </row>
    <row r="4163" spans="1:2">
      <c r="A4163" s="495"/>
      <c r="B4163" s="364"/>
    </row>
    <row r="4164" spans="1:2">
      <c r="A4164" s="495"/>
      <c r="B4164" s="364"/>
    </row>
    <row r="4165" spans="1:2">
      <c r="A4165" s="495"/>
      <c r="B4165" s="364"/>
    </row>
    <row r="4166" spans="1:2">
      <c r="A4166" s="495"/>
      <c r="B4166" s="364"/>
    </row>
    <row r="4167" spans="1:2">
      <c r="A4167" s="495"/>
      <c r="B4167" s="364"/>
    </row>
    <row r="4168" spans="1:2">
      <c r="A4168" s="495"/>
      <c r="B4168" s="364"/>
    </row>
    <row r="4169" spans="1:2">
      <c r="A4169" s="495"/>
      <c r="B4169" s="364"/>
    </row>
    <row r="4170" spans="1:2">
      <c r="A4170" s="495"/>
      <c r="B4170" s="364"/>
    </row>
    <row r="4171" spans="1:2">
      <c r="A4171" s="495"/>
      <c r="B4171" s="364"/>
    </row>
    <row r="4172" spans="1:2">
      <c r="A4172" s="495"/>
      <c r="B4172" s="364"/>
    </row>
    <row r="4173" spans="1:2">
      <c r="A4173" s="495"/>
      <c r="B4173" s="364"/>
    </row>
    <row r="4174" spans="1:2">
      <c r="A4174" s="495"/>
      <c r="B4174" s="364"/>
    </row>
    <row r="4175" spans="1:2">
      <c r="A4175" s="495"/>
      <c r="B4175" s="364"/>
    </row>
    <row r="4176" spans="1:2">
      <c r="A4176" s="495"/>
      <c r="B4176" s="364"/>
    </row>
    <row r="4177" spans="1:2">
      <c r="A4177" s="495"/>
      <c r="B4177" s="364"/>
    </row>
    <row r="4178" spans="1:2">
      <c r="A4178" s="495"/>
      <c r="B4178" s="364"/>
    </row>
    <row r="4179" spans="1:2">
      <c r="A4179" s="495"/>
      <c r="B4179" s="364"/>
    </row>
    <row r="4180" spans="1:2">
      <c r="A4180" s="495"/>
      <c r="B4180" s="364"/>
    </row>
    <row r="4181" spans="1:2">
      <c r="A4181" s="495"/>
      <c r="B4181" s="364"/>
    </row>
    <row r="4182" spans="1:2">
      <c r="A4182" s="495"/>
      <c r="B4182" s="364"/>
    </row>
    <row r="4183" spans="1:2">
      <c r="A4183" s="495"/>
      <c r="B4183" s="364"/>
    </row>
    <row r="4184" spans="1:2">
      <c r="A4184" s="495"/>
      <c r="B4184" s="364"/>
    </row>
    <row r="4185" spans="1:2">
      <c r="A4185" s="495"/>
      <c r="B4185" s="364"/>
    </row>
    <row r="4186" spans="1:2">
      <c r="A4186" s="495"/>
      <c r="B4186" s="364"/>
    </row>
    <row r="4187" spans="1:2">
      <c r="A4187" s="495"/>
      <c r="B4187" s="364"/>
    </row>
    <row r="4188" spans="1:2">
      <c r="A4188" s="495"/>
      <c r="B4188" s="364"/>
    </row>
    <row r="4189" spans="1:2">
      <c r="A4189" s="495"/>
      <c r="B4189" s="364"/>
    </row>
    <row r="4190" spans="1:2">
      <c r="A4190" s="495"/>
      <c r="B4190" s="364"/>
    </row>
    <row r="4191" spans="1:2">
      <c r="A4191" s="495"/>
      <c r="B4191" s="364"/>
    </row>
    <row r="4192" spans="1:2">
      <c r="A4192" s="495"/>
      <c r="B4192" s="364"/>
    </row>
    <row r="4193" spans="1:2">
      <c r="A4193" s="495"/>
      <c r="B4193" s="364"/>
    </row>
    <row r="4194" spans="1:2">
      <c r="A4194" s="495"/>
      <c r="B4194" s="364"/>
    </row>
    <row r="4195" spans="1:2">
      <c r="A4195" s="495"/>
      <c r="B4195" s="364"/>
    </row>
    <row r="4196" spans="1:2">
      <c r="A4196" s="495"/>
      <c r="B4196" s="364"/>
    </row>
    <row r="4197" spans="1:2">
      <c r="A4197" s="495"/>
      <c r="B4197" s="364"/>
    </row>
    <row r="4198" spans="1:2">
      <c r="A4198" s="495"/>
      <c r="B4198" s="364"/>
    </row>
    <row r="4199" spans="1:2">
      <c r="A4199" s="495"/>
      <c r="B4199" s="364"/>
    </row>
    <row r="4200" spans="1:2">
      <c r="A4200" s="495"/>
      <c r="B4200" s="364"/>
    </row>
    <row r="4201" spans="1:2">
      <c r="A4201" s="495"/>
      <c r="B4201" s="364"/>
    </row>
    <row r="4202" spans="1:2">
      <c r="A4202" s="495"/>
      <c r="B4202" s="364"/>
    </row>
    <row r="4203" spans="1:2">
      <c r="A4203" s="495"/>
      <c r="B4203" s="364"/>
    </row>
    <row r="4204" spans="1:2">
      <c r="A4204" s="495"/>
      <c r="B4204" s="364"/>
    </row>
    <row r="4205" spans="1:2">
      <c r="A4205" s="495"/>
      <c r="B4205" s="364"/>
    </row>
    <row r="4206" spans="1:2">
      <c r="A4206" s="495"/>
      <c r="B4206" s="364"/>
    </row>
    <row r="4207" spans="1:2">
      <c r="A4207" s="495"/>
      <c r="B4207" s="364"/>
    </row>
    <row r="4208" spans="1:2">
      <c r="A4208" s="495"/>
      <c r="B4208" s="364"/>
    </row>
    <row r="4209" spans="1:2">
      <c r="A4209" s="495"/>
      <c r="B4209" s="364"/>
    </row>
    <row r="4210" spans="1:2">
      <c r="A4210" s="495"/>
      <c r="B4210" s="364"/>
    </row>
    <row r="4211" spans="1:2">
      <c r="A4211" s="495"/>
      <c r="B4211" s="364"/>
    </row>
    <row r="4212" spans="1:2">
      <c r="A4212" s="495"/>
      <c r="B4212" s="364"/>
    </row>
    <row r="4213" spans="1:2">
      <c r="A4213" s="495"/>
      <c r="B4213" s="364"/>
    </row>
    <row r="4214" spans="1:2">
      <c r="A4214" s="495"/>
      <c r="B4214" s="364"/>
    </row>
    <row r="4215" spans="1:2">
      <c r="A4215" s="495"/>
      <c r="B4215" s="364"/>
    </row>
    <row r="4216" spans="1:2">
      <c r="A4216" s="495"/>
      <c r="B4216" s="364"/>
    </row>
    <row r="4217" spans="1:2">
      <c r="A4217" s="495"/>
      <c r="B4217" s="364"/>
    </row>
    <row r="4218" spans="1:2">
      <c r="A4218" s="495"/>
      <c r="B4218" s="364"/>
    </row>
    <row r="4219" spans="1:2">
      <c r="A4219" s="495"/>
      <c r="B4219" s="364"/>
    </row>
    <row r="4220" spans="1:2">
      <c r="A4220" s="495"/>
      <c r="B4220" s="364"/>
    </row>
    <row r="4221" spans="1:2">
      <c r="A4221" s="495"/>
      <c r="B4221" s="364"/>
    </row>
    <row r="4222" spans="1:2">
      <c r="A4222" s="495"/>
      <c r="B4222" s="364"/>
    </row>
    <row r="4223" spans="1:2">
      <c r="A4223" s="495"/>
      <c r="B4223" s="364"/>
    </row>
    <row r="4224" spans="1:2">
      <c r="A4224" s="495"/>
      <c r="B4224" s="364"/>
    </row>
    <row r="4225" spans="1:2">
      <c r="A4225" s="495"/>
      <c r="B4225" s="364"/>
    </row>
    <row r="4226" spans="1:2">
      <c r="A4226" s="495"/>
      <c r="B4226" s="364"/>
    </row>
    <row r="4227" spans="1:2">
      <c r="A4227" s="495"/>
      <c r="B4227" s="364"/>
    </row>
    <row r="4228" spans="1:2">
      <c r="A4228" s="495"/>
      <c r="B4228" s="364"/>
    </row>
    <row r="4229" spans="1:2">
      <c r="A4229" s="495"/>
      <c r="B4229" s="364"/>
    </row>
    <row r="4230" spans="1:2">
      <c r="A4230" s="495"/>
      <c r="B4230" s="364"/>
    </row>
    <row r="4231" spans="1:2">
      <c r="A4231" s="495"/>
      <c r="B4231" s="364"/>
    </row>
    <row r="4232" spans="1:2">
      <c r="A4232" s="495"/>
      <c r="B4232" s="364"/>
    </row>
    <row r="4233" spans="1:2">
      <c r="A4233" s="495"/>
      <c r="B4233" s="364"/>
    </row>
    <row r="4234" spans="1:2">
      <c r="A4234" s="495"/>
      <c r="B4234" s="364"/>
    </row>
    <row r="4235" spans="1:2">
      <c r="A4235" s="495"/>
      <c r="B4235" s="364"/>
    </row>
    <row r="4236" spans="1:2">
      <c r="A4236" s="495"/>
      <c r="B4236" s="364"/>
    </row>
    <row r="4237" spans="1:2">
      <c r="A4237" s="495"/>
      <c r="B4237" s="364"/>
    </row>
    <row r="4238" spans="1:2">
      <c r="A4238" s="495"/>
      <c r="B4238" s="364"/>
    </row>
    <row r="4239" spans="1:2">
      <c r="A4239" s="495"/>
      <c r="B4239" s="364"/>
    </row>
    <row r="4240" spans="1:2">
      <c r="A4240" s="495"/>
      <c r="B4240" s="364"/>
    </row>
    <row r="4241" spans="1:2">
      <c r="A4241" s="495"/>
      <c r="B4241" s="364"/>
    </row>
    <row r="4242" spans="1:2">
      <c r="A4242" s="495"/>
      <c r="B4242" s="364"/>
    </row>
    <row r="4243" spans="1:2">
      <c r="A4243" s="495"/>
      <c r="B4243" s="364"/>
    </row>
    <row r="4244" spans="1:2">
      <c r="A4244" s="495"/>
      <c r="B4244" s="364"/>
    </row>
    <row r="4245" spans="1:2">
      <c r="A4245" s="495"/>
      <c r="B4245" s="364"/>
    </row>
    <row r="4246" spans="1:2">
      <c r="A4246" s="495"/>
      <c r="B4246" s="364"/>
    </row>
    <row r="4247" spans="1:2">
      <c r="A4247" s="495"/>
      <c r="B4247" s="364"/>
    </row>
    <row r="4248" spans="1:2">
      <c r="A4248" s="495"/>
      <c r="B4248" s="364"/>
    </row>
    <row r="4249" spans="1:2">
      <c r="A4249" s="495"/>
      <c r="B4249" s="364"/>
    </row>
    <row r="4250" spans="1:2">
      <c r="A4250" s="495"/>
      <c r="B4250" s="364"/>
    </row>
    <row r="4251" spans="1:2">
      <c r="A4251" s="495"/>
      <c r="B4251" s="364"/>
    </row>
    <row r="4252" spans="1:2">
      <c r="A4252" s="495"/>
      <c r="B4252" s="364"/>
    </row>
    <row r="4253" spans="1:2">
      <c r="A4253" s="495"/>
      <c r="B4253" s="364"/>
    </row>
    <row r="4254" spans="1:2">
      <c r="A4254" s="495"/>
      <c r="B4254" s="364"/>
    </row>
    <row r="4255" spans="1:2">
      <c r="A4255" s="495"/>
      <c r="B4255" s="364"/>
    </row>
    <row r="4256" spans="1:2">
      <c r="A4256" s="495"/>
      <c r="B4256" s="364"/>
    </row>
    <row r="4257" spans="1:2">
      <c r="A4257" s="495"/>
      <c r="B4257" s="364"/>
    </row>
    <row r="4258" spans="1:2">
      <c r="A4258" s="495"/>
      <c r="B4258" s="364"/>
    </row>
    <row r="4259" spans="1:2">
      <c r="A4259" s="495"/>
      <c r="B4259" s="364"/>
    </row>
    <row r="4260" spans="1:2">
      <c r="A4260" s="495"/>
      <c r="B4260" s="364"/>
    </row>
    <row r="4261" spans="1:2">
      <c r="A4261" s="495"/>
      <c r="B4261" s="364"/>
    </row>
    <row r="4262" spans="1:2">
      <c r="A4262" s="495"/>
      <c r="B4262" s="364"/>
    </row>
    <row r="4263" spans="1:2">
      <c r="A4263" s="495"/>
      <c r="B4263" s="364"/>
    </row>
    <row r="4264" spans="1:2">
      <c r="A4264" s="495"/>
      <c r="B4264" s="364"/>
    </row>
    <row r="4265" spans="1:2">
      <c r="A4265" s="495"/>
      <c r="B4265" s="364"/>
    </row>
    <row r="4266" spans="1:2">
      <c r="A4266" s="495"/>
      <c r="B4266" s="364"/>
    </row>
    <row r="4267" spans="1:2">
      <c r="A4267" s="495"/>
      <c r="B4267" s="364"/>
    </row>
    <row r="4268" spans="1:2">
      <c r="A4268" s="495"/>
      <c r="B4268" s="364"/>
    </row>
    <row r="4269" spans="1:2">
      <c r="A4269" s="495"/>
      <c r="B4269" s="364"/>
    </row>
    <row r="4270" spans="1:2">
      <c r="A4270" s="495"/>
      <c r="B4270" s="364"/>
    </row>
    <row r="4271" spans="1:2">
      <c r="A4271" s="495"/>
      <c r="B4271" s="364"/>
    </row>
    <row r="4272" spans="1:2">
      <c r="A4272" s="495"/>
      <c r="B4272" s="364"/>
    </row>
    <row r="4273" spans="1:2">
      <c r="A4273" s="495"/>
      <c r="B4273" s="364"/>
    </row>
    <row r="4274" spans="1:2">
      <c r="A4274" s="495"/>
      <c r="B4274" s="364"/>
    </row>
    <row r="4275" spans="1:2">
      <c r="A4275" s="495"/>
      <c r="B4275" s="364"/>
    </row>
    <row r="4276" spans="1:2">
      <c r="A4276" s="495"/>
      <c r="B4276" s="364"/>
    </row>
    <row r="4277" spans="1:2">
      <c r="A4277" s="495"/>
      <c r="B4277" s="364"/>
    </row>
    <row r="4278" spans="1:2">
      <c r="A4278" s="495"/>
      <c r="B4278" s="364"/>
    </row>
    <row r="4279" spans="1:2">
      <c r="A4279" s="495"/>
      <c r="B4279" s="364"/>
    </row>
    <row r="4280" spans="1:2">
      <c r="A4280" s="495"/>
      <c r="B4280" s="364"/>
    </row>
    <row r="4281" spans="1:2">
      <c r="A4281" s="495"/>
      <c r="B4281" s="364"/>
    </row>
    <row r="4282" spans="1:2">
      <c r="A4282" s="495"/>
      <c r="B4282" s="364"/>
    </row>
    <row r="4283" spans="1:2">
      <c r="A4283" s="495"/>
      <c r="B4283" s="364"/>
    </row>
    <row r="4284" spans="1:2">
      <c r="A4284" s="495"/>
      <c r="B4284" s="364"/>
    </row>
    <row r="4285" spans="1:2">
      <c r="A4285" s="495"/>
      <c r="B4285" s="364"/>
    </row>
    <row r="4286" spans="1:2">
      <c r="A4286" s="495"/>
      <c r="B4286" s="364"/>
    </row>
    <row r="4287" spans="1:2">
      <c r="A4287" s="495"/>
      <c r="B4287" s="364"/>
    </row>
    <row r="4288" spans="1:2">
      <c r="A4288" s="495"/>
      <c r="B4288" s="364"/>
    </row>
    <row r="4289" spans="1:2">
      <c r="A4289" s="495"/>
      <c r="B4289" s="364"/>
    </row>
    <row r="4290" spans="1:2">
      <c r="A4290" s="495"/>
      <c r="B4290" s="364"/>
    </row>
    <row r="4291" spans="1:2">
      <c r="A4291" s="495"/>
      <c r="B4291" s="364"/>
    </row>
    <row r="4292" spans="1:2">
      <c r="A4292" s="495"/>
      <c r="B4292" s="364"/>
    </row>
    <row r="4293" spans="1:2">
      <c r="A4293" s="495"/>
      <c r="B4293" s="364"/>
    </row>
    <row r="4294" spans="1:2">
      <c r="A4294" s="495"/>
      <c r="B4294" s="364"/>
    </row>
    <row r="4295" spans="1:2">
      <c r="A4295" s="495"/>
      <c r="B4295" s="364"/>
    </row>
    <row r="4296" spans="1:2">
      <c r="A4296" s="495"/>
      <c r="B4296" s="364"/>
    </row>
    <row r="4297" spans="1:2">
      <c r="A4297" s="495"/>
      <c r="B4297" s="364"/>
    </row>
    <row r="4298" spans="1:2">
      <c r="A4298" s="495"/>
      <c r="B4298" s="364"/>
    </row>
    <row r="4299" spans="1:2">
      <c r="A4299" s="495"/>
      <c r="B4299" s="364"/>
    </row>
    <row r="4300" spans="1:2">
      <c r="A4300" s="495"/>
      <c r="B4300" s="364"/>
    </row>
    <row r="4301" spans="1:2">
      <c r="A4301" s="495"/>
      <c r="B4301" s="364"/>
    </row>
    <row r="4302" spans="1:2">
      <c r="A4302" s="495"/>
      <c r="B4302" s="364"/>
    </row>
    <row r="4303" spans="1:2">
      <c r="A4303" s="495"/>
      <c r="B4303" s="364"/>
    </row>
    <row r="4304" spans="1:2">
      <c r="A4304" s="495"/>
      <c r="B4304" s="364"/>
    </row>
    <row r="4305" spans="1:2">
      <c r="A4305" s="495"/>
      <c r="B4305" s="364"/>
    </row>
    <row r="4306" spans="1:2">
      <c r="A4306" s="495"/>
      <c r="B4306" s="364"/>
    </row>
    <row r="4307" spans="1:2">
      <c r="A4307" s="495"/>
      <c r="B4307" s="364"/>
    </row>
    <row r="4308" spans="1:2">
      <c r="A4308" s="495"/>
      <c r="B4308" s="364"/>
    </row>
    <row r="4309" spans="1:2">
      <c r="A4309" s="495"/>
      <c r="B4309" s="364"/>
    </row>
    <row r="4310" spans="1:2">
      <c r="A4310" s="495"/>
      <c r="B4310" s="364"/>
    </row>
    <row r="4311" spans="1:2">
      <c r="A4311" s="495"/>
      <c r="B4311" s="364"/>
    </row>
    <row r="4312" spans="1:2">
      <c r="A4312" s="495"/>
      <c r="B4312" s="364"/>
    </row>
    <row r="4313" spans="1:2">
      <c r="A4313" s="495"/>
      <c r="B4313" s="364"/>
    </row>
    <row r="4314" spans="1:2">
      <c r="A4314" s="495"/>
      <c r="B4314" s="364"/>
    </row>
    <row r="4315" spans="1:2">
      <c r="A4315" s="495"/>
      <c r="B4315" s="364"/>
    </row>
    <row r="4316" spans="1:2">
      <c r="A4316" s="495"/>
      <c r="B4316" s="364"/>
    </row>
    <row r="4317" spans="1:2">
      <c r="A4317" s="495"/>
      <c r="B4317" s="364"/>
    </row>
    <row r="4318" spans="1:2">
      <c r="A4318" s="495"/>
      <c r="B4318" s="364"/>
    </row>
    <row r="4319" spans="1:2">
      <c r="A4319" s="495"/>
      <c r="B4319" s="364"/>
    </row>
    <row r="4320" spans="1:2">
      <c r="A4320" s="495"/>
      <c r="B4320" s="364"/>
    </row>
    <row r="4321" spans="1:2">
      <c r="A4321" s="495"/>
      <c r="B4321" s="364"/>
    </row>
    <row r="4322" spans="1:2">
      <c r="A4322" s="495"/>
      <c r="B4322" s="364"/>
    </row>
    <row r="4323" spans="1:2">
      <c r="A4323" s="495"/>
      <c r="B4323" s="364"/>
    </row>
    <row r="4324" spans="1:2">
      <c r="A4324" s="495"/>
      <c r="B4324" s="364"/>
    </row>
    <row r="4325" spans="1:2">
      <c r="A4325" s="495"/>
      <c r="B4325" s="364"/>
    </row>
    <row r="4326" spans="1:2">
      <c r="A4326" s="495"/>
      <c r="B4326" s="364"/>
    </row>
    <row r="4327" spans="1:2">
      <c r="A4327" s="495"/>
      <c r="B4327" s="364"/>
    </row>
    <row r="4328" spans="1:2">
      <c r="A4328" s="495"/>
      <c r="B4328" s="364"/>
    </row>
    <row r="4329" spans="1:2">
      <c r="A4329" s="495"/>
      <c r="B4329" s="364"/>
    </row>
    <row r="4330" spans="1:2">
      <c r="A4330" s="495"/>
      <c r="B4330" s="364"/>
    </row>
    <row r="4331" spans="1:2">
      <c r="A4331" s="495"/>
      <c r="B4331" s="364"/>
    </row>
    <row r="4332" spans="1:2">
      <c r="A4332" s="495"/>
      <c r="B4332" s="364"/>
    </row>
    <row r="4333" spans="1:2">
      <c r="A4333" s="495"/>
      <c r="B4333" s="364"/>
    </row>
    <row r="4334" spans="1:2">
      <c r="A4334" s="495"/>
      <c r="B4334" s="364"/>
    </row>
    <row r="4335" spans="1:2">
      <c r="A4335" s="495"/>
      <c r="B4335" s="364"/>
    </row>
    <row r="4336" spans="1:2">
      <c r="A4336" s="495"/>
      <c r="B4336" s="364"/>
    </row>
    <row r="4337" spans="1:2">
      <c r="A4337" s="495"/>
      <c r="B4337" s="364"/>
    </row>
    <row r="4338" spans="1:2">
      <c r="A4338" s="495"/>
      <c r="B4338" s="364"/>
    </row>
    <row r="4339" spans="1:2">
      <c r="A4339" s="495"/>
      <c r="B4339" s="364"/>
    </row>
    <row r="4340" spans="1:2">
      <c r="A4340" s="495"/>
      <c r="B4340" s="364"/>
    </row>
    <row r="4341" spans="1:2">
      <c r="A4341" s="495"/>
      <c r="B4341" s="364"/>
    </row>
    <row r="4342" spans="1:2">
      <c r="A4342" s="495"/>
      <c r="B4342" s="364"/>
    </row>
    <row r="4343" spans="1:2">
      <c r="A4343" s="495"/>
      <c r="B4343" s="364"/>
    </row>
    <row r="4344" spans="1:2">
      <c r="A4344" s="495"/>
      <c r="B4344" s="364"/>
    </row>
    <row r="4345" spans="1:2">
      <c r="A4345" s="495"/>
      <c r="B4345" s="364"/>
    </row>
    <row r="4346" spans="1:2">
      <c r="A4346" s="495"/>
      <c r="B4346" s="364"/>
    </row>
    <row r="4347" spans="1:2">
      <c r="A4347" s="495"/>
      <c r="B4347" s="364"/>
    </row>
    <row r="4348" spans="1:2">
      <c r="A4348" s="495"/>
      <c r="B4348" s="364"/>
    </row>
    <row r="4349" spans="1:2">
      <c r="A4349" s="495"/>
      <c r="B4349" s="364"/>
    </row>
    <row r="4350" spans="1:2">
      <c r="A4350" s="495"/>
      <c r="B4350" s="364"/>
    </row>
    <row r="4351" spans="1:2">
      <c r="A4351" s="495"/>
      <c r="B4351" s="364"/>
    </row>
    <row r="4352" spans="1:2">
      <c r="A4352" s="495"/>
      <c r="B4352" s="364"/>
    </row>
    <row r="4353" spans="1:2">
      <c r="A4353" s="495"/>
      <c r="B4353" s="364"/>
    </row>
    <row r="4354" spans="1:2">
      <c r="A4354" s="495"/>
      <c r="B4354" s="364"/>
    </row>
    <row r="4355" spans="1:2">
      <c r="A4355" s="495"/>
      <c r="B4355" s="364"/>
    </row>
    <row r="4356" spans="1:2">
      <c r="A4356" s="495"/>
      <c r="B4356" s="364"/>
    </row>
    <row r="4357" spans="1:2">
      <c r="A4357" s="495"/>
      <c r="B4357" s="364"/>
    </row>
    <row r="4358" spans="1:2">
      <c r="A4358" s="495"/>
      <c r="B4358" s="364"/>
    </row>
    <row r="4359" spans="1:2">
      <c r="A4359" s="495"/>
      <c r="B4359" s="364"/>
    </row>
    <row r="4360" spans="1:2">
      <c r="A4360" s="495"/>
      <c r="B4360" s="364"/>
    </row>
    <row r="4361" spans="1:2">
      <c r="A4361" s="495"/>
      <c r="B4361" s="364"/>
    </row>
    <row r="4362" spans="1:2">
      <c r="A4362" s="495"/>
      <c r="B4362" s="364"/>
    </row>
    <row r="4363" spans="1:2">
      <c r="A4363" s="495"/>
      <c r="B4363" s="364"/>
    </row>
    <row r="4364" spans="1:2">
      <c r="A4364" s="495"/>
      <c r="B4364" s="364"/>
    </row>
    <row r="4365" spans="1:2">
      <c r="A4365" s="495"/>
      <c r="B4365" s="364"/>
    </row>
    <row r="4366" spans="1:2">
      <c r="A4366" s="495"/>
      <c r="B4366" s="364"/>
    </row>
    <row r="4367" spans="1:2">
      <c r="A4367" s="495"/>
      <c r="B4367" s="364"/>
    </row>
    <row r="4368" spans="1:2">
      <c r="A4368" s="495"/>
      <c r="B4368" s="364"/>
    </row>
    <row r="4369" spans="1:2">
      <c r="A4369" s="495"/>
      <c r="B4369" s="364"/>
    </row>
    <row r="4370" spans="1:2">
      <c r="A4370" s="495"/>
      <c r="B4370" s="364"/>
    </row>
    <row r="4371" spans="1:2">
      <c r="A4371" s="495"/>
      <c r="B4371" s="364"/>
    </row>
    <row r="4372" spans="1:2">
      <c r="A4372" s="495"/>
      <c r="B4372" s="364"/>
    </row>
    <row r="4373" spans="1:2">
      <c r="A4373" s="495"/>
      <c r="B4373" s="364"/>
    </row>
    <row r="4374" spans="1:2">
      <c r="A4374" s="495"/>
      <c r="B4374" s="364"/>
    </row>
    <row r="4375" spans="1:2">
      <c r="A4375" s="495"/>
      <c r="B4375" s="364"/>
    </row>
    <row r="4376" spans="1:2">
      <c r="A4376" s="495"/>
      <c r="B4376" s="364"/>
    </row>
    <row r="4377" spans="1:2">
      <c r="A4377" s="495"/>
      <c r="B4377" s="364"/>
    </row>
    <row r="4378" spans="1:2">
      <c r="A4378" s="495"/>
      <c r="B4378" s="364"/>
    </row>
    <row r="4379" spans="1:2">
      <c r="A4379" s="495"/>
      <c r="B4379" s="364"/>
    </row>
    <row r="4380" spans="1:2">
      <c r="A4380" s="495"/>
      <c r="B4380" s="364"/>
    </row>
    <row r="4381" spans="1:2">
      <c r="A4381" s="495"/>
      <c r="B4381" s="364"/>
    </row>
    <row r="4382" spans="1:2">
      <c r="A4382" s="495"/>
      <c r="B4382" s="364"/>
    </row>
    <row r="4383" spans="1:2">
      <c r="A4383" s="495"/>
      <c r="B4383" s="364"/>
    </row>
    <row r="4384" spans="1:2">
      <c r="A4384" s="495"/>
      <c r="B4384" s="364"/>
    </row>
    <row r="4385" spans="1:2">
      <c r="A4385" s="495"/>
      <c r="B4385" s="364"/>
    </row>
    <row r="4386" spans="1:2">
      <c r="A4386" s="495"/>
      <c r="B4386" s="364"/>
    </row>
    <row r="4387" spans="1:2">
      <c r="A4387" s="495"/>
      <c r="B4387" s="364"/>
    </row>
    <row r="4388" spans="1:2">
      <c r="A4388" s="495"/>
      <c r="B4388" s="364"/>
    </row>
    <row r="4389" spans="1:2">
      <c r="A4389" s="495"/>
      <c r="B4389" s="364"/>
    </row>
    <row r="4390" spans="1:2">
      <c r="A4390" s="495"/>
      <c r="B4390" s="364"/>
    </row>
    <row r="4391" spans="1:2">
      <c r="A4391" s="495"/>
      <c r="B4391" s="364"/>
    </row>
    <row r="4392" spans="1:2">
      <c r="A4392" s="495"/>
      <c r="B4392" s="364"/>
    </row>
    <row r="4393" spans="1:2">
      <c r="A4393" s="495"/>
      <c r="B4393" s="364"/>
    </row>
    <row r="4394" spans="1:2">
      <c r="A4394" s="495"/>
      <c r="B4394" s="364"/>
    </row>
    <row r="4395" spans="1:2">
      <c r="A4395" s="495"/>
      <c r="B4395" s="364"/>
    </row>
    <row r="4396" spans="1:2">
      <c r="A4396" s="495"/>
      <c r="B4396" s="364"/>
    </row>
    <row r="4397" spans="1:2">
      <c r="A4397" s="495"/>
      <c r="B4397" s="364"/>
    </row>
    <row r="4398" spans="1:2">
      <c r="A4398" s="495"/>
      <c r="B4398" s="364"/>
    </row>
    <row r="4399" spans="1:2">
      <c r="A4399" s="495"/>
      <c r="B4399" s="364"/>
    </row>
    <row r="4400" spans="1:2">
      <c r="A4400" s="495"/>
      <c r="B4400" s="364"/>
    </row>
    <row r="4401" spans="1:2">
      <c r="A4401" s="495"/>
      <c r="B4401" s="364"/>
    </row>
    <row r="4402" spans="1:2">
      <c r="A4402" s="495"/>
      <c r="B4402" s="364"/>
    </row>
    <row r="4403" spans="1:2">
      <c r="A4403" s="495"/>
      <c r="B4403" s="364"/>
    </row>
    <row r="4404" spans="1:2">
      <c r="A4404" s="495"/>
      <c r="B4404" s="364"/>
    </row>
    <row r="4405" spans="1:2">
      <c r="A4405" s="495"/>
      <c r="B4405" s="364"/>
    </row>
    <row r="4406" spans="1:2">
      <c r="A4406" s="495"/>
      <c r="B4406" s="364"/>
    </row>
    <row r="4407" spans="1:2">
      <c r="A4407" s="495"/>
      <c r="B4407" s="364"/>
    </row>
    <row r="4408" spans="1:2">
      <c r="A4408" s="495"/>
      <c r="B4408" s="364"/>
    </row>
    <row r="4409" spans="1:2">
      <c r="A4409" s="495"/>
      <c r="B4409" s="364"/>
    </row>
    <row r="4410" spans="1:2">
      <c r="A4410" s="495"/>
      <c r="B4410" s="364"/>
    </row>
    <row r="4411" spans="1:2">
      <c r="A4411" s="495"/>
      <c r="B4411" s="364"/>
    </row>
    <row r="4412" spans="1:2">
      <c r="A4412" s="495"/>
      <c r="B4412" s="364"/>
    </row>
    <row r="4413" spans="1:2">
      <c r="A4413" s="495"/>
      <c r="B4413" s="364"/>
    </row>
    <row r="4414" spans="1:2">
      <c r="A4414" s="495"/>
      <c r="B4414" s="364"/>
    </row>
    <row r="4415" spans="1:2">
      <c r="A4415" s="495"/>
      <c r="B4415" s="364"/>
    </row>
    <row r="4416" spans="1:2">
      <c r="A4416" s="495"/>
      <c r="B4416" s="364"/>
    </row>
    <row r="4417" spans="1:2">
      <c r="A4417" s="495"/>
      <c r="B4417" s="364"/>
    </row>
    <row r="4418" spans="1:2">
      <c r="A4418" s="495"/>
      <c r="B4418" s="364"/>
    </row>
    <row r="4419" spans="1:2">
      <c r="A4419" s="495"/>
      <c r="B4419" s="364"/>
    </row>
    <row r="4420" spans="1:2">
      <c r="A4420" s="495"/>
      <c r="B4420" s="364"/>
    </row>
    <row r="4421" spans="1:2">
      <c r="A4421" s="495"/>
      <c r="B4421" s="364"/>
    </row>
    <row r="4422" spans="1:2">
      <c r="A4422" s="495"/>
      <c r="B4422" s="364"/>
    </row>
    <row r="4423" spans="1:2">
      <c r="A4423" s="495"/>
      <c r="B4423" s="364"/>
    </row>
    <row r="4424" spans="1:2">
      <c r="A4424" s="495"/>
      <c r="B4424" s="364"/>
    </row>
    <row r="4425" spans="1:2">
      <c r="A4425" s="495"/>
      <c r="B4425" s="364"/>
    </row>
    <row r="4426" spans="1:2">
      <c r="A4426" s="495"/>
      <c r="B4426" s="364"/>
    </row>
    <row r="4427" spans="1:2">
      <c r="A4427" s="495"/>
      <c r="B4427" s="364"/>
    </row>
    <row r="4428" spans="1:2">
      <c r="A4428" s="495"/>
      <c r="B4428" s="364"/>
    </row>
    <row r="4429" spans="1:2">
      <c r="A4429" s="495"/>
      <c r="B4429" s="364"/>
    </row>
    <row r="4430" spans="1:2">
      <c r="A4430" s="495"/>
      <c r="B4430" s="364"/>
    </row>
    <row r="4431" spans="1:2">
      <c r="A4431" s="495"/>
      <c r="B4431" s="364"/>
    </row>
    <row r="4432" spans="1:2">
      <c r="A4432" s="495"/>
      <c r="B4432" s="364"/>
    </row>
    <row r="4433" spans="1:2">
      <c r="A4433" s="495"/>
      <c r="B4433" s="364"/>
    </row>
    <row r="4434" spans="1:2">
      <c r="A4434" s="495"/>
      <c r="B4434" s="364"/>
    </row>
    <row r="4435" spans="1:2">
      <c r="A4435" s="495"/>
      <c r="B4435" s="364"/>
    </row>
    <row r="4436" spans="1:2">
      <c r="A4436" s="495"/>
      <c r="B4436" s="364"/>
    </row>
    <row r="4437" spans="1:2">
      <c r="A4437" s="495"/>
      <c r="B4437" s="364"/>
    </row>
    <row r="4438" spans="1:2">
      <c r="A4438" s="495"/>
      <c r="B4438" s="364"/>
    </row>
    <row r="4439" spans="1:2">
      <c r="A4439" s="495"/>
      <c r="B4439" s="364"/>
    </row>
    <row r="4440" spans="1:2">
      <c r="A4440" s="495"/>
      <c r="B4440" s="364"/>
    </row>
    <row r="4441" spans="1:2">
      <c r="A4441" s="495"/>
      <c r="B4441" s="364"/>
    </row>
    <row r="4442" spans="1:2">
      <c r="A4442" s="495"/>
      <c r="B4442" s="364"/>
    </row>
    <row r="4443" spans="1:2">
      <c r="A4443" s="495"/>
      <c r="B4443" s="364"/>
    </row>
    <row r="4444" spans="1:2">
      <c r="A4444" s="495"/>
      <c r="B4444" s="364"/>
    </row>
    <row r="4445" spans="1:2">
      <c r="A4445" s="495"/>
      <c r="B4445" s="364"/>
    </row>
    <row r="4446" spans="1:2">
      <c r="A4446" s="495"/>
      <c r="B4446" s="364"/>
    </row>
    <row r="4447" spans="1:2">
      <c r="A4447" s="495"/>
      <c r="B4447" s="364"/>
    </row>
    <row r="4448" spans="1:2">
      <c r="A4448" s="495"/>
      <c r="B4448" s="364"/>
    </row>
    <row r="4449" spans="1:2">
      <c r="A4449" s="495"/>
      <c r="B4449" s="364"/>
    </row>
    <row r="4450" spans="1:2">
      <c r="A4450" s="495"/>
      <c r="B4450" s="364"/>
    </row>
    <row r="4451" spans="1:2">
      <c r="A4451" s="495"/>
      <c r="B4451" s="364"/>
    </row>
    <row r="4452" spans="1:2">
      <c r="A4452" s="495"/>
      <c r="B4452" s="364"/>
    </row>
    <row r="4453" spans="1:2">
      <c r="A4453" s="495"/>
      <c r="B4453" s="364"/>
    </row>
    <row r="4454" spans="1:2">
      <c r="A4454" s="495"/>
      <c r="B4454" s="364"/>
    </row>
    <row r="4455" spans="1:2">
      <c r="A4455" s="495"/>
      <c r="B4455" s="364"/>
    </row>
    <row r="4456" spans="1:2">
      <c r="A4456" s="495"/>
      <c r="B4456" s="364"/>
    </row>
    <row r="4457" spans="1:2">
      <c r="A4457" s="495"/>
      <c r="B4457" s="364"/>
    </row>
    <row r="4458" spans="1:2">
      <c r="A4458" s="495"/>
      <c r="B4458" s="364"/>
    </row>
    <row r="4459" spans="1:2">
      <c r="A4459" s="495"/>
      <c r="B4459" s="364"/>
    </row>
    <row r="4460" spans="1:2">
      <c r="A4460" s="495"/>
      <c r="B4460" s="364"/>
    </row>
    <row r="4461" spans="1:2">
      <c r="A4461" s="495"/>
      <c r="B4461" s="364"/>
    </row>
    <row r="4462" spans="1:2">
      <c r="A4462" s="495"/>
      <c r="B4462" s="364"/>
    </row>
    <row r="4463" spans="1:2">
      <c r="A4463" s="495"/>
      <c r="B4463" s="364"/>
    </row>
    <row r="4464" spans="1:2">
      <c r="A4464" s="495"/>
      <c r="B4464" s="364"/>
    </row>
    <row r="4465" spans="1:2">
      <c r="A4465" s="495"/>
      <c r="B4465" s="364"/>
    </row>
    <row r="4466" spans="1:2">
      <c r="A4466" s="495"/>
      <c r="B4466" s="364"/>
    </row>
    <row r="4467" spans="1:2">
      <c r="A4467" s="495"/>
      <c r="B4467" s="364"/>
    </row>
    <row r="4468" spans="1:2">
      <c r="A4468" s="495"/>
      <c r="B4468" s="364"/>
    </row>
    <row r="4469" spans="1:2">
      <c r="A4469" s="495"/>
      <c r="B4469" s="364"/>
    </row>
    <row r="4470" spans="1:2">
      <c r="A4470" s="495"/>
      <c r="B4470" s="364"/>
    </row>
    <row r="4471" spans="1:2">
      <c r="A4471" s="495"/>
      <c r="B4471" s="364"/>
    </row>
    <row r="4472" spans="1:2">
      <c r="A4472" s="495"/>
      <c r="B4472" s="364"/>
    </row>
    <row r="4473" spans="1:2">
      <c r="A4473" s="495"/>
      <c r="B4473" s="364"/>
    </row>
    <row r="4474" spans="1:2">
      <c r="A4474" s="495"/>
      <c r="B4474" s="364"/>
    </row>
    <row r="4475" spans="1:2">
      <c r="A4475" s="495"/>
      <c r="B4475" s="364"/>
    </row>
    <row r="4476" spans="1:2">
      <c r="A4476" s="495"/>
      <c r="B4476" s="364"/>
    </row>
    <row r="4477" spans="1:2">
      <c r="A4477" s="495"/>
      <c r="B4477" s="364"/>
    </row>
    <row r="4478" spans="1:2">
      <c r="A4478" s="495"/>
      <c r="B4478" s="364"/>
    </row>
    <row r="4479" spans="1:2">
      <c r="A4479" s="495"/>
      <c r="B4479" s="364"/>
    </row>
    <row r="4480" spans="1:2">
      <c r="A4480" s="495"/>
      <c r="B4480" s="364"/>
    </row>
    <row r="4481" spans="1:2">
      <c r="A4481" s="495"/>
      <c r="B4481" s="364"/>
    </row>
    <row r="4482" spans="1:2">
      <c r="A4482" s="495"/>
      <c r="B4482" s="364"/>
    </row>
    <row r="4483" spans="1:2">
      <c r="A4483" s="495"/>
      <c r="B4483" s="364"/>
    </row>
    <row r="4484" spans="1:2">
      <c r="A4484" s="495"/>
      <c r="B4484" s="364"/>
    </row>
    <row r="4485" spans="1:2">
      <c r="A4485" s="495"/>
      <c r="B4485" s="364"/>
    </row>
    <row r="4486" spans="1:2">
      <c r="A4486" s="495"/>
      <c r="B4486" s="364"/>
    </row>
    <row r="4487" spans="1:2">
      <c r="A4487" s="495"/>
      <c r="B4487" s="364"/>
    </row>
    <row r="4488" spans="1:2">
      <c r="A4488" s="495"/>
      <c r="B4488" s="364"/>
    </row>
    <row r="4489" spans="1:2">
      <c r="A4489" s="495"/>
      <c r="B4489" s="364"/>
    </row>
    <row r="4490" spans="1:2">
      <c r="A4490" s="495"/>
      <c r="B4490" s="364"/>
    </row>
    <row r="4491" spans="1:2">
      <c r="A4491" s="495"/>
      <c r="B4491" s="364"/>
    </row>
    <row r="4492" spans="1:2">
      <c r="A4492" s="495"/>
      <c r="B4492" s="364"/>
    </row>
    <row r="4493" spans="1:2">
      <c r="A4493" s="495"/>
      <c r="B4493" s="364"/>
    </row>
    <row r="4494" spans="1:2">
      <c r="A4494" s="495"/>
      <c r="B4494" s="364"/>
    </row>
    <row r="4495" spans="1:2">
      <c r="A4495" s="495"/>
      <c r="B4495" s="364"/>
    </row>
    <row r="4496" spans="1:2">
      <c r="A4496" s="495"/>
      <c r="B4496" s="364"/>
    </row>
    <row r="4497" spans="1:2">
      <c r="A4497" s="495"/>
      <c r="B4497" s="364"/>
    </row>
    <row r="4498" spans="1:2">
      <c r="A4498" s="495"/>
      <c r="B4498" s="364"/>
    </row>
    <row r="4499" spans="1:2">
      <c r="A4499" s="495"/>
      <c r="B4499" s="364"/>
    </row>
    <row r="4500" spans="1:2">
      <c r="A4500" s="495"/>
      <c r="B4500" s="364"/>
    </row>
    <row r="4501" spans="1:2">
      <c r="A4501" s="495"/>
      <c r="B4501" s="364"/>
    </row>
    <row r="4502" spans="1:2">
      <c r="A4502" s="495"/>
      <c r="B4502" s="364"/>
    </row>
    <row r="4503" spans="1:2">
      <c r="A4503" s="495"/>
      <c r="B4503" s="364"/>
    </row>
    <row r="4504" spans="1:2">
      <c r="A4504" s="495"/>
      <c r="B4504" s="364"/>
    </row>
    <row r="4505" spans="1:2">
      <c r="A4505" s="495"/>
      <c r="B4505" s="364"/>
    </row>
    <row r="4506" spans="1:2">
      <c r="A4506" s="495"/>
      <c r="B4506" s="364"/>
    </row>
    <row r="4507" spans="1:2">
      <c r="A4507" s="495"/>
      <c r="B4507" s="364"/>
    </row>
    <row r="4508" spans="1:2">
      <c r="A4508" s="495"/>
      <c r="B4508" s="364"/>
    </row>
    <row r="4509" spans="1:2">
      <c r="A4509" s="495"/>
      <c r="B4509" s="364"/>
    </row>
    <row r="4510" spans="1:2">
      <c r="A4510" s="495"/>
      <c r="B4510" s="364"/>
    </row>
    <row r="4511" spans="1:2">
      <c r="A4511" s="495"/>
      <c r="B4511" s="364"/>
    </row>
    <row r="4512" spans="1:2">
      <c r="A4512" s="495"/>
      <c r="B4512" s="364"/>
    </row>
    <row r="4513" spans="1:2">
      <c r="A4513" s="495"/>
      <c r="B4513" s="364"/>
    </row>
    <row r="4514" spans="1:2">
      <c r="A4514" s="495"/>
      <c r="B4514" s="364"/>
    </row>
    <row r="4515" spans="1:2">
      <c r="A4515" s="495"/>
      <c r="B4515" s="364"/>
    </row>
    <row r="4516" spans="1:2">
      <c r="A4516" s="495"/>
      <c r="B4516" s="364"/>
    </row>
    <row r="4517" spans="1:2">
      <c r="A4517" s="495"/>
      <c r="B4517" s="364"/>
    </row>
    <row r="4518" spans="1:2">
      <c r="A4518" s="495"/>
      <c r="B4518" s="364"/>
    </row>
    <row r="4519" spans="1:2">
      <c r="A4519" s="495"/>
      <c r="B4519" s="364"/>
    </row>
    <row r="4520" spans="1:2">
      <c r="A4520" s="495"/>
      <c r="B4520" s="364"/>
    </row>
    <row r="4521" spans="1:2">
      <c r="A4521" s="495"/>
      <c r="B4521" s="364"/>
    </row>
    <row r="4522" spans="1:2">
      <c r="A4522" s="495"/>
      <c r="B4522" s="364"/>
    </row>
    <row r="4523" spans="1:2">
      <c r="A4523" s="495"/>
      <c r="B4523" s="364"/>
    </row>
    <row r="4524" spans="1:2">
      <c r="A4524" s="495"/>
      <c r="B4524" s="364"/>
    </row>
    <row r="4525" spans="1:2">
      <c r="A4525" s="495"/>
      <c r="B4525" s="364"/>
    </row>
    <row r="4526" spans="1:2">
      <c r="A4526" s="495"/>
      <c r="B4526" s="364"/>
    </row>
    <row r="4527" spans="1:2">
      <c r="A4527" s="495"/>
      <c r="B4527" s="364"/>
    </row>
    <row r="4528" spans="1:2">
      <c r="A4528" s="495"/>
      <c r="B4528" s="364"/>
    </row>
    <row r="4529" spans="1:2">
      <c r="A4529" s="495"/>
      <c r="B4529" s="364"/>
    </row>
    <row r="4530" spans="1:2">
      <c r="A4530" s="495"/>
      <c r="B4530" s="364"/>
    </row>
    <row r="4531" spans="1:2">
      <c r="A4531" s="495"/>
      <c r="B4531" s="364"/>
    </row>
    <row r="4532" spans="1:2">
      <c r="A4532" s="495"/>
      <c r="B4532" s="364"/>
    </row>
    <row r="4533" spans="1:2">
      <c r="A4533" s="495"/>
      <c r="B4533" s="364"/>
    </row>
    <row r="4534" spans="1:2">
      <c r="A4534" s="495"/>
      <c r="B4534" s="364"/>
    </row>
    <row r="4535" spans="1:2">
      <c r="A4535" s="495"/>
      <c r="B4535" s="364"/>
    </row>
    <row r="4536" spans="1:2">
      <c r="A4536" s="495"/>
      <c r="B4536" s="364"/>
    </row>
    <row r="4537" spans="1:2">
      <c r="A4537" s="495"/>
      <c r="B4537" s="364"/>
    </row>
    <row r="4538" spans="1:2">
      <c r="A4538" s="495"/>
      <c r="B4538" s="364"/>
    </row>
    <row r="4539" spans="1:2">
      <c r="A4539" s="495"/>
      <c r="B4539" s="364"/>
    </row>
    <row r="4540" spans="1:2">
      <c r="A4540" s="495"/>
      <c r="B4540" s="364"/>
    </row>
    <row r="4541" spans="1:2">
      <c r="A4541" s="495"/>
      <c r="B4541" s="364"/>
    </row>
    <row r="4542" spans="1:2">
      <c r="A4542" s="495"/>
      <c r="B4542" s="364"/>
    </row>
    <row r="4543" spans="1:2">
      <c r="A4543" s="495"/>
      <c r="B4543" s="364"/>
    </row>
    <row r="4544" spans="1:2">
      <c r="A4544" s="495"/>
      <c r="B4544" s="364"/>
    </row>
    <row r="4545" spans="1:2">
      <c r="A4545" s="495"/>
      <c r="B4545" s="364"/>
    </row>
    <row r="4546" spans="1:2">
      <c r="A4546" s="495"/>
      <c r="B4546" s="364"/>
    </row>
    <row r="4547" spans="1:2">
      <c r="A4547" s="495"/>
      <c r="B4547" s="364"/>
    </row>
    <row r="4548" spans="1:2">
      <c r="A4548" s="495"/>
      <c r="B4548" s="364"/>
    </row>
    <row r="4549" spans="1:2">
      <c r="A4549" s="495"/>
      <c r="B4549" s="364"/>
    </row>
    <row r="4550" spans="1:2">
      <c r="A4550" s="495"/>
      <c r="B4550" s="364"/>
    </row>
    <row r="4551" spans="1:2">
      <c r="A4551" s="495"/>
      <c r="B4551" s="364"/>
    </row>
    <row r="4552" spans="1:2">
      <c r="A4552" s="495"/>
      <c r="B4552" s="364"/>
    </row>
    <row r="4553" spans="1:2">
      <c r="A4553" s="495"/>
      <c r="B4553" s="364"/>
    </row>
    <row r="4554" spans="1:2">
      <c r="A4554" s="495"/>
      <c r="B4554" s="364"/>
    </row>
    <row r="4555" spans="1:2">
      <c r="A4555" s="495"/>
      <c r="B4555" s="364"/>
    </row>
    <row r="4556" spans="1:2">
      <c r="A4556" s="495"/>
      <c r="B4556" s="364"/>
    </row>
    <row r="4557" spans="1:2">
      <c r="A4557" s="495"/>
      <c r="B4557" s="364"/>
    </row>
    <row r="4558" spans="1:2">
      <c r="A4558" s="495"/>
      <c r="B4558" s="364"/>
    </row>
    <row r="4559" spans="1:2">
      <c r="A4559" s="495"/>
      <c r="B4559" s="364"/>
    </row>
    <row r="4560" spans="1:2">
      <c r="A4560" s="495"/>
      <c r="B4560" s="364"/>
    </row>
    <row r="4561" spans="1:2">
      <c r="A4561" s="495"/>
      <c r="B4561" s="364"/>
    </row>
    <row r="4562" spans="1:2">
      <c r="A4562" s="495"/>
      <c r="B4562" s="364"/>
    </row>
    <row r="4563" spans="1:2">
      <c r="A4563" s="495"/>
      <c r="B4563" s="364"/>
    </row>
    <row r="4564" spans="1:2">
      <c r="A4564" s="495"/>
      <c r="B4564" s="364"/>
    </row>
    <row r="4565" spans="1:2">
      <c r="A4565" s="495"/>
      <c r="B4565" s="364"/>
    </row>
    <row r="4566" spans="1:2">
      <c r="A4566" s="495"/>
      <c r="B4566" s="364"/>
    </row>
    <row r="4567" spans="1:2">
      <c r="A4567" s="495"/>
      <c r="B4567" s="364"/>
    </row>
    <row r="4568" spans="1:2">
      <c r="A4568" s="495"/>
      <c r="B4568" s="364"/>
    </row>
    <row r="4569" spans="1:2">
      <c r="A4569" s="495"/>
      <c r="B4569" s="364"/>
    </row>
    <row r="4570" spans="1:2">
      <c r="A4570" s="495"/>
      <c r="B4570" s="364"/>
    </row>
    <row r="4571" spans="1:2">
      <c r="A4571" s="495"/>
      <c r="B4571" s="364"/>
    </row>
    <row r="4572" spans="1:2">
      <c r="A4572" s="495"/>
      <c r="B4572" s="364"/>
    </row>
    <row r="4573" spans="1:2">
      <c r="A4573" s="495"/>
      <c r="B4573" s="364"/>
    </row>
    <row r="4574" spans="1:2">
      <c r="A4574" s="495"/>
      <c r="B4574" s="364"/>
    </row>
    <row r="4575" spans="1:2">
      <c r="A4575" s="495"/>
      <c r="B4575" s="364"/>
    </row>
    <row r="4576" spans="1:2">
      <c r="A4576" s="495"/>
      <c r="B4576" s="364"/>
    </row>
    <row r="4577" spans="1:2">
      <c r="A4577" s="495"/>
      <c r="B4577" s="364"/>
    </row>
    <row r="4578" spans="1:2">
      <c r="A4578" s="495"/>
      <c r="B4578" s="364"/>
    </row>
    <row r="4579" spans="1:2">
      <c r="A4579" s="495"/>
      <c r="B4579" s="364"/>
    </row>
    <row r="4580" spans="1:2">
      <c r="A4580" s="495"/>
      <c r="B4580" s="364"/>
    </row>
    <row r="4581" spans="1:2">
      <c r="A4581" s="495"/>
      <c r="B4581" s="364"/>
    </row>
    <row r="4582" spans="1:2">
      <c r="A4582" s="495"/>
      <c r="B4582" s="364"/>
    </row>
    <row r="4583" spans="1:2">
      <c r="A4583" s="495"/>
      <c r="B4583" s="364"/>
    </row>
    <row r="4584" spans="1:2">
      <c r="A4584" s="495"/>
      <c r="B4584" s="364"/>
    </row>
    <row r="4585" spans="1:2">
      <c r="A4585" s="495"/>
      <c r="B4585" s="364"/>
    </row>
    <row r="4586" spans="1:2">
      <c r="A4586" s="495"/>
      <c r="B4586" s="364"/>
    </row>
    <row r="4587" spans="1:2">
      <c r="A4587" s="495"/>
      <c r="B4587" s="364"/>
    </row>
    <row r="4588" spans="1:2">
      <c r="A4588" s="495"/>
      <c r="B4588" s="364"/>
    </row>
    <row r="4589" spans="1:2">
      <c r="A4589" s="495"/>
      <c r="B4589" s="364"/>
    </row>
    <row r="4590" spans="1:2">
      <c r="A4590" s="495"/>
      <c r="B4590" s="364"/>
    </row>
    <row r="4591" spans="1:2">
      <c r="A4591" s="495"/>
      <c r="B4591" s="364"/>
    </row>
    <row r="4592" spans="1:2">
      <c r="A4592" s="495"/>
      <c r="B4592" s="364"/>
    </row>
    <row r="4593" spans="1:2">
      <c r="A4593" s="495"/>
      <c r="B4593" s="364"/>
    </row>
    <row r="4594" spans="1:2">
      <c r="A4594" s="495"/>
      <c r="B4594" s="364"/>
    </row>
    <row r="4595" spans="1:2">
      <c r="A4595" s="495"/>
      <c r="B4595" s="364"/>
    </row>
    <row r="4596" spans="1:2">
      <c r="A4596" s="495"/>
      <c r="B4596" s="364"/>
    </row>
    <row r="4597" spans="1:2">
      <c r="A4597" s="495"/>
      <c r="B4597" s="364"/>
    </row>
    <row r="4598" spans="1:2">
      <c r="A4598" s="495"/>
      <c r="B4598" s="364"/>
    </row>
    <row r="4599" spans="1:2">
      <c r="A4599" s="495"/>
      <c r="B4599" s="364"/>
    </row>
    <row r="4600" spans="1:2">
      <c r="A4600" s="495"/>
      <c r="B4600" s="364"/>
    </row>
    <row r="4601" spans="1:2">
      <c r="A4601" s="495"/>
      <c r="B4601" s="364"/>
    </row>
    <row r="4602" spans="1:2">
      <c r="A4602" s="495"/>
      <c r="B4602" s="364"/>
    </row>
    <row r="4603" spans="1:2">
      <c r="A4603" s="495"/>
      <c r="B4603" s="364"/>
    </row>
    <row r="4604" spans="1:2">
      <c r="A4604" s="495"/>
      <c r="B4604" s="364"/>
    </row>
    <row r="4605" spans="1:2">
      <c r="A4605" s="495"/>
      <c r="B4605" s="364"/>
    </row>
    <row r="4606" spans="1:2">
      <c r="A4606" s="495"/>
      <c r="B4606" s="364"/>
    </row>
    <row r="4607" spans="1:2">
      <c r="A4607" s="495"/>
      <c r="B4607" s="364"/>
    </row>
    <row r="4608" spans="1:2">
      <c r="A4608" s="495"/>
      <c r="B4608" s="364"/>
    </row>
    <row r="4609" spans="1:2">
      <c r="A4609" s="495"/>
      <c r="B4609" s="364"/>
    </row>
    <row r="4610" spans="1:2">
      <c r="A4610" s="495"/>
      <c r="B4610" s="364"/>
    </row>
    <row r="4611" spans="1:2">
      <c r="A4611" s="495"/>
      <c r="B4611" s="364"/>
    </row>
    <row r="4612" spans="1:2">
      <c r="A4612" s="495"/>
      <c r="B4612" s="364"/>
    </row>
    <row r="4613" spans="1:2">
      <c r="A4613" s="495"/>
      <c r="B4613" s="364"/>
    </row>
    <row r="4614" spans="1:2">
      <c r="A4614" s="495"/>
      <c r="B4614" s="364"/>
    </row>
    <row r="4615" spans="1:2">
      <c r="A4615" s="495"/>
      <c r="B4615" s="364"/>
    </row>
    <row r="4616" spans="1:2">
      <c r="A4616" s="495"/>
      <c r="B4616" s="364"/>
    </row>
    <row r="4617" spans="1:2">
      <c r="A4617" s="495"/>
      <c r="B4617" s="364"/>
    </row>
    <row r="4618" spans="1:2">
      <c r="A4618" s="495"/>
      <c r="B4618" s="364"/>
    </row>
    <row r="4619" spans="1:2">
      <c r="A4619" s="495"/>
      <c r="B4619" s="364"/>
    </row>
    <row r="4620" spans="1:2">
      <c r="A4620" s="495"/>
      <c r="B4620" s="364"/>
    </row>
    <row r="4621" spans="1:2">
      <c r="A4621" s="495"/>
      <c r="B4621" s="364"/>
    </row>
    <row r="4622" spans="1:2">
      <c r="A4622" s="495"/>
      <c r="B4622" s="364"/>
    </row>
    <row r="4623" spans="1:2">
      <c r="A4623" s="495"/>
      <c r="B4623" s="364"/>
    </row>
    <row r="4624" spans="1:2">
      <c r="A4624" s="495"/>
      <c r="B4624" s="364"/>
    </row>
    <row r="4625" spans="1:2">
      <c r="A4625" s="495"/>
      <c r="B4625" s="364"/>
    </row>
    <row r="4626" spans="1:2">
      <c r="A4626" s="495"/>
      <c r="B4626" s="364"/>
    </row>
    <row r="4627" spans="1:2">
      <c r="A4627" s="495"/>
      <c r="B4627" s="364"/>
    </row>
    <row r="4628" spans="1:2">
      <c r="A4628" s="495"/>
      <c r="B4628" s="364"/>
    </row>
    <row r="4629" spans="1:2">
      <c r="A4629" s="495"/>
      <c r="B4629" s="364"/>
    </row>
    <row r="4630" spans="1:2">
      <c r="A4630" s="495"/>
      <c r="B4630" s="364"/>
    </row>
    <row r="4631" spans="1:2">
      <c r="A4631" s="495"/>
      <c r="B4631" s="364"/>
    </row>
    <row r="4632" spans="1:2">
      <c r="A4632" s="495"/>
      <c r="B4632" s="364"/>
    </row>
    <row r="4633" spans="1:2">
      <c r="A4633" s="495"/>
      <c r="B4633" s="364"/>
    </row>
    <row r="4634" spans="1:2">
      <c r="A4634" s="495"/>
      <c r="B4634" s="364"/>
    </row>
    <row r="4635" spans="1:2">
      <c r="A4635" s="495"/>
      <c r="B4635" s="364"/>
    </row>
    <row r="4636" spans="1:2">
      <c r="A4636" s="495"/>
      <c r="B4636" s="364"/>
    </row>
    <row r="4637" spans="1:2">
      <c r="A4637" s="495"/>
      <c r="B4637" s="364"/>
    </row>
    <row r="4638" spans="1:2">
      <c r="A4638" s="495"/>
      <c r="B4638" s="364"/>
    </row>
    <row r="4639" spans="1:2">
      <c r="A4639" s="495"/>
      <c r="B4639" s="364"/>
    </row>
    <row r="4640" spans="1:2">
      <c r="A4640" s="495"/>
      <c r="B4640" s="364"/>
    </row>
    <row r="4641" spans="1:2">
      <c r="A4641" s="495"/>
      <c r="B4641" s="364"/>
    </row>
    <row r="4642" spans="1:2">
      <c r="A4642" s="495"/>
      <c r="B4642" s="364"/>
    </row>
    <row r="4643" spans="1:2">
      <c r="A4643" s="495"/>
      <c r="B4643" s="364"/>
    </row>
    <row r="4644" spans="1:2">
      <c r="A4644" s="495"/>
      <c r="B4644" s="364"/>
    </row>
    <row r="4645" spans="1:2">
      <c r="A4645" s="495"/>
      <c r="B4645" s="364"/>
    </row>
    <row r="4646" spans="1:2">
      <c r="A4646" s="495"/>
      <c r="B4646" s="364"/>
    </row>
    <row r="4647" spans="1:2">
      <c r="A4647" s="495"/>
      <c r="B4647" s="364"/>
    </row>
    <row r="4648" spans="1:2">
      <c r="A4648" s="495"/>
      <c r="B4648" s="364"/>
    </row>
    <row r="4649" spans="1:2">
      <c r="A4649" s="495"/>
      <c r="B4649" s="364"/>
    </row>
    <row r="4650" spans="1:2">
      <c r="A4650" s="495"/>
      <c r="B4650" s="364"/>
    </row>
    <row r="4651" spans="1:2">
      <c r="A4651" s="495"/>
      <c r="B4651" s="364"/>
    </row>
    <row r="4652" spans="1:2">
      <c r="A4652" s="495"/>
      <c r="B4652" s="364"/>
    </row>
    <row r="4653" spans="1:2">
      <c r="A4653" s="495"/>
      <c r="B4653" s="364"/>
    </row>
    <row r="4654" spans="1:2">
      <c r="A4654" s="495"/>
      <c r="B4654" s="364"/>
    </row>
    <row r="4655" spans="1:2">
      <c r="A4655" s="495"/>
      <c r="B4655" s="364"/>
    </row>
    <row r="4656" spans="1:2">
      <c r="A4656" s="495"/>
      <c r="B4656" s="364"/>
    </row>
    <row r="4657" spans="1:2">
      <c r="A4657" s="495"/>
      <c r="B4657" s="364"/>
    </row>
    <row r="4658" spans="1:2">
      <c r="A4658" s="495"/>
      <c r="B4658" s="364"/>
    </row>
    <row r="4659" spans="1:2">
      <c r="A4659" s="495"/>
      <c r="B4659" s="364"/>
    </row>
    <row r="4660" spans="1:2">
      <c r="A4660" s="495"/>
      <c r="B4660" s="364"/>
    </row>
    <row r="4661" spans="1:2">
      <c r="A4661" s="495"/>
      <c r="B4661" s="364"/>
    </row>
    <row r="4662" spans="1:2">
      <c r="A4662" s="495"/>
      <c r="B4662" s="364"/>
    </row>
    <row r="4663" spans="1:2">
      <c r="A4663" s="495"/>
      <c r="B4663" s="364"/>
    </row>
    <row r="4664" spans="1:2">
      <c r="A4664" s="495"/>
      <c r="B4664" s="364"/>
    </row>
    <row r="4665" spans="1:2">
      <c r="A4665" s="495"/>
      <c r="B4665" s="364"/>
    </row>
    <row r="4666" spans="1:2">
      <c r="A4666" s="495"/>
      <c r="B4666" s="364"/>
    </row>
    <row r="4667" spans="1:2">
      <c r="A4667" s="495"/>
      <c r="B4667" s="364"/>
    </row>
    <row r="4668" spans="1:2">
      <c r="A4668" s="495"/>
      <c r="B4668" s="364"/>
    </row>
    <row r="4669" spans="1:2">
      <c r="A4669" s="495"/>
      <c r="B4669" s="364"/>
    </row>
    <row r="4670" spans="1:2">
      <c r="A4670" s="495"/>
      <c r="B4670" s="364"/>
    </row>
    <row r="4671" spans="1:2">
      <c r="A4671" s="495"/>
      <c r="B4671" s="364"/>
    </row>
    <row r="4672" spans="1:2">
      <c r="A4672" s="495"/>
      <c r="B4672" s="364"/>
    </row>
    <row r="4673" spans="1:2">
      <c r="A4673" s="495"/>
      <c r="B4673" s="364"/>
    </row>
    <row r="4674" spans="1:2">
      <c r="A4674" s="495"/>
      <c r="B4674" s="364"/>
    </row>
    <row r="4675" spans="1:2">
      <c r="A4675" s="495"/>
      <c r="B4675" s="364"/>
    </row>
    <row r="4676" spans="1:2">
      <c r="A4676" s="495"/>
      <c r="B4676" s="364"/>
    </row>
    <row r="4677" spans="1:2">
      <c r="A4677" s="495"/>
      <c r="B4677" s="364"/>
    </row>
    <row r="4678" spans="1:2">
      <c r="A4678" s="495"/>
      <c r="B4678" s="364"/>
    </row>
    <row r="4679" spans="1:2">
      <c r="A4679" s="495"/>
      <c r="B4679" s="364"/>
    </row>
    <row r="4680" spans="1:2">
      <c r="A4680" s="495"/>
      <c r="B4680" s="364"/>
    </row>
    <row r="4681" spans="1:2">
      <c r="A4681" s="495"/>
      <c r="B4681" s="364"/>
    </row>
    <row r="4682" spans="1:2">
      <c r="A4682" s="495"/>
      <c r="B4682" s="364"/>
    </row>
    <row r="4683" spans="1:2">
      <c r="A4683" s="495"/>
      <c r="B4683" s="364"/>
    </row>
    <row r="4684" spans="1:2">
      <c r="A4684" s="495"/>
      <c r="B4684" s="364"/>
    </row>
    <row r="4685" spans="1:2">
      <c r="A4685" s="495"/>
      <c r="B4685" s="364"/>
    </row>
    <row r="4686" spans="1:2">
      <c r="A4686" s="495"/>
      <c r="B4686" s="364"/>
    </row>
    <row r="4687" spans="1:2">
      <c r="A4687" s="495"/>
      <c r="B4687" s="364"/>
    </row>
    <row r="4688" spans="1:2">
      <c r="A4688" s="495"/>
      <c r="B4688" s="364"/>
    </row>
    <row r="4689" spans="1:2">
      <c r="A4689" s="495"/>
      <c r="B4689" s="364"/>
    </row>
    <row r="4690" spans="1:2">
      <c r="A4690" s="495"/>
      <c r="B4690" s="364"/>
    </row>
    <row r="4691" spans="1:2">
      <c r="A4691" s="496"/>
      <c r="B4691" s="366"/>
    </row>
    <row r="4692" spans="1:2">
      <c r="A4692" s="495"/>
      <c r="B4692" s="364"/>
    </row>
    <row r="4693" spans="1:2">
      <c r="A4693" s="496"/>
      <c r="B4693" s="364"/>
    </row>
    <row r="4694" spans="1:2">
      <c r="A4694" s="495"/>
      <c r="B4694" s="364"/>
    </row>
    <row r="4695" spans="1:2">
      <c r="A4695" s="495"/>
      <c r="B4695" s="364"/>
    </row>
    <row r="4696" spans="1:2">
      <c r="A4696" s="496"/>
      <c r="B4696" s="366"/>
    </row>
    <row r="4697" spans="1:2">
      <c r="A4697" s="496"/>
      <c r="B4697" s="366"/>
    </row>
    <row r="4698" spans="1:2">
      <c r="A4698" s="495"/>
      <c r="B4698" s="364"/>
    </row>
    <row r="4699" spans="1:2">
      <c r="A4699" s="496"/>
      <c r="B4699" s="366"/>
    </row>
    <row r="4700" spans="1:2">
      <c r="A4700" s="495"/>
      <c r="B4700" s="364"/>
    </row>
    <row r="4701" spans="1:2">
      <c r="A4701" s="495"/>
      <c r="B4701" s="364"/>
    </row>
    <row r="4702" spans="1:2">
      <c r="A4702" s="496"/>
      <c r="B4702" s="366"/>
    </row>
    <row r="4703" spans="1:2">
      <c r="A4703" s="496"/>
      <c r="B4703" s="366"/>
    </row>
    <row r="4704" spans="1:2">
      <c r="A4704" s="495"/>
      <c r="B4704" s="364"/>
    </row>
    <row r="4705" spans="1:2">
      <c r="A4705" s="496"/>
      <c r="B4705" s="366"/>
    </row>
    <row r="4706" spans="1:2">
      <c r="A4706" s="495"/>
      <c r="B4706" s="364"/>
    </row>
    <row r="4707" spans="1:2">
      <c r="A4707" s="496"/>
      <c r="B4707" s="366"/>
    </row>
    <row r="4708" spans="1:2">
      <c r="A4708" s="495"/>
      <c r="B4708" s="364"/>
    </row>
    <row r="4709" spans="1:2">
      <c r="A4709" s="495"/>
      <c r="B4709" s="364"/>
    </row>
    <row r="4710" spans="1:2">
      <c r="A4710" s="496"/>
      <c r="B4710" s="366"/>
    </row>
    <row r="4711" spans="1:2">
      <c r="A4711" s="496"/>
      <c r="B4711" s="366"/>
    </row>
    <row r="4712" spans="1:2">
      <c r="A4712" s="495"/>
      <c r="B4712" s="364"/>
    </row>
    <row r="4713" spans="1:2">
      <c r="A4713" s="496"/>
      <c r="B4713" s="366"/>
    </row>
    <row r="4714" spans="1:2">
      <c r="A4714" s="495"/>
      <c r="B4714" s="364"/>
    </row>
    <row r="4715" spans="1:2">
      <c r="A4715" s="495"/>
      <c r="B4715" s="364"/>
    </row>
    <row r="4716" spans="1:2">
      <c r="A4716" s="496"/>
      <c r="B4716" s="366"/>
    </row>
    <row r="4717" spans="1:2">
      <c r="A4717" s="496"/>
      <c r="B4717" s="366"/>
    </row>
    <row r="4718" spans="1:2">
      <c r="A4718" s="495"/>
      <c r="B4718" s="364"/>
    </row>
    <row r="4719" spans="1:2">
      <c r="A4719" s="496"/>
      <c r="B4719" s="366"/>
    </row>
    <row r="4720" spans="1:2">
      <c r="A4720" s="495"/>
      <c r="B4720" s="364"/>
    </row>
    <row r="4721" spans="1:2">
      <c r="A4721" s="496"/>
      <c r="B4721" s="366"/>
    </row>
    <row r="4722" spans="1:2">
      <c r="A4722" s="495"/>
      <c r="B4722" s="364"/>
    </row>
    <row r="4723" spans="1:2">
      <c r="A4723" s="496"/>
      <c r="B4723" s="366"/>
    </row>
    <row r="4724" spans="1:2">
      <c r="A4724" s="495"/>
      <c r="B4724" s="364"/>
    </row>
    <row r="4725" spans="1:2">
      <c r="A4725" s="496"/>
      <c r="B4725" s="366"/>
    </row>
    <row r="4726" spans="1:2">
      <c r="A4726" s="495"/>
      <c r="B4726" s="364"/>
    </row>
    <row r="4727" spans="1:2">
      <c r="A4727" s="496"/>
      <c r="B4727" s="366"/>
    </row>
    <row r="4728" spans="1:2">
      <c r="A4728" s="495"/>
      <c r="B4728" s="364"/>
    </row>
    <row r="4729" spans="1:2">
      <c r="A4729" s="496"/>
      <c r="B4729" s="366"/>
    </row>
    <row r="4730" spans="1:2">
      <c r="A4730" s="495"/>
      <c r="B4730" s="364"/>
    </row>
    <row r="4731" spans="1:2">
      <c r="A4731" s="495"/>
      <c r="B4731" s="364"/>
    </row>
    <row r="4732" spans="1:2">
      <c r="A4732" s="495"/>
      <c r="B4732" s="364"/>
    </row>
    <row r="4733" spans="1:2">
      <c r="A4733" s="496"/>
      <c r="B4733" s="366"/>
    </row>
    <row r="4734" spans="1:2">
      <c r="A4734" s="496"/>
      <c r="B4734" s="366"/>
    </row>
    <row r="4735" spans="1:2">
      <c r="A4735" s="496"/>
      <c r="B4735" s="366"/>
    </row>
    <row r="4736" spans="1:2">
      <c r="A4736" s="495"/>
      <c r="B4736" s="364"/>
    </row>
    <row r="4737" spans="1:2">
      <c r="A4737" s="495"/>
      <c r="B4737" s="364"/>
    </row>
    <row r="4738" spans="1:2">
      <c r="A4738" s="496"/>
      <c r="B4738" s="366"/>
    </row>
    <row r="4739" spans="1:2">
      <c r="A4739" s="496"/>
      <c r="B4739" s="366"/>
    </row>
    <row r="4740" spans="1:2">
      <c r="A4740" s="495"/>
      <c r="B4740" s="364"/>
    </row>
    <row r="4741" spans="1:2">
      <c r="A4741" s="496"/>
      <c r="B4741" s="366"/>
    </row>
    <row r="4742" spans="1:2">
      <c r="A4742" s="495"/>
      <c r="B4742" s="364"/>
    </row>
    <row r="4743" spans="1:2">
      <c r="A4743" s="497"/>
      <c r="B4743" s="367"/>
    </row>
    <row r="4744" spans="1:2">
      <c r="A4744" s="497"/>
      <c r="B4744" s="367"/>
    </row>
    <row r="4745" spans="1:2">
      <c r="A4745" s="497"/>
      <c r="B4745" s="367"/>
    </row>
    <row r="4746" spans="1:2">
      <c r="A4746" s="497"/>
      <c r="B4746" s="367"/>
    </row>
    <row r="4747" spans="1:2">
      <c r="A4747" s="497"/>
      <c r="B4747" s="367"/>
    </row>
    <row r="4748" spans="1:2">
      <c r="A4748" s="497"/>
      <c r="B4748" s="367"/>
    </row>
    <row r="4777" spans="1:2">
      <c r="B4777" s="368"/>
    </row>
    <row r="4778" spans="1:2">
      <c r="A4778" s="499"/>
      <c r="B4778" s="369"/>
    </row>
    <row r="4779" spans="1:2">
      <c r="B4779" s="366"/>
    </row>
    <row r="4780" spans="1:2">
      <c r="B4780" s="366"/>
    </row>
    <row r="4781" spans="1:2">
      <c r="B4781" s="366"/>
    </row>
    <row r="4782" spans="1:2">
      <c r="B4782" s="366"/>
    </row>
    <row r="4783" spans="1:2">
      <c r="B4783" s="366"/>
    </row>
    <row r="4784" spans="1:2">
      <c r="B4784" s="366"/>
    </row>
    <row r="4785" spans="2:2">
      <c r="B4785" s="366"/>
    </row>
    <row r="4786" spans="2:2">
      <c r="B4786" s="366"/>
    </row>
    <row r="4787" spans="2:2">
      <c r="B4787" s="366"/>
    </row>
    <row r="4788" spans="2:2">
      <c r="B4788" s="366"/>
    </row>
    <row r="4789" spans="2:2">
      <c r="B4789" s="366"/>
    </row>
    <row r="4790" spans="2:2">
      <c r="B4790" s="366"/>
    </row>
    <row r="4791" spans="2:2">
      <c r="B4791" s="366"/>
    </row>
    <row r="4792" spans="2:2">
      <c r="B4792" s="366"/>
    </row>
    <row r="4793" spans="2:2">
      <c r="B4793" s="366"/>
    </row>
  </sheetData>
  <sheetProtection password="D2A1" sheet="1" selectLockedCells="1" selectUnlockedCells="1"/>
  <mergeCells count="1">
    <mergeCell ref="AG47:AO47"/>
  </mergeCells>
  <phoneticPr fontId="7" type="noConversion"/>
  <pageMargins left="0.75" right="0.75" top="1" bottom="1" header="0.5" footer="0.5"/>
  <pageSetup paperSize="9"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Munka5"/>
  <dimension ref="A1:CT4797"/>
  <sheetViews>
    <sheetView zoomScale="77" zoomScaleNormal="77" workbookViewId="0">
      <selection activeCell="BR50" sqref="BR50"/>
    </sheetView>
  </sheetViews>
  <sheetFormatPr defaultRowHeight="12.75"/>
  <cols>
    <col min="1" max="1" width="15.7109375" customWidth="1"/>
    <col min="2" max="2" width="14.140625" customWidth="1"/>
    <col min="3" max="3" width="14.42578125" customWidth="1"/>
    <col min="4" max="4" width="9.140625" style="494"/>
    <col min="5" max="5" width="19" customWidth="1"/>
    <col min="7" max="7" width="29.140625" customWidth="1"/>
    <col min="8" max="8" width="16.28515625" customWidth="1"/>
    <col min="9" max="9" width="17.28515625" customWidth="1"/>
    <col min="10" max="10" width="13.140625" customWidth="1"/>
    <col min="11" max="11" width="12.85546875" customWidth="1"/>
    <col min="12" max="12" width="25.85546875" customWidth="1"/>
    <col min="13" max="13" width="14.7109375" customWidth="1"/>
    <col min="14" max="14" width="14.140625" customWidth="1"/>
    <col min="15" max="15" width="15.5703125" customWidth="1"/>
    <col min="16" max="16" width="14.5703125" customWidth="1"/>
    <col min="17" max="17" width="15" customWidth="1"/>
    <col min="18" max="18" width="28.42578125" customWidth="1"/>
    <col min="19" max="19" width="16.42578125" customWidth="1"/>
    <col min="20" max="20" width="15.5703125" customWidth="1"/>
    <col min="21" max="21" width="25.28515625" customWidth="1"/>
    <col min="22" max="28" width="14.85546875" customWidth="1"/>
    <col min="29" max="29" width="17.85546875" customWidth="1"/>
    <col min="30" max="30" width="13.7109375" customWidth="1"/>
    <col min="31" max="35" width="14.5703125" customWidth="1"/>
    <col min="36" max="36" width="12.7109375" customWidth="1"/>
    <col min="37" max="37" width="10.85546875" customWidth="1"/>
    <col min="38" max="38" width="11.28515625" customWidth="1"/>
    <col min="39" max="41" width="14.5703125" customWidth="1"/>
    <col min="43" max="43" width="25.5703125" customWidth="1"/>
    <col min="44" max="44" width="13.7109375" customWidth="1"/>
    <col min="45" max="45" width="11.140625" customWidth="1"/>
    <col min="46" max="46" width="14.28515625" customWidth="1"/>
    <col min="47" max="47" width="11.85546875" customWidth="1"/>
    <col min="48" max="48" width="12.85546875" customWidth="1"/>
    <col min="49" max="49" width="12.28515625" customWidth="1"/>
    <col min="50" max="50" width="12.140625" customWidth="1"/>
    <col min="51" max="52" width="15.140625" customWidth="1"/>
    <col min="53" max="54" width="13.5703125" customWidth="1"/>
    <col min="55" max="55" width="19.5703125" customWidth="1"/>
    <col min="56" max="56" width="14.85546875" customWidth="1"/>
    <col min="57" max="57" width="18" customWidth="1"/>
    <col min="58" max="58" width="14.5703125" customWidth="1"/>
    <col min="59" max="59" width="14.140625" customWidth="1"/>
    <col min="60" max="60" width="20.5703125" customWidth="1"/>
    <col min="61" max="61" width="23.85546875" customWidth="1"/>
    <col min="62" max="62" width="29.42578125" customWidth="1"/>
    <col min="63" max="63" width="16.42578125" customWidth="1"/>
    <col min="64" max="64" width="18.28515625" customWidth="1"/>
    <col min="65" max="65" width="13.42578125" customWidth="1"/>
    <col min="66" max="67" width="15.7109375" customWidth="1"/>
    <col min="68" max="68" width="15.85546875" customWidth="1"/>
    <col min="69" max="69" width="21" customWidth="1"/>
    <col min="70" max="70" width="19.28515625" customWidth="1"/>
    <col min="71" max="71" width="16.140625" customWidth="1"/>
    <col min="72" max="72" width="18.85546875" customWidth="1"/>
    <col min="73" max="73" width="16.5703125" customWidth="1"/>
    <col min="74" max="74" width="15.140625" customWidth="1"/>
    <col min="75" max="75" width="18" customWidth="1"/>
    <col min="76" max="76" width="16.85546875" customWidth="1"/>
    <col min="77" max="77" width="17.42578125" customWidth="1"/>
    <col min="78" max="78" width="18.28515625" customWidth="1"/>
    <col min="79" max="79" width="16.5703125" customWidth="1"/>
    <col min="80" max="80" width="21" customWidth="1"/>
    <col min="81" max="81" width="16" customWidth="1"/>
    <col min="82" max="82" width="17.5703125" customWidth="1"/>
    <col min="83" max="83" width="19" customWidth="1"/>
    <col min="85" max="85" width="31.5703125" customWidth="1"/>
    <col min="92" max="92" width="13.5703125" customWidth="1"/>
    <col min="93" max="93" width="13.7109375" customWidth="1"/>
    <col min="94" max="94" width="13.140625" customWidth="1"/>
    <col min="95" max="95" width="12" customWidth="1"/>
    <col min="96" max="96" width="11.85546875" customWidth="1"/>
    <col min="97" max="97" width="12.5703125" customWidth="1"/>
    <col min="98" max="98" width="12" customWidth="1"/>
  </cols>
  <sheetData>
    <row r="1" spans="1:83" ht="68.25" customHeight="1" thickTop="1" thickBot="1">
      <c r="A1" s="3120" t="s">
        <v>5405</v>
      </c>
      <c r="B1" s="1242" t="s">
        <v>1488</v>
      </c>
      <c r="C1" s="1553">
        <f>NDK!$B$52</f>
        <v>1114</v>
      </c>
      <c r="D1" s="493" t="s">
        <v>5387</v>
      </c>
      <c r="E1" s="363"/>
      <c r="F1" s="363"/>
      <c r="G1" s="3258" t="s">
        <v>5406</v>
      </c>
      <c r="I1" s="2798" t="s">
        <v>5241</v>
      </c>
      <c r="J1" s="1275"/>
      <c r="K1" s="1276"/>
      <c r="L1" s="1249" t="s">
        <v>5316</v>
      </c>
      <c r="M1" s="1245" t="s">
        <v>870</v>
      </c>
      <c r="N1" s="1249" t="s">
        <v>2120</v>
      </c>
      <c r="O1" s="646" t="s">
        <v>1193</v>
      </c>
      <c r="R1" s="1277" t="s">
        <v>5077</v>
      </c>
      <c r="S1" s="2446">
        <f>$Z$20</f>
        <v>3.2</v>
      </c>
      <c r="T1" s="2438" t="s">
        <v>4814</v>
      </c>
      <c r="U1" s="3254">
        <v>4.33</v>
      </c>
      <c r="V1" s="3037" t="s">
        <v>5158</v>
      </c>
      <c r="W1" s="3038">
        <v>2.5</v>
      </c>
      <c r="X1" s="3217" t="s">
        <v>5386</v>
      </c>
      <c r="Y1" s="3216">
        <f>$Q$3</f>
        <v>1</v>
      </c>
      <c r="Z1" s="3218" t="s">
        <v>5085</v>
      </c>
      <c r="AA1" s="3205">
        <f>KÉRDÉSEK!$D$166</f>
        <v>1</v>
      </c>
      <c r="AB1" s="3215"/>
      <c r="AC1" s="3208"/>
      <c r="AE1">
        <v>1.3</v>
      </c>
      <c r="AF1">
        <v>101500</v>
      </c>
      <c r="AG1">
        <v>30450</v>
      </c>
      <c r="AQ1" s="1702" t="s">
        <v>4512</v>
      </c>
      <c r="AT1" s="1704" t="s">
        <v>4518</v>
      </c>
      <c r="AU1" s="1703">
        <f>W1</f>
        <v>2.5</v>
      </c>
      <c r="AY1" s="2118" t="s">
        <v>4826</v>
      </c>
      <c r="AZ1" s="2117">
        <f>KÉRDÉSEK!C147</f>
        <v>1</v>
      </c>
      <c r="BA1" s="2119" t="s">
        <v>5291</v>
      </c>
      <c r="BB1" s="2995">
        <f>KÉRDÉSEK!C145</f>
        <v>1</v>
      </c>
      <c r="BC1" s="2116" t="s">
        <v>4827</v>
      </c>
      <c r="BD1" s="2992">
        <f>KÉRDÉSEK!J170</f>
        <v>0</v>
      </c>
      <c r="BE1" s="2993" t="s">
        <v>5292</v>
      </c>
      <c r="BF1" s="2994">
        <f>KÉRDÉSEK!C146</f>
        <v>1</v>
      </c>
      <c r="BH1" s="2090" t="s">
        <v>4820</v>
      </c>
      <c r="BI1" s="2098" t="s">
        <v>4817</v>
      </c>
      <c r="BJ1" s="2987" t="s">
        <v>4812</v>
      </c>
      <c r="BK1" s="2088" t="s">
        <v>4810</v>
      </c>
      <c r="BL1" s="3067" t="s">
        <v>5336</v>
      </c>
      <c r="BM1" s="2088" t="s">
        <v>2127</v>
      </c>
      <c r="BN1" s="2988" t="s">
        <v>5143</v>
      </c>
      <c r="BO1" s="2069" t="s">
        <v>4811</v>
      </c>
      <c r="BP1" s="3004" t="s">
        <v>5295</v>
      </c>
      <c r="BQ1" s="2071" t="s">
        <v>3547</v>
      </c>
      <c r="BR1" s="2075" t="s">
        <v>4818</v>
      </c>
      <c r="BS1" s="3006" t="s">
        <v>5296</v>
      </c>
      <c r="BT1" s="2077" t="s">
        <v>4813</v>
      </c>
      <c r="BU1" s="2613" t="s">
        <v>5137</v>
      </c>
      <c r="BV1" s="2081" t="s">
        <v>3550</v>
      </c>
      <c r="BW1" s="3008" t="s">
        <v>5297</v>
      </c>
      <c r="BX1" s="2083" t="s">
        <v>4815</v>
      </c>
      <c r="BY1" s="2084" t="s">
        <v>4816</v>
      </c>
    </row>
    <row r="2" spans="1:83" ht="56.25" customHeight="1" thickTop="1" thickBot="1">
      <c r="A2" s="3257">
        <f>KÉRDÉSEK!D142</f>
        <v>1</v>
      </c>
      <c r="B2" s="378"/>
      <c r="C2" s="1990" t="s">
        <v>2719</v>
      </c>
      <c r="D2" s="442">
        <v>999</v>
      </c>
      <c r="F2">
        <v>9</v>
      </c>
      <c r="G2" s="1321">
        <f>IF(KÉRDÉSEK!J151=KÉRDÉSEK!I144,Wáberer!AT25,Wáberer!R53)*A2</f>
        <v>0</v>
      </c>
      <c r="H2" s="2805" t="s">
        <v>5242</v>
      </c>
      <c r="I2" s="1243"/>
      <c r="J2" s="1273" t="s">
        <v>610</v>
      </c>
      <c r="K2" s="1274" t="s">
        <v>611</v>
      </c>
      <c r="L2" s="3199">
        <f>KÉRDÉSEK!$B$189</f>
        <v>1</v>
      </c>
      <c r="M2" s="3200">
        <f>NDK!$B$50</f>
        <v>0</v>
      </c>
      <c r="N2" s="3199">
        <f>KÉRDÉSEK!$C$162</f>
        <v>0</v>
      </c>
      <c r="O2" s="390">
        <f>IF($N$2&gt;=1,MIN($N$2,$M$2),$M$2)</f>
        <v>0</v>
      </c>
      <c r="P2" s="3214"/>
      <c r="R2" s="1993" t="s">
        <v>1066</v>
      </c>
      <c r="S2" s="1272" t="s">
        <v>1077</v>
      </c>
      <c r="T2" s="1272" t="s">
        <v>1075</v>
      </c>
      <c r="U2" s="2982" t="s">
        <v>5286</v>
      </c>
      <c r="V2" s="1294" t="s">
        <v>2125</v>
      </c>
      <c r="W2" s="1294" t="s">
        <v>2126</v>
      </c>
      <c r="X2" s="1294" t="s">
        <v>2127</v>
      </c>
      <c r="Y2" s="1294" t="s">
        <v>2128</v>
      </c>
      <c r="Z2" s="1294" t="s">
        <v>4515</v>
      </c>
      <c r="AA2" s="2997" t="s">
        <v>2129</v>
      </c>
      <c r="AB2" s="3206" t="s">
        <v>4516</v>
      </c>
      <c r="AC2" s="3207" t="s">
        <v>2130</v>
      </c>
      <c r="AD2" s="1575" t="s">
        <v>1181</v>
      </c>
      <c r="AE2" s="1575" t="s">
        <v>1182</v>
      </c>
      <c r="AF2" s="2857" t="s">
        <v>5293</v>
      </c>
      <c r="AG2" s="2857" t="s">
        <v>5294</v>
      </c>
      <c r="AH2" s="2857"/>
      <c r="AI2" s="2857"/>
      <c r="AJ2" s="2857"/>
      <c r="AK2" s="2857"/>
      <c r="AL2" s="2857"/>
      <c r="AM2" s="2857"/>
      <c r="AN2" s="2857"/>
      <c r="AO2" s="2857"/>
      <c r="AQ2" s="1280"/>
      <c r="AR2" s="1272" t="s">
        <v>4517</v>
      </c>
      <c r="AS2" s="1272" t="s">
        <v>1075</v>
      </c>
      <c r="AT2" s="512" t="s">
        <v>3557</v>
      </c>
      <c r="AU2" s="646" t="s">
        <v>4530</v>
      </c>
      <c r="AV2" s="2983" t="s">
        <v>5287</v>
      </c>
      <c r="AW2" s="1575" t="s">
        <v>1181</v>
      </c>
      <c r="AX2" s="1575" t="s">
        <v>1182</v>
      </c>
      <c r="AY2" s="1705" t="s">
        <v>4519</v>
      </c>
      <c r="AZ2" s="1705" t="s">
        <v>4520</v>
      </c>
      <c r="BA2" s="3003" t="s">
        <v>4521</v>
      </c>
      <c r="BB2" s="3002" t="s">
        <v>4522</v>
      </c>
      <c r="BC2" s="1710" t="s">
        <v>4523</v>
      </c>
      <c r="BD2" s="1710" t="s">
        <v>4524</v>
      </c>
      <c r="BE2" s="2857" t="s">
        <v>5293</v>
      </c>
      <c r="BF2" s="2857" t="s">
        <v>5294</v>
      </c>
      <c r="BH2" s="2091">
        <f>$BQ$2+$BM$7+$BY$2</f>
        <v>0</v>
      </c>
      <c r="BI2" s="2433">
        <v>24000</v>
      </c>
      <c r="BJ2" s="3252">
        <v>104000</v>
      </c>
      <c r="BK2" s="2089">
        <f>BK5</f>
        <v>0</v>
      </c>
      <c r="BL2" s="3068">
        <f>BL5</f>
        <v>0</v>
      </c>
      <c r="BM2" s="2089">
        <f>BM5</f>
        <v>0</v>
      </c>
      <c r="BN2" s="3253">
        <v>37000</v>
      </c>
      <c r="BO2" s="2072">
        <f>BI2*AZ1*AU1*O4</f>
        <v>60000</v>
      </c>
      <c r="BP2" s="3005">
        <f>ROUND(IF(BP3&lt;=AF1,BP3*AE1,BP3+AG1)/12,0)*12</f>
        <v>78000</v>
      </c>
      <c r="BQ2" s="2074">
        <f>BP2*BL2</f>
        <v>0</v>
      </c>
      <c r="BR2" s="2078">
        <f>AZ1*BI2*O4</f>
        <v>24000</v>
      </c>
      <c r="BS2" s="3007">
        <f>IF(BS3&lt;=AF1,BS3*AE1,BS3+AG1)</f>
        <v>48100</v>
      </c>
      <c r="BT2" s="2080">
        <f>ROUND(BS2/12,0)*12</f>
        <v>48096</v>
      </c>
      <c r="BU2" s="2099">
        <f>BT2*BK2</f>
        <v>0</v>
      </c>
      <c r="BV2" s="2085">
        <f>BI2*AZ1*U1*$O$4</f>
        <v>103920</v>
      </c>
      <c r="BW2" s="3009">
        <f>IF(BW3&lt;=AF1,BW3*AE1,BW3+AG1)</f>
        <v>134450</v>
      </c>
      <c r="BX2" s="2087">
        <f>ROUND(BW2/12,0)*12</f>
        <v>134448</v>
      </c>
      <c r="BY2" s="2100">
        <f>BX2*BM2</f>
        <v>0</v>
      </c>
    </row>
    <row r="3" spans="1:83" ht="40.5" thickTop="1" thickBot="1">
      <c r="A3" s="511"/>
      <c r="B3" s="234"/>
      <c r="C3" s="1631">
        <f>IF(B5=C1,C4,8)</f>
        <v>1</v>
      </c>
      <c r="D3">
        <v>1007</v>
      </c>
      <c r="F3">
        <v>1</v>
      </c>
      <c r="G3" s="1320" t="s">
        <v>2451</v>
      </c>
      <c r="H3" s="2806">
        <v>27684</v>
      </c>
      <c r="I3" s="2799" t="s">
        <v>2818</v>
      </c>
      <c r="J3" s="1244"/>
      <c r="K3" s="3198"/>
      <c r="L3" s="3203" t="s">
        <v>5385</v>
      </c>
      <c r="M3" s="3204">
        <f>KÉRDÉSEK!D167</f>
        <v>1</v>
      </c>
      <c r="N3" s="3212" t="s">
        <v>5386</v>
      </c>
      <c r="O3" s="3213"/>
      <c r="P3" s="3213"/>
      <c r="Q3" s="3204">
        <f>(MAX($L$2,$M$3))</f>
        <v>1</v>
      </c>
      <c r="R3" s="3209" t="s">
        <v>2451</v>
      </c>
      <c r="S3" s="1282">
        <f>$H3</f>
        <v>27684</v>
      </c>
      <c r="T3" s="1283">
        <f>$J$14</f>
        <v>2.0499999999999998</v>
      </c>
      <c r="U3" s="2435">
        <v>8000</v>
      </c>
      <c r="V3" s="1295">
        <f>NDK!$B4</f>
        <v>0</v>
      </c>
      <c r="W3" s="1295">
        <f>NDK!$L4</f>
        <v>0</v>
      </c>
      <c r="X3" s="1297"/>
      <c r="Y3" s="1299">
        <f>$V3-$W3</f>
        <v>0</v>
      </c>
      <c r="Z3" s="1301">
        <f>$S3*$T3*$W$1*$M$4*(100%-$P$6)*KÉRDÉSEK!$D$151</f>
        <v>0</v>
      </c>
      <c r="AA3" s="2998">
        <f>ROUND($AF3/12,0)*12*$W3</f>
        <v>0</v>
      </c>
      <c r="AB3" s="3219">
        <f>$S3*$T3*$M$4*(100%-$P$6)*KÉRDÉSEK!$D$151*$Y$1</f>
        <v>0</v>
      </c>
      <c r="AC3" s="3000">
        <f>ROUND($AG3/12,0)*12*$Y3</f>
        <v>0</v>
      </c>
      <c r="AD3" s="1576">
        <f>MAX($Z3,$U3)</f>
        <v>8000</v>
      </c>
      <c r="AE3" s="1576">
        <f>MAX($AB3,$U3)</f>
        <v>8000</v>
      </c>
      <c r="AF3" s="2999">
        <f>IF($AD3&lt;=$AF$1,$AD3*$AE$1,$AD3+$AG$1)</f>
        <v>10400</v>
      </c>
      <c r="AG3" s="2999">
        <f>IF($AE3&lt;=$AF$1,$AE3*$AE$1,$AE3+$AG$1)</f>
        <v>10400</v>
      </c>
      <c r="AH3" s="2999"/>
      <c r="AI3" s="2999"/>
      <c r="AJ3" s="2999"/>
      <c r="AK3" s="2999"/>
      <c r="AL3" s="2999"/>
      <c r="AM3" s="2999"/>
      <c r="AN3" s="2999"/>
      <c r="AO3" s="2999"/>
      <c r="AQ3" s="1281" t="s">
        <v>2451</v>
      </c>
      <c r="AR3" s="1701">
        <f>$S3</f>
        <v>27684</v>
      </c>
      <c r="AS3" s="234">
        <f>$T3</f>
        <v>2.0499999999999998</v>
      </c>
      <c r="AT3" s="3075">
        <f>$AR3*$AS3*$BD$1*$Y$1</f>
        <v>0</v>
      </c>
      <c r="AU3">
        <f>$AT3*$W$1</f>
        <v>0</v>
      </c>
      <c r="AV3" s="2430">
        <v>8000</v>
      </c>
      <c r="AW3">
        <f>MAX($AU3,$AV3)</f>
        <v>8000</v>
      </c>
      <c r="AX3">
        <f>MAX($AT3,$AV3)</f>
        <v>8000</v>
      </c>
      <c r="AY3">
        <f>$Y3</f>
        <v>0</v>
      </c>
      <c r="AZ3">
        <f>$W3</f>
        <v>0</v>
      </c>
      <c r="BA3" s="2807">
        <f>ROUND($BF3/12,0)*12</f>
        <v>10404</v>
      </c>
      <c r="BB3" s="2807">
        <f>ROUND($BE3/12,0)*12</f>
        <v>10404</v>
      </c>
      <c r="BC3">
        <f>$BA3*$AY3</f>
        <v>0</v>
      </c>
      <c r="BD3">
        <f>$BB3*$AZ3</f>
        <v>0</v>
      </c>
      <c r="BE3" s="2807">
        <f>IF($AW3&lt;=$AF$1,$AW3*$AE$1,$AW3+$AG$1)</f>
        <v>10400</v>
      </c>
      <c r="BF3" s="2807">
        <f>IF($AX3&lt;=$AF$1,$AX3*$AE$1,$AX3+$AG$1)</f>
        <v>10400</v>
      </c>
      <c r="BH3" s="2037" t="s">
        <v>1067</v>
      </c>
      <c r="BO3" s="2070" t="s">
        <v>1181</v>
      </c>
      <c r="BP3" s="2073">
        <f>MAX($BO$2,$BN$2)</f>
        <v>60000</v>
      </c>
      <c r="BR3" s="2076" t="s">
        <v>1183</v>
      </c>
      <c r="BS3" s="2079">
        <f>MAX($BR$2,$BN$2)</f>
        <v>37000</v>
      </c>
      <c r="BV3" s="2082" t="s">
        <v>1184</v>
      </c>
      <c r="BW3" s="2086">
        <f>MAX($BV$2,$BJ$2)</f>
        <v>104000</v>
      </c>
    </row>
    <row r="4" spans="1:83" ht="90.75" thickTop="1" thickBot="1">
      <c r="A4" s="509"/>
      <c r="B4" s="1551" t="s">
        <v>2718</v>
      </c>
      <c r="C4" s="1552">
        <f>VLOOKUP(NDK!$B$52,$D$2:$F$2544,3)</f>
        <v>1</v>
      </c>
      <c r="D4">
        <v>1011</v>
      </c>
      <c r="F4">
        <v>1</v>
      </c>
      <c r="G4" s="1309"/>
      <c r="H4" s="2806"/>
      <c r="I4" s="2799">
        <v>1</v>
      </c>
      <c r="J4" s="2804">
        <v>2.0499999999999998</v>
      </c>
      <c r="K4" s="2804">
        <v>2.0499999999999998</v>
      </c>
      <c r="L4" s="3201" t="s">
        <v>871</v>
      </c>
      <c r="M4" s="3202">
        <f>IF(AND($O$2&gt;=1,$O$2&lt;=20),$M$6,IF(AND($O$2&gt;=21,$O$2&lt;=50),$M$7,IF($O$2&gt;=51,$M$8,0)))</f>
        <v>0</v>
      </c>
      <c r="N4" s="3210" t="s">
        <v>4822</v>
      </c>
      <c r="O4" s="3211">
        <f>KÉRDÉSEK!C177</f>
        <v>1</v>
      </c>
      <c r="R4" s="1284"/>
      <c r="S4" s="1283"/>
      <c r="T4" s="1283"/>
      <c r="U4" s="2435"/>
      <c r="V4" s="1295"/>
      <c r="W4" s="1295"/>
      <c r="X4" s="1297"/>
      <c r="Y4" s="1299"/>
      <c r="Z4" s="1301"/>
      <c r="AA4" s="2998"/>
      <c r="AB4" s="1301"/>
      <c r="AC4" s="3000"/>
      <c r="AD4" s="1558"/>
      <c r="AE4" s="1558"/>
      <c r="AF4" s="2844"/>
      <c r="AG4" s="2844"/>
      <c r="AH4" s="2844"/>
      <c r="AI4" s="2844"/>
      <c r="AJ4" s="2844"/>
      <c r="AK4" s="2844"/>
      <c r="AL4" s="2844"/>
      <c r="AM4" s="2844"/>
      <c r="AN4" s="2844"/>
      <c r="AO4" s="2844"/>
      <c r="AQ4" s="1706"/>
      <c r="AR4" s="1707"/>
      <c r="AS4" s="1708"/>
      <c r="AT4" s="565"/>
      <c r="AU4" s="565"/>
      <c r="AV4" s="2436"/>
      <c r="AW4" s="565"/>
      <c r="AX4" s="565"/>
      <c r="AY4" s="565"/>
      <c r="AZ4" s="565"/>
      <c r="BA4" s="3001"/>
      <c r="BB4" s="3001"/>
      <c r="BC4" s="565"/>
      <c r="BD4" s="565"/>
      <c r="BE4" s="3001"/>
      <c r="BF4" s="3001"/>
      <c r="BH4" s="2090" t="s">
        <v>4819</v>
      </c>
      <c r="BI4" s="2069" t="s">
        <v>3540</v>
      </c>
      <c r="BJ4" s="2987" t="s">
        <v>4812</v>
      </c>
      <c r="BK4" s="2612" t="s">
        <v>5135</v>
      </c>
      <c r="BL4" s="3067" t="s">
        <v>5336</v>
      </c>
      <c r="BM4" s="2088" t="s">
        <v>2127</v>
      </c>
      <c r="BN4" s="2988" t="s">
        <v>5143</v>
      </c>
      <c r="BO4" s="2069" t="s">
        <v>4811</v>
      </c>
      <c r="BP4" s="3004" t="s">
        <v>5298</v>
      </c>
      <c r="BQ4" s="2071" t="s">
        <v>3547</v>
      </c>
      <c r="BR4" s="2611" t="s">
        <v>5133</v>
      </c>
      <c r="BS4" s="3006" t="s">
        <v>5296</v>
      </c>
      <c r="BT4" s="2077" t="s">
        <v>4813</v>
      </c>
      <c r="BU4" s="2613" t="s">
        <v>5137</v>
      </c>
      <c r="BV4" s="2081" t="s">
        <v>4824</v>
      </c>
      <c r="BW4" s="3008" t="s">
        <v>5299</v>
      </c>
      <c r="BX4" s="2083" t="s">
        <v>4815</v>
      </c>
      <c r="BY4" s="2084" t="s">
        <v>4816</v>
      </c>
      <c r="CC4" s="2006"/>
      <c r="CE4" s="1575"/>
    </row>
    <row r="5" spans="1:83" ht="51" customHeight="1" thickTop="1" thickBot="1">
      <c r="A5" s="524"/>
      <c r="B5" s="724">
        <f>VLOOKUP(NDK!$B$52,$D$2:$F$2544,1)</f>
        <v>1114</v>
      </c>
      <c r="C5" s="1550" t="s">
        <v>2717</v>
      </c>
      <c r="D5">
        <v>1012</v>
      </c>
      <c r="F5">
        <v>1</v>
      </c>
      <c r="G5" s="106" t="s">
        <v>2452</v>
      </c>
      <c r="H5" s="2806">
        <v>32520</v>
      </c>
      <c r="I5" s="2799">
        <v>2</v>
      </c>
      <c r="J5" s="2804">
        <v>1.95</v>
      </c>
      <c r="K5" s="2804">
        <v>1.95</v>
      </c>
      <c r="L5" s="1253" t="s">
        <v>866</v>
      </c>
      <c r="M5" s="1254"/>
      <c r="N5" s="2107" t="s">
        <v>2122</v>
      </c>
      <c r="O5" s="2108"/>
      <c r="P5" s="1289">
        <f>KÉRDÉSEK!$J$219+KÉRDÉSEK!$J$218</f>
        <v>0</v>
      </c>
      <c r="R5" s="1281" t="s">
        <v>2452</v>
      </c>
      <c r="S5" s="1282">
        <f>$H5</f>
        <v>32520</v>
      </c>
      <c r="T5" s="1283">
        <f>$J$14</f>
        <v>2.0499999999999998</v>
      </c>
      <c r="U5" s="2435">
        <v>8000</v>
      </c>
      <c r="V5" s="1295">
        <f>NDK!$B6</f>
        <v>0</v>
      </c>
      <c r="W5" s="1295">
        <f>NDK!$L6</f>
        <v>0</v>
      </c>
      <c r="X5" s="1297"/>
      <c r="Y5" s="1299">
        <f>$V5-$W5</f>
        <v>0</v>
      </c>
      <c r="Z5" s="1301">
        <f>$S5*$T5*$W$1*$M$4*(100%-$P$6)*KÉRDÉSEK!$D$151</f>
        <v>0</v>
      </c>
      <c r="AA5" s="2998">
        <f>ROUND($AF5/12,0)*12*$W5</f>
        <v>0</v>
      </c>
      <c r="AB5" s="3219">
        <f>$S5*$T5*$M$4*(100%-$P$6)*KÉRDÉSEK!$D$151*$Y$1</f>
        <v>0</v>
      </c>
      <c r="AC5" s="3000">
        <f>ROUND($AG5/12,0)*12*$Y5</f>
        <v>0</v>
      </c>
      <c r="AD5" s="1576">
        <f>MAX($Z5,$U5)</f>
        <v>8000</v>
      </c>
      <c r="AE5" s="1576">
        <f>MAX($AB5,$U5)</f>
        <v>8000</v>
      </c>
      <c r="AF5" s="2999">
        <f>IF($AD5&lt;=$AF$1,$AD5*$AE$1,$AD5+$AG$1)</f>
        <v>10400</v>
      </c>
      <c r="AG5" s="2999">
        <f>IF($AE5&lt;=$AF$1,$AE5*$AE$1,$AE5+$AG$1)</f>
        <v>10400</v>
      </c>
      <c r="AH5" s="2999"/>
      <c r="AI5" s="2999"/>
      <c r="AJ5" s="2999"/>
      <c r="AK5" s="2999"/>
      <c r="AL5" s="2999"/>
      <c r="AM5" s="3057" t="s">
        <v>5324</v>
      </c>
      <c r="AN5" s="2999">
        <v>2.2999999999999998</v>
      </c>
      <c r="AO5" s="2999"/>
      <c r="AQ5" s="1281" t="s">
        <v>2452</v>
      </c>
      <c r="AR5" s="1701">
        <f>$S5</f>
        <v>32520</v>
      </c>
      <c r="AS5" s="234">
        <f>$T5</f>
        <v>2.0499999999999998</v>
      </c>
      <c r="AT5" s="3075">
        <f>$AR5*$AS5*$BD$1*$Y$1</f>
        <v>0</v>
      </c>
      <c r="AU5">
        <f>$AT5*$W$1</f>
        <v>0</v>
      </c>
      <c r="AV5" s="2430">
        <v>8000</v>
      </c>
      <c r="AW5">
        <f>MAX($AU5,$AV5)</f>
        <v>8000</v>
      </c>
      <c r="AX5">
        <f>MAX($AT5,$AV5)</f>
        <v>8000</v>
      </c>
      <c r="AY5">
        <f>$Y5</f>
        <v>0</v>
      </c>
      <c r="AZ5">
        <f>$W5</f>
        <v>0</v>
      </c>
      <c r="BA5" s="2807">
        <f>ROUND($BF5/12,0)*12</f>
        <v>10404</v>
      </c>
      <c r="BB5" s="2807">
        <f>ROUND($BE5/12,0)*12</f>
        <v>10404</v>
      </c>
      <c r="BC5">
        <f>$BA5*$AY5</f>
        <v>0</v>
      </c>
      <c r="BD5">
        <f>$BB5*$AZ5</f>
        <v>0</v>
      </c>
      <c r="BE5" s="2807">
        <f>IF($AW5&lt;=$AF$1,$AW5*$AE$1,$AW5+$AG$1)</f>
        <v>10400</v>
      </c>
      <c r="BF5" s="2807">
        <f>IF($AX5&lt;=$AF$1,$AX5*$AE$1,$AX5+$AG$1)</f>
        <v>10400</v>
      </c>
      <c r="BH5" s="2615">
        <f>$BQ$5+$BU$7+$BY$5</f>
        <v>0</v>
      </c>
      <c r="BI5" s="2433">
        <v>24000</v>
      </c>
      <c r="BJ5" s="3252">
        <v>104000</v>
      </c>
      <c r="BK5" s="2089">
        <f>NDK!Q35</f>
        <v>0</v>
      </c>
      <c r="BL5" s="3068">
        <f>$AN$25</f>
        <v>0</v>
      </c>
      <c r="BM5" s="2089">
        <f>NDK!Q33+NDK!Q34</f>
        <v>0</v>
      </c>
      <c r="BN5" s="3253">
        <v>37000</v>
      </c>
      <c r="BO5" s="2072">
        <f>$BI5*$W$1*$M$4*(100%-$P$5)*KÉRDÉSEK!$D$151</f>
        <v>0</v>
      </c>
      <c r="BP5" s="3005">
        <f>ROUND(IF(BP9&lt;=AF1,BP9*AE1,BP9+AG1)/12,0)*12</f>
        <v>48096</v>
      </c>
      <c r="BQ5" s="2074">
        <f>BP5*BL5</f>
        <v>0</v>
      </c>
      <c r="BR5" s="2078">
        <f>$BI5*$M$4*(100%-$P$5)*KÉRDÉSEK!$D$151</f>
        <v>0</v>
      </c>
      <c r="BS5" s="3007">
        <f>IF(BS9&lt;=AF1,BS9*AE1,BS9+AG1)</f>
        <v>48100</v>
      </c>
      <c r="BT5" s="2080">
        <f>ROUND(BS5/12,0)*12</f>
        <v>48096</v>
      </c>
      <c r="BU5" s="2614">
        <f>BT5*BK5</f>
        <v>0</v>
      </c>
      <c r="BV5" s="2085">
        <f>$BI5*$U$1*$M$4*(100%-$P$5)*KÉRDÉSEK!$D$151*$O$4</f>
        <v>0</v>
      </c>
      <c r="BW5" s="3009">
        <f>IF(BX6&lt;=AF1,BX6*AE1,BX6+AG1)</f>
        <v>134450</v>
      </c>
      <c r="BX5" s="2087">
        <f>ROUND(BW5/12,0)*12</f>
        <v>134448</v>
      </c>
      <c r="BY5" s="2100">
        <f>BX5*BM5</f>
        <v>0</v>
      </c>
    </row>
    <row r="6" spans="1:83" ht="54.75" customHeight="1" thickTop="1" thickBot="1">
      <c r="A6" s="524"/>
      <c r="B6" s="390"/>
      <c r="C6" s="512"/>
      <c r="D6">
        <v>1013</v>
      </c>
      <c r="F6">
        <v>1</v>
      </c>
      <c r="G6" s="110" t="s">
        <v>1490</v>
      </c>
      <c r="H6" s="2806">
        <v>36852</v>
      </c>
      <c r="I6" s="2799">
        <v>3</v>
      </c>
      <c r="J6" s="2804">
        <v>1.9</v>
      </c>
      <c r="K6" s="2804">
        <v>1.9</v>
      </c>
      <c r="L6" s="1255" t="s">
        <v>867</v>
      </c>
      <c r="M6" s="1991">
        <v>1</v>
      </c>
      <c r="N6" s="2648" t="s">
        <v>5154</v>
      </c>
      <c r="O6" s="2649" t="s">
        <v>5155</v>
      </c>
      <c r="P6" s="1271">
        <f>KÉRDÉSEK!$J$220</f>
        <v>0</v>
      </c>
      <c r="R6" s="1285" t="s">
        <v>1490</v>
      </c>
      <c r="S6" s="1282">
        <f>$H6</f>
        <v>36852</v>
      </c>
      <c r="T6" s="1283">
        <f>$J$14</f>
        <v>2.0499999999999998</v>
      </c>
      <c r="U6" s="2435">
        <v>8000</v>
      </c>
      <c r="V6" s="1295">
        <f>NDK!$B7</f>
        <v>0</v>
      </c>
      <c r="W6" s="1295">
        <f>NDK!$L7</f>
        <v>0</v>
      </c>
      <c r="X6" s="1297"/>
      <c r="Y6" s="1299">
        <f>$V6-$W6</f>
        <v>0</v>
      </c>
      <c r="Z6" s="1301">
        <f>$S6*$T6*$W$1*$M$4*(100%-$P$6)*KÉRDÉSEK!$D$151</f>
        <v>0</v>
      </c>
      <c r="AA6" s="2998">
        <f>ROUND($AF6/12,0)*12*$W6</f>
        <v>0</v>
      </c>
      <c r="AB6" s="3219">
        <f>$S6*$T6*$M$4*(100%-$P$6)*KÉRDÉSEK!$D$151*$Y$1</f>
        <v>0</v>
      </c>
      <c r="AC6" s="3000">
        <f>ROUND($AG6/12,0)*12*$Y6</f>
        <v>0</v>
      </c>
      <c r="AD6" s="1576">
        <f>MAX($Z6,$U6)</f>
        <v>8000</v>
      </c>
      <c r="AE6" s="1576">
        <f>MAX($AB6,$U6)</f>
        <v>8000</v>
      </c>
      <c r="AF6" s="2999">
        <f>IF($AD6&lt;=$AF$1,$AD6*$AE$1,$AD6+$AG$1)</f>
        <v>10400</v>
      </c>
      <c r="AG6" s="2999">
        <f>IF($AE6&lt;=$AF$1,$AE6*$AE$1,$AE6+$AG$1)</f>
        <v>10400</v>
      </c>
      <c r="AH6" s="2999"/>
      <c r="AI6" s="2999"/>
      <c r="AJ6" s="2999"/>
      <c r="AK6" s="2999"/>
      <c r="AM6" s="3058" t="s">
        <v>5323</v>
      </c>
      <c r="AN6" s="2999">
        <f>AN5/W1</f>
        <v>0.91999999999999993</v>
      </c>
      <c r="AO6" s="2999"/>
      <c r="AQ6" s="1285" t="s">
        <v>1490</v>
      </c>
      <c r="AR6" s="1701">
        <f>$S6</f>
        <v>36852</v>
      </c>
      <c r="AS6" s="234">
        <f>$T6</f>
        <v>2.0499999999999998</v>
      </c>
      <c r="AT6" s="3075">
        <f>$AR6*$AS6*$BD$1*$Y$1</f>
        <v>0</v>
      </c>
      <c r="AU6">
        <f>$AT6*$W$1</f>
        <v>0</v>
      </c>
      <c r="AV6" s="2430">
        <v>8000</v>
      </c>
      <c r="AW6">
        <f>MAX($AU6,$AV6)</f>
        <v>8000</v>
      </c>
      <c r="AX6">
        <f>MAX($AT6,$AV6)</f>
        <v>8000</v>
      </c>
      <c r="AY6">
        <f>$Y6</f>
        <v>0</v>
      </c>
      <c r="AZ6">
        <f>$W6</f>
        <v>0</v>
      </c>
      <c r="BA6" s="2807">
        <f>ROUND($BF6/12,0)*12</f>
        <v>10404</v>
      </c>
      <c r="BB6" s="2807">
        <f>ROUND($BE6/12,0)*12</f>
        <v>10404</v>
      </c>
      <c r="BC6">
        <f>$BA6*$AY6</f>
        <v>0</v>
      </c>
      <c r="BD6">
        <f>$BB6*$AZ6</f>
        <v>0</v>
      </c>
      <c r="BE6" s="2807">
        <f>IF($AW6&lt;=$AF$1,$AW6*$AE$1,$AW6+$AG$1)</f>
        <v>10400</v>
      </c>
      <c r="BF6" s="2807">
        <f>IF($AX6&lt;=$AF$1,$AX6*$AE$1,$AX6+$AG$1)</f>
        <v>10400</v>
      </c>
      <c r="BH6" s="3010" t="s">
        <v>5140</v>
      </c>
      <c r="BI6" s="3011" t="s">
        <v>5134</v>
      </c>
      <c r="BJ6" s="3012">
        <f>$BI$2*$BK$7*$AZ$1</f>
        <v>37200</v>
      </c>
      <c r="BK6" s="3015">
        <f>IF(BK9&lt;=AF1,BK9*AE1,BK9+AG1)</f>
        <v>48360</v>
      </c>
      <c r="BL6" s="3013">
        <f>ROUND($BK$6/12,0)*12</f>
        <v>48360</v>
      </c>
      <c r="BM6" s="3014">
        <f>$BL$6*$BK$8</f>
        <v>0</v>
      </c>
      <c r="BP6" s="3010" t="s">
        <v>5139</v>
      </c>
      <c r="BQ6" s="3011" t="s">
        <v>5134</v>
      </c>
      <c r="BR6" s="3012">
        <f>$BI$5*$M$4*(100%-$P$5)*KÉRDÉSEK!D151*$BS$7</f>
        <v>0</v>
      </c>
      <c r="BS6" s="3015">
        <f>IF(BR10&lt;=AF1,BR10*AE1,BR10+AG1)</f>
        <v>48100</v>
      </c>
      <c r="BT6" s="3013">
        <f>ROUND($BS$6/12,0)*12</f>
        <v>48096</v>
      </c>
      <c r="BU6" s="3014">
        <f>$BT$6*$BS$8</f>
        <v>0</v>
      </c>
      <c r="BW6" s="2082" t="s">
        <v>1184</v>
      </c>
      <c r="BX6" s="2086">
        <f>MAX($BJ$5,$BV$5)</f>
        <v>104000</v>
      </c>
    </row>
    <row r="7" spans="1:83" ht="57.75" customHeight="1" thickTop="1" thickBot="1">
      <c r="A7" s="524"/>
      <c r="D7">
        <v>1014</v>
      </c>
      <c r="F7">
        <v>1</v>
      </c>
      <c r="G7" s="1309"/>
      <c r="H7" s="2806"/>
      <c r="I7" s="2799">
        <v>4</v>
      </c>
      <c r="J7" s="2804">
        <v>1.8</v>
      </c>
      <c r="K7" s="2804">
        <v>1.8</v>
      </c>
      <c r="L7" s="1255" t="s">
        <v>868</v>
      </c>
      <c r="M7" s="1256">
        <v>1</v>
      </c>
      <c r="R7" s="1284"/>
      <c r="S7" s="1283"/>
      <c r="T7" s="1283"/>
      <c r="U7" s="2435"/>
      <c r="V7" s="1295"/>
      <c r="W7" s="1295"/>
      <c r="X7" s="1297"/>
      <c r="Y7" s="1299"/>
      <c r="Z7" s="1301"/>
      <c r="AA7" s="2998"/>
      <c r="AB7" s="1301"/>
      <c r="AC7" s="3000"/>
      <c r="AD7" s="1558"/>
      <c r="AE7" s="1558"/>
      <c r="AF7" s="2844"/>
      <c r="AG7" s="2844"/>
      <c r="AH7" s="2844"/>
      <c r="AI7" s="2844"/>
      <c r="AJ7" s="2844"/>
      <c r="AK7" s="2844"/>
      <c r="AL7" s="3059" t="s">
        <v>5325</v>
      </c>
      <c r="AM7" s="2844"/>
      <c r="AN7" s="2844"/>
      <c r="AO7" s="2844"/>
      <c r="AQ7" s="1706"/>
      <c r="AR7" s="1709"/>
      <c r="AS7" s="1708"/>
      <c r="AT7" s="3220"/>
      <c r="AU7" s="565"/>
      <c r="AV7" s="2436"/>
      <c r="AW7" s="565"/>
      <c r="AX7" s="565"/>
      <c r="AY7" s="565"/>
      <c r="AZ7" s="565"/>
      <c r="BA7" s="3001"/>
      <c r="BB7" s="3001"/>
      <c r="BC7" s="565"/>
      <c r="BD7" s="565"/>
      <c r="BE7" s="3001"/>
      <c r="BF7" s="3001"/>
      <c r="BH7" s="2616"/>
      <c r="BI7" s="3259" t="s">
        <v>5410</v>
      </c>
      <c r="BJ7" s="2617"/>
      <c r="BK7" s="2621">
        <v>1.55</v>
      </c>
      <c r="BL7" s="2624" t="s">
        <v>5138</v>
      </c>
      <c r="BM7" s="2625">
        <f>BM6+BU2</f>
        <v>0</v>
      </c>
      <c r="BP7" s="2616"/>
      <c r="BQ7" s="3259" t="s">
        <v>5410</v>
      </c>
      <c r="BR7" s="2617"/>
      <c r="BS7" s="2621">
        <v>1.55</v>
      </c>
      <c r="BT7" s="2624" t="s">
        <v>5138</v>
      </c>
      <c r="BU7" s="2625">
        <f>$BU$5+$BU$6</f>
        <v>0</v>
      </c>
    </row>
    <row r="8" spans="1:83" ht="17.25" thickTop="1" thickBot="1">
      <c r="A8" s="524"/>
      <c r="C8" s="512"/>
      <c r="D8">
        <v>1015</v>
      </c>
      <c r="F8">
        <v>1</v>
      </c>
      <c r="G8" s="1309"/>
      <c r="H8" s="2806"/>
      <c r="I8" s="2799">
        <v>5</v>
      </c>
      <c r="J8" s="2804">
        <v>1.65</v>
      </c>
      <c r="K8" s="2804">
        <v>1.65</v>
      </c>
      <c r="L8" s="1255" t="s">
        <v>869</v>
      </c>
      <c r="M8" s="1256">
        <v>2</v>
      </c>
      <c r="R8" s="1284"/>
      <c r="S8" s="1283"/>
      <c r="T8" s="1283"/>
      <c r="U8" s="2435"/>
      <c r="V8" s="1295"/>
      <c r="W8" s="1295"/>
      <c r="X8" s="1297"/>
      <c r="Y8" s="1299"/>
      <c r="Z8" s="1301"/>
      <c r="AA8" s="2998"/>
      <c r="AB8" s="1301"/>
      <c r="AC8" s="3000"/>
      <c r="AD8" s="1558"/>
      <c r="AE8" s="1558"/>
      <c r="AF8" s="2844"/>
      <c r="AG8" s="2844"/>
      <c r="AH8" s="2844"/>
      <c r="AI8" s="2844"/>
      <c r="AJ8" s="2844"/>
      <c r="AK8" s="2844"/>
      <c r="AL8" s="2999" t="s">
        <v>5326</v>
      </c>
      <c r="AM8" s="2999"/>
      <c r="AN8" s="2999"/>
      <c r="AO8" s="2999"/>
      <c r="AQ8" s="1706"/>
      <c r="AR8" s="1709"/>
      <c r="AS8" s="1708"/>
      <c r="AT8" s="3220"/>
      <c r="AU8" s="565"/>
      <c r="AV8" s="2436"/>
      <c r="AW8" s="565"/>
      <c r="AX8" s="565"/>
      <c r="AY8" s="565"/>
      <c r="AZ8" s="565"/>
      <c r="BA8" s="3001"/>
      <c r="BB8" s="3001"/>
      <c r="BC8" s="565"/>
      <c r="BD8" s="565"/>
      <c r="BE8" s="3001"/>
      <c r="BF8" s="3001"/>
      <c r="BH8" s="2618"/>
      <c r="BI8" s="2619" t="s">
        <v>5136</v>
      </c>
      <c r="BJ8" s="2620"/>
      <c r="BK8" s="2620">
        <f>NDK!$Q$36</f>
        <v>0</v>
      </c>
      <c r="BL8" s="2626" t="s">
        <v>5141</v>
      </c>
      <c r="BM8" s="2623"/>
      <c r="BP8" s="2618"/>
      <c r="BQ8" s="2619" t="s">
        <v>5136</v>
      </c>
      <c r="BR8" s="2620"/>
      <c r="BS8" s="2620">
        <f>NDK!$Q$36</f>
        <v>0</v>
      </c>
      <c r="BT8" s="2622"/>
      <c r="BU8" s="2623"/>
    </row>
    <row r="9" spans="1:83" ht="47.25" thickTop="1" thickBot="1">
      <c r="A9" s="524"/>
      <c r="D9">
        <v>1016</v>
      </c>
      <c r="F9">
        <v>1</v>
      </c>
      <c r="G9" s="110" t="s">
        <v>1492</v>
      </c>
      <c r="H9" s="2806">
        <v>39828</v>
      </c>
      <c r="I9" s="2799">
        <v>6</v>
      </c>
      <c r="J9" s="2804">
        <v>1.5</v>
      </c>
      <c r="K9" s="2804">
        <v>1.5</v>
      </c>
      <c r="L9" s="1257"/>
      <c r="M9" s="1258"/>
      <c r="R9" s="1285" t="s">
        <v>1492</v>
      </c>
      <c r="S9" s="1282">
        <f>$H9</f>
        <v>39828</v>
      </c>
      <c r="T9" s="1283">
        <f>$J$14</f>
        <v>2.0499999999999998</v>
      </c>
      <c r="U9" s="2435">
        <v>8000</v>
      </c>
      <c r="V9" s="1295">
        <f>NDK!$B10</f>
        <v>0</v>
      </c>
      <c r="W9" s="1295">
        <f>NDK!$L10</f>
        <v>0</v>
      </c>
      <c r="X9" s="1297"/>
      <c r="Y9" s="1299">
        <f>$V9-$W9</f>
        <v>0</v>
      </c>
      <c r="Z9" s="1301">
        <f>$S9*$T9*$W$1*$M$4*(100%-$P$6)*KÉRDÉSEK!$D$151</f>
        <v>0</v>
      </c>
      <c r="AA9" s="2998">
        <f>ROUND($AF9/12,0)*12*$W9</f>
        <v>0</v>
      </c>
      <c r="AB9" s="3219">
        <f>$S9*$T9*$M$4*(100%-$P$6)*KÉRDÉSEK!$D$151*$Y$1</f>
        <v>0</v>
      </c>
      <c r="AC9" s="3000">
        <f>ROUND($AG9/12,0)*12*$Y9</f>
        <v>0</v>
      </c>
      <c r="AD9" s="1576">
        <f>MAX($Z9,$U9)</f>
        <v>8000</v>
      </c>
      <c r="AE9" s="1576">
        <f>MAX($AB9,$U9)</f>
        <v>8000</v>
      </c>
      <c r="AF9" s="2999">
        <f>IF($AD9&lt;=$AF$1,$AD9*$AE$1,$AD9+$AG$1)</f>
        <v>10400</v>
      </c>
      <c r="AG9" s="2999">
        <f>IF($AE9&lt;=$AF$1,$AE9*$AE$1,$AE9+$AG$1)</f>
        <v>10400</v>
      </c>
      <c r="AH9" s="2999"/>
      <c r="AI9" s="2999"/>
      <c r="AJ9" s="2999"/>
      <c r="AK9" s="2999"/>
      <c r="AL9" s="3055" t="s">
        <v>5319</v>
      </c>
      <c r="AM9" s="3047"/>
      <c r="AN9" s="3047"/>
      <c r="AO9" s="3047"/>
      <c r="AQ9" s="1285" t="s">
        <v>1492</v>
      </c>
      <c r="AR9" s="1701">
        <f>$S9</f>
        <v>39828</v>
      </c>
      <c r="AS9" s="234">
        <f>$T9</f>
        <v>2.0499999999999998</v>
      </c>
      <c r="AT9" s="3075">
        <f>$AR9*$AS9*$BD$1*$Y$1</f>
        <v>0</v>
      </c>
      <c r="AU9">
        <f>$AT9*$W$1</f>
        <v>0</v>
      </c>
      <c r="AV9" s="2430">
        <v>8000</v>
      </c>
      <c r="AW9">
        <f>MAX($AU9,$AV9)</f>
        <v>8000</v>
      </c>
      <c r="AX9">
        <f>MAX($AT9,$AV9)</f>
        <v>8000</v>
      </c>
      <c r="AY9">
        <f>$Y9</f>
        <v>0</v>
      </c>
      <c r="AZ9">
        <f>$W9</f>
        <v>0</v>
      </c>
      <c r="BA9" s="2807">
        <f>ROUND($BF9/12,0)*12</f>
        <v>10404</v>
      </c>
      <c r="BB9" s="2807">
        <f>ROUND($BE9/12,0)*12</f>
        <v>10404</v>
      </c>
      <c r="BC9">
        <f>$BA9*$AY9</f>
        <v>0</v>
      </c>
      <c r="BD9">
        <f>$BB9*$AZ9</f>
        <v>0</v>
      </c>
      <c r="BE9" s="2807">
        <f>IF($AW9&lt;=$AF$1,$AW9*$AE$1,$AW9+$AG$1)</f>
        <v>10400</v>
      </c>
      <c r="BF9" s="2807">
        <f>IF($AX9&lt;=$AF$1,$AX9*$AE$1,$AX9+$AG$1)</f>
        <v>10400</v>
      </c>
      <c r="BJ9" s="3016" t="s">
        <v>5300</v>
      </c>
      <c r="BK9" s="3012">
        <f>MAX($BJ$6,$BN$2)</f>
        <v>37200</v>
      </c>
      <c r="BO9" s="2070" t="s">
        <v>1181</v>
      </c>
      <c r="BP9" s="2073">
        <f>MAX($BO$5,$BN$5)</f>
        <v>37000</v>
      </c>
      <c r="BR9" s="2076" t="s">
        <v>1183</v>
      </c>
      <c r="BS9" s="2079">
        <f>MAX($BR$5,$BN$5)</f>
        <v>37000</v>
      </c>
    </row>
    <row r="10" spans="1:83" ht="48.75" customHeight="1" thickTop="1" thickBot="1">
      <c r="A10" s="524"/>
      <c r="D10">
        <v>1021</v>
      </c>
      <c r="F10">
        <v>1</v>
      </c>
      <c r="G10" s="1309"/>
      <c r="H10" s="2806"/>
      <c r="I10" s="2799">
        <v>7</v>
      </c>
      <c r="J10" s="2804">
        <v>1.4</v>
      </c>
      <c r="K10" s="2804">
        <v>1.4</v>
      </c>
      <c r="R10" s="1284"/>
      <c r="S10" s="1283"/>
      <c r="T10" s="1283"/>
      <c r="U10" s="2435"/>
      <c r="V10" s="1295"/>
      <c r="W10" s="1295"/>
      <c r="X10" s="1297"/>
      <c r="Y10" s="1299"/>
      <c r="Z10" s="1301"/>
      <c r="AA10" s="2998"/>
      <c r="AB10" s="1301"/>
      <c r="AC10" s="3000"/>
      <c r="AD10" s="1558"/>
      <c r="AE10" s="1558"/>
      <c r="AF10" s="2844"/>
      <c r="AG10" s="2844"/>
      <c r="AH10" s="2844"/>
      <c r="AJ10" s="3052"/>
      <c r="AK10" s="3052"/>
      <c r="AL10" s="3056" t="s">
        <v>5322</v>
      </c>
      <c r="AM10" s="3049"/>
      <c r="AN10" s="3049"/>
      <c r="AO10" s="3050"/>
      <c r="AQ10" s="1706"/>
      <c r="AR10" s="1709"/>
      <c r="AS10" s="1708"/>
      <c r="AT10" s="3220"/>
      <c r="AU10" s="565"/>
      <c r="AV10" s="2436"/>
      <c r="AW10" s="565"/>
      <c r="AX10" s="565"/>
      <c r="AY10" s="565"/>
      <c r="AZ10" s="565"/>
      <c r="BA10" s="3001"/>
      <c r="BB10" s="3001"/>
      <c r="BC10" s="565"/>
      <c r="BD10" s="565"/>
      <c r="BE10" s="3001"/>
      <c r="BF10" s="3001"/>
      <c r="BQ10" s="3011" t="s">
        <v>5134</v>
      </c>
      <c r="BR10" s="3012">
        <f>MAX($BR$6,$BN$5)</f>
        <v>37000</v>
      </c>
    </row>
    <row r="11" spans="1:83" ht="28.5" customHeight="1" thickTop="1" thickBot="1">
      <c r="A11" s="524"/>
      <c r="D11">
        <v>1022</v>
      </c>
      <c r="F11">
        <v>1</v>
      </c>
      <c r="G11" s="1309"/>
      <c r="H11" s="2806"/>
      <c r="I11" s="2799">
        <v>8</v>
      </c>
      <c r="J11" s="2804">
        <v>1.2</v>
      </c>
      <c r="K11" s="2804">
        <v>1.2</v>
      </c>
      <c r="L11" s="1264" t="s">
        <v>872</v>
      </c>
      <c r="M11" s="1265">
        <f>NDK!$B$51</f>
        <v>7410</v>
      </c>
      <c r="N11" s="3197" t="s">
        <v>5383</v>
      </c>
      <c r="O11" s="1260"/>
      <c r="P11" s="1260"/>
      <c r="Q11" s="1260"/>
      <c r="R11" s="1284"/>
      <c r="S11" s="1283"/>
      <c r="T11" s="1283"/>
      <c r="U11" s="2435"/>
      <c r="V11" s="1295"/>
      <c r="W11" s="1295"/>
      <c r="X11" s="1297"/>
      <c r="Y11" s="1299"/>
      <c r="Z11" s="1301"/>
      <c r="AA11" s="2998"/>
      <c r="AB11" s="1301"/>
      <c r="AC11" s="3000"/>
      <c r="AD11" s="1558"/>
      <c r="AE11" s="1558"/>
      <c r="AF11" s="2844"/>
      <c r="AG11" s="2844"/>
      <c r="AH11" s="2844"/>
      <c r="AJ11" s="3051"/>
      <c r="AK11" s="3051"/>
      <c r="AL11" s="3043" t="s">
        <v>5321</v>
      </c>
      <c r="AM11" s="3044"/>
      <c r="AN11" s="3045">
        <f>NDK!$V43</f>
        <v>0</v>
      </c>
      <c r="AO11" s="3042" t="s">
        <v>673</v>
      </c>
      <c r="AQ11" s="1706"/>
      <c r="AR11" s="1709"/>
      <c r="AS11" s="1708"/>
      <c r="AT11" s="3220"/>
      <c r="AU11" s="565"/>
      <c r="AV11" s="2436"/>
      <c r="AW11" s="565"/>
      <c r="AX11" s="565"/>
      <c r="AY11" s="565"/>
      <c r="AZ11" s="565"/>
      <c r="BA11" s="3001"/>
      <c r="BB11" s="3001"/>
      <c r="BC11" s="565"/>
      <c r="BD11" s="565"/>
      <c r="BE11" s="3001"/>
      <c r="BF11" s="3001"/>
    </row>
    <row r="12" spans="1:83" ht="21.75" customHeight="1" thickTop="1">
      <c r="A12" s="524"/>
      <c r="D12">
        <v>1023</v>
      </c>
      <c r="F12">
        <v>1</v>
      </c>
      <c r="G12" s="114" t="s">
        <v>2453</v>
      </c>
      <c r="H12" s="2806">
        <v>42384</v>
      </c>
      <c r="I12" s="2800">
        <v>9</v>
      </c>
      <c r="J12" s="2802">
        <v>1</v>
      </c>
      <c r="K12" s="2802">
        <v>1</v>
      </c>
      <c r="L12" s="1255" t="s">
        <v>4798</v>
      </c>
      <c r="M12" s="296"/>
      <c r="N12" s="296" t="b">
        <f>OR(AND(NDK!$B$51&gt;=100,NDK!$B$51&lt;=399),AND(NDK!$B$51&gt;=3500,NDK!$B$51&lt;=3999),AND(NDK!$B$51&gt;=8400,NDK!$B$51&lt;=8599),AND(NDK!$B$51&gt;=9400,NDK!$B$51&lt;=9499))</f>
        <v>0</v>
      </c>
      <c r="O12" s="296"/>
      <c r="P12" s="296"/>
      <c r="Q12" s="1279">
        <v>0.5</v>
      </c>
      <c r="R12" s="1286" t="s">
        <v>2453</v>
      </c>
      <c r="S12" s="1282">
        <f>$H12</f>
        <v>42384</v>
      </c>
      <c r="T12" s="1283">
        <f>$K$14</f>
        <v>2.0499999999999998</v>
      </c>
      <c r="U12" s="2435">
        <v>8000</v>
      </c>
      <c r="V12" s="1295">
        <f>NDK!$B13</f>
        <v>0</v>
      </c>
      <c r="W12" s="1295">
        <f>NDK!$L13</f>
        <v>0</v>
      </c>
      <c r="X12" s="1297"/>
      <c r="Y12" s="1299">
        <f>$V12-$W12</f>
        <v>0</v>
      </c>
      <c r="Z12" s="1301">
        <f>$S12*$T12*$W$1*$M$4*(100%-$P$6)*KÉRDÉSEK!$D$151</f>
        <v>0</v>
      </c>
      <c r="AA12" s="2998">
        <f>ROUND($AF12/12,0)*12*$W12</f>
        <v>0</v>
      </c>
      <c r="AB12" s="3219">
        <f>$S12*$T12*$M$4*(100%-$P$6)*KÉRDÉSEK!$D$151*$Y$1</f>
        <v>0</v>
      </c>
      <c r="AC12" s="3000">
        <f>ROUND($AG12/12,0)*12*$Y12</f>
        <v>0</v>
      </c>
      <c r="AD12" s="1576">
        <f>MAX($Z12,$U12)</f>
        <v>8000</v>
      </c>
      <c r="AE12" s="1576">
        <f>MAX($AB12,$U12)</f>
        <v>8000</v>
      </c>
      <c r="AF12" s="2999">
        <f>IF($AD12&lt;=$AF$1,$AD12*$AE$1,$AD12+$AG$1)</f>
        <v>10400</v>
      </c>
      <c r="AG12" s="2999">
        <f>IF($AE12&lt;=$AF$1,$AE12*$AE$1,$AE12+$AG$1)</f>
        <v>10400</v>
      </c>
      <c r="AH12" s="2999"/>
      <c r="AJ12" s="3053"/>
      <c r="AK12" s="3053"/>
      <c r="AL12" s="3043" t="s">
        <v>2456</v>
      </c>
      <c r="AM12" s="3044"/>
      <c r="AN12" s="3045">
        <f>NDK!$V44</f>
        <v>0</v>
      </c>
      <c r="AO12" s="3042" t="s">
        <v>673</v>
      </c>
      <c r="AQ12" s="1286" t="s">
        <v>2453</v>
      </c>
      <c r="AR12" s="1701">
        <f>$S12</f>
        <v>42384</v>
      </c>
      <c r="AS12" s="234">
        <f>$T12</f>
        <v>2.0499999999999998</v>
      </c>
      <c r="AT12" s="3075">
        <f>$AR12*$AS12*$BD$1*$Y$1</f>
        <v>0</v>
      </c>
      <c r="AU12">
        <f>$AT12*$W$1</f>
        <v>0</v>
      </c>
      <c r="AV12" s="2430">
        <v>8000</v>
      </c>
      <c r="AW12">
        <f>MAX($AU12,$AV12)</f>
        <v>8000</v>
      </c>
      <c r="AX12">
        <f>MAX($AT12,$AV12)</f>
        <v>8000</v>
      </c>
      <c r="AY12">
        <f>$Y12</f>
        <v>0</v>
      </c>
      <c r="AZ12">
        <f>$W12</f>
        <v>0</v>
      </c>
      <c r="BA12" s="2807">
        <f>ROUND($BF12/12,0)*12</f>
        <v>10404</v>
      </c>
      <c r="BB12" s="2807">
        <f>ROUND($BE12/12,0)*12</f>
        <v>10404</v>
      </c>
      <c r="BC12">
        <f>$BA12*$AY12</f>
        <v>0</v>
      </c>
      <c r="BD12">
        <f>$BB12*$AZ12</f>
        <v>0</v>
      </c>
      <c r="BE12" s="2807">
        <f>IF($AW12&lt;=$AF$1,$AW12*$AE$1,$AW12+$AG$1)</f>
        <v>10400</v>
      </c>
      <c r="BF12" s="2807">
        <f>IF($AX12&lt;=$AF$1,$AX12*$AE$1,$AX12+$AG$1)</f>
        <v>10400</v>
      </c>
    </row>
    <row r="13" spans="1:83" ht="16.5" thickBot="1">
      <c r="A13" s="524"/>
      <c r="D13">
        <v>1024</v>
      </c>
      <c r="F13">
        <v>1</v>
      </c>
      <c r="G13" s="1309"/>
      <c r="H13" s="2806"/>
      <c r="I13" s="2801">
        <v>10</v>
      </c>
      <c r="J13" s="2803">
        <v>0.95</v>
      </c>
      <c r="K13" s="2803">
        <v>0.95</v>
      </c>
      <c r="L13" s="1255" t="s">
        <v>4799</v>
      </c>
      <c r="M13" s="296"/>
      <c r="N13" s="296" t="b">
        <f>OR($O$13,$P$13)</f>
        <v>0</v>
      </c>
      <c r="O13" s="1261" t="b">
        <f>OR(AND(NDK!$B$51&gt;=500,NDK!$B$51&lt;=1099),AND(NDK!$B$51&gt;=1300,NDK!$B$51&lt;=1799),AND(NDK!$B$51&gt;=1900,NDK!$B$51&lt;=2599),AND(NDK!$B$51&gt;=2800,NDK!$B$51&lt;=2899),AND(NDK!$B$51&gt;=3300,NDK!$B$51&lt;=3399),AND(NDK!$B$51&gt;=4100,NDK!$B$51&lt;=4299),AND(NDK!$B$51&gt;=4700,NDK!$B$51&lt;=4799),AND(NDK!$B$51&gt;=5000,NDK!$B$51&lt;=5199),AND(NDK!$B$51&gt;=5800,NDK!$B$51&lt;=5899),AND(NDK!$B$51&gt;=6100,NDK!$B$51&lt;=6199))</f>
        <v>0</v>
      </c>
      <c r="P13" s="1262" t="b">
        <f>OR(AND(NDK!$B$51&gt;=7100,NDK!$B$51&lt;=7199),AND(NDK!$B$51&gt;=7700,NDK!$B$51&lt;=7799),AND(NDK!$B$51&gt;=8100,NDK!$B$51&lt;=8199),AND(NDK!$B$51&gt;=9500,NDK!$B$51&lt;=9999))</f>
        <v>0</v>
      </c>
      <c r="Q13" s="1279">
        <v>0.25</v>
      </c>
      <c r="R13" s="1284"/>
      <c r="S13" s="1283"/>
      <c r="T13" s="1283"/>
      <c r="U13" s="2435"/>
      <c r="V13" s="1295"/>
      <c r="W13" s="1295"/>
      <c r="X13" s="1297"/>
      <c r="Y13" s="1299"/>
      <c r="Z13" s="1301"/>
      <c r="AA13" s="2998"/>
      <c r="AB13" s="1301"/>
      <c r="AC13" s="3000"/>
      <c r="AD13" s="1558"/>
      <c r="AE13" s="1558"/>
      <c r="AF13" s="2844"/>
      <c r="AG13" s="2844"/>
      <c r="AH13" s="2844"/>
      <c r="AJ13" s="3053"/>
      <c r="AK13" s="3053"/>
      <c r="AL13" s="3043" t="s">
        <v>4134</v>
      </c>
      <c r="AM13" s="3044"/>
      <c r="AN13" s="3045">
        <f>NDK!$V45</f>
        <v>0</v>
      </c>
      <c r="AO13" s="3042" t="s">
        <v>673</v>
      </c>
      <c r="AQ13" s="1706"/>
      <c r="AR13" s="1709"/>
      <c r="AS13" s="1708"/>
      <c r="AT13" s="3220"/>
      <c r="AU13" s="565"/>
      <c r="AV13" s="2436"/>
      <c r="AW13" s="565"/>
      <c r="AX13" s="565"/>
      <c r="AY13" s="565"/>
      <c r="AZ13" s="565"/>
      <c r="BA13" s="3001"/>
      <c r="BB13" s="3001"/>
      <c r="BC13" s="565"/>
      <c r="BD13" s="565"/>
      <c r="BE13" s="3001"/>
      <c r="BF13" s="3001"/>
    </row>
    <row r="14" spans="1:83" ht="17.25" thickTop="1" thickBot="1">
      <c r="A14" s="524"/>
      <c r="D14">
        <v>1025</v>
      </c>
      <c r="F14">
        <v>1</v>
      </c>
      <c r="G14" s="1309"/>
      <c r="H14" s="2806"/>
      <c r="I14" s="1277" t="s">
        <v>1074</v>
      </c>
      <c r="J14" s="1270">
        <f>VLOOKUP(C3,I4:J13,2)</f>
        <v>2.0499999999999998</v>
      </c>
      <c r="K14" s="1278">
        <f>VLOOKUP(C3,I4:K13,3)</f>
        <v>2.0499999999999998</v>
      </c>
      <c r="L14" s="1255" t="s">
        <v>4800</v>
      </c>
      <c r="M14" s="296"/>
      <c r="N14" s="296" t="b">
        <f>OR($O$14,$P$14)</f>
        <v>1</v>
      </c>
      <c r="O14" s="1593" t="b">
        <f>OR(AND(NDK!$B$51&gt;=1100,NDK!$B$51&lt;=1299),AND(NDK!$B$51&gt;=1800,NDK!$B$51&lt;=1899),AND(NDK!$B$51&gt;=2600,NDK!$B$51&lt;=2799),AND(NDK!$B$51&gt;=2900,NDK!$B$51&lt;=3299),AND(NDK!$B$51&gt;=4300,NDK!$B$51&lt;=4399),AND(NDK!$B$51&gt;=5300,NDK!$B$51&lt;=5399),AND(NDK!$B$51&gt;=5500,NDK!$B$51&lt;=5699))</f>
        <v>0</v>
      </c>
      <c r="P14" s="1263" t="b">
        <f>OR(AND(NDK!$B$51&gt;=5900,NDK!$B$51&lt;=6099),AND(NDK!$B$51&gt;=6200,NDK!$B$51&lt;=6399),AND(NDK!$B$51&gt;=6800,NDK!$B$51&lt;=7099),AND(NDK!$B$51&gt;=7200,NDK!$B$51&lt;=7599),AND(NDK!$B$51&gt;=7800,NDK!$B$51&lt;=8099),AND(NDK!$B$51&gt;=8200,NDK!$B$51&lt;=8299),AND(NDK!$B$51&gt;=8600,NDK!$B$51&lt;=8899),AND(NDK!$B$51&gt;=9000,NDK!$B$51&lt;=9399))</f>
        <v>1</v>
      </c>
      <c r="Q14" s="1279">
        <v>0.05</v>
      </c>
      <c r="R14" s="1284"/>
      <c r="S14" s="1283"/>
      <c r="T14" s="1283"/>
      <c r="U14" s="2435"/>
      <c r="V14" s="1295"/>
      <c r="W14" s="1295"/>
      <c r="X14" s="1297"/>
      <c r="Y14" s="1299"/>
      <c r="Z14" s="1301"/>
      <c r="AA14" s="2998"/>
      <c r="AB14" s="1301"/>
      <c r="AC14" s="3000"/>
      <c r="AD14" s="1558"/>
      <c r="AE14" s="1558"/>
      <c r="AF14" s="2844"/>
      <c r="AG14" s="2844"/>
      <c r="AH14" s="2844"/>
      <c r="AJ14" s="3053"/>
      <c r="AK14" s="3053"/>
      <c r="AL14" s="3043" t="s">
        <v>1494</v>
      </c>
      <c r="AM14" s="3044"/>
      <c r="AN14" s="3045">
        <f>NDK!$V46</f>
        <v>0</v>
      </c>
      <c r="AO14" s="3042" t="s">
        <v>673</v>
      </c>
      <c r="AQ14" s="1706"/>
      <c r="AR14" s="1709"/>
      <c r="AS14" s="1708"/>
      <c r="AT14" s="3220"/>
      <c r="AU14" s="565"/>
      <c r="AV14" s="2436"/>
      <c r="AW14" s="565"/>
      <c r="AX14" s="565"/>
      <c r="AY14" s="565"/>
      <c r="AZ14" s="565"/>
      <c r="BA14" s="3001"/>
      <c r="BB14" s="3001"/>
      <c r="BC14" s="565"/>
      <c r="BD14" s="565"/>
      <c r="BE14" s="3001"/>
      <c r="BF14" s="3001"/>
    </row>
    <row r="15" spans="1:83" ht="17.25" thickTop="1" thickBot="1">
      <c r="D15">
        <v>1026</v>
      </c>
      <c r="F15">
        <v>1</v>
      </c>
      <c r="G15" s="114" t="s">
        <v>2454</v>
      </c>
      <c r="H15" s="2806">
        <v>43200</v>
      </c>
      <c r="L15" s="1255" t="s">
        <v>4801</v>
      </c>
      <c r="M15" s="296"/>
      <c r="N15" s="296"/>
      <c r="O15" s="296"/>
      <c r="P15" s="296"/>
      <c r="Q15" s="1279">
        <v>0</v>
      </c>
      <c r="R15" s="1286" t="s">
        <v>2454</v>
      </c>
      <c r="S15" s="1282">
        <f>$H15</f>
        <v>43200</v>
      </c>
      <c r="T15" s="1283">
        <f>$K$14</f>
        <v>2.0499999999999998</v>
      </c>
      <c r="U15" s="2435">
        <v>8000</v>
      </c>
      <c r="V15" s="1295">
        <f>NDK!$B16</f>
        <v>0</v>
      </c>
      <c r="W15" s="1295">
        <f>NDK!$L16</f>
        <v>0</v>
      </c>
      <c r="X15" s="1297"/>
      <c r="Y15" s="1299">
        <f>$V15-$W15</f>
        <v>0</v>
      </c>
      <c r="Z15" s="1301">
        <f>$S15*$T15*$W$1*$M$4*(100%-$P$6)*KÉRDÉSEK!$D$151</f>
        <v>0</v>
      </c>
      <c r="AA15" s="2998">
        <f>ROUND($AF15/12,0)*12*$W15</f>
        <v>0</v>
      </c>
      <c r="AB15" s="3219">
        <f>$S15*$T15*$M$4*(100%-$P$6)*KÉRDÉSEK!$D$151*$Y$1</f>
        <v>0</v>
      </c>
      <c r="AC15" s="3000">
        <f>ROUND($AG15/12,0)*12*$Y15</f>
        <v>0</v>
      </c>
      <c r="AD15" s="1576">
        <f>MAX($Z15,$U15)</f>
        <v>8000</v>
      </c>
      <c r="AE15" s="1576">
        <f>MAX($AB15,$U15)</f>
        <v>8000</v>
      </c>
      <c r="AF15" s="2999">
        <f>IF($AD15&lt;=$AF$1,$AD15*$AE$1,$AD15+$AG$1)</f>
        <v>10400</v>
      </c>
      <c r="AG15" s="2999">
        <f>IF($AE15&lt;=$AF$1,$AE15*$AE$1,$AE15+$AG$1)</f>
        <v>10400</v>
      </c>
      <c r="AH15" s="2999"/>
      <c r="AJ15" s="3053"/>
      <c r="AK15" s="3053"/>
      <c r="AL15" s="3043" t="s">
        <v>3072</v>
      </c>
      <c r="AM15" s="3044"/>
      <c r="AN15" s="3045">
        <f>NDK!$V47</f>
        <v>0</v>
      </c>
      <c r="AO15" s="3042" t="s">
        <v>673</v>
      </c>
      <c r="AQ15" s="1286" t="s">
        <v>2454</v>
      </c>
      <c r="AR15" s="1701">
        <f>$S15</f>
        <v>43200</v>
      </c>
      <c r="AS15" s="234">
        <f>$T15</f>
        <v>2.0499999999999998</v>
      </c>
      <c r="AT15" s="3075">
        <f>$AR15*$AS15*$BD$1*$Y$1</f>
        <v>0</v>
      </c>
      <c r="AU15">
        <f>$AT15*$W$1</f>
        <v>0</v>
      </c>
      <c r="AV15" s="2430">
        <v>8000</v>
      </c>
      <c r="AW15">
        <f>MAX($AU15,$AV15)</f>
        <v>8000</v>
      </c>
      <c r="AX15">
        <f>MAX($AT15,$AV15)</f>
        <v>8000</v>
      </c>
      <c r="AY15">
        <f>$Y15</f>
        <v>0</v>
      </c>
      <c r="AZ15">
        <f>$W15</f>
        <v>0</v>
      </c>
      <c r="BA15" s="2807">
        <f>ROUND($BF15/12,0)*12</f>
        <v>10404</v>
      </c>
      <c r="BB15" s="2807">
        <f>ROUND($BE15/12,0)*12</f>
        <v>10404</v>
      </c>
      <c r="BC15">
        <f>$BA15*$AY15</f>
        <v>0</v>
      </c>
      <c r="BD15">
        <f>$BB15*$AZ15</f>
        <v>0</v>
      </c>
      <c r="BE15" s="2807">
        <f>IF($AW15&lt;=$AF$1,$AW15*$AE$1,$AW15+$AG$1)</f>
        <v>10400</v>
      </c>
      <c r="BF15" s="2807">
        <f>IF($AX15&lt;=$AF$1,$AX15*$AE$1,$AX15+$AG$1)</f>
        <v>10400</v>
      </c>
      <c r="BL15" s="1838"/>
    </row>
    <row r="16" spans="1:83" ht="17.25" thickTop="1" thickBot="1">
      <c r="D16">
        <v>1027</v>
      </c>
      <c r="F16">
        <v>1</v>
      </c>
      <c r="G16" s="1288" t="s">
        <v>150</v>
      </c>
      <c r="L16" s="1266" t="s">
        <v>4802</v>
      </c>
      <c r="M16" s="1267"/>
      <c r="N16" s="3196">
        <v>0</v>
      </c>
      <c r="O16" s="296"/>
      <c r="P16" s="738"/>
      <c r="Q16" s="296"/>
      <c r="R16" s="1304" t="s">
        <v>1076</v>
      </c>
      <c r="S16" s="2007">
        <f>$AA$16+$AC$16</f>
        <v>0</v>
      </c>
      <c r="T16" s="1287"/>
      <c r="U16" s="1561"/>
      <c r="V16" s="1296"/>
      <c r="W16" s="1296"/>
      <c r="X16" s="1298"/>
      <c r="Y16" s="1300"/>
      <c r="Z16" s="1302"/>
      <c r="AA16" s="1995">
        <f>SUM($AA$3:$AA$15)</f>
        <v>0</v>
      </c>
      <c r="AB16" s="1302"/>
      <c r="AC16" s="1994">
        <f>SUM($AC$3:$AC$15)</f>
        <v>0</v>
      </c>
      <c r="AD16" s="1558"/>
      <c r="AE16" s="1558"/>
      <c r="AF16" s="1558"/>
      <c r="AG16" s="1558"/>
      <c r="AH16" s="1558"/>
      <c r="AJ16" s="3053"/>
      <c r="AK16" s="3053"/>
      <c r="AL16" s="3043" t="s">
        <v>3071</v>
      </c>
      <c r="AM16" s="3044"/>
      <c r="AN16" s="3045">
        <f>NDK!$V48</f>
        <v>0</v>
      </c>
      <c r="AO16" s="3042" t="s">
        <v>673</v>
      </c>
      <c r="AQ16" s="1712"/>
      <c r="AR16" s="1708"/>
      <c r="AS16" s="1708"/>
      <c r="AT16" s="565"/>
      <c r="AU16" s="565"/>
      <c r="AV16" s="565"/>
      <c r="AW16" s="565"/>
      <c r="AX16" s="565"/>
      <c r="AY16" s="565"/>
      <c r="AZ16" s="565"/>
      <c r="BA16" s="565"/>
      <c r="BB16" s="565"/>
      <c r="BC16" s="565"/>
      <c r="BD16" s="565"/>
      <c r="BE16" s="565"/>
      <c r="BF16" s="565"/>
      <c r="BH16" s="2332"/>
    </row>
    <row r="17" spans="1:98" ht="17.25" thickTop="1" thickBot="1">
      <c r="A17" s="3020">
        <f>IF($H59&lt;=$L$58,$H59*$K$58,$H59+$M$58)</f>
        <v>32500</v>
      </c>
      <c r="B17" s="3020">
        <f>IF($I59&lt;=$L$58,$I59*$K$58,$I59+$M$58)</f>
        <v>32500</v>
      </c>
      <c r="C17" s="3020">
        <f>IF($J59&lt;=$L$58,$J59*$K$58,$J59+$M$58)</f>
        <v>32500</v>
      </c>
      <c r="D17">
        <v>1028</v>
      </c>
      <c r="F17">
        <v>1</v>
      </c>
      <c r="G17" s="1560" t="s">
        <v>2438</v>
      </c>
      <c r="H17" s="2022">
        <v>69996</v>
      </c>
      <c r="I17" s="1998">
        <v>25000</v>
      </c>
      <c r="J17" s="1838">
        <f>NDK!B18</f>
        <v>0</v>
      </c>
      <c r="K17" s="2869">
        <f>$AN$20</f>
        <v>0</v>
      </c>
      <c r="L17" s="1838">
        <f>NDK!M18</f>
        <v>0</v>
      </c>
      <c r="M17" s="1838">
        <f>J17-K17-L17</f>
        <v>0</v>
      </c>
      <c r="N17" s="2016">
        <f>$H17*$W$1*$M$4*(100%-$P$6)*KÉRDÉSEK!$D$151*$J$14</f>
        <v>0</v>
      </c>
      <c r="O17" s="2017">
        <f>ROUND($B17/12,0)*12*$K17</f>
        <v>0</v>
      </c>
      <c r="P17" s="3221">
        <f>$H17*$M$4*(100%-$P$6)*KÉRDÉSEK!$D$151*$Y$1*$J$14</f>
        <v>0</v>
      </c>
      <c r="Q17" s="2017">
        <f>ROUND($C17/12,0)*12*$M17</f>
        <v>0</v>
      </c>
      <c r="R17" s="2018">
        <f>$H17*$S$1*$M$4*(100%-$P$5)*KÉRDÉSEK!$D$151*$J$14</f>
        <v>0</v>
      </c>
      <c r="S17" s="2017">
        <f>ROUND($A17/12,0)*12*$L17</f>
        <v>0</v>
      </c>
      <c r="T17" s="1270"/>
      <c r="U17" s="1270"/>
      <c r="V17" s="1270"/>
      <c r="W17" s="1270"/>
      <c r="X17" s="1270"/>
      <c r="Y17" s="1270"/>
      <c r="Z17" s="1270"/>
      <c r="AB17" s="1303"/>
      <c r="AJ17" s="3053"/>
      <c r="AK17" s="3053"/>
      <c r="AL17" s="3041" t="s">
        <v>5327</v>
      </c>
      <c r="AM17" s="3048"/>
      <c r="AN17" s="3045">
        <f>NDK!V49</f>
        <v>0</v>
      </c>
      <c r="AO17" s="3042" t="s">
        <v>673</v>
      </c>
      <c r="AQ17" s="1717" t="s">
        <v>4525</v>
      </c>
      <c r="AR17" s="1718"/>
      <c r="AS17" s="1718"/>
      <c r="AT17" s="1719">
        <f>($BC$17+$BD$17)</f>
        <v>0</v>
      </c>
      <c r="BC17" s="1711">
        <f>SUM(BC3:BC16)</f>
        <v>0</v>
      </c>
      <c r="BD17" s="1711">
        <f>SUM(BD3:BD16)</f>
        <v>0</v>
      </c>
      <c r="BH17" s="3025" t="s">
        <v>5305</v>
      </c>
    </row>
    <row r="18" spans="1:98" ht="21.75" thickTop="1" thickBot="1">
      <c r="A18" s="3020"/>
      <c r="B18" s="3020"/>
      <c r="C18" s="3020"/>
      <c r="D18">
        <v>1029</v>
      </c>
      <c r="F18">
        <v>1</v>
      </c>
      <c r="G18" s="1996"/>
      <c r="H18" s="1997"/>
      <c r="I18" s="1559"/>
      <c r="O18" s="2000"/>
      <c r="Q18" s="2000"/>
      <c r="S18" s="2000"/>
      <c r="W18" s="2243" t="s">
        <v>5288</v>
      </c>
      <c r="AJ18" s="3054"/>
      <c r="AK18" s="3054"/>
      <c r="AL18" s="3041"/>
      <c r="AM18" s="3063"/>
      <c r="AO18" s="3042"/>
      <c r="AQ18" s="1720"/>
      <c r="AR18" s="1721"/>
      <c r="AS18" s="1721"/>
      <c r="AT18" s="1722"/>
      <c r="AU18" s="1722"/>
      <c r="AV18" s="1722"/>
      <c r="AW18" s="1723"/>
      <c r="AX18" s="1722"/>
      <c r="AY18" s="1722"/>
      <c r="AZ18" s="1722"/>
      <c r="BA18" s="1722"/>
      <c r="BB18" s="1722"/>
      <c r="BC18" s="1722"/>
      <c r="BD18" s="1722"/>
      <c r="BE18" s="1722"/>
      <c r="BF18" s="1724"/>
      <c r="BG18" s="1730"/>
      <c r="BH18" s="2576">
        <v>6419</v>
      </c>
      <c r="BJ18" s="1560" t="s">
        <v>2438</v>
      </c>
      <c r="BK18" s="1838">
        <v>69996</v>
      </c>
      <c r="BL18" s="1838">
        <f>IF($BK$58=$BJ$59,0,25000)</f>
        <v>25000</v>
      </c>
      <c r="BM18" s="3111">
        <f>$BK18*$J$14*$BD$1*$Y$1</f>
        <v>0</v>
      </c>
      <c r="BN18" s="2807">
        <f>MAX($BL18,$BM18)</f>
        <v>25000</v>
      </c>
      <c r="BO18" s="2869">
        <f>ROUND(IF($BN18&lt;=$AF$1,$BN18*$AE$1,$BN18+$AG$1)/12,0)*12</f>
        <v>32496</v>
      </c>
      <c r="BP18" s="1838">
        <f>$M17</f>
        <v>0</v>
      </c>
      <c r="BQ18" s="2024">
        <f>$BO18*$BP18</f>
        <v>0</v>
      </c>
      <c r="BR18" s="1838">
        <f>$BM18*$W$1</f>
        <v>0</v>
      </c>
      <c r="BS18" s="2869">
        <f>MAX($BR18,$BL18)</f>
        <v>25000</v>
      </c>
      <c r="BT18" s="2869">
        <f>ROUND(IF($BS18&lt;=$AF$1,$BS18*$AE$1,$BS18+$AG$1)/12,0)*12</f>
        <v>32496</v>
      </c>
      <c r="BU18" s="60">
        <f>$K17</f>
        <v>0</v>
      </c>
      <c r="BV18" s="2025">
        <f>$BT18*$BU18</f>
        <v>0</v>
      </c>
      <c r="BW18" s="1838">
        <f>$BM18*$S$1</f>
        <v>0</v>
      </c>
      <c r="BX18" s="2869">
        <f>MAX($BW18,$BL18)</f>
        <v>25000</v>
      </c>
      <c r="BY18" s="2869">
        <f>ROUND(IF($BX18&lt;=$AF$1,$BX18*$AE$1,$BX18+$AG$1)/12,0)*12</f>
        <v>32496</v>
      </c>
      <c r="BZ18" s="1842">
        <f>$L17</f>
        <v>0</v>
      </c>
      <c r="CA18" s="2026">
        <f>$BY18*$BZ18</f>
        <v>0</v>
      </c>
      <c r="CG18" s="1993"/>
      <c r="CH18" s="1584"/>
      <c r="CI18" s="1272"/>
      <c r="CJ18" s="1272"/>
      <c r="CK18" s="1272"/>
      <c r="CL18" s="1578"/>
      <c r="CM18" s="1272"/>
      <c r="CN18" s="1272"/>
      <c r="CO18" s="1564"/>
      <c r="CP18" s="1272"/>
      <c r="CQ18" s="1565"/>
      <c r="CR18" s="1562"/>
      <c r="CS18" s="1575"/>
      <c r="CT18" s="1575"/>
    </row>
    <row r="19" spans="1:98" ht="78" thickTop="1" thickBot="1">
      <c r="A19" s="2857" t="s">
        <v>5299</v>
      </c>
      <c r="B19" s="2857" t="s">
        <v>5302</v>
      </c>
      <c r="C19" s="2857" t="s">
        <v>5296</v>
      </c>
      <c r="D19">
        <v>1031</v>
      </c>
      <c r="F19">
        <v>2</v>
      </c>
      <c r="G19" s="2429" t="s">
        <v>5075</v>
      </c>
      <c r="H19" s="296"/>
      <c r="I19" s="2036" t="s">
        <v>1185</v>
      </c>
      <c r="J19" s="1585" t="s">
        <v>2125</v>
      </c>
      <c r="K19" s="3066" t="s">
        <v>5335</v>
      </c>
      <c r="L19" s="1294" t="s">
        <v>2127</v>
      </c>
      <c r="M19" s="2647" t="s">
        <v>2128</v>
      </c>
      <c r="N19" s="1294" t="s">
        <v>4513</v>
      </c>
      <c r="O19" s="2001" t="s">
        <v>2129</v>
      </c>
      <c r="P19" s="1585" t="s">
        <v>4514</v>
      </c>
      <c r="Q19" s="2001" t="s">
        <v>2130</v>
      </c>
      <c r="S19" s="2000"/>
      <c r="W19" s="2441" t="s">
        <v>5078</v>
      </c>
      <c r="X19" s="2442" t="s">
        <v>5079</v>
      </c>
      <c r="Y19" s="2442" t="s">
        <v>5080</v>
      </c>
      <c r="Z19" s="2251" t="s">
        <v>5081</v>
      </c>
      <c r="AA19" s="2244"/>
      <c r="AB19" s="2244"/>
      <c r="AC19" s="2244"/>
      <c r="AJ19" s="2807" t="s">
        <v>5330</v>
      </c>
      <c r="AK19" s="2807">
        <f>(W1-AN5)/W1</f>
        <v>8.0000000000000071E-2</v>
      </c>
      <c r="AL19" s="3069" t="s">
        <v>3546</v>
      </c>
      <c r="AM19" s="2941" t="s">
        <v>5331</v>
      </c>
      <c r="AN19" s="2941" t="s">
        <v>5334</v>
      </c>
      <c r="AQ19" s="1725"/>
      <c r="AR19" s="1726"/>
      <c r="AS19" s="744"/>
      <c r="AT19" s="744"/>
      <c r="AU19" s="744"/>
      <c r="AV19" s="744"/>
      <c r="AW19" s="744"/>
      <c r="AX19" s="744"/>
      <c r="AY19" s="744"/>
      <c r="AZ19" s="744"/>
      <c r="BA19" s="744"/>
      <c r="BB19" s="744"/>
      <c r="BC19" s="744"/>
      <c r="BD19" s="744"/>
      <c r="BE19" s="744"/>
      <c r="BF19" s="744"/>
      <c r="BG19" s="1731"/>
      <c r="BH19" s="2576">
        <v>6514</v>
      </c>
      <c r="BJ19" s="2023" t="s">
        <v>5142</v>
      </c>
      <c r="BK19" s="646" t="s">
        <v>3540</v>
      </c>
      <c r="BL19" s="2989" t="s">
        <v>5307</v>
      </c>
      <c r="BM19" s="646" t="s">
        <v>3541</v>
      </c>
      <c r="BN19" s="3027" t="s">
        <v>3542</v>
      </c>
      <c r="BO19" s="3029" t="s">
        <v>5311</v>
      </c>
      <c r="BP19" s="2578" t="s">
        <v>5149</v>
      </c>
      <c r="BQ19" s="1735" t="s">
        <v>3543</v>
      </c>
      <c r="BR19" s="646" t="s">
        <v>3545</v>
      </c>
      <c r="BS19" s="3027" t="s">
        <v>5310</v>
      </c>
      <c r="BT19" s="3029" t="s">
        <v>5312</v>
      </c>
      <c r="BU19" s="2990" t="s">
        <v>5338</v>
      </c>
      <c r="BV19" s="1739" t="s">
        <v>3547</v>
      </c>
      <c r="BW19" s="2990" t="s">
        <v>5313</v>
      </c>
      <c r="BX19" s="3027" t="s">
        <v>3549</v>
      </c>
      <c r="BY19" s="3027" t="s">
        <v>5314</v>
      </c>
      <c r="BZ19" s="646" t="s">
        <v>3552</v>
      </c>
      <c r="CA19" s="1748" t="s">
        <v>3551</v>
      </c>
      <c r="CG19" s="1566"/>
      <c r="CH19" s="1577"/>
      <c r="CI19" s="1571"/>
      <c r="CJ19" s="1572"/>
      <c r="CK19" s="1572"/>
      <c r="CL19" s="1579"/>
      <c r="CM19" s="1283"/>
      <c r="CN19" s="1567"/>
      <c r="CO19" s="1568"/>
      <c r="CP19" s="1567"/>
      <c r="CQ19" s="1569"/>
      <c r="CR19" s="1563"/>
      <c r="CS19" s="1576"/>
      <c r="CT19" s="1576"/>
    </row>
    <row r="20" spans="1:98" ht="16.5" thickTop="1">
      <c r="A20" s="3020">
        <f>IF($H62&lt;=$L$58,$H62*$K$58,$H62+$M$58)</f>
        <v>130000</v>
      </c>
      <c r="B20" s="3020">
        <f>IF($I62&lt;=$L$58,$I62*$K$58,$I62+$M$58)</f>
        <v>130000</v>
      </c>
      <c r="C20" s="3020">
        <f>IF($J62&lt;=$L$58,$J62*$K$58,$J62+$M$58)</f>
        <v>130000</v>
      </c>
      <c r="D20">
        <v>1032</v>
      </c>
      <c r="F20">
        <v>2</v>
      </c>
      <c r="G20" s="114" t="s">
        <v>2456</v>
      </c>
      <c r="H20" s="1910">
        <v>150000</v>
      </c>
      <c r="I20" s="2035">
        <v>100000</v>
      </c>
      <c r="J20">
        <f>NDK!$B21</f>
        <v>0</v>
      </c>
      <c r="K20" s="2807">
        <f>$AN$21</f>
        <v>0</v>
      </c>
      <c r="L20" s="2015">
        <f>NDK!M21</f>
        <v>0</v>
      </c>
      <c r="M20">
        <f>J20-K20-L20</f>
        <v>0</v>
      </c>
      <c r="N20" s="441">
        <f>$H20*$W$1*$M$4*KÉRDÉSEK!$D$151*O4</f>
        <v>0</v>
      </c>
      <c r="O20" s="2002">
        <f>ROUND($B20/12,0)*12*$K20</f>
        <v>0</v>
      </c>
      <c r="P20" s="441">
        <f>$H20*$M$4*KÉRDÉSEK!$D$151*O4</f>
        <v>0</v>
      </c>
      <c r="Q20" s="2002">
        <f>ROUND($C20/12,0)*12*$M20</f>
        <v>0</v>
      </c>
      <c r="R20" s="2019">
        <f>$H20*$S$1*$M$4*(100%-$P$5)*KÉRDÉSEK!$D$151</f>
        <v>0</v>
      </c>
      <c r="S20" s="2017">
        <f>ROUND($A20/12,0)*12*$L20</f>
        <v>0</v>
      </c>
      <c r="W20" s="2443">
        <v>3.2</v>
      </c>
      <c r="X20" s="2444">
        <v>2.8</v>
      </c>
      <c r="Y20" s="2444" t="str">
        <f>IF(KÉRDÉSEK!J151=KÉRDÉSEK!I144,Wáberer!W23,Wáberer!X23)</f>
        <v>NEM</v>
      </c>
      <c r="Z20" s="2445">
        <f>IF(Y20=W23,X20,W20)</f>
        <v>3.2</v>
      </c>
      <c r="AJ20" s="3040" t="s">
        <v>5321</v>
      </c>
      <c r="AK20" s="3064"/>
      <c r="AL20" s="2836">
        <f>NDK!L18</f>
        <v>0</v>
      </c>
      <c r="AM20" s="2836">
        <f>$AK$19*$AN11</f>
        <v>0</v>
      </c>
      <c r="AN20" s="2836">
        <f t="shared" ref="AN20:AN25" si="0">$AL20-$AM20</f>
        <v>0</v>
      </c>
      <c r="AQ20" s="1725"/>
      <c r="AR20" s="1726"/>
      <c r="AS20" s="744"/>
      <c r="AT20" s="744"/>
      <c r="AU20" s="744"/>
      <c r="AV20" s="744"/>
      <c r="AW20" s="744"/>
      <c r="AX20" s="744"/>
      <c r="AY20" s="744"/>
      <c r="AZ20" s="744"/>
      <c r="BA20" s="744"/>
      <c r="BB20" s="744"/>
      <c r="BC20" s="744"/>
      <c r="BD20" s="744"/>
      <c r="BE20" s="744"/>
      <c r="BF20" s="744"/>
      <c r="BG20" s="1731"/>
      <c r="BH20" s="2576">
        <v>6517</v>
      </c>
      <c r="BJ20" s="114" t="s">
        <v>2456</v>
      </c>
      <c r="BK20" s="1838">
        <v>150000</v>
      </c>
      <c r="BL20" s="2035">
        <f>IF($BK$58=$BJ$59,0,100000)</f>
        <v>100000</v>
      </c>
      <c r="BM20">
        <f>$BK20*$BD$1*O4</f>
        <v>0</v>
      </c>
      <c r="BN20" s="2807">
        <f>MAX($BL20,$BM20)</f>
        <v>100000</v>
      </c>
      <c r="BO20" s="2869">
        <f>ROUND(IF($BN20&lt;=$AF$1,$BN20*$AE$1,$BN20+$AG$1)/12,0)*12</f>
        <v>129996</v>
      </c>
      <c r="BP20">
        <f>$M20</f>
        <v>0</v>
      </c>
      <c r="BQ20" s="1736">
        <f>$BO20*$BP20</f>
        <v>0</v>
      </c>
      <c r="BR20">
        <f>$BM20*$W$1</f>
        <v>0</v>
      </c>
      <c r="BS20" s="2869">
        <f>MAX($BR20,$BL20)</f>
        <v>100000</v>
      </c>
      <c r="BT20" s="2869">
        <f>ROUND(IF($BS20&lt;=$AF$1,$BS20*$AE$1,$BS20+$AG$1)/12,0)*12</f>
        <v>129996</v>
      </c>
      <c r="BU20" s="2243">
        <f>$K20</f>
        <v>0</v>
      </c>
      <c r="BV20" s="1740">
        <f>$BT20*$BU20</f>
        <v>0</v>
      </c>
      <c r="BW20">
        <f>$BM20*$S$1</f>
        <v>0</v>
      </c>
      <c r="BX20" s="2869">
        <f>MAX($BW20,$BL20)</f>
        <v>100000</v>
      </c>
      <c r="BY20" s="2869">
        <f>ROUND(IF($BX20&lt;=$AF$1,$BX20*$AE$1,$BX20+$AG$1)/12,0)*12</f>
        <v>129996</v>
      </c>
      <c r="BZ20" s="1842">
        <f>$L20</f>
        <v>0</v>
      </c>
      <c r="CA20" s="2026">
        <f>$BY20*$BZ20</f>
        <v>0</v>
      </c>
      <c r="CB20" s="278" t="s">
        <v>2456</v>
      </c>
      <c r="CG20" s="1566"/>
      <c r="CH20" s="1592"/>
      <c r="CI20" s="1992"/>
      <c r="CJ20" s="1572"/>
      <c r="CK20" s="1572"/>
      <c r="CL20" s="1579"/>
      <c r="CM20" s="1283"/>
      <c r="CN20" s="1567"/>
      <c r="CO20" s="1568"/>
      <c r="CP20" s="1567"/>
      <c r="CQ20" s="1569"/>
      <c r="CR20" s="1305"/>
      <c r="CS20" s="1576"/>
      <c r="CT20" s="1576"/>
    </row>
    <row r="21" spans="1:98" ht="13.5" thickBot="1">
      <c r="A21" s="2999"/>
      <c r="B21" s="2999"/>
      <c r="C21" s="3020"/>
      <c r="D21">
        <v>1033</v>
      </c>
      <c r="F21">
        <v>2</v>
      </c>
      <c r="G21" s="1307"/>
      <c r="H21" s="565"/>
      <c r="I21" s="1587" t="s">
        <v>992</v>
      </c>
      <c r="J21" s="565"/>
      <c r="K21" s="565"/>
      <c r="L21" s="565"/>
      <c r="M21" s="565"/>
      <c r="N21" s="1313"/>
      <c r="O21" s="2003"/>
      <c r="P21" s="1313"/>
      <c r="Q21" s="2003"/>
      <c r="S21" s="2000"/>
      <c r="W21" s="2256"/>
      <c r="X21" s="2254"/>
      <c r="Y21" s="2254"/>
      <c r="Z21" s="2255"/>
      <c r="AJ21" s="3040" t="s">
        <v>2456</v>
      </c>
      <c r="AK21" s="3064"/>
      <c r="AL21" s="2836">
        <f>NDK!L21</f>
        <v>0</v>
      </c>
      <c r="AM21" s="2836">
        <f t="shared" ref="AM21:AM26" si="1">$AK$19*$AN12</f>
        <v>0</v>
      </c>
      <c r="AN21" s="2836">
        <f t="shared" si="0"/>
        <v>0</v>
      </c>
      <c r="AQ21" s="1727"/>
      <c r="AR21" s="744"/>
      <c r="AS21" s="744"/>
      <c r="AT21" s="744"/>
      <c r="AU21" s="744"/>
      <c r="AV21" s="744"/>
      <c r="AW21" s="744"/>
      <c r="AX21" s="744"/>
      <c r="AY21" s="744"/>
      <c r="AZ21" s="744"/>
      <c r="BA21" s="744"/>
      <c r="BB21" s="744"/>
      <c r="BC21" s="744"/>
      <c r="BD21" s="744"/>
      <c r="BE21" s="744"/>
      <c r="BF21" s="744"/>
      <c r="BG21" s="1731"/>
      <c r="BH21" s="2576">
        <v>6530</v>
      </c>
      <c r="BJ21" s="491"/>
      <c r="BK21" s="565"/>
      <c r="BL21" s="1587" t="s">
        <v>992</v>
      </c>
      <c r="BM21" s="565"/>
      <c r="BN21" s="3001"/>
      <c r="BO21" s="3001"/>
      <c r="BP21" s="565"/>
      <c r="BQ21" s="1737"/>
      <c r="BR21" s="565"/>
      <c r="BS21" s="3001"/>
      <c r="BT21" s="3001"/>
      <c r="BU21" s="565"/>
      <c r="BV21" s="1741"/>
      <c r="BW21" s="565"/>
      <c r="BX21" s="3001"/>
      <c r="BY21" s="3001"/>
      <c r="BZ21" s="565"/>
      <c r="CA21" s="1749"/>
      <c r="CB21" s="1743"/>
      <c r="CG21" s="1580"/>
      <c r="CH21" s="1581"/>
      <c r="CI21" s="1287"/>
      <c r="CJ21" s="1287"/>
      <c r="CK21" s="1570"/>
      <c r="CL21" s="1287"/>
      <c r="CM21" s="1287"/>
      <c r="CN21" s="1287"/>
      <c r="CO21" s="1582"/>
      <c r="CP21" s="1287"/>
      <c r="CQ21" s="1583"/>
    </row>
    <row r="22" spans="1:98" ht="52.5" thickTop="1" thickBot="1">
      <c r="A22" s="2996"/>
      <c r="B22" s="2996"/>
      <c r="C22" s="2999"/>
      <c r="D22">
        <v>1034</v>
      </c>
      <c r="F22">
        <v>2</v>
      </c>
      <c r="G22" s="1308"/>
      <c r="H22" s="565"/>
      <c r="I22" s="1587"/>
      <c r="J22" s="565"/>
      <c r="K22" s="565"/>
      <c r="L22" s="565"/>
      <c r="M22" s="565"/>
      <c r="N22" s="1313"/>
      <c r="O22" s="2003"/>
      <c r="P22" s="1313"/>
      <c r="Q22" s="2003"/>
      <c r="R22" s="2006" t="s">
        <v>4823</v>
      </c>
      <c r="S22" s="2008" t="s">
        <v>2131</v>
      </c>
      <c r="T22" s="3021" t="s">
        <v>5303</v>
      </c>
      <c r="U22" s="530"/>
      <c r="W22" s="2256"/>
      <c r="X22" s="2254"/>
      <c r="Y22" s="2254"/>
      <c r="Z22" s="2255"/>
      <c r="AJ22" s="3040" t="s">
        <v>4134</v>
      </c>
      <c r="AK22" s="3064"/>
      <c r="AL22" s="2836">
        <f>NDK!L24</f>
        <v>0</v>
      </c>
      <c r="AM22" s="2836">
        <f t="shared" si="1"/>
        <v>0</v>
      </c>
      <c r="AN22" s="2836">
        <f t="shared" si="0"/>
        <v>0</v>
      </c>
      <c r="AQ22" s="1728"/>
      <c r="AR22" s="751"/>
      <c r="AS22" s="751"/>
      <c r="AT22" s="751"/>
      <c r="AU22" s="751"/>
      <c r="AV22" s="751"/>
      <c r="AW22" s="751"/>
      <c r="AX22" s="751"/>
      <c r="AY22" s="751"/>
      <c r="AZ22" s="751"/>
      <c r="BA22" s="751"/>
      <c r="BB22" s="751"/>
      <c r="BC22" s="751"/>
      <c r="BD22" s="751"/>
      <c r="BE22" s="751"/>
      <c r="BF22" s="1729"/>
      <c r="BG22" s="3023"/>
      <c r="BH22" s="2576">
        <v>6531</v>
      </c>
      <c r="BJ22" s="492"/>
      <c r="BK22" s="565"/>
      <c r="BL22" s="1587"/>
      <c r="BM22" s="565"/>
      <c r="BN22" s="3001"/>
      <c r="BO22" s="3001"/>
      <c r="BP22" s="565"/>
      <c r="BQ22" s="1737"/>
      <c r="BR22" s="565"/>
      <c r="BS22" s="3001"/>
      <c r="BT22" s="3001"/>
      <c r="BU22" s="565"/>
      <c r="BV22" s="1741"/>
      <c r="BW22" s="565"/>
      <c r="BX22" s="3001"/>
      <c r="BY22" s="3001"/>
      <c r="BZ22" s="565"/>
      <c r="CA22" s="1749"/>
      <c r="CB22" s="1744"/>
    </row>
    <row r="23" spans="1:98" ht="14.25" thickTop="1" thickBot="1">
      <c r="A23" s="3020">
        <f>IF($H65&lt;=$L$58,$H65*$K$58,$H65+$M$58)</f>
        <v>180450</v>
      </c>
      <c r="B23" s="3020">
        <f>IF($I65&lt;=$L$58,$I65*$K$58,$I65+$M$58)</f>
        <v>180450</v>
      </c>
      <c r="C23" s="3020">
        <f>IF($J65&lt;=$L$58,$J65*$K$58,$J65+$M$58)</f>
        <v>180450</v>
      </c>
      <c r="D23">
        <v>1035</v>
      </c>
      <c r="F23">
        <v>2</v>
      </c>
      <c r="G23" s="106" t="s">
        <v>4134</v>
      </c>
      <c r="H23" s="1558">
        <v>250000</v>
      </c>
      <c r="I23" s="1586">
        <v>150000</v>
      </c>
      <c r="J23">
        <f>NDK!$B24</f>
        <v>0</v>
      </c>
      <c r="K23" s="2807">
        <f>$AN$22</f>
        <v>0</v>
      </c>
      <c r="L23">
        <f>NDK!$M24</f>
        <v>0</v>
      </c>
      <c r="M23">
        <f>$J23-$K23-$L23</f>
        <v>0</v>
      </c>
      <c r="N23" s="441">
        <f>$H23*$W$1*$M$4*KÉRDÉSEK!$D$151*O4</f>
        <v>0</v>
      </c>
      <c r="O23" s="2002">
        <f>ROUND($B23/12,0)*12*$K23</f>
        <v>0</v>
      </c>
      <c r="P23" s="441">
        <f>$H23*$M$4*KÉRDÉSEK!$D$151*O4</f>
        <v>0</v>
      </c>
      <c r="Q23" s="2002">
        <f>ROUND($C23/12,0)*12*$M23</f>
        <v>0</v>
      </c>
      <c r="R23" s="1316">
        <f>$H23*$S$1*$M$4*(100%-$P$6)*KÉRDÉSEK!$D$151*$O$4</f>
        <v>0</v>
      </c>
      <c r="S23" s="2002">
        <f>ROUND($A23/12,0)*12*$L23</f>
        <v>0</v>
      </c>
      <c r="U23" s="2109" t="s">
        <v>4134</v>
      </c>
      <c r="W23" s="2439" t="s">
        <v>4201</v>
      </c>
      <c r="X23" s="2440" t="s">
        <v>4202</v>
      </c>
      <c r="Y23" s="2260"/>
      <c r="Z23" s="2261"/>
      <c r="AJ23" s="3040" t="s">
        <v>1494</v>
      </c>
      <c r="AK23" s="3064"/>
      <c r="AL23" s="2836">
        <f>NDK!L26</f>
        <v>0</v>
      </c>
      <c r="AM23" s="2836">
        <f t="shared" si="1"/>
        <v>0</v>
      </c>
      <c r="AN23" s="2836">
        <f t="shared" si="0"/>
        <v>0</v>
      </c>
      <c r="BH23" s="2576">
        <v>6565</v>
      </c>
      <c r="BJ23" s="106" t="s">
        <v>4134</v>
      </c>
      <c r="BK23" s="1558">
        <v>250000</v>
      </c>
      <c r="BL23" s="1586">
        <f>IF($BK$58=$BJ$59,0,150000)</f>
        <v>150000</v>
      </c>
      <c r="BM23">
        <f>$BK23*$BD$1*O4</f>
        <v>0</v>
      </c>
      <c r="BN23" s="2807">
        <f>MAX($BL23,$BM23)</f>
        <v>150000</v>
      </c>
      <c r="BO23" s="2869">
        <f>ROUND(IF($BN23&lt;=$AF$1,$BN23*$AE$1,$BN23+$AG$1)/12,0)*12</f>
        <v>180456</v>
      </c>
      <c r="BP23">
        <f>$M23</f>
        <v>0</v>
      </c>
      <c r="BQ23" s="1736">
        <f>$BO23*$BP23</f>
        <v>0</v>
      </c>
      <c r="BR23">
        <f>$BM23*$W$1</f>
        <v>0</v>
      </c>
      <c r="BS23" s="2869">
        <f>MAX($BR23,$BL23)</f>
        <v>150000</v>
      </c>
      <c r="BT23" s="2869">
        <f>ROUND(IF($BS23&lt;=$AF$1,$BS23*$AE$1,$BS23+$AG$1)/12,0)*12</f>
        <v>180456</v>
      </c>
      <c r="BU23">
        <f>$K23</f>
        <v>0</v>
      </c>
      <c r="BV23" s="1740">
        <f>$BT23*$BU23</f>
        <v>0</v>
      </c>
      <c r="BW23" s="1838">
        <f>$BM23*$S$1*$O$4</f>
        <v>0</v>
      </c>
      <c r="BX23" s="2869">
        <f>MAX($BW23,$BL23)</f>
        <v>150000</v>
      </c>
      <c r="BY23" s="2869">
        <f>ROUND(IF($BX23&lt;=$AF$1,$BX23*$AE$1,$BX23+$AG$1)/12,0)*12</f>
        <v>180456</v>
      </c>
      <c r="BZ23" s="76">
        <f>$L23</f>
        <v>0</v>
      </c>
      <c r="CA23" s="1750">
        <f>$BY23*$BZ23</f>
        <v>0</v>
      </c>
      <c r="CB23" s="2110" t="s">
        <v>4134</v>
      </c>
    </row>
    <row r="24" spans="1:98" ht="14.25" thickTop="1" thickBot="1">
      <c r="A24" s="2996"/>
      <c r="B24" s="2996"/>
      <c r="C24" s="3020"/>
      <c r="D24">
        <v>1036</v>
      </c>
      <c r="F24">
        <v>2</v>
      </c>
      <c r="G24" s="1310"/>
      <c r="H24" s="565"/>
      <c r="I24" s="1587"/>
      <c r="J24" s="565"/>
      <c r="K24" s="565"/>
      <c r="L24" s="565"/>
      <c r="M24" s="565"/>
      <c r="N24" s="1313"/>
      <c r="O24" s="2003"/>
      <c r="P24" s="1313"/>
      <c r="Q24" s="2003"/>
      <c r="R24" s="1317"/>
      <c r="S24" s="2003"/>
      <c r="U24" s="1310"/>
      <c r="AJ24" s="3040" t="s">
        <v>3072</v>
      </c>
      <c r="AK24" s="3064"/>
      <c r="AL24" s="2836">
        <f>NDK!L27</f>
        <v>0</v>
      </c>
      <c r="AM24" s="2836">
        <f t="shared" si="1"/>
        <v>0</v>
      </c>
      <c r="AN24" s="2836">
        <f t="shared" si="0"/>
        <v>0</v>
      </c>
      <c r="BH24" s="2576">
        <v>6566</v>
      </c>
      <c r="BJ24" s="1734"/>
      <c r="BK24" s="565"/>
      <c r="BL24" s="1587"/>
      <c r="BM24" s="565"/>
      <c r="BN24" s="3001"/>
      <c r="BO24" s="3001"/>
      <c r="BP24" s="565"/>
      <c r="BQ24" s="1737"/>
      <c r="BR24" s="565"/>
      <c r="BS24" s="3001"/>
      <c r="BT24" s="3001"/>
      <c r="BU24" s="565"/>
      <c r="BV24" s="1741"/>
      <c r="BW24" s="565"/>
      <c r="BX24" s="3001"/>
      <c r="BY24" s="3001"/>
      <c r="BZ24" s="565"/>
      <c r="CA24" s="1749"/>
      <c r="CB24" s="1745"/>
    </row>
    <row r="25" spans="1:98" ht="19.5" thickTop="1" thickBot="1">
      <c r="A25" s="2999"/>
      <c r="B25" s="3020">
        <f>IF($I67&lt;=$L$58,$I67*$K$58,$I67+$M$58)</f>
        <v>2600</v>
      </c>
      <c r="C25" s="3020">
        <f>IF($J67&lt;=$L$58,$J67*$K$58,$J67+$M$58)</f>
        <v>2600</v>
      </c>
      <c r="D25">
        <v>1037</v>
      </c>
      <c r="F25">
        <v>2</v>
      </c>
      <c r="G25" s="114" t="s">
        <v>1494</v>
      </c>
      <c r="H25">
        <v>3000</v>
      </c>
      <c r="I25" s="1586">
        <v>2000</v>
      </c>
      <c r="J25">
        <f>NDK!$B26</f>
        <v>0</v>
      </c>
      <c r="K25" s="2807">
        <f>$AN$23</f>
        <v>0</v>
      </c>
      <c r="L25" s="565"/>
      <c r="M25">
        <f>$J25-$K25</f>
        <v>0</v>
      </c>
      <c r="N25" s="441">
        <f>$H25*$W$1*$M$4*KÉRDÉSEK!$D$151*O4</f>
        <v>0</v>
      </c>
      <c r="O25" s="2002">
        <f>ROUND($B25/12,0)*12*$K25</f>
        <v>0</v>
      </c>
      <c r="P25" s="441">
        <f>$H25*$M$4*KÉRDÉSEK!$D$151*O4</f>
        <v>0</v>
      </c>
      <c r="Q25" s="2002">
        <f>ROUND($C25/12,0)*12*$M25</f>
        <v>0</v>
      </c>
      <c r="R25" s="1318"/>
      <c r="S25" s="2003"/>
      <c r="U25" s="114" t="s">
        <v>1494</v>
      </c>
      <c r="AJ25" s="3040" t="s">
        <v>3071</v>
      </c>
      <c r="AK25" s="3064"/>
      <c r="AL25" s="3070">
        <f>NDK!Q32</f>
        <v>0</v>
      </c>
      <c r="AM25" s="2836">
        <f t="shared" si="1"/>
        <v>0</v>
      </c>
      <c r="AN25" s="2836">
        <f t="shared" si="0"/>
        <v>0</v>
      </c>
      <c r="AQ25" s="2034" t="s">
        <v>3554</v>
      </c>
      <c r="AR25" s="2028"/>
      <c r="AS25" s="2028"/>
      <c r="AT25" s="2029">
        <f>AT17+CA51</f>
        <v>0</v>
      </c>
      <c r="BH25" s="2576">
        <v>6567</v>
      </c>
      <c r="BJ25" s="114" t="s">
        <v>1494</v>
      </c>
      <c r="BK25">
        <v>3000</v>
      </c>
      <c r="BL25" s="1586">
        <f>IF($BK$58=$BJ$59,0,2000)</f>
        <v>2000</v>
      </c>
      <c r="BM25" s="2588">
        <f>$BK25*$AZ$1*O4</f>
        <v>3000</v>
      </c>
      <c r="BN25" s="2807">
        <f>MAX($BL25,$BM25)</f>
        <v>3000</v>
      </c>
      <c r="BO25" s="2869">
        <f>ROUND(IF($BN25&lt;=$AF$1,$BN25*$AE$1,$BN25+$AG$1)/12,0)*12</f>
        <v>3900</v>
      </c>
      <c r="BP25">
        <f>$M25</f>
        <v>0</v>
      </c>
      <c r="BQ25" s="1736">
        <f>$BO25*$BP25</f>
        <v>0</v>
      </c>
      <c r="BR25">
        <f>$BM25*$W$1</f>
        <v>7500</v>
      </c>
      <c r="BS25" s="2869">
        <f>MAX($BR25,$BL25)</f>
        <v>7500</v>
      </c>
      <c r="BT25" s="2869">
        <f>ROUND(IF($BS25&lt;=$AF$1,$BS25*$AE$1,$BS25+$AG$1)/12,0)*12</f>
        <v>9756</v>
      </c>
      <c r="BU25">
        <f>$K25</f>
        <v>0</v>
      </c>
      <c r="BV25" s="1740">
        <f>$BT25*$BU25</f>
        <v>0</v>
      </c>
      <c r="BW25">
        <f>$BM25*$S$1</f>
        <v>9600</v>
      </c>
      <c r="BX25" s="2869">
        <f>MAX($BW25,$BL25)</f>
        <v>9600</v>
      </c>
      <c r="BY25" s="2869">
        <f>ROUND(IF($BX25&lt;=$AF$1,$BX25*$AE$1,$BX25+$AG$1)/12,0)*12</f>
        <v>12480</v>
      </c>
      <c r="BZ25" s="565"/>
      <c r="CA25" s="1749"/>
      <c r="CB25" s="278" t="s">
        <v>1494</v>
      </c>
    </row>
    <row r="26" spans="1:98" ht="13.5" thickTop="1">
      <c r="A26" s="2996"/>
      <c r="B26" s="3020">
        <f>IF($I68&lt;=$L$58,$I68*$K$58,$I68+$M$58)</f>
        <v>5200</v>
      </c>
      <c r="C26" s="3020">
        <f>IF($J68&lt;=$L$58,$J68*$K$58,$J68+$M$58)</f>
        <v>5200</v>
      </c>
      <c r="D26">
        <v>1038</v>
      </c>
      <c r="F26">
        <v>2</v>
      </c>
      <c r="G26" s="114" t="s">
        <v>3072</v>
      </c>
      <c r="H26">
        <v>6996</v>
      </c>
      <c r="I26" s="1586">
        <v>4000</v>
      </c>
      <c r="J26">
        <f>NDK!$B27</f>
        <v>0</v>
      </c>
      <c r="K26" s="2807">
        <f>$AN$24</f>
        <v>0</v>
      </c>
      <c r="L26" s="565"/>
      <c r="M26">
        <f>$J26-$K26</f>
        <v>0</v>
      </c>
      <c r="N26" s="441">
        <f>$H26*$W$1*$M$4*KÉRDÉSEK!$D$151*O4</f>
        <v>0</v>
      </c>
      <c r="O26" s="2002">
        <f>ROUND($B26/12,0)*12*$K26</f>
        <v>0</v>
      </c>
      <c r="P26" s="441">
        <f>$H26*$M$4*KÉRDÉSEK!$D$151*O4</f>
        <v>0</v>
      </c>
      <c r="Q26" s="2002">
        <f>ROUND($C26/12,0)*12*$M26</f>
        <v>0</v>
      </c>
      <c r="R26" s="1318"/>
      <c r="S26" s="2003"/>
      <c r="U26" s="114" t="s">
        <v>3072</v>
      </c>
      <c r="AJ26" s="3041" t="s">
        <v>5327</v>
      </c>
      <c r="AK26" s="3065" t="s">
        <v>5329</v>
      </c>
      <c r="AL26" s="2836">
        <f>NDK!L31+NDK!L32</f>
        <v>0</v>
      </c>
      <c r="AM26" s="2836">
        <f t="shared" si="1"/>
        <v>0</v>
      </c>
      <c r="AN26" s="2836"/>
      <c r="AO26" s="2243" t="s">
        <v>5332</v>
      </c>
      <c r="BH26" s="2576">
        <v>6568</v>
      </c>
      <c r="BJ26" s="114" t="s">
        <v>3072</v>
      </c>
      <c r="BK26">
        <v>6996</v>
      </c>
      <c r="BL26" s="1586">
        <f>IF($BK$58=$BJ$59,0,4000)</f>
        <v>4000</v>
      </c>
      <c r="BM26" s="2588">
        <f>$BK26*$AZ$1*O4</f>
        <v>6996</v>
      </c>
      <c r="BN26" s="2807">
        <f>MAX($BL26,$BM26)</f>
        <v>6996</v>
      </c>
      <c r="BO26" s="2869">
        <f>ROUND(IF($BN26&lt;=$AF$1,$BN26*$AE$1,$BN26+$AG$1)/12,0)*12</f>
        <v>9096</v>
      </c>
      <c r="BP26">
        <f>$M26</f>
        <v>0</v>
      </c>
      <c r="BQ26" s="1736">
        <f>$BO26*$BP26</f>
        <v>0</v>
      </c>
      <c r="BR26">
        <f>$BM26*$W$1</f>
        <v>17490</v>
      </c>
      <c r="BS26" s="2869">
        <f>MAX($BR26,$BL26)</f>
        <v>17490</v>
      </c>
      <c r="BT26" s="2869">
        <f>ROUND(IF($BS26&lt;=$AF$1,$BS26*$AE$1,$BS26+$AG$1)/12,0)*12</f>
        <v>22740</v>
      </c>
      <c r="BU26">
        <f>$K26</f>
        <v>0</v>
      </c>
      <c r="BV26" s="1740">
        <f>$BT26*$BU26</f>
        <v>0</v>
      </c>
      <c r="BW26">
        <f>$BM26*$S$1</f>
        <v>22387.200000000001</v>
      </c>
      <c r="BX26" s="2869">
        <f>MAX($BW26,$BL26)</f>
        <v>22387.200000000001</v>
      </c>
      <c r="BY26" s="2869">
        <f>ROUND(IF($BX26&lt;=$AF$1,$BX26*$AE$1,$BX26+$AG$1)/12,0)*12</f>
        <v>29100</v>
      </c>
      <c r="BZ26" s="565"/>
      <c r="CA26" s="1749"/>
      <c r="CB26" s="278" t="s">
        <v>3072</v>
      </c>
    </row>
    <row r="27" spans="1:98">
      <c r="A27" s="2996"/>
      <c r="B27" s="2996"/>
      <c r="C27" s="3020"/>
      <c r="D27">
        <v>1039</v>
      </c>
      <c r="F27">
        <v>2</v>
      </c>
      <c r="G27" s="1308"/>
      <c r="H27" s="565"/>
      <c r="I27" s="1587"/>
      <c r="J27" s="565"/>
      <c r="K27" s="565"/>
      <c r="L27" s="565"/>
      <c r="M27" s="565"/>
      <c r="N27" s="1313"/>
      <c r="O27" s="2003"/>
      <c r="P27" s="1313"/>
      <c r="Q27" s="2003"/>
      <c r="R27" s="1317"/>
      <c r="S27" s="2003"/>
      <c r="U27" s="1308"/>
      <c r="AJ27" s="3041" t="s">
        <v>5328</v>
      </c>
      <c r="AK27" s="3065" t="s">
        <v>5329</v>
      </c>
      <c r="AL27" s="2836"/>
      <c r="AM27" s="2836"/>
      <c r="AN27" s="2836"/>
      <c r="AO27" s="2243" t="s">
        <v>5333</v>
      </c>
      <c r="BH27" s="2576">
        <v>6575</v>
      </c>
      <c r="BJ27" s="492"/>
      <c r="BK27" s="565"/>
      <c r="BL27" s="1587"/>
      <c r="BM27" s="565"/>
      <c r="BN27" s="3001"/>
      <c r="BO27" s="3001"/>
      <c r="BP27" s="565"/>
      <c r="BQ27" s="1737"/>
      <c r="BR27" s="565"/>
      <c r="BS27" s="3001"/>
      <c r="BT27" s="3001"/>
      <c r="BU27" s="565"/>
      <c r="BV27" s="1741"/>
      <c r="BW27" s="565"/>
      <c r="BX27" s="3001"/>
      <c r="BY27" s="3001"/>
      <c r="BZ27" s="565"/>
      <c r="CA27" s="1749"/>
      <c r="CB27" s="1744"/>
    </row>
    <row r="28" spans="1:98">
      <c r="A28" s="3020">
        <f>IF($H70&lt;=$L$58,$H70*$K$58,$H70+$M$58)</f>
        <v>0</v>
      </c>
      <c r="B28" s="3020">
        <f>IF($I70&lt;=$L$58,$I70*$K$58,$I70+$M$58)</f>
        <v>0</v>
      </c>
      <c r="C28" s="3020">
        <f>IF($J70&lt;=$L$58,$J70*$K$58,$J70+$M$58)</f>
        <v>0</v>
      </c>
      <c r="D28">
        <v>1041</v>
      </c>
      <c r="F28">
        <v>2</v>
      </c>
      <c r="G28" s="2097" t="s">
        <v>3071</v>
      </c>
      <c r="H28" s="299"/>
      <c r="I28" s="2092"/>
      <c r="J28" s="299"/>
      <c r="K28" s="299"/>
      <c r="L28" s="299"/>
      <c r="M28" s="299"/>
      <c r="N28" s="2093"/>
      <c r="O28" s="2094"/>
      <c r="P28" s="2093"/>
      <c r="Q28" s="2094"/>
      <c r="R28" s="2095"/>
      <c r="S28" s="2094"/>
      <c r="U28" s="2097" t="s">
        <v>3071</v>
      </c>
      <c r="AO28" s="2243" t="s">
        <v>5337</v>
      </c>
      <c r="BH28" s="2576">
        <v>6586</v>
      </c>
      <c r="BJ28" s="114" t="s">
        <v>3071</v>
      </c>
      <c r="BK28" s="299"/>
      <c r="BL28" s="2092"/>
      <c r="BM28" s="299"/>
      <c r="BN28" s="3028"/>
      <c r="BO28" s="3028"/>
      <c r="BP28" s="299"/>
      <c r="BQ28" s="2101"/>
      <c r="BR28" s="299"/>
      <c r="BS28" s="3028"/>
      <c r="BT28" s="3028"/>
      <c r="BU28" s="299"/>
      <c r="BV28" s="2102"/>
      <c r="BW28" s="299"/>
      <c r="BX28" s="3028"/>
      <c r="BY28" s="3028"/>
      <c r="BZ28" s="299"/>
      <c r="CA28" s="2103"/>
      <c r="CB28" s="278" t="s">
        <v>3071</v>
      </c>
    </row>
    <row r="29" spans="1:98" ht="15.75">
      <c r="A29" s="3020"/>
      <c r="B29" s="3020"/>
      <c r="C29" s="3020"/>
      <c r="D29">
        <v>1042</v>
      </c>
      <c r="F29">
        <v>2</v>
      </c>
      <c r="G29" s="1589" t="s">
        <v>1186</v>
      </c>
      <c r="H29" s="282"/>
      <c r="I29" s="2434">
        <v>700000</v>
      </c>
      <c r="J29" s="565"/>
      <c r="K29" s="565"/>
      <c r="L29" s="565"/>
      <c r="M29" s="565"/>
      <c r="N29" s="1313"/>
      <c r="O29" s="2003"/>
      <c r="P29" s="1313"/>
      <c r="Q29" s="2003"/>
      <c r="R29" s="1317"/>
      <c r="S29" s="2003"/>
      <c r="U29" s="1589" t="s">
        <v>1186</v>
      </c>
      <c r="BH29" s="2576">
        <v>6597</v>
      </c>
      <c r="BJ29" s="2627" t="s">
        <v>1186</v>
      </c>
      <c r="BK29" s="2628"/>
      <c r="BL29" s="2984">
        <f>IF($BK$58=$BJ$59,0,669096)</f>
        <v>669096</v>
      </c>
      <c r="BM29" s="565"/>
      <c r="BN29" s="3001"/>
      <c r="BO29" s="3001"/>
      <c r="BP29" s="565"/>
      <c r="BQ29" s="1737"/>
      <c r="BR29" s="565"/>
      <c r="BS29" s="3001"/>
      <c r="BT29" s="3001"/>
      <c r="BU29" s="565"/>
      <c r="BV29" s="1741"/>
      <c r="BW29" s="565"/>
      <c r="BX29" s="3001"/>
      <c r="BY29" s="3001"/>
      <c r="BZ29" s="565"/>
      <c r="CA29" s="1749"/>
      <c r="CB29" s="1746" t="s">
        <v>1186</v>
      </c>
    </row>
    <row r="30" spans="1:98" ht="28.5" customHeight="1">
      <c r="A30" s="3020">
        <f>IF($H72&lt;=$L$58,$H72*$K$58,$H72+$M$58)</f>
        <v>0</v>
      </c>
      <c r="B30" s="3020">
        <f t="shared" ref="B30:B36" si="2">IF($I72&lt;=$L$58,$I72*$K$58,$I72+$M$58)</f>
        <v>0</v>
      </c>
      <c r="C30" s="3020">
        <f t="shared" ref="C30:C36" si="3">IF($J72&lt;=$L$58,$J72*$K$58,$J72+$M$58)</f>
        <v>0</v>
      </c>
      <c r="D30">
        <v>1043</v>
      </c>
      <c r="F30">
        <v>2</v>
      </c>
      <c r="G30" s="110" t="s">
        <v>5148</v>
      </c>
      <c r="H30" s="1558">
        <v>250000</v>
      </c>
      <c r="I30" s="2630">
        <v>0</v>
      </c>
      <c r="J30">
        <f>NDK!$B31</f>
        <v>0</v>
      </c>
      <c r="K30" s="2807">
        <f>NDK!$L31-$AM$26</f>
        <v>0</v>
      </c>
      <c r="L30">
        <f>NDK!$M31</f>
        <v>0</v>
      </c>
      <c r="M30" s="2580">
        <f>NDK!Q18</f>
        <v>0</v>
      </c>
      <c r="N30" s="441">
        <f>$H30*$W$1*$M$4*KÉRDÉSEK!$D$151*O4</f>
        <v>0</v>
      </c>
      <c r="O30" s="2002">
        <f t="shared" ref="O30:O36" si="4">ROUND($B30/12,0)*12*$K30</f>
        <v>0</v>
      </c>
      <c r="P30" s="441">
        <f>$H30*$M$4*KÉRDÉSEK!$D$151*O4</f>
        <v>0</v>
      </c>
      <c r="Q30" s="2002">
        <f t="shared" ref="Q30:Q36" si="5">ROUND($C30/12,0)*12*$M30</f>
        <v>0</v>
      </c>
      <c r="R30" s="1590">
        <f>$H30*$S$1*$M$4*KÉRDÉSEK!$D$151*$O$4</f>
        <v>0</v>
      </c>
      <c r="S30" s="2009">
        <f>ROUND($T34/12,0)*12*$L30</f>
        <v>0</v>
      </c>
      <c r="T30" s="1591">
        <f>MAX(R30,I29)</f>
        <v>700000</v>
      </c>
      <c r="U30" s="2096" t="s">
        <v>491</v>
      </c>
      <c r="BH30" s="2576">
        <v>6604</v>
      </c>
      <c r="BJ30" s="110" t="s">
        <v>5148</v>
      </c>
      <c r="BK30" s="1558">
        <v>250000</v>
      </c>
      <c r="BL30" s="2629">
        <v>0</v>
      </c>
      <c r="BM30" s="1838">
        <f>$BK30*$BB$1*O4</f>
        <v>250000</v>
      </c>
      <c r="BN30" s="2807">
        <f t="shared" ref="BN30:BN36" si="6">MAX($BL30,$BM30)</f>
        <v>250000</v>
      </c>
      <c r="BO30" s="2869">
        <f t="shared" ref="BO30:BO36" si="7">ROUND(IF($BN30&lt;=$AF$1,$BN30*$AE$1,$BN30+$AG$1)/12,0)*12</f>
        <v>280452</v>
      </c>
      <c r="BP30">
        <f t="shared" ref="BP30:BP36" si="8">$M30</f>
        <v>0</v>
      </c>
      <c r="BQ30" s="1736">
        <f t="shared" ref="BQ30:BQ36" si="9">$BO30*$BP30</f>
        <v>0</v>
      </c>
      <c r="BR30" s="1838">
        <f t="shared" ref="BR30:BR36" si="10">$BM30*$W$1</f>
        <v>625000</v>
      </c>
      <c r="BS30" s="2869">
        <f t="shared" ref="BS30:BS36" si="11">MAX($BR30,$BL30)</f>
        <v>625000</v>
      </c>
      <c r="BT30" s="2869">
        <f t="shared" ref="BT30:BT36" si="12">ROUND(IF($BS30&lt;=$AF$1,$BS30*$AE$1,$BS30+$AG$1)/12,0)*12</f>
        <v>655452</v>
      </c>
      <c r="BU30">
        <f t="shared" ref="BU30:BU36" si="13">$K30</f>
        <v>0</v>
      </c>
      <c r="BV30" s="1740">
        <f t="shared" ref="BV30:BV36" si="14">$BT30*$BU30</f>
        <v>0</v>
      </c>
      <c r="BW30" s="2991">
        <f>$BM30*$S$1*$O$4/$BB$1*$BF$1</f>
        <v>800000</v>
      </c>
      <c r="BX30" s="3030">
        <f>MAX($BW30,$BL29)</f>
        <v>800000</v>
      </c>
      <c r="BY30" s="2869">
        <f t="shared" ref="BY30:BY36" si="15">ROUND(IF($BX30&lt;=$AF$1,$BX30*$AE$1,$BX30+$AG$1)/12,0)*12</f>
        <v>830448</v>
      </c>
      <c r="BZ30">
        <f>$L30</f>
        <v>0</v>
      </c>
      <c r="CA30" s="1750">
        <f>$BY30*$BZ30</f>
        <v>0</v>
      </c>
      <c r="CB30" s="278" t="s">
        <v>491</v>
      </c>
    </row>
    <row r="31" spans="1:98" ht="15.75">
      <c r="A31" s="3020">
        <f>IF($H73&lt;=$L$58,$H73*$K$58,$H73+$M$58)</f>
        <v>0</v>
      </c>
      <c r="B31" s="3020">
        <f t="shared" si="2"/>
        <v>0</v>
      </c>
      <c r="C31" s="3020">
        <f t="shared" si="3"/>
        <v>0</v>
      </c>
      <c r="D31">
        <v>1044</v>
      </c>
      <c r="F31">
        <v>2</v>
      </c>
      <c r="G31" s="114" t="s">
        <v>492</v>
      </c>
      <c r="H31" s="1558">
        <v>250000</v>
      </c>
      <c r="I31" s="2630">
        <v>0</v>
      </c>
      <c r="J31">
        <f>NDK!$B32</f>
        <v>0</v>
      </c>
      <c r="K31" s="2807">
        <f>NDK!$L32</f>
        <v>0</v>
      </c>
      <c r="L31">
        <f>NDK!$M32</f>
        <v>0</v>
      </c>
      <c r="M31" s="2580">
        <v>0</v>
      </c>
      <c r="N31" s="441">
        <f>$H31*$W$1*$M$4*KÉRDÉSEK!$D$151*O4</f>
        <v>0</v>
      </c>
      <c r="O31" s="2002">
        <f t="shared" si="4"/>
        <v>0</v>
      </c>
      <c r="P31" s="441">
        <f>$H31*$M$4*KÉRDÉSEK!$D$151*O4</f>
        <v>0</v>
      </c>
      <c r="Q31" s="2002">
        <f t="shared" si="5"/>
        <v>0</v>
      </c>
      <c r="R31" s="1590">
        <f>$H31*$S$1*$M$4*KÉRDÉSEK!$D$151*$O$4</f>
        <v>0</v>
      </c>
      <c r="S31" s="2009">
        <f>ROUND($T35/12,0)*12*$L31</f>
        <v>0</v>
      </c>
      <c r="T31" s="1591">
        <f>MAX(R31,I29)</f>
        <v>700000</v>
      </c>
      <c r="U31" s="2096" t="s">
        <v>492</v>
      </c>
      <c r="BH31" s="2576">
        <v>6606</v>
      </c>
      <c r="BJ31" s="114" t="s">
        <v>492</v>
      </c>
      <c r="BK31" s="1558">
        <v>250000</v>
      </c>
      <c r="BL31" s="2629">
        <v>0</v>
      </c>
      <c r="BM31" s="1838">
        <f>$BK31*$BB$1*O4</f>
        <v>250000</v>
      </c>
      <c r="BN31" s="2807">
        <f t="shared" si="6"/>
        <v>250000</v>
      </c>
      <c r="BO31" s="2869">
        <f t="shared" si="7"/>
        <v>280452</v>
      </c>
      <c r="BP31">
        <f t="shared" si="8"/>
        <v>0</v>
      </c>
      <c r="BQ31" s="1736">
        <f t="shared" si="9"/>
        <v>0</v>
      </c>
      <c r="BR31" s="1838">
        <f t="shared" si="10"/>
        <v>625000</v>
      </c>
      <c r="BS31" s="2869">
        <f t="shared" si="11"/>
        <v>625000</v>
      </c>
      <c r="BT31" s="2869">
        <f t="shared" si="12"/>
        <v>655452</v>
      </c>
      <c r="BU31">
        <f t="shared" si="13"/>
        <v>0</v>
      </c>
      <c r="BV31" s="1740">
        <f t="shared" si="14"/>
        <v>0</v>
      </c>
      <c r="BW31" s="2991">
        <f>$BM31*$S$1*$O$4/$BB$1*$BF$1</f>
        <v>800000</v>
      </c>
      <c r="BX31" s="3030">
        <f>MAX($BW31,$BL29)</f>
        <v>800000</v>
      </c>
      <c r="BY31" s="2869">
        <f t="shared" si="15"/>
        <v>830448</v>
      </c>
      <c r="BZ31">
        <f>$L31</f>
        <v>0</v>
      </c>
      <c r="CA31" s="1750">
        <f>$BY31*$BZ31</f>
        <v>0</v>
      </c>
      <c r="CB31" s="278" t="s">
        <v>492</v>
      </c>
    </row>
    <row r="32" spans="1:98">
      <c r="A32" s="3020"/>
      <c r="B32" s="3020">
        <f t="shared" si="2"/>
        <v>16250</v>
      </c>
      <c r="C32" s="3020">
        <f t="shared" si="3"/>
        <v>16250</v>
      </c>
      <c r="D32">
        <v>1045</v>
      </c>
      <c r="F32">
        <v>2</v>
      </c>
      <c r="G32" s="114" t="s">
        <v>1179</v>
      </c>
      <c r="H32">
        <v>15744</v>
      </c>
      <c r="I32" s="1586">
        <v>12500</v>
      </c>
      <c r="J32">
        <f>NDK!$B33</f>
        <v>0</v>
      </c>
      <c r="K32">
        <f>NDK!$L33</f>
        <v>0</v>
      </c>
      <c r="L32" s="565"/>
      <c r="M32">
        <f>$J32-$K32</f>
        <v>0</v>
      </c>
      <c r="N32" s="441">
        <f>$H32*$W$1*$M$4*KÉRDÉSEK!$D$151*O4</f>
        <v>0</v>
      </c>
      <c r="O32" s="2002">
        <f t="shared" si="4"/>
        <v>0</v>
      </c>
      <c r="P32" s="441">
        <f>$H32*$M$4*KÉRDÉSEK!$D$151*O4</f>
        <v>0</v>
      </c>
      <c r="Q32" s="2002">
        <f t="shared" si="5"/>
        <v>0</v>
      </c>
      <c r="R32" s="1318"/>
      <c r="S32" s="2003"/>
      <c r="U32" s="114" t="s">
        <v>1179</v>
      </c>
      <c r="BH32" s="2576">
        <v>6618</v>
      </c>
      <c r="BJ32" s="114" t="s">
        <v>1179</v>
      </c>
      <c r="BK32">
        <v>15744</v>
      </c>
      <c r="BL32" s="1586">
        <f>IF($BK$58=$BJ$59,0,12500)</f>
        <v>12500</v>
      </c>
      <c r="BM32">
        <f>$BK32*$BD$1*O4</f>
        <v>0</v>
      </c>
      <c r="BN32" s="2807">
        <f t="shared" si="6"/>
        <v>12500</v>
      </c>
      <c r="BO32" s="2869">
        <f t="shared" si="7"/>
        <v>16248</v>
      </c>
      <c r="BP32">
        <f t="shared" si="8"/>
        <v>0</v>
      </c>
      <c r="BQ32" s="1736">
        <f t="shared" si="9"/>
        <v>0</v>
      </c>
      <c r="BR32">
        <f t="shared" si="10"/>
        <v>0</v>
      </c>
      <c r="BS32" s="2869">
        <f t="shared" si="11"/>
        <v>12500</v>
      </c>
      <c r="BT32" s="2869">
        <f t="shared" si="12"/>
        <v>16248</v>
      </c>
      <c r="BU32">
        <f t="shared" si="13"/>
        <v>0</v>
      </c>
      <c r="BV32" s="1740">
        <f t="shared" si="14"/>
        <v>0</v>
      </c>
      <c r="BW32">
        <f>$BM32*$S$1</f>
        <v>0</v>
      </c>
      <c r="BX32" s="2869">
        <f>MAX($BW32,$BL32)</f>
        <v>12500</v>
      </c>
      <c r="BY32" s="2869">
        <f t="shared" si="15"/>
        <v>16248</v>
      </c>
      <c r="BZ32" s="565"/>
      <c r="CA32" s="1749"/>
      <c r="CB32" s="278" t="s">
        <v>1179</v>
      </c>
    </row>
    <row r="33" spans="1:80" ht="39">
      <c r="A33" s="3020"/>
      <c r="B33" s="3020">
        <f t="shared" si="2"/>
        <v>6500</v>
      </c>
      <c r="C33" s="3020">
        <f t="shared" si="3"/>
        <v>6500</v>
      </c>
      <c r="D33">
        <v>1046</v>
      </c>
      <c r="F33">
        <v>2</v>
      </c>
      <c r="G33" s="114" t="s">
        <v>3074</v>
      </c>
      <c r="H33">
        <v>9804</v>
      </c>
      <c r="I33" s="1586">
        <v>5000</v>
      </c>
      <c r="J33">
        <f>NDK!$B34</f>
        <v>0</v>
      </c>
      <c r="K33">
        <f>NDK!$L34</f>
        <v>0</v>
      </c>
      <c r="L33" s="565"/>
      <c r="M33">
        <f>$J33-$K33</f>
        <v>0</v>
      </c>
      <c r="N33" s="441">
        <f>$H33*$W$1*$M$4*KÉRDÉSEK!$D$151*O4</f>
        <v>0</v>
      </c>
      <c r="O33" s="2002">
        <f t="shared" si="4"/>
        <v>0</v>
      </c>
      <c r="P33" s="2456">
        <f>$H33*$M$4*KÉRDÉSEK!$D$151*$AA$1*O4</f>
        <v>0</v>
      </c>
      <c r="Q33" s="2002">
        <f t="shared" si="5"/>
        <v>0</v>
      </c>
      <c r="R33" s="1318"/>
      <c r="S33" s="2003"/>
      <c r="T33" s="3021" t="s">
        <v>5304</v>
      </c>
      <c r="U33" s="114" t="s">
        <v>3074</v>
      </c>
      <c r="BH33" s="2576">
        <v>6673</v>
      </c>
      <c r="BJ33" s="114" t="s">
        <v>3074</v>
      </c>
      <c r="BK33">
        <v>9804</v>
      </c>
      <c r="BL33" s="1586">
        <f>IF($BK$58=$BJ$59,0,5000)</f>
        <v>5000</v>
      </c>
      <c r="BM33" s="2242">
        <f>$BK33*$BD$1*$AA$1*O4</f>
        <v>0</v>
      </c>
      <c r="BN33" s="2807">
        <f t="shared" si="6"/>
        <v>5000</v>
      </c>
      <c r="BO33" s="2869">
        <f t="shared" si="7"/>
        <v>6504</v>
      </c>
      <c r="BP33">
        <f t="shared" si="8"/>
        <v>0</v>
      </c>
      <c r="BQ33" s="1736">
        <f t="shared" si="9"/>
        <v>0</v>
      </c>
      <c r="BR33">
        <f t="shared" si="10"/>
        <v>0</v>
      </c>
      <c r="BS33" s="2869">
        <f t="shared" si="11"/>
        <v>5000</v>
      </c>
      <c r="BT33" s="2869">
        <f t="shared" si="12"/>
        <v>6504</v>
      </c>
      <c r="BU33">
        <f t="shared" si="13"/>
        <v>0</v>
      </c>
      <c r="BV33" s="1740">
        <f t="shared" si="14"/>
        <v>0</v>
      </c>
      <c r="BW33">
        <f>$BM33*$S$1</f>
        <v>0</v>
      </c>
      <c r="BX33" s="2869">
        <f>MAX($BW33,$BL33)</f>
        <v>5000</v>
      </c>
      <c r="BY33" s="2869">
        <f t="shared" si="15"/>
        <v>6504</v>
      </c>
      <c r="BZ33" s="565"/>
      <c r="CA33" s="1749"/>
      <c r="CB33" s="278" t="s">
        <v>3074</v>
      </c>
    </row>
    <row r="34" spans="1:80" ht="15.75">
      <c r="A34" s="3020"/>
      <c r="B34" s="3020">
        <f t="shared" si="2"/>
        <v>6500</v>
      </c>
      <c r="C34" s="3020">
        <f t="shared" si="3"/>
        <v>6500</v>
      </c>
      <c r="D34">
        <v>1047</v>
      </c>
      <c r="F34">
        <v>2</v>
      </c>
      <c r="G34" s="114" t="s">
        <v>1234</v>
      </c>
      <c r="H34">
        <v>9804</v>
      </c>
      <c r="I34" s="1586">
        <v>5000</v>
      </c>
      <c r="J34">
        <f>NDK!$B35</f>
        <v>0</v>
      </c>
      <c r="K34">
        <f>NDK!$L35</f>
        <v>0</v>
      </c>
      <c r="L34" s="565"/>
      <c r="M34">
        <f>$J34-$K34</f>
        <v>0</v>
      </c>
      <c r="N34" s="441">
        <f>$H34*$W$1*$M$4*KÉRDÉSEK!$D$151*O4</f>
        <v>0</v>
      </c>
      <c r="O34" s="2002">
        <f t="shared" si="4"/>
        <v>0</v>
      </c>
      <c r="P34" s="2456">
        <f>$H34*$M$4*KÉRDÉSEK!$D$151*$AA$1*O4</f>
        <v>0</v>
      </c>
      <c r="Q34" s="2002">
        <f t="shared" si="5"/>
        <v>0</v>
      </c>
      <c r="R34" s="1318"/>
      <c r="S34" s="2003"/>
      <c r="T34" s="3022">
        <f>IF($T30&lt;=$AF$1,$T30*$AE$1,$T30+$AG$1)</f>
        <v>730450</v>
      </c>
      <c r="U34" s="114" t="s">
        <v>1234</v>
      </c>
      <c r="BH34" s="2576">
        <v>6682</v>
      </c>
      <c r="BJ34" s="114" t="s">
        <v>1234</v>
      </c>
      <c r="BK34">
        <v>9804</v>
      </c>
      <c r="BL34" s="1586">
        <f>IF($BK$58=$BJ$59,0,5000)</f>
        <v>5000</v>
      </c>
      <c r="BM34" s="2242">
        <f>$BK34*$BD$1*$AA$1*O4</f>
        <v>0</v>
      </c>
      <c r="BN34" s="2807">
        <f t="shared" si="6"/>
        <v>5000</v>
      </c>
      <c r="BO34" s="2869">
        <f t="shared" si="7"/>
        <v>6504</v>
      </c>
      <c r="BP34">
        <f t="shared" si="8"/>
        <v>0</v>
      </c>
      <c r="BQ34" s="1736">
        <f t="shared" si="9"/>
        <v>0</v>
      </c>
      <c r="BR34">
        <f t="shared" si="10"/>
        <v>0</v>
      </c>
      <c r="BS34" s="2869">
        <f t="shared" si="11"/>
        <v>5000</v>
      </c>
      <c r="BT34" s="2869">
        <f t="shared" si="12"/>
        <v>6504</v>
      </c>
      <c r="BU34">
        <f t="shared" si="13"/>
        <v>0</v>
      </c>
      <c r="BV34" s="1740">
        <f t="shared" si="14"/>
        <v>0</v>
      </c>
      <c r="BW34">
        <f>$BM34*$S$1</f>
        <v>0</v>
      </c>
      <c r="BX34" s="2869">
        <f>MAX($BW34,$BL34)</f>
        <v>5000</v>
      </c>
      <c r="BY34" s="2869">
        <f t="shared" si="15"/>
        <v>6504</v>
      </c>
      <c r="BZ34" s="565"/>
      <c r="CA34" s="1749"/>
      <c r="CB34" s="278" t="s">
        <v>1234</v>
      </c>
    </row>
    <row r="35" spans="1:80" ht="15.75">
      <c r="A35" s="3020"/>
      <c r="B35" s="3020">
        <f t="shared" si="2"/>
        <v>6500</v>
      </c>
      <c r="C35" s="3020">
        <f t="shared" si="3"/>
        <v>6500</v>
      </c>
      <c r="D35">
        <v>1048</v>
      </c>
      <c r="F35">
        <v>2</v>
      </c>
      <c r="G35" s="114" t="s">
        <v>1235</v>
      </c>
      <c r="H35">
        <v>9804</v>
      </c>
      <c r="I35" s="1586">
        <v>5000</v>
      </c>
      <c r="J35">
        <f>NDK!$B36</f>
        <v>0</v>
      </c>
      <c r="K35">
        <f>NDK!$L36</f>
        <v>0</v>
      </c>
      <c r="L35" s="565"/>
      <c r="M35">
        <f>$J35-$K35</f>
        <v>0</v>
      </c>
      <c r="N35" s="441">
        <f>$H35*$W$1*$M$4*KÉRDÉSEK!$D$151*O4</f>
        <v>0</v>
      </c>
      <c r="O35" s="2002">
        <f t="shared" si="4"/>
        <v>0</v>
      </c>
      <c r="P35" s="2456">
        <f>$H35*$M$4*KÉRDÉSEK!$D$151*$AA$1*O4</f>
        <v>0</v>
      </c>
      <c r="Q35" s="2002">
        <f t="shared" si="5"/>
        <v>0</v>
      </c>
      <c r="R35" s="1318"/>
      <c r="S35" s="2003"/>
      <c r="T35" s="3022">
        <f>IF($T31&lt;=$AF$1,$T31*$AE$1,$T31+$AG$1)</f>
        <v>730450</v>
      </c>
      <c r="U35" s="114" t="s">
        <v>1235</v>
      </c>
      <c r="BH35" s="2576">
        <v>6698</v>
      </c>
      <c r="BJ35" s="114" t="s">
        <v>1235</v>
      </c>
      <c r="BK35">
        <v>9804</v>
      </c>
      <c r="BL35" s="1586">
        <f>IF($BK$58=$BJ$59,0,5000)</f>
        <v>5000</v>
      </c>
      <c r="BM35" s="2242">
        <f>$BK35*$BD$1*$AA$1*O4</f>
        <v>0</v>
      </c>
      <c r="BN35" s="2807">
        <f t="shared" si="6"/>
        <v>5000</v>
      </c>
      <c r="BO35" s="2869">
        <f t="shared" si="7"/>
        <v>6504</v>
      </c>
      <c r="BP35">
        <f t="shared" si="8"/>
        <v>0</v>
      </c>
      <c r="BQ35" s="1736">
        <f t="shared" si="9"/>
        <v>0</v>
      </c>
      <c r="BR35">
        <f t="shared" si="10"/>
        <v>0</v>
      </c>
      <c r="BS35" s="2869">
        <f t="shared" si="11"/>
        <v>5000</v>
      </c>
      <c r="BT35" s="2869">
        <f t="shared" si="12"/>
        <v>6504</v>
      </c>
      <c r="BU35">
        <f t="shared" si="13"/>
        <v>0</v>
      </c>
      <c r="BV35" s="1740">
        <f t="shared" si="14"/>
        <v>0</v>
      </c>
      <c r="BW35">
        <f>$BM35*$S$1</f>
        <v>0</v>
      </c>
      <c r="BX35" s="2869">
        <f>MAX($BW35,$BL35)</f>
        <v>5000</v>
      </c>
      <c r="BY35" s="2869">
        <f t="shared" si="15"/>
        <v>6504</v>
      </c>
      <c r="BZ35" s="565"/>
      <c r="CA35" s="1749"/>
      <c r="CB35" s="278" t="s">
        <v>1235</v>
      </c>
    </row>
    <row r="36" spans="1:80" ht="15.75">
      <c r="A36" s="3020"/>
      <c r="B36" s="3020">
        <f t="shared" si="2"/>
        <v>15600</v>
      </c>
      <c r="C36" s="3020">
        <f t="shared" si="3"/>
        <v>15600</v>
      </c>
      <c r="D36">
        <v>1049</v>
      </c>
      <c r="F36">
        <v>1</v>
      </c>
      <c r="G36" s="114" t="s">
        <v>1236</v>
      </c>
      <c r="H36">
        <v>20004</v>
      </c>
      <c r="I36" s="1586">
        <v>12000</v>
      </c>
      <c r="J36">
        <f>NDK!$B37</f>
        <v>0</v>
      </c>
      <c r="K36">
        <f>NDK!$L37</f>
        <v>0</v>
      </c>
      <c r="L36" s="565"/>
      <c r="M36">
        <f>$J36-$K36</f>
        <v>0</v>
      </c>
      <c r="N36" s="441">
        <f>$H36*$W$1*$M$4*KÉRDÉSEK!$D$151*O4</f>
        <v>0</v>
      </c>
      <c r="O36" s="2002">
        <f t="shared" si="4"/>
        <v>0</v>
      </c>
      <c r="P36" s="2456">
        <f>$H36*$M$4*KÉRDÉSEK!$D$151*$AA$1*O4</f>
        <v>0</v>
      </c>
      <c r="Q36" s="2002">
        <f t="shared" si="5"/>
        <v>0</v>
      </c>
      <c r="R36" s="1318"/>
      <c r="S36" s="2003"/>
      <c r="U36" s="114" t="s">
        <v>1236</v>
      </c>
      <c r="BH36" s="2576">
        <v>7063</v>
      </c>
      <c r="BJ36" s="114" t="s">
        <v>1236</v>
      </c>
      <c r="BK36">
        <v>20004</v>
      </c>
      <c r="BL36" s="1586">
        <f>IF($BK$58=$BJ$59,0,12000)</f>
        <v>12000</v>
      </c>
      <c r="BM36" s="2242">
        <f>$BK36*$BD$1*$AA$1*O4</f>
        <v>0</v>
      </c>
      <c r="BN36" s="2807">
        <f t="shared" si="6"/>
        <v>12000</v>
      </c>
      <c r="BO36" s="2869">
        <f t="shared" si="7"/>
        <v>15600</v>
      </c>
      <c r="BP36">
        <f t="shared" si="8"/>
        <v>0</v>
      </c>
      <c r="BQ36" s="1736">
        <f t="shared" si="9"/>
        <v>0</v>
      </c>
      <c r="BR36">
        <f t="shared" si="10"/>
        <v>0</v>
      </c>
      <c r="BS36" s="2869">
        <f t="shared" si="11"/>
        <v>12000</v>
      </c>
      <c r="BT36" s="2869">
        <f t="shared" si="12"/>
        <v>15600</v>
      </c>
      <c r="BU36">
        <f t="shared" si="13"/>
        <v>0</v>
      </c>
      <c r="BV36" s="1740">
        <f t="shared" si="14"/>
        <v>0</v>
      </c>
      <c r="BW36">
        <f>$BM36*$S$1</f>
        <v>0</v>
      </c>
      <c r="BX36" s="2869">
        <f>MAX($BW36,$BL36)</f>
        <v>12000</v>
      </c>
      <c r="BY36" s="2869">
        <f t="shared" si="15"/>
        <v>15600</v>
      </c>
      <c r="BZ36" s="565"/>
      <c r="CA36" s="1749"/>
      <c r="CB36" s="278" t="s">
        <v>1236</v>
      </c>
    </row>
    <row r="37" spans="1:80" ht="15.75">
      <c r="A37" s="3020"/>
      <c r="B37" s="3020"/>
      <c r="C37" s="3020"/>
      <c r="D37">
        <v>1051</v>
      </c>
      <c r="F37">
        <v>3</v>
      </c>
      <c r="G37" s="1311"/>
      <c r="H37" s="296"/>
      <c r="I37" s="1588"/>
      <c r="J37" s="1306"/>
      <c r="K37" s="1306"/>
      <c r="L37" s="1306"/>
      <c r="M37" s="1306"/>
      <c r="N37" s="1314"/>
      <c r="O37" s="2004"/>
      <c r="P37" s="2457"/>
      <c r="Q37" s="2004"/>
      <c r="R37" s="1315"/>
      <c r="S37" s="2010"/>
      <c r="U37" s="1311"/>
      <c r="BH37" s="2576">
        <v>7067</v>
      </c>
      <c r="BJ37" s="1732"/>
      <c r="BK37" s="1708"/>
      <c r="BL37" s="1733"/>
      <c r="BM37" s="2436"/>
      <c r="BN37" s="3001"/>
      <c r="BO37" s="3001"/>
      <c r="BP37" s="565"/>
      <c r="BQ37" s="1737"/>
      <c r="BR37" s="565"/>
      <c r="BS37" s="3001"/>
      <c r="BT37" s="3001"/>
      <c r="BU37" s="565"/>
      <c r="BV37" s="1741"/>
      <c r="BW37" s="565"/>
      <c r="BX37" s="3001"/>
      <c r="BY37" s="3001"/>
      <c r="BZ37" s="565"/>
      <c r="CA37" s="1749"/>
      <c r="CB37" s="1747"/>
    </row>
    <row r="38" spans="1:80" ht="15.75">
      <c r="A38" s="3020"/>
      <c r="B38" s="3020"/>
      <c r="C38" s="3020"/>
      <c r="D38">
        <v>1052</v>
      </c>
      <c r="F38">
        <v>3</v>
      </c>
      <c r="G38" s="1308"/>
      <c r="H38" s="565"/>
      <c r="I38" s="1587"/>
      <c r="J38" s="565"/>
      <c r="K38" s="565"/>
      <c r="L38" s="565"/>
      <c r="M38" s="565"/>
      <c r="N38" s="1313"/>
      <c r="O38" s="2003"/>
      <c r="P38" s="2458"/>
      <c r="Q38" s="2003"/>
      <c r="R38" s="1317"/>
      <c r="S38" s="2003"/>
      <c r="U38" s="1308"/>
      <c r="BH38" s="2576">
        <v>7078</v>
      </c>
      <c r="BJ38" s="492"/>
      <c r="BK38" s="565"/>
      <c r="BL38" s="1587"/>
      <c r="BM38" s="2436"/>
      <c r="BN38" s="3001"/>
      <c r="BO38" s="3001"/>
      <c r="BP38" s="565"/>
      <c r="BQ38" s="1737"/>
      <c r="BR38" s="565"/>
      <c r="BS38" s="3001"/>
      <c r="BT38" s="3001"/>
      <c r="BU38" s="565"/>
      <c r="BV38" s="1741"/>
      <c r="BW38" s="565"/>
      <c r="BX38" s="3001"/>
      <c r="BY38" s="3001"/>
      <c r="BZ38" s="565"/>
      <c r="CA38" s="1749"/>
      <c r="CB38" s="1744"/>
    </row>
    <row r="39" spans="1:80" ht="15.75">
      <c r="A39" s="3020"/>
      <c r="B39" s="3020">
        <f t="shared" ref="B39:B46" si="16">IF($I81&lt;=$L$58,$I81*$K$58,$I81+$M$58)</f>
        <v>7191.6</v>
      </c>
      <c r="C39" s="3020">
        <f t="shared" ref="C39:C46" si="17">IF($J81&lt;=$L$58,$J81*$K$58,$J81+$M$58)</f>
        <v>7191.6</v>
      </c>
      <c r="D39">
        <v>1053</v>
      </c>
      <c r="F39">
        <v>3</v>
      </c>
      <c r="G39" s="114" t="s">
        <v>2531</v>
      </c>
      <c r="H39" s="1558">
        <v>8000</v>
      </c>
      <c r="I39" s="1586">
        <v>5532</v>
      </c>
      <c r="J39">
        <f>NDK!$B40</f>
        <v>0</v>
      </c>
      <c r="K39">
        <f>NDK!$L40</f>
        <v>0</v>
      </c>
      <c r="L39" s="565"/>
      <c r="M39">
        <f>$J39-$K39</f>
        <v>0</v>
      </c>
      <c r="N39" s="441">
        <f>$H39*$W$1*$M$4*KÉRDÉSEK!$D$151*O4</f>
        <v>0</v>
      </c>
      <c r="O39" s="2002">
        <f t="shared" ref="O39:O46" si="18">ROUND($B39/12,0)*12*$K39</f>
        <v>0</v>
      </c>
      <c r="P39" s="2456">
        <f>$H39*$M$4*KÉRDÉSEK!$D$151*O4</f>
        <v>0</v>
      </c>
      <c r="Q39" s="2002">
        <f t="shared" ref="Q39:Q46" si="19">ROUND($C39/12,0)*12*$M39</f>
        <v>0</v>
      </c>
      <c r="R39" s="1318"/>
      <c r="S39" s="2003"/>
      <c r="U39" s="114" t="s">
        <v>2531</v>
      </c>
      <c r="BH39" s="2576">
        <v>7080</v>
      </c>
      <c r="BJ39" s="114" t="s">
        <v>2531</v>
      </c>
      <c r="BK39" s="1558">
        <v>8000</v>
      </c>
      <c r="BL39" s="1586">
        <f>IF($BK$58=$BJ$59,0,5532)</f>
        <v>5532</v>
      </c>
      <c r="BM39" s="2242">
        <f>$BK39*$BD$1*O4</f>
        <v>0</v>
      </c>
      <c r="BN39" s="2807">
        <f t="shared" ref="BN39:BN46" si="20">MAX($BL39,$BM39)</f>
        <v>5532</v>
      </c>
      <c r="BO39" s="2869">
        <f t="shared" ref="BO39:BO46" si="21">ROUND(IF($BN39&lt;=$AF$1,$BN39*$AE$1,$BN39+$AG$1)/12,0)*12</f>
        <v>7188</v>
      </c>
      <c r="BP39">
        <f t="shared" ref="BP39:BP46" si="22">$M39</f>
        <v>0</v>
      </c>
      <c r="BQ39" s="1736">
        <f t="shared" ref="BQ39:BQ46" si="23">$BO39*$BP39</f>
        <v>0</v>
      </c>
      <c r="BR39">
        <f t="shared" ref="BR39:BR46" si="24">$BM39*$W$1</f>
        <v>0</v>
      </c>
      <c r="BS39" s="2869">
        <f t="shared" ref="BS39:BS46" si="25">MAX($BR39,$BL39)</f>
        <v>5532</v>
      </c>
      <c r="BT39" s="2869">
        <f t="shared" ref="BT39:BT46" si="26">ROUND(IF($BS39&lt;=$AF$1,$BS39*$AE$1,$BS39+$AG$1)/12,0)*12</f>
        <v>7188</v>
      </c>
      <c r="BU39">
        <f t="shared" ref="BU39:BU46" si="27">$K39</f>
        <v>0</v>
      </c>
      <c r="BV39" s="1740">
        <f t="shared" ref="BV39:BV46" si="28">$BT39*$BU39</f>
        <v>0</v>
      </c>
      <c r="BW39">
        <f t="shared" ref="BW39:BW46" si="29">$BM39*$S$1</f>
        <v>0</v>
      </c>
      <c r="BX39" s="2869">
        <f t="shared" ref="BX39:BX46" si="30">MAX($BW39,$BL39)</f>
        <v>5532</v>
      </c>
      <c r="BY39" s="2869">
        <f t="shared" ref="BY39:BY46" si="31">ROUND(IF($BX39&lt;=$AF$1,$BX39*$AE$1,$BX39+$AG$1)/12,0)*12</f>
        <v>7188</v>
      </c>
      <c r="BZ39" s="565"/>
      <c r="CA39" s="1749"/>
      <c r="CB39" s="278" t="s">
        <v>2531</v>
      </c>
    </row>
    <row r="40" spans="1:80" ht="15.75">
      <c r="A40" s="3020"/>
      <c r="B40" s="3020">
        <f t="shared" si="16"/>
        <v>0</v>
      </c>
      <c r="C40" s="3020">
        <f t="shared" si="17"/>
        <v>0</v>
      </c>
      <c r="D40">
        <v>1054</v>
      </c>
      <c r="F40">
        <v>3</v>
      </c>
      <c r="G40" s="115" t="s">
        <v>497</v>
      </c>
      <c r="H40" s="2242">
        <v>0</v>
      </c>
      <c r="I40" s="2432">
        <v>0</v>
      </c>
      <c r="J40">
        <f>NDK!$B41</f>
        <v>0</v>
      </c>
      <c r="K40">
        <f>NDK!$L41</f>
        <v>0</v>
      </c>
      <c r="L40" s="565"/>
      <c r="M40">
        <f>$J40-$K40</f>
        <v>0</v>
      </c>
      <c r="N40" s="441">
        <f>$H40*$W$1*$M$4*KÉRDÉSEK!$D$151*O4</f>
        <v>0</v>
      </c>
      <c r="O40" s="2002">
        <f t="shared" si="18"/>
        <v>0</v>
      </c>
      <c r="P40" s="441">
        <f>$H40*$M$4*KÉRDÉSEK!$D$151*O4</f>
        <v>0</v>
      </c>
      <c r="Q40" s="2002">
        <f t="shared" si="19"/>
        <v>0</v>
      </c>
      <c r="R40" s="1318"/>
      <c r="S40" s="2003"/>
      <c r="U40" s="115" t="s">
        <v>497</v>
      </c>
      <c r="BH40" s="2576">
        <v>7087</v>
      </c>
      <c r="BJ40" s="115" t="s">
        <v>497</v>
      </c>
      <c r="BK40" s="2242">
        <v>0</v>
      </c>
      <c r="BL40" s="2432">
        <v>0</v>
      </c>
      <c r="BM40">
        <f>$BK40*$BD$1*O4</f>
        <v>0</v>
      </c>
      <c r="BN40" s="2807">
        <f t="shared" si="20"/>
        <v>0</v>
      </c>
      <c r="BO40" s="2869">
        <f t="shared" si="21"/>
        <v>0</v>
      </c>
      <c r="BP40">
        <f t="shared" si="22"/>
        <v>0</v>
      </c>
      <c r="BQ40" s="1736">
        <f t="shared" si="23"/>
        <v>0</v>
      </c>
      <c r="BR40">
        <f t="shared" si="24"/>
        <v>0</v>
      </c>
      <c r="BS40" s="2869">
        <f t="shared" si="25"/>
        <v>0</v>
      </c>
      <c r="BT40" s="2869">
        <f t="shared" si="26"/>
        <v>0</v>
      </c>
      <c r="BU40">
        <f t="shared" si="27"/>
        <v>0</v>
      </c>
      <c r="BV40" s="1740">
        <f t="shared" si="28"/>
        <v>0</v>
      </c>
      <c r="BW40">
        <f t="shared" si="29"/>
        <v>0</v>
      </c>
      <c r="BX40" s="2869">
        <f t="shared" si="30"/>
        <v>0</v>
      </c>
      <c r="BY40" s="2869">
        <f t="shared" si="31"/>
        <v>0</v>
      </c>
      <c r="BZ40" s="565"/>
      <c r="CA40" s="1749"/>
      <c r="CB40" s="281" t="s">
        <v>497</v>
      </c>
    </row>
    <row r="41" spans="1:80">
      <c r="A41" s="3020"/>
      <c r="B41" s="3020">
        <f t="shared" si="16"/>
        <v>12994.800000000001</v>
      </c>
      <c r="C41" s="3020">
        <f t="shared" si="17"/>
        <v>12994.800000000001</v>
      </c>
      <c r="D41">
        <v>1055</v>
      </c>
      <c r="F41">
        <v>3</v>
      </c>
      <c r="G41" s="106" t="s">
        <v>493</v>
      </c>
      <c r="H41" s="1558">
        <v>9996</v>
      </c>
      <c r="I41" s="1586">
        <v>9996</v>
      </c>
      <c r="J41">
        <f>NDK!$B42</f>
        <v>0</v>
      </c>
      <c r="K41">
        <f>NDK!$L42</f>
        <v>0</v>
      </c>
      <c r="L41" s="565"/>
      <c r="M41">
        <f>$J41-$K41</f>
        <v>0</v>
      </c>
      <c r="N41" s="441">
        <f>$H41*$W$1*$M$4*KÉRDÉSEK!$D$151*O4</f>
        <v>0</v>
      </c>
      <c r="O41" s="2002">
        <f t="shared" si="18"/>
        <v>0</v>
      </c>
      <c r="P41" s="441">
        <f>$H41*$M$4*KÉRDÉSEK!$D$151*O4</f>
        <v>0</v>
      </c>
      <c r="Q41" s="2002">
        <f t="shared" si="19"/>
        <v>0</v>
      </c>
      <c r="R41" s="1318"/>
      <c r="S41" s="2003"/>
      <c r="U41" s="106" t="s">
        <v>493</v>
      </c>
      <c r="BH41" s="2576">
        <v>7094</v>
      </c>
      <c r="BJ41" s="106" t="s">
        <v>493</v>
      </c>
      <c r="BK41" s="1558">
        <v>9996</v>
      </c>
      <c r="BL41" s="1586">
        <f>IF($BK$58=$BJ$59,0,9996)</f>
        <v>9996</v>
      </c>
      <c r="BM41">
        <f>$BK41*$BD$1*O4</f>
        <v>0</v>
      </c>
      <c r="BN41" s="2807">
        <f t="shared" si="20"/>
        <v>9996</v>
      </c>
      <c r="BO41" s="2869">
        <f t="shared" si="21"/>
        <v>12996</v>
      </c>
      <c r="BP41">
        <f t="shared" si="22"/>
        <v>0</v>
      </c>
      <c r="BQ41" s="1736">
        <f t="shared" si="23"/>
        <v>0</v>
      </c>
      <c r="BR41">
        <f t="shared" si="24"/>
        <v>0</v>
      </c>
      <c r="BS41" s="2869">
        <f t="shared" si="25"/>
        <v>9996</v>
      </c>
      <c r="BT41" s="2869">
        <f t="shared" si="26"/>
        <v>12996</v>
      </c>
      <c r="BU41">
        <f t="shared" si="27"/>
        <v>0</v>
      </c>
      <c r="BV41" s="1740">
        <f t="shared" si="28"/>
        <v>0</v>
      </c>
      <c r="BW41">
        <f t="shared" si="29"/>
        <v>0</v>
      </c>
      <c r="BX41" s="2869">
        <f t="shared" si="30"/>
        <v>9996</v>
      </c>
      <c r="BY41" s="2869">
        <f t="shared" si="31"/>
        <v>12996</v>
      </c>
      <c r="BZ41" s="565"/>
      <c r="CA41" s="1749"/>
      <c r="CB41" s="451" t="s">
        <v>493</v>
      </c>
    </row>
    <row r="42" spans="1:80">
      <c r="A42" s="3020"/>
      <c r="B42" s="3020">
        <f t="shared" si="16"/>
        <v>12994.800000000001</v>
      </c>
      <c r="C42" s="3020">
        <f t="shared" si="17"/>
        <v>12994.800000000001</v>
      </c>
      <c r="D42">
        <v>1056</v>
      </c>
      <c r="F42">
        <v>3</v>
      </c>
      <c r="G42" s="106" t="s">
        <v>494</v>
      </c>
      <c r="H42">
        <v>9996</v>
      </c>
      <c r="I42" s="1586">
        <v>9996</v>
      </c>
      <c r="J42">
        <f>NDK!$B43</f>
        <v>0</v>
      </c>
      <c r="K42">
        <f>NDK!$L43</f>
        <v>0</v>
      </c>
      <c r="L42" s="565"/>
      <c r="M42">
        <f>$J42-$K42</f>
        <v>0</v>
      </c>
      <c r="N42" s="441">
        <f>$H42*$W$1*$M$4*KÉRDÉSEK!$D$151*O4</f>
        <v>0</v>
      </c>
      <c r="O42" s="2002">
        <f t="shared" si="18"/>
        <v>0</v>
      </c>
      <c r="P42" s="441">
        <f>$H42*$M$4*KÉRDÉSEK!$D$151*O4</f>
        <v>0</v>
      </c>
      <c r="Q42" s="2002">
        <f t="shared" si="19"/>
        <v>0</v>
      </c>
      <c r="R42" s="1318"/>
      <c r="S42" s="2003"/>
      <c r="U42" s="106" t="s">
        <v>494</v>
      </c>
      <c r="BH42" s="2576">
        <v>7096</v>
      </c>
      <c r="BJ42" s="106" t="s">
        <v>494</v>
      </c>
      <c r="BK42">
        <v>9996</v>
      </c>
      <c r="BL42" s="1586">
        <f>IF($BK$58=$BJ$59,0,9996)</f>
        <v>9996</v>
      </c>
      <c r="BM42">
        <f>$BK42*$BD$1*O4</f>
        <v>0</v>
      </c>
      <c r="BN42" s="2807">
        <f t="shared" si="20"/>
        <v>9996</v>
      </c>
      <c r="BO42" s="2869">
        <f t="shared" si="21"/>
        <v>12996</v>
      </c>
      <c r="BP42">
        <f t="shared" si="22"/>
        <v>0</v>
      </c>
      <c r="BQ42" s="1736">
        <f t="shared" si="23"/>
        <v>0</v>
      </c>
      <c r="BR42">
        <f t="shared" si="24"/>
        <v>0</v>
      </c>
      <c r="BS42" s="2869">
        <f t="shared" si="25"/>
        <v>9996</v>
      </c>
      <c r="BT42" s="2869">
        <f t="shared" si="26"/>
        <v>12996</v>
      </c>
      <c r="BU42">
        <f t="shared" si="27"/>
        <v>0</v>
      </c>
      <c r="BV42" s="1740">
        <f t="shared" si="28"/>
        <v>0</v>
      </c>
      <c r="BW42">
        <f t="shared" si="29"/>
        <v>0</v>
      </c>
      <c r="BX42" s="2869">
        <f t="shared" si="30"/>
        <v>9996</v>
      </c>
      <c r="BY42" s="2869">
        <f t="shared" si="31"/>
        <v>12996</v>
      </c>
      <c r="BZ42" s="565"/>
      <c r="CA42" s="1749"/>
      <c r="CB42" s="451" t="s">
        <v>494</v>
      </c>
    </row>
    <row r="43" spans="1:80" ht="15.75">
      <c r="A43" s="3020">
        <f>IF($H85&lt;=$L$58,$H85*$K$58,$H85+$M$58)</f>
        <v>330450</v>
      </c>
      <c r="B43" s="3020">
        <f t="shared" si="16"/>
        <v>330450</v>
      </c>
      <c r="C43" s="3020">
        <f t="shared" si="17"/>
        <v>330450</v>
      </c>
      <c r="D43">
        <v>1061</v>
      </c>
      <c r="F43">
        <v>1</v>
      </c>
      <c r="G43" s="114" t="s">
        <v>1178</v>
      </c>
      <c r="H43" s="2430">
        <v>400000</v>
      </c>
      <c r="I43" s="2432">
        <v>300000</v>
      </c>
      <c r="J43">
        <f>NDK!$B44</f>
        <v>0</v>
      </c>
      <c r="K43">
        <f>NDK!$L44</f>
        <v>0</v>
      </c>
      <c r="L43">
        <f>NDK!$M44</f>
        <v>0</v>
      </c>
      <c r="M43">
        <f>$J43-$K43-$L43</f>
        <v>0</v>
      </c>
      <c r="N43" s="441">
        <f>$H43*$W$1*$M$4*KÉRDÉSEK!$D$151*O4</f>
        <v>0</v>
      </c>
      <c r="O43" s="2002">
        <f t="shared" si="18"/>
        <v>0</v>
      </c>
      <c r="P43" s="441">
        <f>$H43*$M$4*KÉRDÉSEK!$D$151*O4</f>
        <v>0</v>
      </c>
      <c r="Q43" s="2002">
        <f t="shared" si="19"/>
        <v>0</v>
      </c>
      <c r="R43" s="1316">
        <f>$H43*$S$1*$M$4*(100%-$P$6)*KÉRDÉSEK!$D$151</f>
        <v>0</v>
      </c>
      <c r="S43" s="2002">
        <f>ROUND($A43/12,0)*12*$L43</f>
        <v>0</v>
      </c>
      <c r="U43" s="114" t="s">
        <v>1178</v>
      </c>
      <c r="BH43" s="2576">
        <v>7122</v>
      </c>
      <c r="BJ43" s="114" t="s">
        <v>1178</v>
      </c>
      <c r="BK43" s="2242">
        <v>400000</v>
      </c>
      <c r="BL43" s="2782">
        <f>IF($BK$58=$BJ$59,0,300000)</f>
        <v>300000</v>
      </c>
      <c r="BM43">
        <f>$BK43*$BD$1*O4</f>
        <v>0</v>
      </c>
      <c r="BN43" s="2807">
        <f t="shared" si="20"/>
        <v>300000</v>
      </c>
      <c r="BO43" s="2869">
        <f t="shared" si="21"/>
        <v>330456</v>
      </c>
      <c r="BP43">
        <f t="shared" si="22"/>
        <v>0</v>
      </c>
      <c r="BQ43" s="1736">
        <f t="shared" si="23"/>
        <v>0</v>
      </c>
      <c r="BR43">
        <f t="shared" si="24"/>
        <v>0</v>
      </c>
      <c r="BS43" s="2869">
        <f t="shared" si="25"/>
        <v>300000</v>
      </c>
      <c r="BT43" s="2869">
        <f t="shared" si="26"/>
        <v>330456</v>
      </c>
      <c r="BU43">
        <f t="shared" si="27"/>
        <v>0</v>
      </c>
      <c r="BV43" s="1740">
        <f t="shared" si="28"/>
        <v>0</v>
      </c>
      <c r="BW43">
        <f t="shared" si="29"/>
        <v>0</v>
      </c>
      <c r="BX43" s="2869">
        <f t="shared" si="30"/>
        <v>300000</v>
      </c>
      <c r="BY43" s="2869">
        <f t="shared" si="31"/>
        <v>330456</v>
      </c>
      <c r="BZ43">
        <f>$L43</f>
        <v>0</v>
      </c>
      <c r="CA43" s="1750">
        <f>$BY43*$BZ43</f>
        <v>0</v>
      </c>
      <c r="CB43" s="278" t="s">
        <v>1178</v>
      </c>
    </row>
    <row r="44" spans="1:80" ht="15.75">
      <c r="A44" s="3020">
        <f>IF($H86&lt;=$L$58,$H86*$K$58,$H86+$M$58)</f>
        <v>630450</v>
      </c>
      <c r="B44" s="3020">
        <f t="shared" si="16"/>
        <v>630450</v>
      </c>
      <c r="C44" s="3020">
        <f t="shared" si="17"/>
        <v>630450</v>
      </c>
      <c r="D44">
        <v>1062</v>
      </c>
      <c r="F44">
        <v>1</v>
      </c>
      <c r="G44" s="114" t="s">
        <v>1239</v>
      </c>
      <c r="H44" s="2430">
        <v>700000</v>
      </c>
      <c r="I44" s="2432">
        <v>600000</v>
      </c>
      <c r="J44">
        <f>NDK!$B45</f>
        <v>0</v>
      </c>
      <c r="K44">
        <f>NDK!$L45</f>
        <v>0</v>
      </c>
      <c r="L44">
        <f>NDK!$M45</f>
        <v>0</v>
      </c>
      <c r="M44">
        <f>$J44-$K44-$L44</f>
        <v>0</v>
      </c>
      <c r="N44" s="441">
        <f>$H44*$W$1*$M$4*KÉRDÉSEK!$D$151*O4</f>
        <v>0</v>
      </c>
      <c r="O44" s="2002">
        <f t="shared" si="18"/>
        <v>0</v>
      </c>
      <c r="P44" s="441">
        <f>$H44*$M$4*KÉRDÉSEK!$D$151*O4</f>
        <v>0</v>
      </c>
      <c r="Q44" s="2002">
        <f t="shared" si="19"/>
        <v>0</v>
      </c>
      <c r="R44" s="1316">
        <f>$H44*$S$1*$M$4*(100%-$P$6)*KÉRDÉSEK!$D$151</f>
        <v>0</v>
      </c>
      <c r="S44" s="2002">
        <f>ROUND($A44/12,0)*12*$L44</f>
        <v>0</v>
      </c>
      <c r="U44" s="114" t="s">
        <v>1239</v>
      </c>
      <c r="BH44" s="2576">
        <v>7125</v>
      </c>
      <c r="BJ44" s="114" t="s">
        <v>1239</v>
      </c>
      <c r="BK44" s="2242">
        <v>700000</v>
      </c>
      <c r="BL44" s="2782">
        <f>IF($BK$58=$BJ$59,0,600000)</f>
        <v>600000</v>
      </c>
      <c r="BM44">
        <f>$BK44*$BD$1*O4</f>
        <v>0</v>
      </c>
      <c r="BN44" s="2807">
        <f t="shared" si="20"/>
        <v>600000</v>
      </c>
      <c r="BO44" s="2869">
        <f t="shared" si="21"/>
        <v>630456</v>
      </c>
      <c r="BP44">
        <f t="shared" si="22"/>
        <v>0</v>
      </c>
      <c r="BQ44" s="1736">
        <f t="shared" si="23"/>
        <v>0</v>
      </c>
      <c r="BR44">
        <f t="shared" si="24"/>
        <v>0</v>
      </c>
      <c r="BS44" s="2869">
        <f t="shared" si="25"/>
        <v>600000</v>
      </c>
      <c r="BT44" s="2869">
        <f t="shared" si="26"/>
        <v>630456</v>
      </c>
      <c r="BU44">
        <f t="shared" si="27"/>
        <v>0</v>
      </c>
      <c r="BV44" s="1740">
        <f t="shared" si="28"/>
        <v>0</v>
      </c>
      <c r="BW44">
        <f t="shared" si="29"/>
        <v>0</v>
      </c>
      <c r="BX44" s="2869">
        <f t="shared" si="30"/>
        <v>600000</v>
      </c>
      <c r="BY44" s="2869">
        <f t="shared" si="31"/>
        <v>630456</v>
      </c>
      <c r="BZ44">
        <f>$L44</f>
        <v>0</v>
      </c>
      <c r="CA44" s="1750">
        <f>$BY44*$BZ44</f>
        <v>0</v>
      </c>
      <c r="CB44" s="278" t="s">
        <v>1239</v>
      </c>
    </row>
    <row r="45" spans="1:80" ht="15.75">
      <c r="A45" s="3020">
        <f>IF($H87&lt;=$L$58,$H87*$K$58,$H87+$M$58)</f>
        <v>1030450</v>
      </c>
      <c r="B45" s="3020">
        <f t="shared" si="16"/>
        <v>1030450</v>
      </c>
      <c r="C45" s="3020">
        <f t="shared" si="17"/>
        <v>1030450</v>
      </c>
      <c r="D45">
        <v>1063</v>
      </c>
      <c r="F45">
        <v>1</v>
      </c>
      <c r="G45" s="114" t="s">
        <v>1240</v>
      </c>
      <c r="H45" s="2430">
        <v>1200000</v>
      </c>
      <c r="I45" s="2432">
        <v>1000000</v>
      </c>
      <c r="J45">
        <f>NDK!$B46</f>
        <v>0</v>
      </c>
      <c r="K45">
        <f>NDK!$L46</f>
        <v>0</v>
      </c>
      <c r="L45">
        <f>NDK!$M46</f>
        <v>0</v>
      </c>
      <c r="M45">
        <f>$J45-$K45-$L45</f>
        <v>0</v>
      </c>
      <c r="N45" s="441">
        <f>$H45*$W$1*$M$4*KÉRDÉSEK!$D$151*O4</f>
        <v>0</v>
      </c>
      <c r="O45" s="2002">
        <f t="shared" si="18"/>
        <v>0</v>
      </c>
      <c r="P45" s="441">
        <f>$H45*$M$4*KÉRDÉSEK!$D$151*O4</f>
        <v>0</v>
      </c>
      <c r="Q45" s="2002">
        <f t="shared" si="19"/>
        <v>0</v>
      </c>
      <c r="R45" s="1316">
        <f>$H45*$S$1*$M$4*(100%-$P$6)*KÉRDÉSEK!$D$151</f>
        <v>0</v>
      </c>
      <c r="S45" s="2002">
        <f>ROUND($A45/12,0)*12*$L45</f>
        <v>0</v>
      </c>
      <c r="U45" s="114" t="s">
        <v>1240</v>
      </c>
      <c r="BH45" s="2576">
        <v>7133</v>
      </c>
      <c r="BJ45" s="114" t="s">
        <v>1240</v>
      </c>
      <c r="BK45" s="2242">
        <v>1200000</v>
      </c>
      <c r="BL45" s="2782">
        <f>IF($BK$58=$BJ$59,0,1000000)</f>
        <v>1000000</v>
      </c>
      <c r="BM45">
        <f>$BK45*$BD$1*O4</f>
        <v>0</v>
      </c>
      <c r="BN45" s="2807">
        <f t="shared" si="20"/>
        <v>1000000</v>
      </c>
      <c r="BO45" s="2869">
        <f t="shared" si="21"/>
        <v>1030452</v>
      </c>
      <c r="BP45">
        <f t="shared" si="22"/>
        <v>0</v>
      </c>
      <c r="BQ45" s="1736">
        <f t="shared" si="23"/>
        <v>0</v>
      </c>
      <c r="BR45">
        <f t="shared" si="24"/>
        <v>0</v>
      </c>
      <c r="BS45" s="2869">
        <f t="shared" si="25"/>
        <v>1000000</v>
      </c>
      <c r="BT45" s="2869">
        <f t="shared" si="26"/>
        <v>1030452</v>
      </c>
      <c r="BU45">
        <f t="shared" si="27"/>
        <v>0</v>
      </c>
      <c r="BV45" s="1740">
        <f t="shared" si="28"/>
        <v>0</v>
      </c>
      <c r="BW45">
        <f t="shared" si="29"/>
        <v>0</v>
      </c>
      <c r="BX45" s="2869">
        <f t="shared" si="30"/>
        <v>1000000</v>
      </c>
      <c r="BY45" s="2869">
        <f t="shared" si="31"/>
        <v>1030452</v>
      </c>
      <c r="BZ45">
        <f>$L45</f>
        <v>0</v>
      </c>
      <c r="CA45" s="1750">
        <f>$BY45*$BZ45</f>
        <v>0</v>
      </c>
      <c r="CB45" s="278" t="s">
        <v>1240</v>
      </c>
    </row>
    <row r="46" spans="1:80" ht="15.75">
      <c r="A46" s="3020">
        <f>IF($H88&lt;=$L$58,$H88*$K$58,$H88+$M$58)</f>
        <v>1830450</v>
      </c>
      <c r="B46" s="3020">
        <f t="shared" si="16"/>
        <v>1830450</v>
      </c>
      <c r="C46" s="3020">
        <f t="shared" si="17"/>
        <v>1830450</v>
      </c>
      <c r="D46">
        <v>1064</v>
      </c>
      <c r="F46">
        <v>1</v>
      </c>
      <c r="G46" s="114" t="s">
        <v>4873</v>
      </c>
      <c r="H46" s="2430">
        <v>2000000</v>
      </c>
      <c r="I46" s="2432">
        <v>1800000</v>
      </c>
      <c r="J46">
        <f>NDK!$B47</f>
        <v>0</v>
      </c>
      <c r="K46">
        <f>NDK!$L47</f>
        <v>0</v>
      </c>
      <c r="L46">
        <f>NDK!$M47</f>
        <v>0</v>
      </c>
      <c r="M46">
        <f>$J46-$K46-$L46</f>
        <v>0</v>
      </c>
      <c r="N46" s="441">
        <f>$H46*$W$1*$M$4*KÉRDÉSEK!$D$151*O4</f>
        <v>0</v>
      </c>
      <c r="O46" s="2002">
        <f t="shared" si="18"/>
        <v>0</v>
      </c>
      <c r="P46" s="441">
        <f>$H46*$M$4*KÉRDÉSEK!$D$151*O4</f>
        <v>0</v>
      </c>
      <c r="Q46" s="2002">
        <f t="shared" si="19"/>
        <v>0</v>
      </c>
      <c r="R46" s="1316">
        <f>$H46*$S$1*$M$4*(100%-$P$6)*KÉRDÉSEK!$D$151</f>
        <v>0</v>
      </c>
      <c r="S46" s="2002">
        <f>ROUND($A46/12,0)*12*$L46</f>
        <v>0</v>
      </c>
      <c r="U46" s="114" t="s">
        <v>4873</v>
      </c>
      <c r="BH46" s="2576">
        <v>7159</v>
      </c>
      <c r="BJ46" s="114" t="s">
        <v>4873</v>
      </c>
      <c r="BK46" s="2242">
        <v>2000000</v>
      </c>
      <c r="BL46" s="2782">
        <f>IF($BK$58=$BJ$59,0,1800000)</f>
        <v>1800000</v>
      </c>
      <c r="BM46">
        <f>$BK46*$BD$1*O4</f>
        <v>0</v>
      </c>
      <c r="BN46" s="2807">
        <f t="shared" si="20"/>
        <v>1800000</v>
      </c>
      <c r="BO46" s="2869">
        <f t="shared" si="21"/>
        <v>1830456</v>
      </c>
      <c r="BP46">
        <f t="shared" si="22"/>
        <v>0</v>
      </c>
      <c r="BQ46" s="1736">
        <f t="shared" si="23"/>
        <v>0</v>
      </c>
      <c r="BR46">
        <f t="shared" si="24"/>
        <v>0</v>
      </c>
      <c r="BS46" s="2869">
        <f t="shared" si="25"/>
        <v>1800000</v>
      </c>
      <c r="BT46" s="2869">
        <f t="shared" si="26"/>
        <v>1830456</v>
      </c>
      <c r="BU46">
        <f t="shared" si="27"/>
        <v>0</v>
      </c>
      <c r="BV46" s="1740">
        <f t="shared" si="28"/>
        <v>0</v>
      </c>
      <c r="BW46">
        <f t="shared" si="29"/>
        <v>0</v>
      </c>
      <c r="BX46" s="2869">
        <f t="shared" si="30"/>
        <v>1800000</v>
      </c>
      <c r="BY46" s="2869">
        <f t="shared" si="31"/>
        <v>1830456</v>
      </c>
      <c r="BZ46">
        <f>$L46</f>
        <v>0</v>
      </c>
      <c r="CA46" s="1750">
        <f>$BY46*$BZ46</f>
        <v>0</v>
      </c>
      <c r="CB46" s="278" t="s">
        <v>4873</v>
      </c>
    </row>
    <row r="47" spans="1:80">
      <c r="A47" s="3020"/>
      <c r="B47" s="3020"/>
      <c r="C47" s="3020"/>
      <c r="D47">
        <v>1065</v>
      </c>
      <c r="F47">
        <v>1</v>
      </c>
      <c r="G47" s="1308"/>
      <c r="H47" s="565"/>
      <c r="I47" s="1587"/>
      <c r="J47" s="565"/>
      <c r="K47" s="565"/>
      <c r="L47" s="565"/>
      <c r="M47" s="565"/>
      <c r="N47" s="1313"/>
      <c r="O47" s="2003"/>
      <c r="P47" s="1313"/>
      <c r="Q47" s="2003"/>
      <c r="R47" s="1317"/>
      <c r="S47" s="2003"/>
      <c r="U47" s="1308"/>
      <c r="BH47" s="2576">
        <v>7166</v>
      </c>
      <c r="BJ47" s="492"/>
      <c r="BK47" s="565"/>
      <c r="BL47" s="1587"/>
      <c r="BM47" s="565"/>
      <c r="BN47" s="3001"/>
      <c r="BO47" s="3001"/>
      <c r="BP47" s="565"/>
      <c r="BQ47" s="1737"/>
      <c r="BR47" s="565"/>
      <c r="BS47" s="3001"/>
      <c r="BT47" s="3001"/>
      <c r="BU47" s="565"/>
      <c r="BV47" s="1741"/>
      <c r="BW47" s="565"/>
      <c r="BX47" s="3001"/>
      <c r="BY47" s="3001"/>
      <c r="BZ47" s="565"/>
      <c r="CA47" s="1749"/>
      <c r="CB47" s="1744"/>
    </row>
    <row r="48" spans="1:80" ht="16.5" thickBot="1">
      <c r="A48" s="3020"/>
      <c r="B48" s="3020">
        <f>IF($I90&lt;=$L$58,$I90*$K$58,$I90+$M$58)</f>
        <v>0</v>
      </c>
      <c r="C48" s="3020">
        <f>IF($J90&lt;=$L$58,$J90*$K$58,$J90+$M$58)</f>
        <v>0</v>
      </c>
      <c r="D48">
        <v>1066</v>
      </c>
      <c r="F48">
        <v>1</v>
      </c>
      <c r="G48" s="114" t="s">
        <v>4874</v>
      </c>
      <c r="H48" s="1910">
        <v>0</v>
      </c>
      <c r="I48" s="2431">
        <v>0</v>
      </c>
      <c r="J48">
        <f>NDK!$B49</f>
        <v>0</v>
      </c>
      <c r="K48">
        <f>NDK!$L49</f>
        <v>0</v>
      </c>
      <c r="L48" s="565"/>
      <c r="M48">
        <f>$J48-$K48</f>
        <v>0</v>
      </c>
      <c r="N48" s="441">
        <f>$H48*$W$1*$M$4*KÉRDÉSEK!$D$151*O4</f>
        <v>0</v>
      </c>
      <c r="O48" s="2002">
        <f>ROUND($B48/12,0)*12*$K48</f>
        <v>0</v>
      </c>
      <c r="P48" s="441">
        <f>$H48*$M$4*KÉRDÉSEK!$D$151*O4</f>
        <v>0</v>
      </c>
      <c r="Q48" s="2002">
        <f>ROUND($C48/12,0)*12*$M48</f>
        <v>0</v>
      </c>
      <c r="R48" s="1318"/>
      <c r="S48" s="2003"/>
      <c r="U48" s="114" t="s">
        <v>4874</v>
      </c>
      <c r="BH48" s="2576">
        <v>7175</v>
      </c>
      <c r="BJ48" s="114" t="s">
        <v>4874</v>
      </c>
      <c r="BK48" s="1838">
        <v>0</v>
      </c>
      <c r="BL48" s="2431">
        <v>0</v>
      </c>
      <c r="BM48">
        <f>$BK48*$BD$1*O4</f>
        <v>0</v>
      </c>
      <c r="BN48" s="2807">
        <f>MAX($BL48,$BM48)</f>
        <v>0</v>
      </c>
      <c r="BO48" s="2869">
        <f>ROUND(IF($BN48&lt;=$AF$1,$BN48*$AE$1,$BN48+$AG$1)/12,0)*12</f>
        <v>0</v>
      </c>
      <c r="BP48">
        <f>$M48</f>
        <v>0</v>
      </c>
      <c r="BQ48" s="1738">
        <f>$BO48*$BP48</f>
        <v>0</v>
      </c>
      <c r="BR48">
        <f>$BM48*$W$1</f>
        <v>0</v>
      </c>
      <c r="BS48" s="2869">
        <f>MAX($BR48,$BL48)</f>
        <v>0</v>
      </c>
      <c r="BT48" s="2869">
        <f>ROUND(IF($BS48&lt;=$AF$1,$BS48*$AE$1,$BS48+$AG$1)/12,0)*12</f>
        <v>0</v>
      </c>
      <c r="BU48">
        <f>$K48</f>
        <v>0</v>
      </c>
      <c r="BV48" s="1742">
        <f>$BT48*$BU48</f>
        <v>0</v>
      </c>
      <c r="BW48">
        <f>$BM48*$S$1</f>
        <v>0</v>
      </c>
      <c r="BX48" s="2869">
        <f>MAX($BW48,$BL48)</f>
        <v>0</v>
      </c>
      <c r="BY48" s="2869">
        <f>ROUND(IF($BX48&lt;=$AF$1,$BX48*$AE$1,$BX48+$AG$1)/12,0)*12</f>
        <v>0</v>
      </c>
      <c r="BZ48" s="565"/>
      <c r="CA48" s="1751"/>
      <c r="CB48" s="278" t="s">
        <v>4874</v>
      </c>
    </row>
    <row r="49" spans="4:79" ht="14.25" thickTop="1" thickBot="1">
      <c r="D49">
        <v>1067</v>
      </c>
      <c r="F49">
        <v>1</v>
      </c>
      <c r="O49" s="2000"/>
      <c r="Q49" s="2000"/>
      <c r="S49" s="2000"/>
      <c r="BH49" s="2576">
        <v>7181</v>
      </c>
      <c r="BO49" s="2031" t="s">
        <v>3544</v>
      </c>
      <c r="BP49" s="2032"/>
      <c r="BQ49" s="2033">
        <f>SUM(BQ20:BQ48)+BQ18</f>
        <v>0</v>
      </c>
      <c r="BT49" s="2027" t="s">
        <v>3548</v>
      </c>
      <c r="BU49" s="2028"/>
      <c r="BV49" s="2029">
        <f>SUM(BV20:BV48)+BV18</f>
        <v>0</v>
      </c>
      <c r="BY49" s="2027" t="s">
        <v>3553</v>
      </c>
      <c r="BZ49" s="2030"/>
      <c r="CA49" s="2029">
        <f>SUM(CA20:CA48)+CA18</f>
        <v>0</v>
      </c>
    </row>
    <row r="50" spans="4:79" ht="14.25" thickTop="1" thickBot="1">
      <c r="D50">
        <v>1068</v>
      </c>
      <c r="F50">
        <v>1</v>
      </c>
      <c r="O50" s="2005">
        <f>SUM(O20:O49)+O17</f>
        <v>0</v>
      </c>
      <c r="P50" s="530"/>
      <c r="Q50" s="2005">
        <f>SUM(Q20:Q49)+Q17</f>
        <v>0</v>
      </c>
      <c r="R50" s="530"/>
      <c r="S50" s="2005">
        <f>SUM(S23:S49)+S17+S20</f>
        <v>0</v>
      </c>
      <c r="BH50" s="2576">
        <v>7191</v>
      </c>
    </row>
    <row r="51" spans="4:79" ht="17.25" thickTop="1" thickBot="1">
      <c r="D51">
        <v>1071</v>
      </c>
      <c r="F51">
        <v>1</v>
      </c>
      <c r="O51" s="2011" t="s">
        <v>993</v>
      </c>
      <c r="P51" s="2012"/>
      <c r="Q51" s="2013"/>
      <c r="R51" s="2014">
        <f>O50+Q50+S50</f>
        <v>0</v>
      </c>
      <c r="S51" s="1312"/>
      <c r="BH51" s="2576">
        <v>7203</v>
      </c>
      <c r="BJ51" s="2652" t="s">
        <v>5150</v>
      </c>
      <c r="BK51" s="2653"/>
      <c r="BL51" s="2653"/>
      <c r="BM51" s="2653" t="s">
        <v>5153</v>
      </c>
      <c r="BN51" s="3031"/>
      <c r="BO51" s="2653"/>
      <c r="BP51" s="2653"/>
      <c r="BQ51" s="2654"/>
      <c r="BX51" s="2068" t="s">
        <v>4821</v>
      </c>
      <c r="BY51" s="2068" t="s">
        <v>3555</v>
      </c>
      <c r="BZ51" s="2068"/>
      <c r="CA51" s="2104">
        <f>CA49+BV49+BQ49+BH2+BQ53</f>
        <v>0</v>
      </c>
    </row>
    <row r="52" spans="4:79" ht="48.75" thickTop="1" thickBot="1">
      <c r="D52">
        <v>1072</v>
      </c>
      <c r="F52">
        <v>1</v>
      </c>
      <c r="BH52" s="2576">
        <v>7231</v>
      </c>
      <c r="BJ52" s="2660" t="s">
        <v>5140</v>
      </c>
      <c r="BK52" s="2655" t="s">
        <v>5151</v>
      </c>
      <c r="BL52" s="3026" t="s">
        <v>5308</v>
      </c>
      <c r="BM52" s="2655" t="s">
        <v>4849</v>
      </c>
      <c r="BN52" s="2845" t="s">
        <v>5309</v>
      </c>
      <c r="BO52" s="2655" t="s">
        <v>3111</v>
      </c>
      <c r="BP52" s="2655" t="s">
        <v>5157</v>
      </c>
      <c r="BQ52" s="2656" t="s">
        <v>798</v>
      </c>
    </row>
    <row r="53" spans="4:79" ht="19.5" thickTop="1" thickBot="1">
      <c r="D53">
        <v>1073</v>
      </c>
      <c r="F53">
        <v>1</v>
      </c>
      <c r="G53" s="2652" t="s">
        <v>5150</v>
      </c>
      <c r="H53" s="2653"/>
      <c r="I53" s="2653"/>
      <c r="J53" s="2653" t="s">
        <v>5153</v>
      </c>
      <c r="K53" s="2653"/>
      <c r="L53" s="2653"/>
      <c r="M53" s="2653"/>
      <c r="N53" s="2654"/>
      <c r="O53" s="2650" t="s">
        <v>3556</v>
      </c>
      <c r="P53" s="1752"/>
      <c r="Q53" s="1752"/>
      <c r="R53" s="1753">
        <f>R51+CR19+S16+BH5+$N$55</f>
        <v>0</v>
      </c>
      <c r="BH53" s="2576">
        <v>7232</v>
      </c>
      <c r="BJ53" s="2657" t="s">
        <v>5152</v>
      </c>
      <c r="BK53" s="2658">
        <v>250000</v>
      </c>
      <c r="BL53" s="2986">
        <f>IF($BK$58=$BJ$59,0,349500)</f>
        <v>349500</v>
      </c>
      <c r="BM53" s="2658">
        <f>$BK$53*$O$4*BB1</f>
        <v>250000</v>
      </c>
      <c r="BN53" s="2845">
        <f>IF($BL$55&lt;=$L$58,$BL$55*$K$58,$BL$55+$M$58)</f>
        <v>379950</v>
      </c>
      <c r="BO53" s="2658">
        <f>ROUND($BL$55/12,0)*12</f>
        <v>349500</v>
      </c>
      <c r="BP53" s="2658">
        <f>NDK!$Q$21</f>
        <v>0</v>
      </c>
      <c r="BQ53" s="2659">
        <f>BO53*BP53</f>
        <v>0</v>
      </c>
    </row>
    <row r="54" spans="4:79" ht="16.5" thickTop="1">
      <c r="D54">
        <v>1074</v>
      </c>
      <c r="F54">
        <v>1</v>
      </c>
      <c r="G54" s="2660" t="s">
        <v>5139</v>
      </c>
      <c r="H54" s="2655" t="s">
        <v>5151</v>
      </c>
      <c r="I54" s="2985" t="s">
        <v>1185</v>
      </c>
      <c r="J54" s="2655" t="s">
        <v>4849</v>
      </c>
      <c r="K54" s="2845" t="s">
        <v>5315</v>
      </c>
      <c r="L54" s="2655" t="s">
        <v>3111</v>
      </c>
      <c r="M54" s="2655" t="s">
        <v>5157</v>
      </c>
      <c r="N54" s="2656" t="s">
        <v>798</v>
      </c>
      <c r="BH54" s="2576">
        <v>7236</v>
      </c>
      <c r="BL54" s="2655" t="s">
        <v>5156</v>
      </c>
    </row>
    <row r="55" spans="4:79" ht="16.5" thickBot="1">
      <c r="D55">
        <v>1075</v>
      </c>
      <c r="F55">
        <v>1</v>
      </c>
      <c r="G55" s="2657" t="s">
        <v>5152</v>
      </c>
      <c r="H55" s="2658">
        <v>250000</v>
      </c>
      <c r="I55" s="2986">
        <v>349500</v>
      </c>
      <c r="J55" s="2658">
        <f>$H$55*$M$4*$O$4</f>
        <v>0</v>
      </c>
      <c r="K55" s="2845">
        <f>IF(J56&lt;=L58,J56*K58,J56+M58)</f>
        <v>379950</v>
      </c>
      <c r="L55" s="2658">
        <f>ROUND($K$55/12,0)*12</f>
        <v>379956</v>
      </c>
      <c r="M55" s="2658">
        <f>NDK!$Q$21</f>
        <v>0</v>
      </c>
      <c r="N55" s="2659">
        <f>L55*M55</f>
        <v>0</v>
      </c>
      <c r="BH55" s="2576">
        <v>7255</v>
      </c>
      <c r="BL55" s="2658">
        <f>MAX($BL$53,$BM$53)</f>
        <v>349500</v>
      </c>
    </row>
    <row r="56" spans="4:79" ht="14.25" thickTop="1" thickBot="1">
      <c r="D56">
        <v>1076</v>
      </c>
      <c r="F56">
        <v>1</v>
      </c>
      <c r="G56" s="2651"/>
      <c r="H56" s="2425"/>
      <c r="I56" s="2655" t="s">
        <v>5156</v>
      </c>
      <c r="J56" s="2658">
        <f>MAX($J$55,$I$55)</f>
        <v>349500</v>
      </c>
      <c r="BH56" s="2576">
        <v>7264</v>
      </c>
    </row>
    <row r="57" spans="4:79" ht="14.25" thickTop="1" thickBot="1">
      <c r="D57">
        <v>1077</v>
      </c>
      <c r="F57">
        <v>1</v>
      </c>
      <c r="K57" s="2807" t="s">
        <v>5301</v>
      </c>
      <c r="L57" s="2807"/>
      <c r="M57" s="2807"/>
      <c r="BH57" s="2576">
        <v>7285</v>
      </c>
    </row>
    <row r="58" spans="4:79" ht="13.5" thickBot="1">
      <c r="D58">
        <v>1078</v>
      </c>
      <c r="F58">
        <v>1</v>
      </c>
      <c r="K58" s="3017">
        <f>AE1</f>
        <v>1.3</v>
      </c>
      <c r="L58" s="3018">
        <f>AF1</f>
        <v>101500</v>
      </c>
      <c r="M58" s="3019">
        <f>AG1</f>
        <v>30450</v>
      </c>
      <c r="BH58" s="2576">
        <v>7343</v>
      </c>
      <c r="BJ58" s="2243" t="s">
        <v>5306</v>
      </c>
      <c r="BK58" t="str">
        <f>KÉRDÉSEK!C149</f>
        <v>NEM</v>
      </c>
    </row>
    <row r="59" spans="4:79">
      <c r="D59">
        <v>1081</v>
      </c>
      <c r="F59">
        <v>1</v>
      </c>
      <c r="H59" s="2016">
        <f>MAX($I17,$R17)</f>
        <v>25000</v>
      </c>
      <c r="I59" s="2016">
        <f>MAX($I17,$N17)</f>
        <v>25000</v>
      </c>
      <c r="J59" s="2016">
        <f>MAX($I17,$P17)</f>
        <v>25000</v>
      </c>
      <c r="BH59" s="2576">
        <v>7547</v>
      </c>
      <c r="BJ59" s="2243" t="s">
        <v>4201</v>
      </c>
    </row>
    <row r="60" spans="4:79">
      <c r="D60">
        <v>1082</v>
      </c>
      <c r="F60">
        <v>1</v>
      </c>
      <c r="BH60" s="2576">
        <v>7579</v>
      </c>
    </row>
    <row r="61" spans="4:79" ht="51">
      <c r="D61">
        <v>1083</v>
      </c>
      <c r="F61">
        <v>1</v>
      </c>
      <c r="H61" s="1575" t="s">
        <v>1184</v>
      </c>
      <c r="I61" s="1575" t="s">
        <v>1181</v>
      </c>
      <c r="J61" s="1575" t="s">
        <v>1183</v>
      </c>
      <c r="BH61" s="2576">
        <v>7818</v>
      </c>
    </row>
    <row r="62" spans="4:79">
      <c r="D62">
        <v>1084</v>
      </c>
      <c r="F62">
        <v>1</v>
      </c>
      <c r="H62" s="2016">
        <f>MAX($I20,$R20)</f>
        <v>100000</v>
      </c>
      <c r="I62" s="441">
        <f>MAX($I20,$N20)</f>
        <v>100000</v>
      </c>
      <c r="J62" s="441">
        <f>MAX($I20,$P20)</f>
        <v>100000</v>
      </c>
      <c r="BH62" s="2576">
        <v>7931</v>
      </c>
    </row>
    <row r="63" spans="4:79">
      <c r="D63">
        <v>1085</v>
      </c>
      <c r="F63">
        <v>1</v>
      </c>
      <c r="BH63" s="2576">
        <v>7949</v>
      </c>
    </row>
    <row r="64" spans="4:79">
      <c r="D64">
        <v>1086</v>
      </c>
      <c r="F64">
        <v>1</v>
      </c>
      <c r="BH64" s="2576">
        <v>7953</v>
      </c>
    </row>
    <row r="65" spans="4:60">
      <c r="D65">
        <v>1087</v>
      </c>
      <c r="F65">
        <v>1</v>
      </c>
      <c r="H65" s="441">
        <f>MAX($I23,$R23)</f>
        <v>150000</v>
      </c>
      <c r="I65" s="441">
        <f>MAX($I23,$N23)</f>
        <v>150000</v>
      </c>
      <c r="J65" s="441">
        <f>MAX($I23,$P23)</f>
        <v>150000</v>
      </c>
      <c r="BH65" s="2576">
        <v>7955</v>
      </c>
    </row>
    <row r="66" spans="4:60">
      <c r="D66">
        <v>1088</v>
      </c>
      <c r="F66">
        <v>1</v>
      </c>
      <c r="BH66" s="2576">
        <v>7963</v>
      </c>
    </row>
    <row r="67" spans="4:60">
      <c r="D67">
        <v>1089</v>
      </c>
      <c r="F67">
        <v>1</v>
      </c>
      <c r="I67" s="441">
        <f>MAX($I25,$N25)</f>
        <v>2000</v>
      </c>
      <c r="J67" s="441">
        <f>MAX($I25,$P25)</f>
        <v>2000</v>
      </c>
      <c r="BH67" s="2576">
        <v>7967</v>
      </c>
    </row>
    <row r="68" spans="4:60">
      <c r="D68">
        <v>1091</v>
      </c>
      <c r="F68">
        <v>2</v>
      </c>
      <c r="I68" s="441">
        <f>MAX($I26,$N26)</f>
        <v>4000</v>
      </c>
      <c r="J68" s="441">
        <f>MAX($I26,$P26)</f>
        <v>4000</v>
      </c>
      <c r="BH68" s="2576">
        <v>7974</v>
      </c>
    </row>
    <row r="69" spans="4:60">
      <c r="D69">
        <v>1092</v>
      </c>
      <c r="F69">
        <v>2</v>
      </c>
      <c r="BH69" s="2576">
        <v>8008</v>
      </c>
    </row>
    <row r="70" spans="4:60">
      <c r="D70">
        <v>1093</v>
      </c>
      <c r="F70">
        <v>2</v>
      </c>
      <c r="H70" s="441">
        <f>MAX($I28,$R28)</f>
        <v>0</v>
      </c>
      <c r="I70" s="441">
        <f>MAX($I28,$N28)</f>
        <v>0</v>
      </c>
      <c r="J70" s="441">
        <f>MAX($I28,$P28)</f>
        <v>0</v>
      </c>
      <c r="BH70" s="2576">
        <v>8014</v>
      </c>
    </row>
    <row r="71" spans="4:60">
      <c r="D71">
        <v>1094</v>
      </c>
      <c r="F71">
        <v>2</v>
      </c>
      <c r="BH71" s="2576">
        <v>8026</v>
      </c>
    </row>
    <row r="72" spans="4:60">
      <c r="D72">
        <v>1095</v>
      </c>
      <c r="F72">
        <v>2</v>
      </c>
      <c r="H72" s="441">
        <f>MAX($I30,$R30)</f>
        <v>0</v>
      </c>
      <c r="I72" s="441">
        <f t="shared" ref="I72:I78" si="32">MAX($I30,$N30)</f>
        <v>0</v>
      </c>
      <c r="J72" s="441">
        <f t="shared" ref="J72:J78" si="33">MAX($I30,$P30)</f>
        <v>0</v>
      </c>
      <c r="BH72" s="2576">
        <v>8284</v>
      </c>
    </row>
    <row r="73" spans="4:60">
      <c r="D73">
        <v>1096</v>
      </c>
      <c r="F73">
        <v>2</v>
      </c>
      <c r="H73" s="441">
        <f>MAX($I31,$R31)</f>
        <v>0</v>
      </c>
      <c r="I73" s="441">
        <f t="shared" si="32"/>
        <v>0</v>
      </c>
      <c r="J73" s="441">
        <f t="shared" si="33"/>
        <v>0</v>
      </c>
      <c r="BH73" s="2576">
        <v>8379</v>
      </c>
    </row>
    <row r="74" spans="4:60">
      <c r="D74">
        <v>1097</v>
      </c>
      <c r="F74">
        <v>2</v>
      </c>
      <c r="I74" s="441">
        <f t="shared" si="32"/>
        <v>12500</v>
      </c>
      <c r="J74" s="441">
        <f t="shared" si="33"/>
        <v>12500</v>
      </c>
      <c r="BH74" s="2576">
        <v>8389</v>
      </c>
    </row>
    <row r="75" spans="4:60">
      <c r="D75">
        <v>1098</v>
      </c>
      <c r="F75">
        <v>2</v>
      </c>
      <c r="I75" s="441">
        <f t="shared" si="32"/>
        <v>5000</v>
      </c>
      <c r="J75" s="441">
        <f t="shared" si="33"/>
        <v>5000</v>
      </c>
      <c r="BH75" s="2576">
        <v>8393</v>
      </c>
    </row>
    <row r="76" spans="4:60">
      <c r="D76">
        <v>1101</v>
      </c>
      <c r="F76">
        <v>2</v>
      </c>
      <c r="I76" s="441">
        <f t="shared" si="32"/>
        <v>5000</v>
      </c>
      <c r="J76" s="441">
        <f t="shared" si="33"/>
        <v>5000</v>
      </c>
      <c r="BH76" s="2576">
        <v>8441</v>
      </c>
    </row>
    <row r="77" spans="4:60">
      <c r="D77">
        <v>1102</v>
      </c>
      <c r="F77">
        <v>2</v>
      </c>
      <c r="I77" s="441">
        <f t="shared" si="32"/>
        <v>5000</v>
      </c>
      <c r="J77" s="441">
        <f t="shared" si="33"/>
        <v>5000</v>
      </c>
      <c r="BH77" s="2576">
        <v>8482</v>
      </c>
    </row>
    <row r="78" spans="4:60">
      <c r="D78">
        <v>1103</v>
      </c>
      <c r="F78">
        <v>2</v>
      </c>
      <c r="I78" s="441">
        <f t="shared" si="32"/>
        <v>12000</v>
      </c>
      <c r="J78" s="441">
        <f t="shared" si="33"/>
        <v>12000</v>
      </c>
      <c r="BH78" s="2576">
        <v>8647</v>
      </c>
    </row>
    <row r="79" spans="4:60">
      <c r="D79">
        <v>1104</v>
      </c>
      <c r="F79">
        <v>2</v>
      </c>
      <c r="BH79" s="2576">
        <v>8779</v>
      </c>
    </row>
    <row r="80" spans="4:60">
      <c r="D80">
        <v>1105</v>
      </c>
      <c r="F80">
        <v>2</v>
      </c>
      <c r="BH80" s="2576">
        <v>9058</v>
      </c>
    </row>
    <row r="81" spans="4:60">
      <c r="D81">
        <v>1106</v>
      </c>
      <c r="F81">
        <v>2</v>
      </c>
      <c r="I81" s="441">
        <f t="shared" ref="I81:I88" si="34">MAX($I39,$N39)</f>
        <v>5532</v>
      </c>
      <c r="J81" s="441">
        <f t="shared" ref="J81:J88" si="35">MAX($I39,$P39)</f>
        <v>5532</v>
      </c>
      <c r="BH81" s="2576">
        <v>9091</v>
      </c>
    </row>
    <row r="82" spans="4:60">
      <c r="D82">
        <v>1107</v>
      </c>
      <c r="F82">
        <v>2</v>
      </c>
      <c r="I82" s="441">
        <f t="shared" si="34"/>
        <v>0</v>
      </c>
      <c r="J82" s="441">
        <f t="shared" si="35"/>
        <v>0</v>
      </c>
      <c r="BH82" s="2576">
        <v>9129</v>
      </c>
    </row>
    <row r="83" spans="4:60">
      <c r="D83">
        <v>1108</v>
      </c>
      <c r="F83">
        <v>2</v>
      </c>
      <c r="I83" s="441">
        <f t="shared" si="34"/>
        <v>9996</v>
      </c>
      <c r="J83" s="441">
        <f t="shared" si="35"/>
        <v>9996</v>
      </c>
      <c r="BH83" s="2576">
        <v>9152</v>
      </c>
    </row>
    <row r="84" spans="4:60">
      <c r="D84">
        <v>1111</v>
      </c>
      <c r="F84">
        <v>1</v>
      </c>
      <c r="I84" s="441">
        <f t="shared" si="34"/>
        <v>9996</v>
      </c>
      <c r="J84" s="441">
        <f t="shared" si="35"/>
        <v>9996</v>
      </c>
      <c r="BH84" s="2576">
        <v>9154</v>
      </c>
    </row>
    <row r="85" spans="4:60">
      <c r="D85">
        <v>1112</v>
      </c>
      <c r="F85">
        <v>1</v>
      </c>
      <c r="H85" s="441">
        <f>MAX($I43,$R43)</f>
        <v>300000</v>
      </c>
      <c r="I85" s="441">
        <f t="shared" si="34"/>
        <v>300000</v>
      </c>
      <c r="J85" s="441">
        <f t="shared" si="35"/>
        <v>300000</v>
      </c>
      <c r="BH85" s="2576">
        <v>9198</v>
      </c>
    </row>
    <row r="86" spans="4:60">
      <c r="D86">
        <v>1113</v>
      </c>
      <c r="F86">
        <v>1</v>
      </c>
      <c r="H86" s="441">
        <f>MAX($I44,$R44)</f>
        <v>600000</v>
      </c>
      <c r="I86" s="441">
        <f t="shared" si="34"/>
        <v>600000</v>
      </c>
      <c r="J86" s="441">
        <f t="shared" si="35"/>
        <v>600000</v>
      </c>
      <c r="BH86" s="2576">
        <v>9368</v>
      </c>
    </row>
    <row r="87" spans="4:60">
      <c r="D87">
        <v>1114</v>
      </c>
      <c r="F87">
        <v>1</v>
      </c>
      <c r="H87" s="441">
        <f>MAX($I45,$R45)</f>
        <v>1000000</v>
      </c>
      <c r="I87" s="441">
        <f t="shared" si="34"/>
        <v>1000000</v>
      </c>
      <c r="J87" s="441">
        <f t="shared" si="35"/>
        <v>1000000</v>
      </c>
      <c r="BH87" s="2576">
        <v>9461</v>
      </c>
    </row>
    <row r="88" spans="4:60">
      <c r="D88">
        <v>1115</v>
      </c>
      <c r="F88">
        <v>1</v>
      </c>
      <c r="H88" s="441">
        <f>MAX($I46,$R46)</f>
        <v>1800000</v>
      </c>
      <c r="I88" s="441">
        <f t="shared" si="34"/>
        <v>1800000</v>
      </c>
      <c r="J88" s="441">
        <f t="shared" si="35"/>
        <v>1800000</v>
      </c>
      <c r="BH88" s="2576">
        <v>9761</v>
      </c>
    </row>
    <row r="89" spans="4:60">
      <c r="D89">
        <v>1116</v>
      </c>
      <c r="F89">
        <v>1</v>
      </c>
      <c r="BH89" s="2576">
        <v>9791</v>
      </c>
    </row>
    <row r="90" spans="4:60">
      <c r="D90">
        <v>1117</v>
      </c>
      <c r="F90">
        <v>1</v>
      </c>
      <c r="I90" s="441">
        <f>MAX($I48,$N48)</f>
        <v>0</v>
      </c>
      <c r="J90" s="441">
        <f>MAX($I48,$P48)</f>
        <v>0</v>
      </c>
      <c r="BH90" s="2576">
        <v>9817</v>
      </c>
    </row>
    <row r="91" spans="4:60">
      <c r="D91">
        <v>1118</v>
      </c>
      <c r="F91">
        <v>1</v>
      </c>
      <c r="BH91" s="2576">
        <v>9831</v>
      </c>
    </row>
    <row r="92" spans="4:60">
      <c r="D92">
        <v>1119</v>
      </c>
      <c r="F92">
        <v>1</v>
      </c>
      <c r="BH92" s="2576">
        <v>9839</v>
      </c>
    </row>
    <row r="93" spans="4:60">
      <c r="D93">
        <v>1121</v>
      </c>
      <c r="F93">
        <v>1</v>
      </c>
      <c r="BH93" s="2576">
        <v>9942</v>
      </c>
    </row>
    <row r="94" spans="4:60">
      <c r="D94">
        <v>1122</v>
      </c>
      <c r="F94">
        <v>1</v>
      </c>
      <c r="BH94" s="2576">
        <v>9946</v>
      </c>
    </row>
    <row r="95" spans="4:60">
      <c r="D95">
        <v>1123</v>
      </c>
      <c r="F95">
        <v>1</v>
      </c>
      <c r="BH95" s="2576">
        <v>9949</v>
      </c>
    </row>
    <row r="96" spans="4:60">
      <c r="D96">
        <v>1124</v>
      </c>
      <c r="F96">
        <v>1</v>
      </c>
      <c r="BH96" s="2576">
        <v>9975</v>
      </c>
    </row>
    <row r="97" spans="4:60">
      <c r="D97">
        <v>1125</v>
      </c>
      <c r="F97">
        <v>1</v>
      </c>
      <c r="BH97" s="2576">
        <v>9980</v>
      </c>
    </row>
    <row r="98" spans="4:60">
      <c r="D98">
        <v>1126</v>
      </c>
      <c r="F98">
        <v>1</v>
      </c>
      <c r="BH98" s="2576">
        <v>9986</v>
      </c>
    </row>
    <row r="99" spans="4:60">
      <c r="D99">
        <v>1131</v>
      </c>
      <c r="F99">
        <v>2</v>
      </c>
      <c r="BH99" s="2576">
        <v>9987</v>
      </c>
    </row>
    <row r="100" spans="4:60">
      <c r="D100">
        <v>1132</v>
      </c>
      <c r="F100">
        <v>2</v>
      </c>
      <c r="BH100" s="2576">
        <v>10055</v>
      </c>
    </row>
    <row r="101" spans="4:60">
      <c r="D101">
        <v>1133</v>
      </c>
      <c r="F101">
        <v>2</v>
      </c>
      <c r="BH101" s="2576">
        <v>10059</v>
      </c>
    </row>
    <row r="102" spans="4:60">
      <c r="D102">
        <v>1134</v>
      </c>
      <c r="F102">
        <v>2</v>
      </c>
      <c r="BH102" s="2576">
        <v>10060</v>
      </c>
    </row>
    <row r="103" spans="4:60">
      <c r="D103">
        <v>1135</v>
      </c>
      <c r="F103">
        <v>2</v>
      </c>
      <c r="BH103" s="2576">
        <v>10072</v>
      </c>
    </row>
    <row r="104" spans="4:60">
      <c r="D104">
        <v>1136</v>
      </c>
      <c r="F104">
        <v>2</v>
      </c>
      <c r="BH104" s="2576">
        <v>10207</v>
      </c>
    </row>
    <row r="105" spans="4:60">
      <c r="D105">
        <v>1137</v>
      </c>
      <c r="F105">
        <v>2</v>
      </c>
      <c r="BH105" s="2576">
        <v>10221</v>
      </c>
    </row>
    <row r="106" spans="4:60">
      <c r="D106">
        <v>1138</v>
      </c>
      <c r="F106">
        <v>2</v>
      </c>
      <c r="BH106" s="2576">
        <v>10236</v>
      </c>
    </row>
    <row r="107" spans="4:60">
      <c r="D107">
        <v>1139</v>
      </c>
      <c r="F107">
        <v>2</v>
      </c>
      <c r="BH107" s="2576">
        <v>10299</v>
      </c>
    </row>
    <row r="108" spans="4:60">
      <c r="D108">
        <v>1141</v>
      </c>
      <c r="F108">
        <v>3</v>
      </c>
      <c r="BH108" s="2576">
        <v>10376</v>
      </c>
    </row>
    <row r="109" spans="4:60">
      <c r="D109">
        <v>1142</v>
      </c>
      <c r="F109">
        <v>3</v>
      </c>
      <c r="BH109" s="2576">
        <v>10443</v>
      </c>
    </row>
    <row r="110" spans="4:60">
      <c r="D110">
        <v>1143</v>
      </c>
      <c r="F110">
        <v>3</v>
      </c>
      <c r="BH110" s="2576">
        <v>10480</v>
      </c>
    </row>
    <row r="111" spans="4:60">
      <c r="D111">
        <v>1144</v>
      </c>
      <c r="F111">
        <v>3</v>
      </c>
      <c r="BH111" s="2576">
        <v>10485</v>
      </c>
    </row>
    <row r="112" spans="4:60">
      <c r="D112">
        <v>1145</v>
      </c>
      <c r="F112">
        <v>3</v>
      </c>
      <c r="BH112" s="2576">
        <v>10487</v>
      </c>
    </row>
    <row r="113" spans="4:60">
      <c r="D113">
        <v>1146</v>
      </c>
      <c r="F113">
        <v>3</v>
      </c>
      <c r="BH113" s="2576">
        <v>10490</v>
      </c>
    </row>
    <row r="114" spans="4:60">
      <c r="D114">
        <v>1147</v>
      </c>
      <c r="F114">
        <v>3</v>
      </c>
      <c r="BH114" s="2576">
        <v>10495</v>
      </c>
    </row>
    <row r="115" spans="4:60">
      <c r="D115">
        <v>1148</v>
      </c>
      <c r="F115">
        <v>3</v>
      </c>
      <c r="BH115" s="2576">
        <v>10505</v>
      </c>
    </row>
    <row r="116" spans="4:60">
      <c r="D116">
        <v>1149</v>
      </c>
      <c r="F116">
        <v>3</v>
      </c>
      <c r="BH116" s="2576">
        <v>10514</v>
      </c>
    </row>
    <row r="117" spans="4:60">
      <c r="D117">
        <v>1151</v>
      </c>
      <c r="F117">
        <v>1</v>
      </c>
      <c r="BH117" s="2576">
        <v>10537</v>
      </c>
    </row>
    <row r="118" spans="4:60">
      <c r="D118">
        <v>1152</v>
      </c>
      <c r="F118">
        <v>1</v>
      </c>
      <c r="BH118" s="2576">
        <v>10546</v>
      </c>
    </row>
    <row r="119" spans="4:60">
      <c r="D119">
        <v>1153</v>
      </c>
      <c r="F119">
        <v>1</v>
      </c>
      <c r="BH119" s="2576">
        <v>10551</v>
      </c>
    </row>
    <row r="120" spans="4:60">
      <c r="D120">
        <v>1154</v>
      </c>
      <c r="F120">
        <v>1</v>
      </c>
      <c r="BH120" s="2576">
        <v>10560</v>
      </c>
    </row>
    <row r="121" spans="4:60">
      <c r="D121">
        <v>1155</v>
      </c>
      <c r="F121">
        <v>1</v>
      </c>
      <c r="BH121" s="2576">
        <v>10571</v>
      </c>
    </row>
    <row r="122" spans="4:60">
      <c r="D122">
        <v>1156</v>
      </c>
      <c r="F122">
        <v>1</v>
      </c>
      <c r="BH122" s="2576">
        <v>10597</v>
      </c>
    </row>
    <row r="123" spans="4:60">
      <c r="D123">
        <v>1157</v>
      </c>
      <c r="F123">
        <v>1</v>
      </c>
      <c r="BH123" s="2576">
        <v>10601</v>
      </c>
    </row>
    <row r="124" spans="4:60">
      <c r="D124">
        <v>1158</v>
      </c>
      <c r="F124">
        <v>1</v>
      </c>
      <c r="BH124" s="2576">
        <v>10603</v>
      </c>
    </row>
    <row r="125" spans="4:60">
      <c r="D125">
        <v>1161</v>
      </c>
      <c r="F125">
        <v>2</v>
      </c>
      <c r="BH125" s="2576">
        <v>10604</v>
      </c>
    </row>
    <row r="126" spans="4:60">
      <c r="D126">
        <v>1162</v>
      </c>
      <c r="F126">
        <v>2</v>
      </c>
      <c r="BH126" s="2576">
        <v>10607</v>
      </c>
    </row>
    <row r="127" spans="4:60">
      <c r="D127">
        <v>1163</v>
      </c>
      <c r="F127">
        <v>2</v>
      </c>
      <c r="BH127" s="2576">
        <v>10608</v>
      </c>
    </row>
    <row r="128" spans="4:60">
      <c r="D128">
        <v>1164</v>
      </c>
      <c r="F128">
        <v>2</v>
      </c>
      <c r="BH128" s="2576">
        <v>10612</v>
      </c>
    </row>
    <row r="129" spans="4:60">
      <c r="D129">
        <v>1165</v>
      </c>
      <c r="F129">
        <v>2</v>
      </c>
      <c r="BH129" s="2576">
        <v>10629</v>
      </c>
    </row>
    <row r="130" spans="4:60">
      <c r="D130">
        <v>1171</v>
      </c>
      <c r="F130">
        <v>3</v>
      </c>
      <c r="BH130" s="2576">
        <v>10671</v>
      </c>
    </row>
    <row r="131" spans="4:60">
      <c r="D131">
        <v>1172</v>
      </c>
      <c r="F131">
        <v>3</v>
      </c>
      <c r="BH131" s="2576">
        <v>10672</v>
      </c>
    </row>
    <row r="132" spans="4:60">
      <c r="D132">
        <v>1173</v>
      </c>
      <c r="F132">
        <v>3</v>
      </c>
      <c r="BH132" s="2576">
        <v>10674</v>
      </c>
    </row>
    <row r="133" spans="4:60">
      <c r="D133">
        <v>1174</v>
      </c>
      <c r="F133">
        <v>3</v>
      </c>
      <c r="BH133" s="2576">
        <v>10675</v>
      </c>
    </row>
    <row r="134" spans="4:60">
      <c r="D134">
        <v>1181</v>
      </c>
      <c r="F134">
        <v>3</v>
      </c>
      <c r="BH134" s="2576">
        <v>10678</v>
      </c>
    </row>
    <row r="135" spans="4:60">
      <c r="D135">
        <v>1182</v>
      </c>
      <c r="F135">
        <v>3</v>
      </c>
      <c r="BH135" s="2576">
        <v>10680</v>
      </c>
    </row>
    <row r="136" spans="4:60">
      <c r="D136">
        <v>1183</v>
      </c>
      <c r="F136">
        <v>3</v>
      </c>
      <c r="BH136" s="2576">
        <v>10682</v>
      </c>
    </row>
    <row r="137" spans="4:60">
      <c r="D137">
        <v>1184</v>
      </c>
      <c r="F137">
        <v>3</v>
      </c>
      <c r="BH137" s="2576">
        <v>10684</v>
      </c>
    </row>
    <row r="138" spans="4:60">
      <c r="D138">
        <v>1185</v>
      </c>
      <c r="F138">
        <v>3</v>
      </c>
      <c r="BH138" s="2576">
        <v>11007</v>
      </c>
    </row>
    <row r="139" spans="4:60">
      <c r="D139">
        <v>1186</v>
      </c>
      <c r="F139">
        <v>3</v>
      </c>
      <c r="BH139" s="2576">
        <v>11015</v>
      </c>
    </row>
    <row r="140" spans="4:60">
      <c r="D140">
        <v>1188</v>
      </c>
      <c r="F140">
        <v>3</v>
      </c>
      <c r="BH140" s="2576">
        <v>11098</v>
      </c>
    </row>
    <row r="141" spans="4:60">
      <c r="D141">
        <v>1191</v>
      </c>
      <c r="F141">
        <v>1</v>
      </c>
      <c r="BH141" s="2576">
        <v>11178</v>
      </c>
    </row>
    <row r="142" spans="4:60">
      <c r="D142">
        <v>1192</v>
      </c>
      <c r="F142">
        <v>1</v>
      </c>
      <c r="BH142" s="2576">
        <v>11284</v>
      </c>
    </row>
    <row r="143" spans="4:60">
      <c r="D143">
        <v>1193</v>
      </c>
      <c r="F143">
        <v>1</v>
      </c>
      <c r="BH143" s="2576">
        <v>11290</v>
      </c>
    </row>
    <row r="144" spans="4:60">
      <c r="D144">
        <v>1194</v>
      </c>
      <c r="F144">
        <v>1</v>
      </c>
      <c r="BH144" s="2576">
        <v>11292</v>
      </c>
    </row>
    <row r="145" spans="4:60">
      <c r="D145">
        <v>1195</v>
      </c>
      <c r="F145">
        <v>1</v>
      </c>
      <c r="BH145" s="2576">
        <v>11293</v>
      </c>
    </row>
    <row r="146" spans="4:60">
      <c r="D146">
        <v>1196</v>
      </c>
      <c r="F146">
        <v>1</v>
      </c>
      <c r="BH146" s="2576">
        <v>11296</v>
      </c>
    </row>
    <row r="147" spans="4:60">
      <c r="D147">
        <v>1201</v>
      </c>
      <c r="F147">
        <v>3</v>
      </c>
      <c r="BH147" s="2576">
        <v>11298</v>
      </c>
    </row>
    <row r="148" spans="4:60">
      <c r="D148">
        <v>1202</v>
      </c>
      <c r="F148">
        <v>3</v>
      </c>
      <c r="BH148" s="2576">
        <v>11300</v>
      </c>
    </row>
    <row r="149" spans="4:60">
      <c r="D149">
        <v>1203</v>
      </c>
      <c r="F149">
        <v>3</v>
      </c>
      <c r="BH149" s="2576">
        <v>11301</v>
      </c>
    </row>
    <row r="150" spans="4:60">
      <c r="D150">
        <v>1204</v>
      </c>
      <c r="F150">
        <v>3</v>
      </c>
      <c r="BH150" s="2576">
        <v>11302</v>
      </c>
    </row>
    <row r="151" spans="4:60">
      <c r="D151">
        <v>1205</v>
      </c>
      <c r="F151">
        <v>3</v>
      </c>
      <c r="BH151" s="2576">
        <v>11303</v>
      </c>
    </row>
    <row r="152" spans="4:60">
      <c r="D152">
        <v>1208</v>
      </c>
      <c r="F152">
        <v>1</v>
      </c>
      <c r="BH152" s="2576">
        <v>11305</v>
      </c>
    </row>
    <row r="153" spans="4:60">
      <c r="D153">
        <v>1209</v>
      </c>
      <c r="F153">
        <v>1</v>
      </c>
      <c r="BH153" s="2576">
        <v>11308</v>
      </c>
    </row>
    <row r="154" spans="4:60">
      <c r="D154">
        <v>1211</v>
      </c>
      <c r="F154">
        <v>3</v>
      </c>
      <c r="BH154" s="2576">
        <v>11309</v>
      </c>
    </row>
    <row r="155" spans="4:60">
      <c r="D155">
        <v>1212</v>
      </c>
      <c r="F155">
        <v>3</v>
      </c>
      <c r="BH155" s="2576">
        <v>11311</v>
      </c>
    </row>
    <row r="156" spans="4:60">
      <c r="D156">
        <v>1213</v>
      </c>
      <c r="F156">
        <v>3</v>
      </c>
      <c r="BH156" s="2576">
        <v>11322</v>
      </c>
    </row>
    <row r="157" spans="4:60">
      <c r="D157">
        <v>1214</v>
      </c>
      <c r="F157">
        <v>3</v>
      </c>
      <c r="BH157" s="2576">
        <v>11328</v>
      </c>
    </row>
    <row r="158" spans="4:60">
      <c r="D158">
        <v>1215</v>
      </c>
      <c r="F158">
        <v>3</v>
      </c>
      <c r="BH158" s="2576">
        <v>11343</v>
      </c>
    </row>
    <row r="159" spans="4:60">
      <c r="D159">
        <v>1216</v>
      </c>
      <c r="F159">
        <v>3</v>
      </c>
      <c r="BH159" s="2576">
        <v>11415</v>
      </c>
    </row>
    <row r="160" spans="4:60">
      <c r="D160">
        <v>1221</v>
      </c>
      <c r="F160">
        <v>3</v>
      </c>
      <c r="BH160" s="2576">
        <v>11686</v>
      </c>
    </row>
    <row r="161" spans="4:60">
      <c r="D161">
        <v>1222</v>
      </c>
      <c r="F161">
        <v>3</v>
      </c>
      <c r="BH161" s="2576">
        <v>11863</v>
      </c>
    </row>
    <row r="162" spans="4:60">
      <c r="D162">
        <v>1223</v>
      </c>
      <c r="F162">
        <v>3</v>
      </c>
      <c r="BH162" s="2576">
        <v>11864</v>
      </c>
    </row>
    <row r="163" spans="4:60">
      <c r="D163">
        <v>1224</v>
      </c>
      <c r="F163">
        <v>3</v>
      </c>
      <c r="BH163" s="2576">
        <v>12034</v>
      </c>
    </row>
    <row r="164" spans="4:60">
      <c r="D164">
        <v>1225</v>
      </c>
      <c r="F164">
        <v>3</v>
      </c>
      <c r="BH164" s="2576">
        <v>12035</v>
      </c>
    </row>
    <row r="165" spans="4:60">
      <c r="D165">
        <v>1230</v>
      </c>
      <c r="F165">
        <v>1</v>
      </c>
      <c r="BH165" s="2576">
        <v>12036</v>
      </c>
    </row>
    <row r="166" spans="4:60">
      <c r="D166">
        <v>1237</v>
      </c>
      <c r="F166">
        <v>3</v>
      </c>
      <c r="BH166" s="2576">
        <v>12103</v>
      </c>
    </row>
    <row r="167" spans="4:60">
      <c r="D167">
        <v>1238</v>
      </c>
      <c r="F167">
        <v>3</v>
      </c>
      <c r="BH167" s="2576">
        <v>12104</v>
      </c>
    </row>
    <row r="168" spans="4:60">
      <c r="D168">
        <v>1239</v>
      </c>
      <c r="F168">
        <v>3</v>
      </c>
      <c r="BH168" s="2576">
        <v>12105</v>
      </c>
    </row>
    <row r="169" spans="4:60">
      <c r="D169">
        <v>1240</v>
      </c>
      <c r="F169">
        <v>1</v>
      </c>
      <c r="BH169" s="2576">
        <v>12107</v>
      </c>
    </row>
    <row r="170" spans="4:60">
      <c r="D170">
        <v>1241</v>
      </c>
      <c r="F170">
        <v>1</v>
      </c>
      <c r="BH170" s="2576">
        <v>12116</v>
      </c>
    </row>
    <row r="171" spans="4:60">
      <c r="D171">
        <v>1242</v>
      </c>
      <c r="F171">
        <v>1</v>
      </c>
      <c r="BH171" s="2576">
        <v>12117</v>
      </c>
    </row>
    <row r="172" spans="4:60">
      <c r="D172">
        <v>1243</v>
      </c>
      <c r="F172">
        <v>1</v>
      </c>
      <c r="BH172" s="2576">
        <v>12118</v>
      </c>
    </row>
    <row r="173" spans="4:60">
      <c r="D173">
        <v>1244</v>
      </c>
      <c r="F173">
        <v>1</v>
      </c>
      <c r="BH173" s="2576">
        <v>12125</v>
      </c>
    </row>
    <row r="174" spans="4:60">
      <c r="D174">
        <v>1245</v>
      </c>
      <c r="F174">
        <v>1</v>
      </c>
      <c r="BH174" s="2576">
        <v>12126</v>
      </c>
    </row>
    <row r="175" spans="4:60">
      <c r="D175">
        <v>1250</v>
      </c>
      <c r="F175">
        <v>1</v>
      </c>
      <c r="BH175" s="2576">
        <v>12128</v>
      </c>
    </row>
    <row r="176" spans="4:60">
      <c r="D176">
        <v>1251</v>
      </c>
      <c r="F176">
        <v>1</v>
      </c>
      <c r="BH176" s="2576">
        <v>12136</v>
      </c>
    </row>
    <row r="177" spans="4:60">
      <c r="D177">
        <v>1252</v>
      </c>
      <c r="F177">
        <v>1</v>
      </c>
      <c r="BH177" s="2576">
        <v>12209</v>
      </c>
    </row>
    <row r="178" spans="4:60">
      <c r="D178">
        <v>1253</v>
      </c>
      <c r="F178">
        <v>1</v>
      </c>
      <c r="BH178" s="2576">
        <v>12214</v>
      </c>
    </row>
    <row r="179" spans="4:60">
      <c r="D179">
        <v>1255</v>
      </c>
      <c r="F179">
        <v>1</v>
      </c>
      <c r="BH179" s="2576">
        <v>12251</v>
      </c>
    </row>
    <row r="180" spans="4:60">
      <c r="D180">
        <v>1258</v>
      </c>
      <c r="F180">
        <v>1</v>
      </c>
      <c r="BH180" s="2576">
        <v>12274</v>
      </c>
    </row>
    <row r="181" spans="4:60">
      <c r="D181">
        <v>1275</v>
      </c>
      <c r="F181">
        <v>1</v>
      </c>
      <c r="BH181" s="2576">
        <v>12276</v>
      </c>
    </row>
    <row r="182" spans="4:60">
      <c r="D182">
        <v>1276</v>
      </c>
      <c r="F182">
        <v>1</v>
      </c>
      <c r="BH182" s="2576">
        <v>12277</v>
      </c>
    </row>
    <row r="183" spans="4:60">
      <c r="D183">
        <v>1277</v>
      </c>
      <c r="F183">
        <v>1</v>
      </c>
      <c r="BH183" s="2576">
        <v>12278</v>
      </c>
    </row>
    <row r="184" spans="4:60">
      <c r="D184">
        <v>1278</v>
      </c>
      <c r="F184">
        <v>1</v>
      </c>
      <c r="BH184" s="2576">
        <v>12279</v>
      </c>
    </row>
    <row r="185" spans="4:60">
      <c r="D185">
        <v>1279</v>
      </c>
      <c r="F185">
        <v>1</v>
      </c>
      <c r="BH185" s="2576">
        <v>12280</v>
      </c>
    </row>
    <row r="186" spans="4:60">
      <c r="D186">
        <v>1280</v>
      </c>
      <c r="F186">
        <v>1</v>
      </c>
      <c r="BH186" s="2576">
        <v>12281</v>
      </c>
    </row>
    <row r="187" spans="4:60">
      <c r="D187">
        <v>1281</v>
      </c>
      <c r="F187">
        <v>1</v>
      </c>
      <c r="BH187" s="2576">
        <v>12283</v>
      </c>
    </row>
    <row r="188" spans="4:60">
      <c r="D188">
        <v>1282</v>
      </c>
      <c r="F188">
        <v>1</v>
      </c>
      <c r="BH188" s="2576">
        <v>12286</v>
      </c>
    </row>
    <row r="189" spans="4:60">
      <c r="D189">
        <v>1285</v>
      </c>
      <c r="F189">
        <v>1</v>
      </c>
      <c r="BH189" s="2576">
        <v>12298</v>
      </c>
    </row>
    <row r="190" spans="4:60">
      <c r="D190">
        <v>1286</v>
      </c>
      <c r="F190">
        <v>1</v>
      </c>
      <c r="BH190" s="2576">
        <v>12300</v>
      </c>
    </row>
    <row r="191" spans="4:60">
      <c r="D191">
        <v>1300</v>
      </c>
      <c r="F191">
        <v>1</v>
      </c>
      <c r="BH191" s="2576">
        <v>12309</v>
      </c>
    </row>
    <row r="192" spans="4:60">
      <c r="D192">
        <v>1301</v>
      </c>
      <c r="F192">
        <v>1</v>
      </c>
      <c r="BH192" s="2576">
        <v>12320</v>
      </c>
    </row>
    <row r="193" spans="4:60">
      <c r="D193">
        <v>1302</v>
      </c>
      <c r="F193">
        <v>1</v>
      </c>
      <c r="BH193" s="2576">
        <v>12337</v>
      </c>
    </row>
    <row r="194" spans="4:60">
      <c r="D194">
        <v>1303</v>
      </c>
      <c r="F194">
        <v>1</v>
      </c>
      <c r="BH194" s="2576">
        <v>12388</v>
      </c>
    </row>
    <row r="195" spans="4:60">
      <c r="D195">
        <v>1304</v>
      </c>
      <c r="F195">
        <v>1</v>
      </c>
      <c r="BH195" s="2576">
        <v>12395</v>
      </c>
    </row>
    <row r="196" spans="4:60">
      <c r="D196">
        <v>1305</v>
      </c>
      <c r="F196">
        <v>1</v>
      </c>
      <c r="BH196" s="2576">
        <v>12396</v>
      </c>
    </row>
    <row r="197" spans="4:60">
      <c r="D197">
        <v>1306</v>
      </c>
      <c r="F197">
        <v>1</v>
      </c>
      <c r="BH197" s="2576">
        <v>12398</v>
      </c>
    </row>
    <row r="198" spans="4:60">
      <c r="D198">
        <v>1307</v>
      </c>
      <c r="F198">
        <v>1</v>
      </c>
      <c r="BH198" s="2576">
        <v>12400</v>
      </c>
    </row>
    <row r="199" spans="4:60">
      <c r="D199">
        <v>1310</v>
      </c>
      <c r="F199">
        <v>1</v>
      </c>
      <c r="BH199" s="2576">
        <v>12466</v>
      </c>
    </row>
    <row r="200" spans="4:60">
      <c r="D200">
        <v>1311</v>
      </c>
      <c r="F200">
        <v>1</v>
      </c>
      <c r="BH200" s="2576">
        <v>12467</v>
      </c>
    </row>
    <row r="201" spans="4:60">
      <c r="D201">
        <v>1312</v>
      </c>
      <c r="F201">
        <v>1</v>
      </c>
      <c r="BH201" s="2576">
        <v>12469</v>
      </c>
    </row>
    <row r="202" spans="4:60">
      <c r="D202">
        <v>1315</v>
      </c>
      <c r="F202">
        <v>1</v>
      </c>
      <c r="BH202" s="2576">
        <v>12531</v>
      </c>
    </row>
    <row r="203" spans="4:60">
      <c r="D203">
        <v>1325</v>
      </c>
      <c r="F203">
        <v>1</v>
      </c>
      <c r="BH203" s="2576">
        <v>12577</v>
      </c>
    </row>
    <row r="204" spans="4:60">
      <c r="D204">
        <v>1327</v>
      </c>
      <c r="F204">
        <v>1</v>
      </c>
      <c r="BH204" s="2576">
        <v>12580</v>
      </c>
    </row>
    <row r="205" spans="4:60">
      <c r="D205">
        <v>1328</v>
      </c>
      <c r="F205">
        <v>1</v>
      </c>
      <c r="BH205" s="2576">
        <v>12583</v>
      </c>
    </row>
    <row r="206" spans="4:60">
      <c r="D206">
        <v>1329</v>
      </c>
      <c r="F206">
        <v>1</v>
      </c>
      <c r="BH206" s="2576">
        <v>12586</v>
      </c>
    </row>
    <row r="207" spans="4:60">
      <c r="D207">
        <v>1330</v>
      </c>
      <c r="F207">
        <v>1</v>
      </c>
      <c r="BH207" s="2576">
        <v>12632</v>
      </c>
    </row>
    <row r="208" spans="4:60">
      <c r="D208">
        <v>1340</v>
      </c>
      <c r="F208">
        <v>1</v>
      </c>
      <c r="BH208" s="2576">
        <v>12638</v>
      </c>
    </row>
    <row r="209" spans="4:60">
      <c r="D209">
        <v>1350</v>
      </c>
      <c r="F209">
        <v>1</v>
      </c>
      <c r="BH209" s="2576">
        <v>12643</v>
      </c>
    </row>
    <row r="210" spans="4:60">
      <c r="D210">
        <v>1351</v>
      </c>
      <c r="F210">
        <v>1</v>
      </c>
      <c r="BH210" s="2576">
        <v>12647</v>
      </c>
    </row>
    <row r="211" spans="4:60">
      <c r="D211">
        <v>1352</v>
      </c>
      <c r="F211">
        <v>1</v>
      </c>
      <c r="BH211" s="2576">
        <v>12648</v>
      </c>
    </row>
    <row r="212" spans="4:60">
      <c r="D212">
        <v>1353</v>
      </c>
      <c r="F212">
        <v>1</v>
      </c>
      <c r="BH212" s="2576">
        <v>12649</v>
      </c>
    </row>
    <row r="213" spans="4:60">
      <c r="D213">
        <v>1354</v>
      </c>
      <c r="F213">
        <v>1</v>
      </c>
      <c r="BH213" s="2576">
        <v>12650</v>
      </c>
    </row>
    <row r="214" spans="4:60">
      <c r="D214">
        <v>1355</v>
      </c>
      <c r="F214">
        <v>1</v>
      </c>
      <c r="BH214" s="2576">
        <v>12651</v>
      </c>
    </row>
    <row r="215" spans="4:60">
      <c r="D215">
        <v>1356</v>
      </c>
      <c r="F215">
        <v>1</v>
      </c>
      <c r="BH215" s="2576">
        <v>12652</v>
      </c>
    </row>
    <row r="216" spans="4:60">
      <c r="D216">
        <v>1357</v>
      </c>
      <c r="F216">
        <v>1</v>
      </c>
      <c r="BH216" s="2576">
        <v>12653</v>
      </c>
    </row>
    <row r="217" spans="4:60">
      <c r="D217">
        <v>1358</v>
      </c>
      <c r="F217">
        <v>1</v>
      </c>
      <c r="BH217" s="2576">
        <v>12654</v>
      </c>
    </row>
    <row r="218" spans="4:60">
      <c r="D218">
        <v>1360</v>
      </c>
      <c r="F218">
        <v>1</v>
      </c>
      <c r="BH218" s="2576">
        <v>12656</v>
      </c>
    </row>
    <row r="219" spans="4:60">
      <c r="D219">
        <v>1361</v>
      </c>
      <c r="F219">
        <v>1</v>
      </c>
      <c r="BH219" s="2576">
        <v>12657</v>
      </c>
    </row>
    <row r="220" spans="4:60">
      <c r="D220">
        <v>1362</v>
      </c>
      <c r="F220">
        <v>1</v>
      </c>
      <c r="BH220" s="2576">
        <v>12659</v>
      </c>
    </row>
    <row r="221" spans="4:60">
      <c r="D221">
        <v>1363</v>
      </c>
      <c r="F221">
        <v>1</v>
      </c>
      <c r="BH221" s="2576">
        <v>12660</v>
      </c>
    </row>
    <row r="222" spans="4:60">
      <c r="D222">
        <v>1364</v>
      </c>
      <c r="F222">
        <v>1</v>
      </c>
      <c r="BH222" s="2576">
        <v>12661</v>
      </c>
    </row>
    <row r="223" spans="4:60">
      <c r="D223">
        <v>1365</v>
      </c>
      <c r="F223">
        <v>1</v>
      </c>
      <c r="BH223" s="2576">
        <v>12663</v>
      </c>
    </row>
    <row r="224" spans="4:60">
      <c r="D224">
        <v>1366</v>
      </c>
      <c r="F224">
        <v>1</v>
      </c>
      <c r="BH224" s="2576">
        <v>12666</v>
      </c>
    </row>
    <row r="225" spans="4:60">
      <c r="D225">
        <v>1367</v>
      </c>
      <c r="F225">
        <v>1</v>
      </c>
      <c r="BH225" s="2576">
        <v>12667</v>
      </c>
    </row>
    <row r="226" spans="4:60">
      <c r="D226">
        <v>1368</v>
      </c>
      <c r="F226">
        <v>1</v>
      </c>
      <c r="BH226" s="2576">
        <v>12669</v>
      </c>
    </row>
    <row r="227" spans="4:60">
      <c r="D227">
        <v>1369</v>
      </c>
      <c r="F227">
        <v>1</v>
      </c>
      <c r="BH227" s="2576">
        <v>12743</v>
      </c>
    </row>
    <row r="228" spans="4:60">
      <c r="D228">
        <v>1370</v>
      </c>
      <c r="F228">
        <v>1</v>
      </c>
      <c r="BH228" s="2576">
        <v>12744</v>
      </c>
    </row>
    <row r="229" spans="4:60">
      <c r="D229">
        <v>1371</v>
      </c>
      <c r="F229">
        <v>1</v>
      </c>
      <c r="BH229" s="2576">
        <v>12748</v>
      </c>
    </row>
    <row r="230" spans="4:60">
      <c r="D230">
        <v>1372</v>
      </c>
      <c r="F230">
        <v>1</v>
      </c>
      <c r="BH230" s="2576">
        <v>12751</v>
      </c>
    </row>
    <row r="231" spans="4:60">
      <c r="D231">
        <v>1373</v>
      </c>
      <c r="F231">
        <v>1</v>
      </c>
      <c r="BH231" s="2576">
        <v>12753</v>
      </c>
    </row>
    <row r="232" spans="4:60">
      <c r="D232">
        <v>1374</v>
      </c>
      <c r="F232">
        <v>1</v>
      </c>
      <c r="BH232" s="2576">
        <v>12800</v>
      </c>
    </row>
    <row r="233" spans="4:60">
      <c r="D233">
        <v>1375</v>
      </c>
      <c r="F233">
        <v>1</v>
      </c>
      <c r="BH233" s="2576">
        <v>12801</v>
      </c>
    </row>
    <row r="234" spans="4:60">
      <c r="D234">
        <v>1376</v>
      </c>
      <c r="F234">
        <v>1</v>
      </c>
      <c r="BH234" s="2576">
        <v>12803</v>
      </c>
    </row>
    <row r="235" spans="4:60">
      <c r="D235">
        <v>1377</v>
      </c>
      <c r="F235">
        <v>1</v>
      </c>
      <c r="BH235" s="2576">
        <v>12806</v>
      </c>
    </row>
    <row r="236" spans="4:60">
      <c r="D236">
        <v>1378</v>
      </c>
      <c r="F236">
        <v>1</v>
      </c>
      <c r="BH236" s="2576">
        <v>12862</v>
      </c>
    </row>
    <row r="237" spans="4:60">
      <c r="D237">
        <v>1379</v>
      </c>
      <c r="F237">
        <v>1</v>
      </c>
      <c r="BH237" s="2576">
        <v>12868</v>
      </c>
    </row>
    <row r="238" spans="4:60">
      <c r="D238">
        <v>1380</v>
      </c>
      <c r="F238">
        <v>1</v>
      </c>
      <c r="BH238" s="2576">
        <v>12870</v>
      </c>
    </row>
    <row r="239" spans="4:60">
      <c r="D239">
        <v>1381</v>
      </c>
      <c r="F239">
        <v>1</v>
      </c>
      <c r="BH239" s="2576">
        <v>12874</v>
      </c>
    </row>
    <row r="240" spans="4:60">
      <c r="D240">
        <v>1383</v>
      </c>
      <c r="F240">
        <v>1</v>
      </c>
      <c r="BH240" s="2576">
        <v>12936</v>
      </c>
    </row>
    <row r="241" spans="4:60">
      <c r="D241">
        <v>1384</v>
      </c>
      <c r="F241">
        <v>1</v>
      </c>
      <c r="BH241" s="2576">
        <v>12937</v>
      </c>
    </row>
    <row r="242" spans="4:60">
      <c r="D242">
        <v>1385</v>
      </c>
      <c r="F242">
        <v>1</v>
      </c>
      <c r="BH242" s="2576">
        <v>12938</v>
      </c>
    </row>
    <row r="243" spans="4:60">
      <c r="D243">
        <v>1386</v>
      </c>
      <c r="F243">
        <v>1</v>
      </c>
      <c r="BH243" s="2576">
        <v>12939</v>
      </c>
    </row>
    <row r="244" spans="4:60">
      <c r="D244">
        <v>1387</v>
      </c>
      <c r="F244">
        <v>1</v>
      </c>
      <c r="BH244" s="2576">
        <v>12949</v>
      </c>
    </row>
    <row r="245" spans="4:60">
      <c r="D245">
        <v>1388</v>
      </c>
      <c r="F245">
        <v>1</v>
      </c>
      <c r="BH245" s="2576">
        <v>12951</v>
      </c>
    </row>
    <row r="246" spans="4:60">
      <c r="D246">
        <v>1389</v>
      </c>
      <c r="F246">
        <v>1</v>
      </c>
      <c r="BH246" s="2576">
        <v>12952</v>
      </c>
    </row>
    <row r="247" spans="4:60">
      <c r="D247">
        <v>1390</v>
      </c>
      <c r="F247">
        <v>1</v>
      </c>
      <c r="BH247" s="2576">
        <v>12959</v>
      </c>
    </row>
    <row r="248" spans="4:60">
      <c r="D248">
        <v>1391</v>
      </c>
      <c r="F248">
        <v>1</v>
      </c>
      <c r="BH248" s="2576">
        <v>12961</v>
      </c>
    </row>
    <row r="249" spans="4:60">
      <c r="D249">
        <v>1392</v>
      </c>
      <c r="F249">
        <v>1</v>
      </c>
      <c r="BH249" s="2576">
        <v>12962</v>
      </c>
    </row>
    <row r="250" spans="4:60">
      <c r="D250">
        <v>1393</v>
      </c>
      <c r="F250">
        <v>1</v>
      </c>
      <c r="BH250" s="2576">
        <v>12963</v>
      </c>
    </row>
    <row r="251" spans="4:60">
      <c r="D251">
        <v>1394</v>
      </c>
      <c r="F251">
        <v>1</v>
      </c>
      <c r="BH251" s="2576">
        <v>12965</v>
      </c>
    </row>
    <row r="252" spans="4:60">
      <c r="D252">
        <v>1395</v>
      </c>
      <c r="F252">
        <v>1</v>
      </c>
      <c r="BH252" s="2576">
        <v>12967</v>
      </c>
    </row>
    <row r="253" spans="4:60">
      <c r="D253">
        <v>1396</v>
      </c>
      <c r="F253">
        <v>1</v>
      </c>
      <c r="BH253" s="2576">
        <v>13028</v>
      </c>
    </row>
    <row r="254" spans="4:60">
      <c r="D254">
        <v>1397</v>
      </c>
      <c r="F254">
        <v>1</v>
      </c>
      <c r="BH254" s="2576">
        <v>13029</v>
      </c>
    </row>
    <row r="255" spans="4:60">
      <c r="D255">
        <v>1398</v>
      </c>
      <c r="F255">
        <v>1</v>
      </c>
      <c r="BH255" s="2576">
        <v>13042</v>
      </c>
    </row>
    <row r="256" spans="4:60">
      <c r="D256">
        <v>1399</v>
      </c>
      <c r="F256">
        <v>1</v>
      </c>
      <c r="BH256" s="2576">
        <v>13048</v>
      </c>
    </row>
    <row r="257" spans="4:60">
      <c r="D257">
        <v>1400</v>
      </c>
      <c r="F257">
        <v>1</v>
      </c>
      <c r="BH257" s="2576">
        <v>13049</v>
      </c>
    </row>
    <row r="258" spans="4:60">
      <c r="D258">
        <v>1401</v>
      </c>
      <c r="F258">
        <v>1</v>
      </c>
    </row>
    <row r="259" spans="4:60">
      <c r="D259">
        <v>1402</v>
      </c>
      <c r="F259">
        <v>1</v>
      </c>
    </row>
    <row r="260" spans="4:60">
      <c r="D260">
        <v>1406</v>
      </c>
      <c r="F260">
        <v>1</v>
      </c>
    </row>
    <row r="261" spans="4:60">
      <c r="D261">
        <v>1410</v>
      </c>
      <c r="F261">
        <v>1</v>
      </c>
    </row>
    <row r="262" spans="4:60">
      <c r="D262">
        <v>1415</v>
      </c>
      <c r="F262">
        <v>1</v>
      </c>
    </row>
    <row r="263" spans="4:60">
      <c r="D263">
        <v>1417</v>
      </c>
      <c r="F263">
        <v>1</v>
      </c>
    </row>
    <row r="264" spans="4:60">
      <c r="D264">
        <v>1425</v>
      </c>
      <c r="F264">
        <v>1</v>
      </c>
    </row>
    <row r="265" spans="4:60">
      <c r="D265">
        <v>1426</v>
      </c>
      <c r="F265">
        <v>1</v>
      </c>
    </row>
    <row r="266" spans="4:60">
      <c r="D266">
        <v>1428</v>
      </c>
      <c r="F266">
        <v>1</v>
      </c>
    </row>
    <row r="267" spans="4:60">
      <c r="D267">
        <v>1429</v>
      </c>
      <c r="F267">
        <v>1</v>
      </c>
    </row>
    <row r="268" spans="4:60">
      <c r="D268">
        <v>1430</v>
      </c>
      <c r="F268">
        <v>1</v>
      </c>
    </row>
    <row r="269" spans="4:60">
      <c r="D269">
        <v>1431</v>
      </c>
      <c r="F269">
        <v>1</v>
      </c>
    </row>
    <row r="270" spans="4:60">
      <c r="D270">
        <v>1432</v>
      </c>
      <c r="F270">
        <v>1</v>
      </c>
    </row>
    <row r="271" spans="4:60">
      <c r="D271">
        <v>1434</v>
      </c>
      <c r="F271">
        <v>1</v>
      </c>
    </row>
    <row r="272" spans="4:60">
      <c r="D272">
        <v>1435</v>
      </c>
      <c r="F272">
        <v>1</v>
      </c>
    </row>
    <row r="273" spans="4:6">
      <c r="D273">
        <v>1437</v>
      </c>
      <c r="F273">
        <v>1</v>
      </c>
    </row>
    <row r="274" spans="4:6">
      <c r="D274">
        <v>1438</v>
      </c>
      <c r="F274">
        <v>1</v>
      </c>
    </row>
    <row r="275" spans="4:6">
      <c r="D275">
        <v>1439</v>
      </c>
      <c r="F275">
        <v>1</v>
      </c>
    </row>
    <row r="276" spans="4:6">
      <c r="D276">
        <v>1440</v>
      </c>
      <c r="F276">
        <v>1</v>
      </c>
    </row>
    <row r="277" spans="4:6">
      <c r="D277">
        <v>1441</v>
      </c>
      <c r="F277">
        <v>1</v>
      </c>
    </row>
    <row r="278" spans="4:6">
      <c r="D278">
        <v>1442</v>
      </c>
      <c r="F278">
        <v>1</v>
      </c>
    </row>
    <row r="279" spans="4:6">
      <c r="D279">
        <v>1443</v>
      </c>
      <c r="F279">
        <v>1</v>
      </c>
    </row>
    <row r="280" spans="4:6">
      <c r="D280">
        <v>1444</v>
      </c>
      <c r="F280">
        <v>1</v>
      </c>
    </row>
    <row r="281" spans="4:6">
      <c r="D281">
        <v>1445</v>
      </c>
      <c r="F281">
        <v>1</v>
      </c>
    </row>
    <row r="282" spans="4:6">
      <c r="D282">
        <v>1446</v>
      </c>
      <c r="F282">
        <v>1</v>
      </c>
    </row>
    <row r="283" spans="4:6">
      <c r="D283">
        <v>1447</v>
      </c>
      <c r="F283">
        <v>1</v>
      </c>
    </row>
    <row r="284" spans="4:6">
      <c r="D284">
        <v>1450</v>
      </c>
      <c r="F284">
        <v>1</v>
      </c>
    </row>
    <row r="285" spans="4:6">
      <c r="D285">
        <v>1452</v>
      </c>
      <c r="F285">
        <v>1</v>
      </c>
    </row>
    <row r="286" spans="4:6">
      <c r="D286">
        <v>1453</v>
      </c>
      <c r="F286">
        <v>1</v>
      </c>
    </row>
    <row r="287" spans="4:6">
      <c r="D287">
        <v>1454</v>
      </c>
      <c r="F287">
        <v>1</v>
      </c>
    </row>
    <row r="288" spans="4:6">
      <c r="D288">
        <v>1455</v>
      </c>
      <c r="F288">
        <v>1</v>
      </c>
    </row>
    <row r="289" spans="4:6">
      <c r="D289">
        <v>1456</v>
      </c>
      <c r="F289">
        <v>1</v>
      </c>
    </row>
    <row r="290" spans="4:6">
      <c r="D290">
        <v>1458</v>
      </c>
      <c r="F290">
        <v>1</v>
      </c>
    </row>
    <row r="291" spans="4:6">
      <c r="D291">
        <v>1460</v>
      </c>
      <c r="F291">
        <v>1</v>
      </c>
    </row>
    <row r="292" spans="4:6">
      <c r="D292">
        <v>1461</v>
      </c>
      <c r="F292">
        <v>1</v>
      </c>
    </row>
    <row r="293" spans="4:6">
      <c r="D293">
        <v>1462</v>
      </c>
      <c r="F293">
        <v>1</v>
      </c>
    </row>
    <row r="294" spans="4:6">
      <c r="D294">
        <v>1463</v>
      </c>
      <c r="F294">
        <v>1</v>
      </c>
    </row>
    <row r="295" spans="4:6">
      <c r="D295">
        <v>1464</v>
      </c>
      <c r="F295">
        <v>1</v>
      </c>
    </row>
    <row r="296" spans="4:6">
      <c r="D296">
        <v>1465</v>
      </c>
      <c r="F296">
        <v>1</v>
      </c>
    </row>
    <row r="297" spans="4:6">
      <c r="D297">
        <v>1470</v>
      </c>
      <c r="F297">
        <v>1</v>
      </c>
    </row>
    <row r="298" spans="4:6">
      <c r="D298">
        <v>1471</v>
      </c>
      <c r="F298">
        <v>1</v>
      </c>
    </row>
    <row r="299" spans="4:6">
      <c r="D299">
        <v>1475</v>
      </c>
      <c r="F299">
        <v>1</v>
      </c>
    </row>
    <row r="300" spans="4:6">
      <c r="D300">
        <v>1476</v>
      </c>
      <c r="F300">
        <v>1</v>
      </c>
    </row>
    <row r="301" spans="4:6">
      <c r="D301">
        <v>1477</v>
      </c>
      <c r="F301">
        <v>1</v>
      </c>
    </row>
    <row r="302" spans="4:6">
      <c r="D302">
        <v>1479</v>
      </c>
      <c r="F302">
        <v>1</v>
      </c>
    </row>
    <row r="303" spans="4:6">
      <c r="D303">
        <v>1480</v>
      </c>
      <c r="F303">
        <v>1</v>
      </c>
    </row>
    <row r="304" spans="4:6">
      <c r="D304">
        <v>1486</v>
      </c>
      <c r="F304">
        <v>1</v>
      </c>
    </row>
    <row r="305" spans="4:6">
      <c r="D305">
        <v>1487</v>
      </c>
      <c r="F305">
        <v>1</v>
      </c>
    </row>
    <row r="306" spans="4:6">
      <c r="D306">
        <v>1501</v>
      </c>
      <c r="F306">
        <v>1</v>
      </c>
    </row>
    <row r="307" spans="4:6">
      <c r="D307">
        <v>1502</v>
      </c>
      <c r="F307">
        <v>1</v>
      </c>
    </row>
    <row r="308" spans="4:6">
      <c r="D308">
        <v>1503</v>
      </c>
      <c r="F308">
        <v>1</v>
      </c>
    </row>
    <row r="309" spans="4:6">
      <c r="D309">
        <v>1505</v>
      </c>
      <c r="F309">
        <v>1</v>
      </c>
    </row>
    <row r="310" spans="4:6">
      <c r="D310">
        <v>1506</v>
      </c>
      <c r="F310">
        <v>1</v>
      </c>
    </row>
    <row r="311" spans="4:6">
      <c r="D311">
        <v>1507</v>
      </c>
      <c r="F311">
        <v>1</v>
      </c>
    </row>
    <row r="312" spans="4:6">
      <c r="D312">
        <v>1508</v>
      </c>
      <c r="F312">
        <v>1</v>
      </c>
    </row>
    <row r="313" spans="4:6">
      <c r="D313">
        <v>1509</v>
      </c>
      <c r="F313">
        <v>1</v>
      </c>
    </row>
    <row r="314" spans="4:6">
      <c r="D314">
        <v>1510</v>
      </c>
      <c r="F314">
        <v>1</v>
      </c>
    </row>
    <row r="315" spans="4:6">
      <c r="D315">
        <v>1511</v>
      </c>
      <c r="F315">
        <v>1</v>
      </c>
    </row>
    <row r="316" spans="4:6">
      <c r="D316">
        <v>1512</v>
      </c>
      <c r="F316">
        <v>1</v>
      </c>
    </row>
    <row r="317" spans="4:6">
      <c r="D317">
        <v>1513</v>
      </c>
      <c r="F317">
        <v>1</v>
      </c>
    </row>
    <row r="318" spans="4:6">
      <c r="D318">
        <v>1516</v>
      </c>
      <c r="F318">
        <v>1</v>
      </c>
    </row>
    <row r="319" spans="4:6">
      <c r="D319">
        <v>1518</v>
      </c>
      <c r="F319">
        <v>1</v>
      </c>
    </row>
    <row r="320" spans="4:6">
      <c r="D320">
        <v>1519</v>
      </c>
      <c r="F320">
        <v>1</v>
      </c>
    </row>
    <row r="321" spans="4:6">
      <c r="D321">
        <v>1520</v>
      </c>
      <c r="F321">
        <v>1</v>
      </c>
    </row>
    <row r="322" spans="4:6">
      <c r="D322">
        <v>1521</v>
      </c>
      <c r="F322">
        <v>1</v>
      </c>
    </row>
    <row r="323" spans="4:6">
      <c r="D323">
        <v>1522</v>
      </c>
      <c r="F323">
        <v>1</v>
      </c>
    </row>
    <row r="324" spans="4:6">
      <c r="D324">
        <v>1523</v>
      </c>
      <c r="F324">
        <v>1</v>
      </c>
    </row>
    <row r="325" spans="4:6">
      <c r="D325">
        <v>1525</v>
      </c>
      <c r="F325">
        <v>1</v>
      </c>
    </row>
    <row r="326" spans="4:6">
      <c r="D326">
        <v>1526</v>
      </c>
      <c r="F326">
        <v>1</v>
      </c>
    </row>
    <row r="327" spans="4:6">
      <c r="D327">
        <v>1528</v>
      </c>
      <c r="F327">
        <v>1</v>
      </c>
    </row>
    <row r="328" spans="4:6">
      <c r="D328">
        <v>1529</v>
      </c>
      <c r="F328">
        <v>1</v>
      </c>
    </row>
    <row r="329" spans="4:6">
      <c r="D329">
        <v>1530</v>
      </c>
      <c r="F329">
        <v>1</v>
      </c>
    </row>
    <row r="330" spans="4:6">
      <c r="D330">
        <v>1531</v>
      </c>
      <c r="F330">
        <v>1</v>
      </c>
    </row>
    <row r="331" spans="4:6">
      <c r="D331">
        <v>1534</v>
      </c>
      <c r="F331">
        <v>1</v>
      </c>
    </row>
    <row r="332" spans="4:6">
      <c r="D332">
        <v>1535</v>
      </c>
      <c r="F332">
        <v>1</v>
      </c>
    </row>
    <row r="333" spans="4:6">
      <c r="D333">
        <v>1536</v>
      </c>
      <c r="F333">
        <v>1</v>
      </c>
    </row>
    <row r="334" spans="4:6">
      <c r="D334">
        <v>1537</v>
      </c>
      <c r="F334">
        <v>1</v>
      </c>
    </row>
    <row r="335" spans="4:6">
      <c r="D335">
        <v>1538</v>
      </c>
      <c r="F335">
        <v>1</v>
      </c>
    </row>
    <row r="336" spans="4:6">
      <c r="D336">
        <v>1539</v>
      </c>
      <c r="F336">
        <v>1</v>
      </c>
    </row>
    <row r="337" spans="4:6">
      <c r="D337">
        <v>1540</v>
      </c>
      <c r="F337">
        <v>1</v>
      </c>
    </row>
    <row r="338" spans="4:6">
      <c r="D338">
        <v>1541</v>
      </c>
      <c r="F338">
        <v>1</v>
      </c>
    </row>
    <row r="339" spans="4:6">
      <c r="D339">
        <v>1542</v>
      </c>
      <c r="F339">
        <v>1</v>
      </c>
    </row>
    <row r="340" spans="4:6">
      <c r="D340">
        <v>1543</v>
      </c>
      <c r="F340">
        <v>1</v>
      </c>
    </row>
    <row r="341" spans="4:6">
      <c r="D341">
        <v>1545</v>
      </c>
      <c r="F341">
        <v>1</v>
      </c>
    </row>
    <row r="342" spans="4:6">
      <c r="D342">
        <v>1547</v>
      </c>
      <c r="F342">
        <v>1</v>
      </c>
    </row>
    <row r="343" spans="4:6">
      <c r="D343">
        <v>1550</v>
      </c>
      <c r="F343">
        <v>1</v>
      </c>
    </row>
    <row r="344" spans="4:6">
      <c r="D344">
        <v>1551</v>
      </c>
      <c r="F344">
        <v>1</v>
      </c>
    </row>
    <row r="345" spans="4:6">
      <c r="D345">
        <v>1552</v>
      </c>
      <c r="F345">
        <v>1</v>
      </c>
    </row>
    <row r="346" spans="4:6">
      <c r="D346">
        <v>1553</v>
      </c>
      <c r="F346">
        <v>1</v>
      </c>
    </row>
    <row r="347" spans="4:6">
      <c r="D347">
        <v>1554</v>
      </c>
      <c r="F347">
        <v>1</v>
      </c>
    </row>
    <row r="348" spans="4:6">
      <c r="D348">
        <v>1555</v>
      </c>
      <c r="F348">
        <v>1</v>
      </c>
    </row>
    <row r="349" spans="4:6">
      <c r="D349">
        <v>1556</v>
      </c>
      <c r="F349">
        <v>1</v>
      </c>
    </row>
    <row r="350" spans="4:6">
      <c r="D350">
        <v>1557</v>
      </c>
      <c r="F350">
        <v>1</v>
      </c>
    </row>
    <row r="351" spans="4:6">
      <c r="D351">
        <v>1558</v>
      </c>
      <c r="F351">
        <v>1</v>
      </c>
    </row>
    <row r="352" spans="4:6">
      <c r="D352">
        <v>1565</v>
      </c>
      <c r="F352">
        <v>1</v>
      </c>
    </row>
    <row r="353" spans="4:6">
      <c r="D353">
        <v>1566</v>
      </c>
      <c r="F353">
        <v>1</v>
      </c>
    </row>
    <row r="354" spans="4:6">
      <c r="D354">
        <v>1570</v>
      </c>
      <c r="F354">
        <v>1</v>
      </c>
    </row>
    <row r="355" spans="4:6">
      <c r="D355">
        <v>1575</v>
      </c>
      <c r="F355">
        <v>1</v>
      </c>
    </row>
    <row r="356" spans="4:6">
      <c r="D356">
        <v>1576</v>
      </c>
      <c r="F356">
        <v>1</v>
      </c>
    </row>
    <row r="357" spans="4:6">
      <c r="D357">
        <v>1577</v>
      </c>
      <c r="F357">
        <v>1</v>
      </c>
    </row>
    <row r="358" spans="4:6">
      <c r="D358">
        <v>1580</v>
      </c>
      <c r="F358">
        <v>1</v>
      </c>
    </row>
    <row r="359" spans="4:6">
      <c r="D359">
        <v>1581</v>
      </c>
      <c r="F359">
        <v>1</v>
      </c>
    </row>
    <row r="360" spans="4:6">
      <c r="D360">
        <v>1582</v>
      </c>
      <c r="F360">
        <v>1</v>
      </c>
    </row>
    <row r="361" spans="4:6">
      <c r="D361">
        <v>1583</v>
      </c>
      <c r="F361">
        <v>1</v>
      </c>
    </row>
    <row r="362" spans="4:6">
      <c r="D362">
        <v>1590</v>
      </c>
      <c r="F362">
        <v>1</v>
      </c>
    </row>
    <row r="363" spans="4:6">
      <c r="D363">
        <v>1591</v>
      </c>
      <c r="F363">
        <v>1</v>
      </c>
    </row>
    <row r="364" spans="4:6">
      <c r="D364">
        <v>1592</v>
      </c>
      <c r="F364">
        <v>1</v>
      </c>
    </row>
    <row r="365" spans="4:6">
      <c r="D365">
        <v>1593</v>
      </c>
      <c r="F365">
        <v>1</v>
      </c>
    </row>
    <row r="366" spans="4:6">
      <c r="D366">
        <v>1601</v>
      </c>
      <c r="F366">
        <v>1</v>
      </c>
    </row>
    <row r="367" spans="4:6">
      <c r="D367">
        <v>1602</v>
      </c>
      <c r="F367">
        <v>1</v>
      </c>
    </row>
    <row r="368" spans="4:6">
      <c r="D368">
        <v>1603</v>
      </c>
      <c r="F368">
        <v>1</v>
      </c>
    </row>
    <row r="369" spans="4:6">
      <c r="D369">
        <v>1605</v>
      </c>
      <c r="F369">
        <v>1</v>
      </c>
    </row>
    <row r="370" spans="4:6">
      <c r="D370">
        <v>1609</v>
      </c>
      <c r="F370">
        <v>1</v>
      </c>
    </row>
    <row r="371" spans="4:6">
      <c r="D371">
        <v>1615</v>
      </c>
      <c r="F371">
        <v>1</v>
      </c>
    </row>
    <row r="372" spans="4:6">
      <c r="D372">
        <v>1616</v>
      </c>
      <c r="F372">
        <v>1</v>
      </c>
    </row>
    <row r="373" spans="4:6">
      <c r="D373">
        <v>1625</v>
      </c>
      <c r="F373">
        <v>7</v>
      </c>
    </row>
    <row r="374" spans="4:6">
      <c r="D374">
        <v>1628</v>
      </c>
      <c r="F374">
        <v>1</v>
      </c>
    </row>
    <row r="375" spans="4:6">
      <c r="D375">
        <v>1629</v>
      </c>
      <c r="F375">
        <v>1</v>
      </c>
    </row>
    <row r="376" spans="4:6">
      <c r="D376">
        <v>1630</v>
      </c>
      <c r="F376">
        <v>1</v>
      </c>
    </row>
    <row r="377" spans="4:6">
      <c r="D377">
        <v>1631</v>
      </c>
      <c r="F377">
        <v>1</v>
      </c>
    </row>
    <row r="378" spans="4:6">
      <c r="D378">
        <v>1651</v>
      </c>
      <c r="F378">
        <v>1</v>
      </c>
    </row>
    <row r="379" spans="4:6">
      <c r="D379">
        <v>1654</v>
      </c>
      <c r="F379">
        <v>1</v>
      </c>
    </row>
    <row r="380" spans="4:6">
      <c r="D380">
        <v>1655</v>
      </c>
      <c r="F380">
        <v>1</v>
      </c>
    </row>
    <row r="381" spans="4:6">
      <c r="D381">
        <v>1656</v>
      </c>
      <c r="F381">
        <v>1</v>
      </c>
    </row>
    <row r="382" spans="4:6">
      <c r="D382">
        <v>1657</v>
      </c>
      <c r="F382">
        <v>1</v>
      </c>
    </row>
    <row r="383" spans="4:6">
      <c r="D383">
        <v>1659</v>
      </c>
      <c r="F383">
        <v>1</v>
      </c>
    </row>
    <row r="384" spans="4:6">
      <c r="D384">
        <v>1660</v>
      </c>
      <c r="F384">
        <v>1</v>
      </c>
    </row>
    <row r="385" spans="4:6">
      <c r="D385">
        <v>1675</v>
      </c>
      <c r="F385">
        <v>1</v>
      </c>
    </row>
    <row r="386" spans="4:6">
      <c r="D386">
        <v>1676</v>
      </c>
      <c r="F386">
        <v>1</v>
      </c>
    </row>
    <row r="387" spans="4:6">
      <c r="D387">
        <v>1677</v>
      </c>
      <c r="F387">
        <v>1</v>
      </c>
    </row>
    <row r="388" spans="4:6">
      <c r="D388">
        <v>1678</v>
      </c>
      <c r="F388">
        <v>1</v>
      </c>
    </row>
    <row r="389" spans="4:6">
      <c r="D389">
        <v>1679</v>
      </c>
      <c r="F389">
        <v>1</v>
      </c>
    </row>
    <row r="390" spans="4:6">
      <c r="D390">
        <v>1680</v>
      </c>
      <c r="F390">
        <v>1</v>
      </c>
    </row>
    <row r="391" spans="4:6">
      <c r="D391">
        <v>1683</v>
      </c>
      <c r="F391">
        <v>1</v>
      </c>
    </row>
    <row r="392" spans="4:6">
      <c r="D392">
        <v>1685</v>
      </c>
      <c r="F392">
        <v>1</v>
      </c>
    </row>
    <row r="393" spans="4:6">
      <c r="D393">
        <v>1686</v>
      </c>
      <c r="F393">
        <v>1</v>
      </c>
    </row>
    <row r="394" spans="4:6">
      <c r="D394">
        <v>1701</v>
      </c>
      <c r="F394">
        <v>1</v>
      </c>
    </row>
    <row r="395" spans="4:6">
      <c r="D395">
        <v>1702</v>
      </c>
      <c r="F395">
        <v>1</v>
      </c>
    </row>
    <row r="396" spans="4:6">
      <c r="D396">
        <v>1703</v>
      </c>
      <c r="F396">
        <v>1</v>
      </c>
    </row>
    <row r="397" spans="4:6">
      <c r="D397">
        <v>1704</v>
      </c>
      <c r="F397">
        <v>1</v>
      </c>
    </row>
    <row r="398" spans="4:6">
      <c r="D398">
        <v>1705</v>
      </c>
      <c r="F398">
        <v>1</v>
      </c>
    </row>
    <row r="399" spans="4:6">
      <c r="D399">
        <v>1725</v>
      </c>
      <c r="F399">
        <v>1</v>
      </c>
    </row>
    <row r="400" spans="4:6">
      <c r="D400">
        <v>1726</v>
      </c>
      <c r="F400">
        <v>1</v>
      </c>
    </row>
    <row r="401" spans="4:6">
      <c r="D401">
        <v>1727</v>
      </c>
      <c r="F401">
        <v>1</v>
      </c>
    </row>
    <row r="402" spans="4:6">
      <c r="D402">
        <v>1734</v>
      </c>
      <c r="F402">
        <v>1</v>
      </c>
    </row>
    <row r="403" spans="4:6">
      <c r="D403">
        <v>1751</v>
      </c>
      <c r="F403">
        <v>1</v>
      </c>
    </row>
    <row r="404" spans="4:6">
      <c r="D404">
        <v>1752</v>
      </c>
      <c r="F404">
        <v>1</v>
      </c>
    </row>
    <row r="405" spans="4:6">
      <c r="D405">
        <v>1753</v>
      </c>
      <c r="F405">
        <v>1</v>
      </c>
    </row>
    <row r="406" spans="4:6">
      <c r="D406">
        <v>1754</v>
      </c>
      <c r="F406">
        <v>1</v>
      </c>
    </row>
    <row r="407" spans="4:6">
      <c r="D407">
        <v>1755</v>
      </c>
      <c r="F407">
        <v>1</v>
      </c>
    </row>
    <row r="408" spans="4:6">
      <c r="D408">
        <v>1756</v>
      </c>
      <c r="F408">
        <v>1</v>
      </c>
    </row>
    <row r="409" spans="4:6">
      <c r="D409">
        <v>1775</v>
      </c>
      <c r="F409">
        <v>1</v>
      </c>
    </row>
    <row r="410" spans="4:6">
      <c r="D410">
        <v>1776</v>
      </c>
      <c r="F410">
        <v>1</v>
      </c>
    </row>
    <row r="411" spans="4:6">
      <c r="D411">
        <v>1780</v>
      </c>
      <c r="F411">
        <v>1</v>
      </c>
    </row>
    <row r="412" spans="4:6">
      <c r="D412">
        <v>1781</v>
      </c>
      <c r="F412">
        <v>7</v>
      </c>
    </row>
    <row r="413" spans="4:6">
      <c r="D413">
        <v>1800</v>
      </c>
      <c r="F413">
        <v>1</v>
      </c>
    </row>
    <row r="414" spans="4:6">
      <c r="D414">
        <v>1801</v>
      </c>
      <c r="F414">
        <v>1</v>
      </c>
    </row>
    <row r="415" spans="4:6">
      <c r="D415">
        <v>1802</v>
      </c>
      <c r="F415">
        <v>1</v>
      </c>
    </row>
    <row r="416" spans="4:6">
      <c r="D416">
        <v>1803</v>
      </c>
      <c r="F416">
        <v>1</v>
      </c>
    </row>
    <row r="417" spans="4:6">
      <c r="D417">
        <v>1804</v>
      </c>
      <c r="F417">
        <v>1</v>
      </c>
    </row>
    <row r="418" spans="4:6">
      <c r="D418">
        <v>1805</v>
      </c>
      <c r="F418">
        <v>1</v>
      </c>
    </row>
    <row r="419" spans="4:6">
      <c r="D419">
        <v>1806</v>
      </c>
      <c r="F419">
        <v>1</v>
      </c>
    </row>
    <row r="420" spans="4:6">
      <c r="D420">
        <v>1807</v>
      </c>
      <c r="F420">
        <v>1</v>
      </c>
    </row>
    <row r="421" spans="4:6">
      <c r="D421">
        <v>1808</v>
      </c>
      <c r="F421">
        <v>1</v>
      </c>
    </row>
    <row r="422" spans="4:6">
      <c r="D422">
        <v>1809</v>
      </c>
      <c r="F422">
        <v>1</v>
      </c>
    </row>
    <row r="423" spans="4:6">
      <c r="D423">
        <v>1810</v>
      </c>
      <c r="F423">
        <v>1</v>
      </c>
    </row>
    <row r="424" spans="4:6">
      <c r="D424">
        <v>1811</v>
      </c>
      <c r="F424">
        <v>1</v>
      </c>
    </row>
    <row r="425" spans="4:6">
      <c r="D425">
        <v>1812</v>
      </c>
      <c r="F425">
        <v>1</v>
      </c>
    </row>
    <row r="426" spans="4:6">
      <c r="D426">
        <v>1813</v>
      </c>
      <c r="F426">
        <v>1</v>
      </c>
    </row>
    <row r="427" spans="4:6">
      <c r="D427">
        <v>1814</v>
      </c>
      <c r="F427">
        <v>1</v>
      </c>
    </row>
    <row r="428" spans="4:6">
      <c r="D428">
        <v>1815</v>
      </c>
      <c r="F428">
        <v>1</v>
      </c>
    </row>
    <row r="429" spans="4:6">
      <c r="D429">
        <v>1816</v>
      </c>
      <c r="F429">
        <v>1</v>
      </c>
    </row>
    <row r="430" spans="4:6">
      <c r="D430">
        <v>1817</v>
      </c>
      <c r="F430">
        <v>1</v>
      </c>
    </row>
    <row r="431" spans="4:6">
      <c r="D431">
        <v>1818</v>
      </c>
      <c r="F431">
        <v>1</v>
      </c>
    </row>
    <row r="432" spans="4:6">
      <c r="D432">
        <v>1819</v>
      </c>
      <c r="F432">
        <v>1</v>
      </c>
    </row>
    <row r="433" spans="4:6">
      <c r="D433">
        <v>1820</v>
      </c>
      <c r="F433">
        <v>1</v>
      </c>
    </row>
    <row r="434" spans="4:6">
      <c r="D434">
        <v>1821</v>
      </c>
      <c r="F434">
        <v>1</v>
      </c>
    </row>
    <row r="435" spans="4:6">
      <c r="D435">
        <v>1822</v>
      </c>
      <c r="F435">
        <v>1</v>
      </c>
    </row>
    <row r="436" spans="4:6">
      <c r="D436">
        <v>1823</v>
      </c>
      <c r="F436">
        <v>1</v>
      </c>
    </row>
    <row r="437" spans="4:6">
      <c r="D437">
        <v>1824</v>
      </c>
      <c r="F437">
        <v>1</v>
      </c>
    </row>
    <row r="438" spans="4:6">
      <c r="D438">
        <v>1825</v>
      </c>
      <c r="F438">
        <v>1</v>
      </c>
    </row>
    <row r="439" spans="4:6">
      <c r="D439">
        <v>1826</v>
      </c>
      <c r="F439">
        <v>1</v>
      </c>
    </row>
    <row r="440" spans="4:6">
      <c r="D440">
        <v>1827</v>
      </c>
      <c r="F440">
        <v>1</v>
      </c>
    </row>
    <row r="441" spans="4:6">
      <c r="D441">
        <v>1828</v>
      </c>
      <c r="F441">
        <v>1</v>
      </c>
    </row>
    <row r="442" spans="4:6">
      <c r="D442">
        <v>1829</v>
      </c>
      <c r="F442">
        <v>1</v>
      </c>
    </row>
    <row r="443" spans="4:6">
      <c r="D443">
        <v>1830</v>
      </c>
      <c r="F443">
        <v>1</v>
      </c>
    </row>
    <row r="444" spans="4:6">
      <c r="D444">
        <v>1831</v>
      </c>
      <c r="F444">
        <v>1</v>
      </c>
    </row>
    <row r="445" spans="4:6">
      <c r="D445">
        <v>1832</v>
      </c>
      <c r="F445">
        <v>1</v>
      </c>
    </row>
    <row r="446" spans="4:6">
      <c r="D446">
        <v>1833</v>
      </c>
      <c r="F446">
        <v>1</v>
      </c>
    </row>
    <row r="447" spans="4:6">
      <c r="D447">
        <v>1834</v>
      </c>
      <c r="F447">
        <v>1</v>
      </c>
    </row>
    <row r="448" spans="4:6">
      <c r="D448">
        <v>1835</v>
      </c>
      <c r="F448">
        <v>1</v>
      </c>
    </row>
    <row r="449" spans="4:6">
      <c r="D449">
        <v>1836</v>
      </c>
      <c r="F449">
        <v>1</v>
      </c>
    </row>
    <row r="450" spans="4:6">
      <c r="D450">
        <v>1837</v>
      </c>
      <c r="F450">
        <v>1</v>
      </c>
    </row>
    <row r="451" spans="4:6">
      <c r="D451">
        <v>1838</v>
      </c>
      <c r="F451">
        <v>1</v>
      </c>
    </row>
    <row r="452" spans="4:6">
      <c r="D452">
        <v>1839</v>
      </c>
      <c r="F452">
        <v>1</v>
      </c>
    </row>
    <row r="453" spans="4:6">
      <c r="D453">
        <v>1840</v>
      </c>
      <c r="F453">
        <v>1</v>
      </c>
    </row>
    <row r="454" spans="4:6">
      <c r="D454">
        <v>1841</v>
      </c>
      <c r="F454">
        <v>1</v>
      </c>
    </row>
    <row r="455" spans="4:6">
      <c r="D455">
        <v>1842</v>
      </c>
      <c r="F455">
        <v>1</v>
      </c>
    </row>
    <row r="456" spans="4:6">
      <c r="D456">
        <v>1843</v>
      </c>
      <c r="F456">
        <v>1</v>
      </c>
    </row>
    <row r="457" spans="4:6">
      <c r="D457">
        <v>1844</v>
      </c>
      <c r="F457">
        <v>1</v>
      </c>
    </row>
    <row r="458" spans="4:6">
      <c r="D458">
        <v>1845</v>
      </c>
      <c r="F458">
        <v>1</v>
      </c>
    </row>
    <row r="459" spans="4:6">
      <c r="D459">
        <v>1846</v>
      </c>
      <c r="F459">
        <v>1</v>
      </c>
    </row>
    <row r="460" spans="4:6">
      <c r="D460">
        <v>1847</v>
      </c>
      <c r="F460">
        <v>1</v>
      </c>
    </row>
    <row r="461" spans="4:6">
      <c r="D461">
        <v>1848</v>
      </c>
      <c r="F461">
        <v>1</v>
      </c>
    </row>
    <row r="462" spans="4:6">
      <c r="D462">
        <v>1849</v>
      </c>
      <c r="F462">
        <v>1</v>
      </c>
    </row>
    <row r="463" spans="4:6">
      <c r="D463">
        <v>1850</v>
      </c>
      <c r="F463">
        <v>1</v>
      </c>
    </row>
    <row r="464" spans="4:6">
      <c r="D464">
        <v>1851</v>
      </c>
      <c r="F464">
        <v>1</v>
      </c>
    </row>
    <row r="465" spans="4:6">
      <c r="D465">
        <v>1852</v>
      </c>
      <c r="F465">
        <v>1</v>
      </c>
    </row>
    <row r="466" spans="4:6">
      <c r="D466">
        <v>1853</v>
      </c>
      <c r="F466">
        <v>1</v>
      </c>
    </row>
    <row r="467" spans="4:6">
      <c r="D467">
        <v>1854</v>
      </c>
      <c r="F467">
        <v>1</v>
      </c>
    </row>
    <row r="468" spans="4:6">
      <c r="D468">
        <v>1855</v>
      </c>
      <c r="F468">
        <v>1</v>
      </c>
    </row>
    <row r="469" spans="4:6">
      <c r="D469">
        <v>1856</v>
      </c>
      <c r="F469">
        <v>1</v>
      </c>
    </row>
    <row r="470" spans="4:6">
      <c r="D470">
        <v>1857</v>
      </c>
      <c r="F470">
        <v>1</v>
      </c>
    </row>
    <row r="471" spans="4:6">
      <c r="D471">
        <v>1858</v>
      </c>
      <c r="F471">
        <v>1</v>
      </c>
    </row>
    <row r="472" spans="4:6">
      <c r="D472">
        <v>1859</v>
      </c>
      <c r="F472">
        <v>1</v>
      </c>
    </row>
    <row r="473" spans="4:6">
      <c r="D473">
        <v>1860</v>
      </c>
      <c r="F473">
        <v>1</v>
      </c>
    </row>
    <row r="474" spans="4:6">
      <c r="D474">
        <v>1861</v>
      </c>
      <c r="F474">
        <v>1</v>
      </c>
    </row>
    <row r="475" spans="4:6">
      <c r="D475">
        <v>1862</v>
      </c>
      <c r="F475">
        <v>1</v>
      </c>
    </row>
    <row r="476" spans="4:6">
      <c r="D476">
        <v>1863</v>
      </c>
      <c r="F476">
        <v>1</v>
      </c>
    </row>
    <row r="477" spans="4:6">
      <c r="D477">
        <v>1864</v>
      </c>
      <c r="F477">
        <v>1</v>
      </c>
    </row>
    <row r="478" spans="4:6">
      <c r="D478">
        <v>1865</v>
      </c>
      <c r="F478">
        <v>1</v>
      </c>
    </row>
    <row r="479" spans="4:6">
      <c r="D479">
        <v>1866</v>
      </c>
      <c r="F479">
        <v>1</v>
      </c>
    </row>
    <row r="480" spans="4:6">
      <c r="D480">
        <v>1867</v>
      </c>
      <c r="F480">
        <v>1</v>
      </c>
    </row>
    <row r="481" spans="4:6">
      <c r="D481">
        <v>1868</v>
      </c>
      <c r="F481">
        <v>1</v>
      </c>
    </row>
    <row r="482" spans="4:6">
      <c r="D482">
        <v>1869</v>
      </c>
      <c r="F482">
        <v>1</v>
      </c>
    </row>
    <row r="483" spans="4:6">
      <c r="D483">
        <v>1870</v>
      </c>
      <c r="F483">
        <v>1</v>
      </c>
    </row>
    <row r="484" spans="4:6">
      <c r="D484">
        <v>1871</v>
      </c>
      <c r="F484">
        <v>1</v>
      </c>
    </row>
    <row r="485" spans="4:6">
      <c r="D485">
        <v>1872</v>
      </c>
      <c r="F485">
        <v>1</v>
      </c>
    </row>
    <row r="486" spans="4:6">
      <c r="D486">
        <v>1873</v>
      </c>
      <c r="F486">
        <v>1</v>
      </c>
    </row>
    <row r="487" spans="4:6">
      <c r="D487">
        <v>1874</v>
      </c>
      <c r="F487">
        <v>1</v>
      </c>
    </row>
    <row r="488" spans="4:6">
      <c r="D488">
        <v>1875</v>
      </c>
      <c r="F488">
        <v>1</v>
      </c>
    </row>
    <row r="489" spans="4:6">
      <c r="D489">
        <v>1876</v>
      </c>
      <c r="F489">
        <v>1</v>
      </c>
    </row>
    <row r="490" spans="4:6">
      <c r="D490">
        <v>1877</v>
      </c>
      <c r="F490">
        <v>1</v>
      </c>
    </row>
    <row r="491" spans="4:6">
      <c r="D491">
        <v>1878</v>
      </c>
      <c r="F491">
        <v>1</v>
      </c>
    </row>
    <row r="492" spans="4:6">
      <c r="D492">
        <v>1879</v>
      </c>
      <c r="F492">
        <v>1</v>
      </c>
    </row>
    <row r="493" spans="4:6">
      <c r="D493">
        <v>1880</v>
      </c>
      <c r="F493">
        <v>1</v>
      </c>
    </row>
    <row r="494" spans="4:6">
      <c r="D494">
        <v>1881</v>
      </c>
      <c r="F494">
        <v>1</v>
      </c>
    </row>
    <row r="495" spans="4:6">
      <c r="D495">
        <v>1882</v>
      </c>
      <c r="F495">
        <v>1</v>
      </c>
    </row>
    <row r="496" spans="4:6">
      <c r="D496">
        <v>1883</v>
      </c>
      <c r="F496">
        <v>1</v>
      </c>
    </row>
    <row r="497" spans="4:6">
      <c r="D497">
        <v>1884</v>
      </c>
      <c r="F497">
        <v>1</v>
      </c>
    </row>
    <row r="498" spans="4:6">
      <c r="D498">
        <v>1885</v>
      </c>
      <c r="F498">
        <v>1</v>
      </c>
    </row>
    <row r="499" spans="4:6">
      <c r="D499">
        <v>1886</v>
      </c>
      <c r="F499">
        <v>1</v>
      </c>
    </row>
    <row r="500" spans="4:6">
      <c r="D500">
        <v>1887</v>
      </c>
      <c r="F500">
        <v>1</v>
      </c>
    </row>
    <row r="501" spans="4:6">
      <c r="D501">
        <v>1888</v>
      </c>
      <c r="F501">
        <v>1</v>
      </c>
    </row>
    <row r="502" spans="4:6">
      <c r="D502">
        <v>1889</v>
      </c>
      <c r="F502">
        <v>1</v>
      </c>
    </row>
    <row r="503" spans="4:6">
      <c r="D503">
        <v>1890</v>
      </c>
      <c r="F503">
        <v>1</v>
      </c>
    </row>
    <row r="504" spans="4:6">
      <c r="D504">
        <v>1891</v>
      </c>
      <c r="F504">
        <v>1</v>
      </c>
    </row>
    <row r="505" spans="4:6">
      <c r="D505">
        <v>1892</v>
      </c>
      <c r="F505">
        <v>1</v>
      </c>
    </row>
    <row r="506" spans="4:6">
      <c r="D506">
        <v>1893</v>
      </c>
      <c r="F506">
        <v>1</v>
      </c>
    </row>
    <row r="507" spans="4:6">
      <c r="D507">
        <v>1894</v>
      </c>
      <c r="F507">
        <v>1</v>
      </c>
    </row>
    <row r="508" spans="4:6">
      <c r="D508">
        <v>1895</v>
      </c>
      <c r="F508">
        <v>1</v>
      </c>
    </row>
    <row r="509" spans="4:6">
      <c r="D509">
        <v>1896</v>
      </c>
      <c r="F509">
        <v>1</v>
      </c>
    </row>
    <row r="510" spans="4:6">
      <c r="D510">
        <v>1897</v>
      </c>
      <c r="F510">
        <v>1</v>
      </c>
    </row>
    <row r="511" spans="4:6">
      <c r="D511">
        <v>1898</v>
      </c>
      <c r="F511">
        <v>1</v>
      </c>
    </row>
    <row r="512" spans="4:6">
      <c r="D512">
        <v>1899</v>
      </c>
      <c r="F512">
        <v>1</v>
      </c>
    </row>
    <row r="513" spans="4:6">
      <c r="D513">
        <v>1900</v>
      </c>
      <c r="F513">
        <v>1</v>
      </c>
    </row>
    <row r="514" spans="4:6">
      <c r="D514">
        <v>1901</v>
      </c>
      <c r="F514">
        <v>1</v>
      </c>
    </row>
    <row r="515" spans="4:6">
      <c r="D515">
        <v>1902</v>
      </c>
      <c r="F515">
        <v>1</v>
      </c>
    </row>
    <row r="516" spans="4:6">
      <c r="D516">
        <v>1903</v>
      </c>
      <c r="F516">
        <v>1</v>
      </c>
    </row>
    <row r="517" spans="4:6">
      <c r="D517">
        <v>1904</v>
      </c>
      <c r="F517">
        <v>1</v>
      </c>
    </row>
    <row r="518" spans="4:6">
      <c r="D518">
        <v>1905</v>
      </c>
      <c r="F518">
        <v>1</v>
      </c>
    </row>
    <row r="519" spans="4:6">
      <c r="D519">
        <v>1906</v>
      </c>
      <c r="F519">
        <v>1</v>
      </c>
    </row>
    <row r="520" spans="4:6">
      <c r="D520">
        <v>1907</v>
      </c>
      <c r="F520">
        <v>1</v>
      </c>
    </row>
    <row r="521" spans="4:6">
      <c r="D521">
        <v>1908</v>
      </c>
      <c r="F521">
        <v>1</v>
      </c>
    </row>
    <row r="522" spans="4:6">
      <c r="D522">
        <v>1909</v>
      </c>
      <c r="F522">
        <v>1</v>
      </c>
    </row>
    <row r="523" spans="4:6">
      <c r="D523">
        <v>1910</v>
      </c>
      <c r="F523">
        <v>1</v>
      </c>
    </row>
    <row r="524" spans="4:6">
      <c r="D524">
        <v>1911</v>
      </c>
      <c r="F524">
        <v>1</v>
      </c>
    </row>
    <row r="525" spans="4:6">
      <c r="D525">
        <v>1912</v>
      </c>
      <c r="F525">
        <v>1</v>
      </c>
    </row>
    <row r="526" spans="4:6">
      <c r="D526">
        <v>1913</v>
      </c>
      <c r="F526">
        <v>1</v>
      </c>
    </row>
    <row r="527" spans="4:6">
      <c r="D527">
        <v>1914</v>
      </c>
      <c r="F527">
        <v>1</v>
      </c>
    </row>
    <row r="528" spans="4:6">
      <c r="D528">
        <v>1915</v>
      </c>
      <c r="F528">
        <v>1</v>
      </c>
    </row>
    <row r="529" spans="4:6">
      <c r="D529">
        <v>1916</v>
      </c>
      <c r="F529">
        <v>1</v>
      </c>
    </row>
    <row r="530" spans="4:6">
      <c r="D530">
        <v>1917</v>
      </c>
      <c r="F530">
        <v>1</v>
      </c>
    </row>
    <row r="531" spans="4:6">
      <c r="D531">
        <v>1918</v>
      </c>
      <c r="F531">
        <v>1</v>
      </c>
    </row>
    <row r="532" spans="4:6">
      <c r="D532">
        <v>1919</v>
      </c>
      <c r="F532">
        <v>1</v>
      </c>
    </row>
    <row r="533" spans="4:6">
      <c r="D533">
        <v>1920</v>
      </c>
      <c r="F533">
        <v>1</v>
      </c>
    </row>
    <row r="534" spans="4:6">
      <c r="D534">
        <v>1921</v>
      </c>
      <c r="F534">
        <v>1</v>
      </c>
    </row>
    <row r="535" spans="4:6">
      <c r="D535">
        <v>1922</v>
      </c>
      <c r="F535">
        <v>1</v>
      </c>
    </row>
    <row r="536" spans="4:6">
      <c r="D536">
        <v>1923</v>
      </c>
      <c r="F536">
        <v>1</v>
      </c>
    </row>
    <row r="537" spans="4:6">
      <c r="D537">
        <v>1924</v>
      </c>
      <c r="F537">
        <v>1</v>
      </c>
    </row>
    <row r="538" spans="4:6">
      <c r="D538">
        <v>1925</v>
      </c>
      <c r="F538">
        <v>1</v>
      </c>
    </row>
    <row r="539" spans="4:6">
      <c r="D539">
        <v>1926</v>
      </c>
      <c r="F539">
        <v>1</v>
      </c>
    </row>
    <row r="540" spans="4:6">
      <c r="D540">
        <v>1927</v>
      </c>
      <c r="F540">
        <v>1</v>
      </c>
    </row>
    <row r="541" spans="4:6">
      <c r="D541">
        <v>1928</v>
      </c>
      <c r="F541">
        <v>1</v>
      </c>
    </row>
    <row r="542" spans="4:6">
      <c r="D542">
        <v>1929</v>
      </c>
      <c r="F542">
        <v>1</v>
      </c>
    </row>
    <row r="543" spans="4:6">
      <c r="D543">
        <v>1930</v>
      </c>
      <c r="F543">
        <v>1</v>
      </c>
    </row>
    <row r="544" spans="4:6">
      <c r="D544">
        <v>1931</v>
      </c>
      <c r="F544">
        <v>1</v>
      </c>
    </row>
    <row r="545" spans="4:6">
      <c r="D545">
        <v>1932</v>
      </c>
      <c r="F545">
        <v>1</v>
      </c>
    </row>
    <row r="546" spans="4:6">
      <c r="D546">
        <v>1933</v>
      </c>
      <c r="F546">
        <v>1</v>
      </c>
    </row>
    <row r="547" spans="4:6">
      <c r="D547">
        <v>1934</v>
      </c>
      <c r="F547">
        <v>1</v>
      </c>
    </row>
    <row r="548" spans="4:6">
      <c r="D548">
        <v>1935</v>
      </c>
      <c r="F548">
        <v>1</v>
      </c>
    </row>
    <row r="549" spans="4:6">
      <c r="D549">
        <v>1936</v>
      </c>
      <c r="F549">
        <v>1</v>
      </c>
    </row>
    <row r="550" spans="4:6">
      <c r="D550">
        <v>1937</v>
      </c>
      <c r="F550">
        <v>1</v>
      </c>
    </row>
    <row r="551" spans="4:6">
      <c r="D551">
        <v>1938</v>
      </c>
      <c r="F551">
        <v>1</v>
      </c>
    </row>
    <row r="552" spans="4:6">
      <c r="D552">
        <v>1939</v>
      </c>
      <c r="F552">
        <v>1</v>
      </c>
    </row>
    <row r="553" spans="4:6">
      <c r="D553">
        <v>1940</v>
      </c>
      <c r="F553">
        <v>1</v>
      </c>
    </row>
    <row r="554" spans="4:6">
      <c r="D554">
        <v>1941</v>
      </c>
      <c r="F554">
        <v>1</v>
      </c>
    </row>
    <row r="555" spans="4:6">
      <c r="D555">
        <v>1942</v>
      </c>
      <c r="F555">
        <v>1</v>
      </c>
    </row>
    <row r="556" spans="4:6">
      <c r="D556">
        <v>1943</v>
      </c>
      <c r="F556">
        <v>1</v>
      </c>
    </row>
    <row r="557" spans="4:6">
      <c r="D557">
        <v>1944</v>
      </c>
      <c r="F557">
        <v>1</v>
      </c>
    </row>
    <row r="558" spans="4:6">
      <c r="D558">
        <v>1945</v>
      </c>
      <c r="F558">
        <v>1</v>
      </c>
    </row>
    <row r="559" spans="4:6">
      <c r="D559">
        <v>1946</v>
      </c>
      <c r="F559">
        <v>1</v>
      </c>
    </row>
    <row r="560" spans="4:6">
      <c r="D560">
        <v>1947</v>
      </c>
      <c r="F560">
        <v>1</v>
      </c>
    </row>
    <row r="561" spans="4:6">
      <c r="D561">
        <v>1948</v>
      </c>
      <c r="F561">
        <v>1</v>
      </c>
    </row>
    <row r="562" spans="4:6">
      <c r="D562">
        <v>1949</v>
      </c>
      <c r="F562">
        <v>1</v>
      </c>
    </row>
    <row r="563" spans="4:6">
      <c r="D563">
        <v>1950</v>
      </c>
      <c r="F563">
        <v>1</v>
      </c>
    </row>
    <row r="564" spans="4:6">
      <c r="D564">
        <v>1951</v>
      </c>
      <c r="F564">
        <v>1</v>
      </c>
    </row>
    <row r="565" spans="4:6">
      <c r="D565">
        <v>1952</v>
      </c>
      <c r="F565">
        <v>1</v>
      </c>
    </row>
    <row r="566" spans="4:6">
      <c r="D566">
        <v>1953</v>
      </c>
      <c r="F566">
        <v>1</v>
      </c>
    </row>
    <row r="567" spans="4:6">
      <c r="D567">
        <v>1954</v>
      </c>
      <c r="F567">
        <v>1</v>
      </c>
    </row>
    <row r="568" spans="4:6">
      <c r="D568">
        <v>1955</v>
      </c>
      <c r="F568">
        <v>1</v>
      </c>
    </row>
    <row r="569" spans="4:6">
      <c r="D569">
        <v>1956</v>
      </c>
      <c r="F569">
        <v>1</v>
      </c>
    </row>
    <row r="570" spans="4:6">
      <c r="D570">
        <v>1957</v>
      </c>
      <c r="F570">
        <v>1</v>
      </c>
    </row>
    <row r="571" spans="4:6">
      <c r="D571">
        <v>1958</v>
      </c>
      <c r="F571">
        <v>1</v>
      </c>
    </row>
    <row r="572" spans="4:6">
      <c r="D572">
        <v>1959</v>
      </c>
      <c r="F572">
        <v>1</v>
      </c>
    </row>
    <row r="573" spans="4:6">
      <c r="D573">
        <v>1960</v>
      </c>
      <c r="F573">
        <v>1</v>
      </c>
    </row>
    <row r="574" spans="4:6">
      <c r="D574">
        <v>1961</v>
      </c>
      <c r="F574">
        <v>1</v>
      </c>
    </row>
    <row r="575" spans="4:6">
      <c r="D575">
        <v>1962</v>
      </c>
      <c r="F575">
        <v>1</v>
      </c>
    </row>
    <row r="576" spans="4:6">
      <c r="D576">
        <v>1963</v>
      </c>
      <c r="F576">
        <v>1</v>
      </c>
    </row>
    <row r="577" spans="4:6">
      <c r="D577">
        <v>1964</v>
      </c>
      <c r="F577">
        <v>1</v>
      </c>
    </row>
    <row r="578" spans="4:6">
      <c r="D578">
        <v>1965</v>
      </c>
      <c r="F578">
        <v>1</v>
      </c>
    </row>
    <row r="579" spans="4:6">
      <c r="D579">
        <v>1966</v>
      </c>
      <c r="F579">
        <v>1</v>
      </c>
    </row>
    <row r="580" spans="4:6">
      <c r="D580">
        <v>1967</v>
      </c>
      <c r="F580">
        <v>1</v>
      </c>
    </row>
    <row r="581" spans="4:6">
      <c r="D581">
        <v>1968</v>
      </c>
      <c r="F581">
        <v>1</v>
      </c>
    </row>
    <row r="582" spans="4:6">
      <c r="D582">
        <v>1969</v>
      </c>
      <c r="F582">
        <v>1</v>
      </c>
    </row>
    <row r="583" spans="4:6">
      <c r="D583">
        <v>1970</v>
      </c>
      <c r="F583">
        <v>1</v>
      </c>
    </row>
    <row r="584" spans="4:6">
      <c r="D584">
        <v>1971</v>
      </c>
      <c r="F584">
        <v>1</v>
      </c>
    </row>
    <row r="585" spans="4:6">
      <c r="D585">
        <v>1972</v>
      </c>
      <c r="F585">
        <v>1</v>
      </c>
    </row>
    <row r="586" spans="4:6">
      <c r="D586">
        <v>1973</v>
      </c>
      <c r="F586">
        <v>1</v>
      </c>
    </row>
    <row r="587" spans="4:6">
      <c r="D587">
        <v>1974</v>
      </c>
      <c r="F587">
        <v>1</v>
      </c>
    </row>
    <row r="588" spans="4:6">
      <c r="D588">
        <v>1975</v>
      </c>
      <c r="F588">
        <v>1</v>
      </c>
    </row>
    <row r="589" spans="4:6">
      <c r="D589">
        <v>1976</v>
      </c>
      <c r="F589">
        <v>1</v>
      </c>
    </row>
    <row r="590" spans="4:6">
      <c r="D590">
        <v>1977</v>
      </c>
      <c r="F590">
        <v>1</v>
      </c>
    </row>
    <row r="591" spans="4:6">
      <c r="D591">
        <v>1978</v>
      </c>
      <c r="F591">
        <v>1</v>
      </c>
    </row>
    <row r="592" spans="4:6">
      <c r="D592">
        <v>1979</v>
      </c>
      <c r="F592">
        <v>1</v>
      </c>
    </row>
    <row r="593" spans="4:6">
      <c r="D593">
        <v>1980</v>
      </c>
      <c r="F593">
        <v>1</v>
      </c>
    </row>
    <row r="594" spans="4:6">
      <c r="D594">
        <v>1981</v>
      </c>
      <c r="F594">
        <v>1</v>
      </c>
    </row>
    <row r="595" spans="4:6">
      <c r="D595">
        <v>1982</v>
      </c>
      <c r="F595">
        <v>1</v>
      </c>
    </row>
    <row r="596" spans="4:6">
      <c r="D596">
        <v>1983</v>
      </c>
      <c r="F596">
        <v>1</v>
      </c>
    </row>
    <row r="597" spans="4:6">
      <c r="D597">
        <v>1984</v>
      </c>
      <c r="F597">
        <v>1</v>
      </c>
    </row>
    <row r="598" spans="4:6">
      <c r="D598">
        <v>1985</v>
      </c>
      <c r="F598">
        <v>1</v>
      </c>
    </row>
    <row r="599" spans="4:6">
      <c r="D599">
        <v>1986</v>
      </c>
      <c r="F599">
        <v>1</v>
      </c>
    </row>
    <row r="600" spans="4:6">
      <c r="D600">
        <v>1987</v>
      </c>
      <c r="F600">
        <v>1</v>
      </c>
    </row>
    <row r="601" spans="4:6">
      <c r="D601">
        <v>1988</v>
      </c>
      <c r="F601">
        <v>1</v>
      </c>
    </row>
    <row r="602" spans="4:6">
      <c r="D602">
        <v>1989</v>
      </c>
      <c r="F602">
        <v>1</v>
      </c>
    </row>
    <row r="603" spans="4:6">
      <c r="D603">
        <v>1990</v>
      </c>
      <c r="F603">
        <v>1</v>
      </c>
    </row>
    <row r="604" spans="4:6">
      <c r="D604">
        <v>1991</v>
      </c>
      <c r="F604">
        <v>1</v>
      </c>
    </row>
    <row r="605" spans="4:6">
      <c r="D605">
        <v>1992</v>
      </c>
      <c r="F605">
        <v>1</v>
      </c>
    </row>
    <row r="606" spans="4:6">
      <c r="D606">
        <v>1993</v>
      </c>
      <c r="F606">
        <v>1</v>
      </c>
    </row>
    <row r="607" spans="4:6">
      <c r="D607">
        <v>1994</v>
      </c>
      <c r="F607">
        <v>1</v>
      </c>
    </row>
    <row r="608" spans="4:6">
      <c r="D608">
        <v>1995</v>
      </c>
      <c r="F608">
        <v>1</v>
      </c>
    </row>
    <row r="609" spans="4:6">
      <c r="D609">
        <v>1996</v>
      </c>
      <c r="F609">
        <v>1</v>
      </c>
    </row>
    <row r="610" spans="4:6">
      <c r="D610">
        <v>1997</v>
      </c>
      <c r="F610">
        <v>1</v>
      </c>
    </row>
    <row r="611" spans="4:6">
      <c r="D611">
        <v>1998</v>
      </c>
      <c r="F611">
        <v>1</v>
      </c>
    </row>
    <row r="612" spans="4:6">
      <c r="D612">
        <v>1999</v>
      </c>
      <c r="F612">
        <v>1</v>
      </c>
    </row>
    <row r="613" spans="4:6">
      <c r="D613">
        <v>2000</v>
      </c>
      <c r="F613">
        <v>1</v>
      </c>
    </row>
    <row r="614" spans="4:6">
      <c r="D614">
        <v>2001</v>
      </c>
      <c r="F614">
        <v>1</v>
      </c>
    </row>
    <row r="615" spans="4:6">
      <c r="D615">
        <v>2002</v>
      </c>
      <c r="F615">
        <v>1</v>
      </c>
    </row>
    <row r="616" spans="4:6">
      <c r="D616">
        <v>2003</v>
      </c>
      <c r="F616">
        <v>1</v>
      </c>
    </row>
    <row r="617" spans="4:6">
      <c r="D617">
        <v>2009</v>
      </c>
      <c r="F617">
        <v>6</v>
      </c>
    </row>
    <row r="618" spans="4:6">
      <c r="D618">
        <v>2011</v>
      </c>
      <c r="F618">
        <v>1</v>
      </c>
    </row>
    <row r="619" spans="4:6">
      <c r="D619">
        <v>2013</v>
      </c>
      <c r="F619">
        <v>1</v>
      </c>
    </row>
    <row r="620" spans="4:6">
      <c r="D620">
        <v>2014</v>
      </c>
      <c r="F620">
        <v>4</v>
      </c>
    </row>
    <row r="621" spans="4:6">
      <c r="D621">
        <v>2015</v>
      </c>
      <c r="F621">
        <v>4</v>
      </c>
    </row>
    <row r="622" spans="4:6">
      <c r="D622">
        <v>2016</v>
      </c>
      <c r="F622">
        <v>3</v>
      </c>
    </row>
    <row r="623" spans="4:6">
      <c r="D623">
        <v>2017</v>
      </c>
      <c r="F623">
        <v>6</v>
      </c>
    </row>
    <row r="624" spans="4:6">
      <c r="D624">
        <v>2019</v>
      </c>
      <c r="F624">
        <v>1</v>
      </c>
    </row>
    <row r="625" spans="4:6">
      <c r="D625">
        <v>2021</v>
      </c>
      <c r="F625">
        <v>6</v>
      </c>
    </row>
    <row r="626" spans="4:6">
      <c r="D626">
        <v>2022</v>
      </c>
      <c r="F626">
        <v>4</v>
      </c>
    </row>
    <row r="627" spans="4:6">
      <c r="D627">
        <v>2023</v>
      </c>
      <c r="F627">
        <v>4</v>
      </c>
    </row>
    <row r="628" spans="4:6">
      <c r="D628">
        <v>2024</v>
      </c>
      <c r="F628">
        <v>5</v>
      </c>
    </row>
    <row r="629" spans="4:6">
      <c r="D629">
        <v>2025</v>
      </c>
      <c r="F629">
        <v>4</v>
      </c>
    </row>
    <row r="630" spans="4:6">
      <c r="D630">
        <v>2026</v>
      </c>
      <c r="F630">
        <v>4</v>
      </c>
    </row>
    <row r="631" spans="4:6">
      <c r="D631">
        <v>2027</v>
      </c>
      <c r="F631">
        <v>5</v>
      </c>
    </row>
    <row r="632" spans="4:6">
      <c r="D632">
        <v>2028</v>
      </c>
      <c r="F632">
        <v>5</v>
      </c>
    </row>
    <row r="633" spans="4:6">
      <c r="D633">
        <v>2030</v>
      </c>
      <c r="F633">
        <v>4</v>
      </c>
    </row>
    <row r="634" spans="4:6">
      <c r="D634">
        <v>2031</v>
      </c>
      <c r="F634">
        <v>4</v>
      </c>
    </row>
    <row r="635" spans="4:6">
      <c r="D635">
        <v>2032</v>
      </c>
      <c r="F635">
        <v>4</v>
      </c>
    </row>
    <row r="636" spans="4:6">
      <c r="D636">
        <v>2033</v>
      </c>
      <c r="F636">
        <v>4</v>
      </c>
    </row>
    <row r="637" spans="4:6">
      <c r="D637">
        <v>2035</v>
      </c>
      <c r="F637">
        <v>1</v>
      </c>
    </row>
    <row r="638" spans="4:6">
      <c r="D638">
        <v>2036</v>
      </c>
      <c r="F638">
        <v>4</v>
      </c>
    </row>
    <row r="639" spans="4:6">
      <c r="D639">
        <v>2038</v>
      </c>
      <c r="F639">
        <v>5</v>
      </c>
    </row>
    <row r="640" spans="4:6">
      <c r="D640">
        <v>2039</v>
      </c>
      <c r="F640">
        <v>6</v>
      </c>
    </row>
    <row r="641" spans="4:6">
      <c r="D641">
        <v>2040</v>
      </c>
      <c r="F641">
        <v>1</v>
      </c>
    </row>
    <row r="642" spans="4:6">
      <c r="D642">
        <v>2041</v>
      </c>
      <c r="F642">
        <v>1</v>
      </c>
    </row>
    <row r="643" spans="4:6">
      <c r="D643">
        <v>2042</v>
      </c>
      <c r="F643">
        <v>1</v>
      </c>
    </row>
    <row r="644" spans="4:6">
      <c r="D644">
        <v>2043</v>
      </c>
      <c r="F644">
        <v>1</v>
      </c>
    </row>
    <row r="645" spans="4:6">
      <c r="D645">
        <v>2045</v>
      </c>
      <c r="F645">
        <v>3</v>
      </c>
    </row>
    <row r="646" spans="4:6">
      <c r="D646">
        <v>2046</v>
      </c>
      <c r="F646">
        <v>3</v>
      </c>
    </row>
    <row r="647" spans="4:6">
      <c r="D647">
        <v>2049</v>
      </c>
      <c r="F647">
        <v>3</v>
      </c>
    </row>
    <row r="648" spans="4:6">
      <c r="D648">
        <v>2051</v>
      </c>
      <c r="F648">
        <v>3</v>
      </c>
    </row>
    <row r="649" spans="4:6">
      <c r="D649">
        <v>2052</v>
      </c>
      <c r="F649">
        <v>3</v>
      </c>
    </row>
    <row r="650" spans="4:6">
      <c r="D650">
        <v>2053</v>
      </c>
      <c r="F650">
        <v>6</v>
      </c>
    </row>
    <row r="651" spans="4:6">
      <c r="D651">
        <v>2058</v>
      </c>
      <c r="F651">
        <v>1</v>
      </c>
    </row>
    <row r="652" spans="4:6">
      <c r="D652">
        <v>2060</v>
      </c>
      <c r="F652">
        <v>7</v>
      </c>
    </row>
    <row r="653" spans="4:6">
      <c r="D653">
        <v>2061</v>
      </c>
      <c r="F653">
        <v>7</v>
      </c>
    </row>
    <row r="654" spans="4:6">
      <c r="D654">
        <v>2063</v>
      </c>
      <c r="F654">
        <v>7</v>
      </c>
    </row>
    <row r="655" spans="4:6">
      <c r="D655">
        <v>2067</v>
      </c>
      <c r="F655">
        <v>7</v>
      </c>
    </row>
    <row r="656" spans="4:6">
      <c r="D656">
        <v>2071</v>
      </c>
      <c r="F656">
        <v>4</v>
      </c>
    </row>
    <row r="657" spans="4:6">
      <c r="D657">
        <v>2072</v>
      </c>
      <c r="F657">
        <v>5</v>
      </c>
    </row>
    <row r="658" spans="4:6">
      <c r="D658">
        <v>2073</v>
      </c>
      <c r="F658">
        <v>5</v>
      </c>
    </row>
    <row r="659" spans="4:6">
      <c r="D659">
        <v>2074</v>
      </c>
      <c r="F659">
        <v>6</v>
      </c>
    </row>
    <row r="660" spans="4:6">
      <c r="D660">
        <v>2080</v>
      </c>
      <c r="F660">
        <v>4</v>
      </c>
    </row>
    <row r="661" spans="4:6">
      <c r="D661">
        <v>2081</v>
      </c>
      <c r="F661">
        <v>5</v>
      </c>
    </row>
    <row r="662" spans="4:6">
      <c r="D662">
        <v>2082</v>
      </c>
      <c r="F662">
        <v>5</v>
      </c>
    </row>
    <row r="663" spans="4:6">
      <c r="D663">
        <v>2083</v>
      </c>
      <c r="F663">
        <v>1</v>
      </c>
    </row>
    <row r="664" spans="4:6">
      <c r="D664">
        <v>2084</v>
      </c>
      <c r="F664">
        <v>1</v>
      </c>
    </row>
    <row r="665" spans="4:6">
      <c r="D665">
        <v>2085</v>
      </c>
      <c r="F665">
        <v>5</v>
      </c>
    </row>
    <row r="666" spans="4:6">
      <c r="D666">
        <v>2086</v>
      </c>
      <c r="F666">
        <v>3</v>
      </c>
    </row>
    <row r="667" spans="4:6">
      <c r="D667">
        <v>2087</v>
      </c>
      <c r="F667">
        <v>3</v>
      </c>
    </row>
    <row r="668" spans="4:6">
      <c r="D668">
        <v>2089</v>
      </c>
      <c r="F668">
        <v>7</v>
      </c>
    </row>
    <row r="669" spans="4:6">
      <c r="D669">
        <v>2090</v>
      </c>
      <c r="F669">
        <v>6</v>
      </c>
    </row>
    <row r="670" spans="4:6">
      <c r="D670">
        <v>2091</v>
      </c>
      <c r="F670">
        <v>5</v>
      </c>
    </row>
    <row r="671" spans="4:6">
      <c r="D671">
        <v>2092</v>
      </c>
      <c r="F671">
        <v>1</v>
      </c>
    </row>
    <row r="672" spans="4:6">
      <c r="D672">
        <v>2093</v>
      </c>
      <c r="F672">
        <v>3</v>
      </c>
    </row>
    <row r="673" spans="4:6">
      <c r="D673">
        <v>2094</v>
      </c>
      <c r="F673">
        <v>1</v>
      </c>
    </row>
    <row r="674" spans="4:6">
      <c r="D674">
        <v>2095</v>
      </c>
      <c r="F674">
        <v>3</v>
      </c>
    </row>
    <row r="675" spans="4:6">
      <c r="D675">
        <v>2096</v>
      </c>
      <c r="F675">
        <v>1</v>
      </c>
    </row>
    <row r="676" spans="4:6">
      <c r="D676">
        <v>2097</v>
      </c>
      <c r="F676">
        <v>3</v>
      </c>
    </row>
    <row r="677" spans="4:6">
      <c r="D677">
        <v>2098</v>
      </c>
      <c r="F677">
        <v>6</v>
      </c>
    </row>
    <row r="678" spans="4:6">
      <c r="D678">
        <v>2099</v>
      </c>
      <c r="F678">
        <v>6</v>
      </c>
    </row>
    <row r="679" spans="4:6">
      <c r="D679">
        <v>2100</v>
      </c>
      <c r="F679">
        <v>4</v>
      </c>
    </row>
    <row r="680" spans="4:6">
      <c r="D680">
        <v>2101</v>
      </c>
      <c r="F680">
        <v>4</v>
      </c>
    </row>
    <row r="681" spans="4:6">
      <c r="D681">
        <v>2102</v>
      </c>
      <c r="F681">
        <v>4</v>
      </c>
    </row>
    <row r="682" spans="4:6">
      <c r="D682">
        <v>2103</v>
      </c>
      <c r="F682">
        <v>4</v>
      </c>
    </row>
    <row r="683" spans="4:6">
      <c r="D683">
        <v>2105</v>
      </c>
      <c r="F683">
        <v>4</v>
      </c>
    </row>
    <row r="684" spans="4:6">
      <c r="D684">
        <v>2111</v>
      </c>
      <c r="F684">
        <v>1</v>
      </c>
    </row>
    <row r="685" spans="4:6">
      <c r="D685">
        <v>2112</v>
      </c>
      <c r="F685">
        <v>6</v>
      </c>
    </row>
    <row r="686" spans="4:6">
      <c r="D686">
        <v>2113</v>
      </c>
      <c r="F686">
        <v>4</v>
      </c>
    </row>
    <row r="687" spans="4:6">
      <c r="D687">
        <v>2114</v>
      </c>
      <c r="F687">
        <v>6</v>
      </c>
    </row>
    <row r="688" spans="4:6">
      <c r="D688">
        <v>2115</v>
      </c>
      <c r="F688">
        <v>6</v>
      </c>
    </row>
    <row r="689" spans="4:6">
      <c r="D689">
        <v>2116</v>
      </c>
      <c r="F689">
        <v>6</v>
      </c>
    </row>
    <row r="690" spans="4:6">
      <c r="D690">
        <v>2117</v>
      </c>
      <c r="F690">
        <v>6</v>
      </c>
    </row>
    <row r="691" spans="4:6">
      <c r="D691">
        <v>2118</v>
      </c>
      <c r="F691">
        <v>6</v>
      </c>
    </row>
    <row r="692" spans="4:6">
      <c r="D692">
        <v>2119</v>
      </c>
      <c r="F692">
        <v>5</v>
      </c>
    </row>
    <row r="693" spans="4:6">
      <c r="D693">
        <v>2120</v>
      </c>
      <c r="F693">
        <v>3</v>
      </c>
    </row>
    <row r="694" spans="4:6">
      <c r="D694">
        <v>2121</v>
      </c>
      <c r="F694">
        <v>3</v>
      </c>
    </row>
    <row r="695" spans="4:6">
      <c r="D695">
        <v>2122</v>
      </c>
      <c r="F695">
        <v>3</v>
      </c>
    </row>
    <row r="696" spans="4:6">
      <c r="D696">
        <v>2123</v>
      </c>
      <c r="F696">
        <v>3</v>
      </c>
    </row>
    <row r="697" spans="4:6">
      <c r="D697">
        <v>2131</v>
      </c>
      <c r="F697">
        <v>3</v>
      </c>
    </row>
    <row r="698" spans="4:6">
      <c r="D698">
        <v>2132</v>
      </c>
      <c r="F698">
        <v>3</v>
      </c>
    </row>
    <row r="699" spans="4:6">
      <c r="D699">
        <v>2133</v>
      </c>
      <c r="F699">
        <v>7</v>
      </c>
    </row>
    <row r="700" spans="4:6">
      <c r="D700">
        <v>2134</v>
      </c>
      <c r="F700">
        <v>7</v>
      </c>
    </row>
    <row r="701" spans="4:6">
      <c r="D701">
        <v>2135</v>
      </c>
      <c r="F701">
        <v>5</v>
      </c>
    </row>
    <row r="702" spans="4:6">
      <c r="D702">
        <v>2141</v>
      </c>
      <c r="F702">
        <v>5</v>
      </c>
    </row>
    <row r="703" spans="4:6">
      <c r="D703">
        <v>2142</v>
      </c>
      <c r="F703">
        <v>7</v>
      </c>
    </row>
    <row r="704" spans="4:6">
      <c r="D704">
        <v>2143</v>
      </c>
      <c r="F704">
        <v>4</v>
      </c>
    </row>
    <row r="705" spans="4:6">
      <c r="D705">
        <v>2144</v>
      </c>
      <c r="F705">
        <v>3</v>
      </c>
    </row>
    <row r="706" spans="4:6">
      <c r="D706">
        <v>2145</v>
      </c>
      <c r="F706">
        <v>1</v>
      </c>
    </row>
    <row r="707" spans="4:6">
      <c r="D707">
        <v>2146</v>
      </c>
      <c r="F707">
        <v>3</v>
      </c>
    </row>
    <row r="708" spans="4:6">
      <c r="D708">
        <v>2151</v>
      </c>
      <c r="F708">
        <v>3</v>
      </c>
    </row>
    <row r="709" spans="4:6">
      <c r="D709">
        <v>2152</v>
      </c>
      <c r="F709">
        <v>3</v>
      </c>
    </row>
    <row r="710" spans="4:6">
      <c r="D710">
        <v>2153</v>
      </c>
      <c r="F710">
        <v>3</v>
      </c>
    </row>
    <row r="711" spans="4:6">
      <c r="D711">
        <v>2161</v>
      </c>
      <c r="F711">
        <v>6</v>
      </c>
    </row>
    <row r="712" spans="4:6">
      <c r="D712">
        <v>2162</v>
      </c>
      <c r="F712">
        <v>6</v>
      </c>
    </row>
    <row r="713" spans="4:6">
      <c r="D713">
        <v>2163</v>
      </c>
      <c r="F713">
        <v>6</v>
      </c>
    </row>
    <row r="714" spans="4:6">
      <c r="D714">
        <v>2164</v>
      </c>
      <c r="F714">
        <v>6</v>
      </c>
    </row>
    <row r="715" spans="4:6">
      <c r="D715">
        <v>2165</v>
      </c>
      <c r="F715">
        <v>6</v>
      </c>
    </row>
    <row r="716" spans="4:6">
      <c r="D716">
        <v>2166</v>
      </c>
      <c r="F716">
        <v>6</v>
      </c>
    </row>
    <row r="717" spans="4:6">
      <c r="D717">
        <v>2167</v>
      </c>
      <c r="F717">
        <v>6</v>
      </c>
    </row>
    <row r="718" spans="4:6">
      <c r="D718">
        <v>2170</v>
      </c>
      <c r="F718">
        <v>9</v>
      </c>
    </row>
    <row r="719" spans="4:6">
      <c r="D719">
        <v>2173</v>
      </c>
      <c r="F719">
        <v>6</v>
      </c>
    </row>
    <row r="720" spans="4:6">
      <c r="D720">
        <v>2174</v>
      </c>
      <c r="F720">
        <v>6</v>
      </c>
    </row>
    <row r="721" spans="4:6">
      <c r="D721">
        <v>2175</v>
      </c>
      <c r="F721">
        <v>5</v>
      </c>
    </row>
    <row r="722" spans="4:6">
      <c r="D722">
        <v>2176</v>
      </c>
      <c r="F722">
        <v>7</v>
      </c>
    </row>
    <row r="723" spans="4:6">
      <c r="D723">
        <v>2177</v>
      </c>
      <c r="F723">
        <v>6</v>
      </c>
    </row>
    <row r="724" spans="4:6">
      <c r="D724">
        <v>2181</v>
      </c>
      <c r="F724">
        <v>6</v>
      </c>
    </row>
    <row r="725" spans="4:6">
      <c r="D725">
        <v>2182</v>
      </c>
      <c r="F725">
        <v>6</v>
      </c>
    </row>
    <row r="726" spans="4:6">
      <c r="D726">
        <v>2183</v>
      </c>
      <c r="F726">
        <v>6</v>
      </c>
    </row>
    <row r="727" spans="4:6">
      <c r="D727">
        <v>2184</v>
      </c>
      <c r="F727">
        <v>6</v>
      </c>
    </row>
    <row r="728" spans="4:6">
      <c r="D728">
        <v>2185</v>
      </c>
      <c r="F728">
        <v>6</v>
      </c>
    </row>
    <row r="729" spans="4:6">
      <c r="D729">
        <v>2191</v>
      </c>
      <c r="F729">
        <v>6</v>
      </c>
    </row>
    <row r="730" spans="4:6">
      <c r="D730">
        <v>2192</v>
      </c>
      <c r="F730">
        <v>9</v>
      </c>
    </row>
    <row r="731" spans="4:6">
      <c r="D731">
        <v>2193</v>
      </c>
      <c r="F731">
        <v>6</v>
      </c>
    </row>
    <row r="732" spans="4:6">
      <c r="D732">
        <v>2194</v>
      </c>
      <c r="F732">
        <v>7</v>
      </c>
    </row>
    <row r="733" spans="4:6">
      <c r="D733">
        <v>2200</v>
      </c>
      <c r="F733">
        <v>5</v>
      </c>
    </row>
    <row r="734" spans="4:6">
      <c r="D734">
        <v>2201</v>
      </c>
      <c r="F734">
        <v>5</v>
      </c>
    </row>
    <row r="735" spans="4:6">
      <c r="D735">
        <v>2202</v>
      </c>
      <c r="F735">
        <v>5</v>
      </c>
    </row>
    <row r="736" spans="4:6">
      <c r="D736">
        <v>2209</v>
      </c>
      <c r="F736">
        <v>6</v>
      </c>
    </row>
    <row r="737" spans="4:6">
      <c r="D737">
        <v>2211</v>
      </c>
      <c r="F737">
        <v>6</v>
      </c>
    </row>
    <row r="738" spans="4:6">
      <c r="D738">
        <v>2212</v>
      </c>
      <c r="F738">
        <v>6</v>
      </c>
    </row>
    <row r="739" spans="4:6">
      <c r="D739">
        <v>2213</v>
      </c>
      <c r="F739">
        <v>5</v>
      </c>
    </row>
    <row r="740" spans="4:6">
      <c r="D740">
        <v>2214</v>
      </c>
      <c r="F740">
        <v>10</v>
      </c>
    </row>
    <row r="741" spans="4:6">
      <c r="D741">
        <v>2215</v>
      </c>
      <c r="F741">
        <v>6</v>
      </c>
    </row>
    <row r="742" spans="4:6">
      <c r="D742">
        <v>2216</v>
      </c>
      <c r="F742">
        <v>6</v>
      </c>
    </row>
    <row r="743" spans="4:6">
      <c r="D743">
        <v>2217</v>
      </c>
      <c r="F743">
        <v>6</v>
      </c>
    </row>
    <row r="744" spans="4:6">
      <c r="D744">
        <v>2220</v>
      </c>
      <c r="F744">
        <v>5</v>
      </c>
    </row>
    <row r="745" spans="4:6">
      <c r="D745">
        <v>2221</v>
      </c>
      <c r="F745">
        <v>5</v>
      </c>
    </row>
    <row r="746" spans="4:6">
      <c r="D746">
        <v>2222</v>
      </c>
      <c r="F746">
        <v>5</v>
      </c>
    </row>
    <row r="747" spans="4:6">
      <c r="D747">
        <v>2225</v>
      </c>
      <c r="F747">
        <v>7</v>
      </c>
    </row>
    <row r="748" spans="4:6">
      <c r="D748">
        <v>2230</v>
      </c>
      <c r="F748">
        <v>7</v>
      </c>
    </row>
    <row r="749" spans="4:6">
      <c r="D749">
        <v>2233</v>
      </c>
      <c r="F749">
        <v>5</v>
      </c>
    </row>
    <row r="750" spans="4:6">
      <c r="D750">
        <v>2234</v>
      </c>
      <c r="F750">
        <v>5</v>
      </c>
    </row>
    <row r="751" spans="4:6">
      <c r="D751">
        <v>2235</v>
      </c>
      <c r="F751">
        <v>6</v>
      </c>
    </row>
    <row r="752" spans="4:6">
      <c r="D752">
        <v>2244</v>
      </c>
      <c r="F752">
        <v>6</v>
      </c>
    </row>
    <row r="753" spans="4:6">
      <c r="D753">
        <v>2251</v>
      </c>
      <c r="F753">
        <v>7</v>
      </c>
    </row>
    <row r="754" spans="4:6">
      <c r="D754">
        <v>2252</v>
      </c>
      <c r="F754">
        <v>7</v>
      </c>
    </row>
    <row r="755" spans="4:6">
      <c r="D755">
        <v>2253</v>
      </c>
      <c r="F755">
        <v>6</v>
      </c>
    </row>
    <row r="756" spans="4:6">
      <c r="D756">
        <v>2254</v>
      </c>
      <c r="F756">
        <v>7</v>
      </c>
    </row>
    <row r="757" spans="4:6">
      <c r="D757">
        <v>2255</v>
      </c>
      <c r="F757">
        <v>10</v>
      </c>
    </row>
    <row r="758" spans="4:6">
      <c r="D758">
        <v>2300</v>
      </c>
      <c r="F758">
        <v>6</v>
      </c>
    </row>
    <row r="759" spans="4:6">
      <c r="D759">
        <v>2301</v>
      </c>
      <c r="F759">
        <v>6</v>
      </c>
    </row>
    <row r="760" spans="4:6">
      <c r="D760">
        <v>2309</v>
      </c>
      <c r="F760">
        <v>6</v>
      </c>
    </row>
    <row r="761" spans="4:6">
      <c r="D761">
        <v>2310</v>
      </c>
      <c r="F761">
        <v>3</v>
      </c>
    </row>
    <row r="762" spans="4:6">
      <c r="D762">
        <v>2311</v>
      </c>
      <c r="F762">
        <v>3</v>
      </c>
    </row>
    <row r="763" spans="4:6">
      <c r="D763">
        <v>2312</v>
      </c>
      <c r="F763">
        <v>3</v>
      </c>
    </row>
    <row r="764" spans="4:6">
      <c r="D764">
        <v>2313</v>
      </c>
      <c r="F764">
        <v>3</v>
      </c>
    </row>
    <row r="765" spans="4:6">
      <c r="D765">
        <v>2314</v>
      </c>
      <c r="F765">
        <v>4</v>
      </c>
    </row>
    <row r="766" spans="4:6">
      <c r="D766">
        <v>2315</v>
      </c>
      <c r="F766">
        <v>4</v>
      </c>
    </row>
    <row r="767" spans="4:6">
      <c r="D767">
        <v>2316</v>
      </c>
      <c r="F767">
        <v>5</v>
      </c>
    </row>
    <row r="768" spans="4:6">
      <c r="D768">
        <v>2317</v>
      </c>
      <c r="F768">
        <v>6</v>
      </c>
    </row>
    <row r="769" spans="4:6">
      <c r="D769">
        <v>2318</v>
      </c>
      <c r="F769">
        <v>6</v>
      </c>
    </row>
    <row r="770" spans="4:6">
      <c r="D770">
        <v>2319</v>
      </c>
      <c r="F770">
        <v>6</v>
      </c>
    </row>
    <row r="771" spans="4:6">
      <c r="D771">
        <v>2321</v>
      </c>
      <c r="F771">
        <v>6</v>
      </c>
    </row>
    <row r="772" spans="4:6">
      <c r="D772">
        <v>2322</v>
      </c>
      <c r="F772">
        <v>6</v>
      </c>
    </row>
    <row r="773" spans="4:6">
      <c r="D773">
        <v>2330</v>
      </c>
      <c r="F773">
        <v>5</v>
      </c>
    </row>
    <row r="774" spans="4:6">
      <c r="D774">
        <v>2331</v>
      </c>
      <c r="F774">
        <v>5</v>
      </c>
    </row>
    <row r="775" spans="4:6">
      <c r="D775">
        <v>2332</v>
      </c>
      <c r="F775">
        <v>5</v>
      </c>
    </row>
    <row r="776" spans="4:6">
      <c r="D776">
        <v>2335</v>
      </c>
      <c r="F776">
        <v>3</v>
      </c>
    </row>
    <row r="777" spans="4:6">
      <c r="D777">
        <v>2336</v>
      </c>
      <c r="F777">
        <v>3</v>
      </c>
    </row>
    <row r="778" spans="4:6">
      <c r="D778">
        <v>2337</v>
      </c>
      <c r="F778">
        <v>4</v>
      </c>
    </row>
    <row r="779" spans="4:6">
      <c r="D779">
        <v>2338</v>
      </c>
      <c r="F779">
        <v>6</v>
      </c>
    </row>
    <row r="780" spans="4:6">
      <c r="D780">
        <v>2339</v>
      </c>
      <c r="F780">
        <v>6</v>
      </c>
    </row>
    <row r="781" spans="4:6">
      <c r="D781">
        <v>2340</v>
      </c>
      <c r="F781">
        <v>6</v>
      </c>
    </row>
    <row r="782" spans="4:6">
      <c r="D782">
        <v>2341</v>
      </c>
      <c r="F782">
        <v>6</v>
      </c>
    </row>
    <row r="783" spans="4:6">
      <c r="D783">
        <v>2342</v>
      </c>
      <c r="F783">
        <v>6</v>
      </c>
    </row>
    <row r="784" spans="4:6">
      <c r="D784">
        <v>2343</v>
      </c>
      <c r="F784">
        <v>10</v>
      </c>
    </row>
    <row r="785" spans="4:6">
      <c r="D785">
        <v>2344</v>
      </c>
      <c r="F785">
        <v>10</v>
      </c>
    </row>
    <row r="786" spans="4:6">
      <c r="D786">
        <v>2345</v>
      </c>
      <c r="F786">
        <v>6</v>
      </c>
    </row>
    <row r="787" spans="4:6">
      <c r="D787">
        <v>2347</v>
      </c>
      <c r="F787">
        <v>6</v>
      </c>
    </row>
    <row r="788" spans="4:6">
      <c r="D788">
        <v>2351</v>
      </c>
      <c r="F788">
        <v>6</v>
      </c>
    </row>
    <row r="789" spans="4:6">
      <c r="D789">
        <v>2360</v>
      </c>
      <c r="F789">
        <v>4</v>
      </c>
    </row>
    <row r="790" spans="4:6">
      <c r="D790">
        <v>2364</v>
      </c>
      <c r="F790">
        <v>7</v>
      </c>
    </row>
    <row r="791" spans="4:6">
      <c r="D791">
        <v>2365</v>
      </c>
      <c r="F791">
        <v>6</v>
      </c>
    </row>
    <row r="792" spans="4:6">
      <c r="D792">
        <v>2366</v>
      </c>
      <c r="F792">
        <v>10</v>
      </c>
    </row>
    <row r="793" spans="4:6">
      <c r="D793">
        <v>2367</v>
      </c>
      <c r="F793">
        <v>6</v>
      </c>
    </row>
    <row r="794" spans="4:6">
      <c r="D794">
        <v>2375</v>
      </c>
      <c r="F794">
        <v>10</v>
      </c>
    </row>
    <row r="795" spans="4:6">
      <c r="D795">
        <v>2376</v>
      </c>
      <c r="F795">
        <v>7</v>
      </c>
    </row>
    <row r="796" spans="4:6">
      <c r="D796">
        <v>2377</v>
      </c>
      <c r="F796">
        <v>9</v>
      </c>
    </row>
    <row r="797" spans="4:6">
      <c r="D797">
        <v>2378</v>
      </c>
      <c r="F797">
        <v>10</v>
      </c>
    </row>
    <row r="798" spans="4:6">
      <c r="D798">
        <v>2381</v>
      </c>
      <c r="F798">
        <v>9</v>
      </c>
    </row>
    <row r="799" spans="4:6">
      <c r="D799">
        <v>2421</v>
      </c>
      <c r="F799">
        <v>10</v>
      </c>
    </row>
    <row r="800" spans="4:6">
      <c r="D800">
        <v>2422</v>
      </c>
      <c r="F800">
        <v>9</v>
      </c>
    </row>
    <row r="801" spans="4:6">
      <c r="D801">
        <v>2423</v>
      </c>
      <c r="F801">
        <v>9</v>
      </c>
    </row>
    <row r="802" spans="4:6">
      <c r="D802">
        <v>2424</v>
      </c>
      <c r="F802">
        <v>9</v>
      </c>
    </row>
    <row r="803" spans="4:6">
      <c r="D803">
        <v>2425</v>
      </c>
      <c r="F803">
        <v>9</v>
      </c>
    </row>
    <row r="804" spans="4:6">
      <c r="D804">
        <v>2426</v>
      </c>
      <c r="F804">
        <v>9</v>
      </c>
    </row>
    <row r="805" spans="4:6">
      <c r="D805">
        <v>2427</v>
      </c>
      <c r="F805">
        <v>9</v>
      </c>
    </row>
    <row r="806" spans="4:6">
      <c r="D806">
        <v>2428</v>
      </c>
      <c r="F806">
        <v>9</v>
      </c>
    </row>
    <row r="807" spans="4:6">
      <c r="D807">
        <v>2431</v>
      </c>
      <c r="F807">
        <v>9</v>
      </c>
    </row>
    <row r="808" spans="4:6">
      <c r="D808">
        <v>2432</v>
      </c>
      <c r="F808">
        <v>9</v>
      </c>
    </row>
    <row r="809" spans="4:6">
      <c r="D809">
        <v>2433</v>
      </c>
      <c r="F809">
        <v>9</v>
      </c>
    </row>
    <row r="810" spans="4:6">
      <c r="D810">
        <v>2434</v>
      </c>
      <c r="F810">
        <v>9</v>
      </c>
    </row>
    <row r="811" spans="4:6">
      <c r="D811">
        <v>2435</v>
      </c>
      <c r="F811">
        <v>9</v>
      </c>
    </row>
    <row r="812" spans="4:6">
      <c r="D812">
        <v>2440</v>
      </c>
      <c r="F812">
        <v>5</v>
      </c>
    </row>
    <row r="813" spans="4:6">
      <c r="D813">
        <v>2441</v>
      </c>
      <c r="F813">
        <v>5</v>
      </c>
    </row>
    <row r="814" spans="4:6">
      <c r="D814">
        <v>2442</v>
      </c>
      <c r="F814">
        <v>5</v>
      </c>
    </row>
    <row r="815" spans="4:6">
      <c r="D815">
        <v>2443</v>
      </c>
      <c r="F815">
        <v>5</v>
      </c>
    </row>
    <row r="816" spans="4:6">
      <c r="D816">
        <v>2444</v>
      </c>
      <c r="F816">
        <v>5</v>
      </c>
    </row>
    <row r="817" spans="4:6">
      <c r="D817">
        <v>2451</v>
      </c>
      <c r="F817">
        <v>5</v>
      </c>
    </row>
    <row r="818" spans="4:6">
      <c r="D818">
        <v>2452</v>
      </c>
      <c r="F818">
        <v>5</v>
      </c>
    </row>
    <row r="819" spans="4:6">
      <c r="D819">
        <v>2453</v>
      </c>
      <c r="F819">
        <v>5</v>
      </c>
    </row>
    <row r="820" spans="4:6">
      <c r="D820">
        <v>2455</v>
      </c>
      <c r="F820">
        <v>5</v>
      </c>
    </row>
    <row r="821" spans="4:6">
      <c r="D821">
        <v>2456</v>
      </c>
      <c r="F821">
        <v>5</v>
      </c>
    </row>
    <row r="822" spans="4:6">
      <c r="D822">
        <v>2457</v>
      </c>
      <c r="F822">
        <v>9</v>
      </c>
    </row>
    <row r="823" spans="4:6">
      <c r="D823">
        <v>2461</v>
      </c>
      <c r="F823">
        <v>5</v>
      </c>
    </row>
    <row r="824" spans="4:6">
      <c r="D824">
        <v>2462</v>
      </c>
      <c r="F824">
        <v>5</v>
      </c>
    </row>
    <row r="825" spans="4:6">
      <c r="D825">
        <v>2463</v>
      </c>
      <c r="F825">
        <v>7</v>
      </c>
    </row>
    <row r="826" spans="4:6">
      <c r="D826">
        <v>2464</v>
      </c>
      <c r="F826">
        <v>5</v>
      </c>
    </row>
    <row r="827" spans="4:6">
      <c r="D827">
        <v>2465</v>
      </c>
      <c r="F827">
        <v>5</v>
      </c>
    </row>
    <row r="828" spans="4:6">
      <c r="D828">
        <v>2475</v>
      </c>
      <c r="F828">
        <v>7</v>
      </c>
    </row>
    <row r="829" spans="4:6">
      <c r="D829">
        <v>2483</v>
      </c>
      <c r="F829">
        <v>5</v>
      </c>
    </row>
    <row r="830" spans="4:6">
      <c r="D830">
        <v>2490</v>
      </c>
      <c r="F830">
        <v>5</v>
      </c>
    </row>
    <row r="831" spans="4:6">
      <c r="D831">
        <v>2500</v>
      </c>
      <c r="F831">
        <v>6</v>
      </c>
    </row>
    <row r="832" spans="4:6">
      <c r="D832">
        <v>2501</v>
      </c>
      <c r="F832">
        <v>6</v>
      </c>
    </row>
    <row r="833" spans="4:6">
      <c r="D833">
        <v>2503</v>
      </c>
      <c r="F833">
        <v>6</v>
      </c>
    </row>
    <row r="834" spans="4:6">
      <c r="D834">
        <v>2508</v>
      </c>
      <c r="F834">
        <v>6</v>
      </c>
    </row>
    <row r="835" spans="4:6">
      <c r="D835">
        <v>2509</v>
      </c>
      <c r="F835">
        <v>6</v>
      </c>
    </row>
    <row r="836" spans="4:6">
      <c r="D836">
        <v>2510</v>
      </c>
      <c r="F836">
        <v>4</v>
      </c>
    </row>
    <row r="837" spans="4:6">
      <c r="D837">
        <v>2511</v>
      </c>
      <c r="F837">
        <v>4</v>
      </c>
    </row>
    <row r="838" spans="4:6">
      <c r="D838">
        <v>2512</v>
      </c>
      <c r="F838">
        <v>4</v>
      </c>
    </row>
    <row r="839" spans="4:6">
      <c r="D839">
        <v>2517</v>
      </c>
      <c r="F839">
        <v>5</v>
      </c>
    </row>
    <row r="840" spans="4:6">
      <c r="D840">
        <v>2518</v>
      </c>
      <c r="F840">
        <v>9</v>
      </c>
    </row>
    <row r="841" spans="4:6">
      <c r="D841">
        <v>2519</v>
      </c>
      <c r="F841">
        <v>5</v>
      </c>
    </row>
    <row r="842" spans="4:6">
      <c r="D842">
        <v>2521</v>
      </c>
      <c r="F842">
        <v>5</v>
      </c>
    </row>
    <row r="843" spans="4:6">
      <c r="D843">
        <v>2522</v>
      </c>
      <c r="F843">
        <v>5</v>
      </c>
    </row>
    <row r="844" spans="4:6">
      <c r="D844">
        <v>2523</v>
      </c>
      <c r="F844">
        <v>7</v>
      </c>
    </row>
    <row r="845" spans="4:6">
      <c r="D845">
        <v>2524</v>
      </c>
      <c r="F845">
        <v>9</v>
      </c>
    </row>
    <row r="846" spans="4:6">
      <c r="D846">
        <v>2525</v>
      </c>
      <c r="F846">
        <v>9</v>
      </c>
    </row>
    <row r="847" spans="4:6">
      <c r="D847">
        <v>2526</v>
      </c>
      <c r="F847">
        <v>5</v>
      </c>
    </row>
    <row r="848" spans="4:6">
      <c r="D848">
        <v>2527</v>
      </c>
      <c r="F848">
        <v>5</v>
      </c>
    </row>
    <row r="849" spans="4:6">
      <c r="D849">
        <v>2528</v>
      </c>
      <c r="F849">
        <v>5</v>
      </c>
    </row>
    <row r="850" spans="4:6">
      <c r="D850">
        <v>2529</v>
      </c>
      <c r="F850">
        <v>9</v>
      </c>
    </row>
    <row r="851" spans="4:6">
      <c r="D851">
        <v>2531</v>
      </c>
      <c r="F851">
        <v>9</v>
      </c>
    </row>
    <row r="852" spans="4:6">
      <c r="D852">
        <v>2532</v>
      </c>
      <c r="F852">
        <v>5</v>
      </c>
    </row>
    <row r="853" spans="4:6">
      <c r="D853">
        <v>2534</v>
      </c>
      <c r="F853">
        <v>7</v>
      </c>
    </row>
    <row r="854" spans="4:6">
      <c r="D854">
        <v>2535</v>
      </c>
      <c r="F854">
        <v>9</v>
      </c>
    </row>
    <row r="855" spans="4:6">
      <c r="D855">
        <v>2536</v>
      </c>
      <c r="F855">
        <v>7</v>
      </c>
    </row>
    <row r="856" spans="4:6">
      <c r="D856">
        <v>2537</v>
      </c>
      <c r="F856">
        <v>5</v>
      </c>
    </row>
    <row r="857" spans="4:6">
      <c r="D857">
        <v>2543</v>
      </c>
      <c r="F857">
        <v>9</v>
      </c>
    </row>
    <row r="858" spans="4:6">
      <c r="D858">
        <v>2600</v>
      </c>
      <c r="F858">
        <v>6</v>
      </c>
    </row>
    <row r="859" spans="4:6">
      <c r="D859">
        <v>2601</v>
      </c>
      <c r="F859">
        <v>6</v>
      </c>
    </row>
    <row r="860" spans="4:6">
      <c r="D860">
        <v>2602</v>
      </c>
      <c r="F860">
        <v>6</v>
      </c>
    </row>
    <row r="861" spans="4:6">
      <c r="D861">
        <v>2603</v>
      </c>
      <c r="F861">
        <v>6</v>
      </c>
    </row>
    <row r="862" spans="4:6">
      <c r="D862">
        <v>2610</v>
      </c>
      <c r="F862">
        <v>6</v>
      </c>
    </row>
    <row r="863" spans="4:6">
      <c r="D863">
        <v>2611</v>
      </c>
      <c r="F863">
        <v>6</v>
      </c>
    </row>
    <row r="864" spans="4:6">
      <c r="D864">
        <v>2612</v>
      </c>
      <c r="F864">
        <v>6</v>
      </c>
    </row>
    <row r="865" spans="4:6">
      <c r="D865">
        <v>2613</v>
      </c>
      <c r="F865">
        <v>6</v>
      </c>
    </row>
    <row r="866" spans="4:6">
      <c r="D866">
        <v>2614</v>
      </c>
      <c r="F866">
        <v>6</v>
      </c>
    </row>
    <row r="867" spans="4:6">
      <c r="D867">
        <v>2615</v>
      </c>
      <c r="F867">
        <v>6</v>
      </c>
    </row>
    <row r="868" spans="4:6">
      <c r="D868">
        <v>2616</v>
      </c>
      <c r="F868">
        <v>6</v>
      </c>
    </row>
    <row r="869" spans="4:6">
      <c r="D869">
        <v>2617</v>
      </c>
      <c r="F869">
        <v>6</v>
      </c>
    </row>
    <row r="870" spans="4:6">
      <c r="D870">
        <v>2618</v>
      </c>
      <c r="F870">
        <v>6</v>
      </c>
    </row>
    <row r="871" spans="4:6">
      <c r="D871">
        <v>2619</v>
      </c>
      <c r="F871">
        <v>6</v>
      </c>
    </row>
    <row r="872" spans="4:6">
      <c r="D872">
        <v>2621</v>
      </c>
      <c r="F872">
        <v>6</v>
      </c>
    </row>
    <row r="873" spans="4:6">
      <c r="D873">
        <v>2623</v>
      </c>
      <c r="F873">
        <v>6</v>
      </c>
    </row>
    <row r="874" spans="4:6">
      <c r="D874">
        <v>2624</v>
      </c>
      <c r="F874">
        <v>6</v>
      </c>
    </row>
    <row r="875" spans="4:6">
      <c r="D875">
        <v>2625</v>
      </c>
      <c r="F875">
        <v>7</v>
      </c>
    </row>
    <row r="876" spans="4:6">
      <c r="D876">
        <v>2626</v>
      </c>
      <c r="F876">
        <v>6</v>
      </c>
    </row>
    <row r="877" spans="4:6">
      <c r="D877">
        <v>2627</v>
      </c>
      <c r="F877">
        <v>6</v>
      </c>
    </row>
    <row r="878" spans="4:6">
      <c r="D878">
        <v>2628</v>
      </c>
      <c r="F878">
        <v>6</v>
      </c>
    </row>
    <row r="879" spans="4:6">
      <c r="D879">
        <v>2629</v>
      </c>
      <c r="F879">
        <v>7</v>
      </c>
    </row>
    <row r="880" spans="4:6">
      <c r="D880">
        <v>2631</v>
      </c>
      <c r="F880">
        <v>7</v>
      </c>
    </row>
    <row r="881" spans="4:6">
      <c r="D881">
        <v>2632</v>
      </c>
      <c r="F881">
        <v>7</v>
      </c>
    </row>
    <row r="882" spans="4:6">
      <c r="D882">
        <v>2633</v>
      </c>
      <c r="F882">
        <v>7</v>
      </c>
    </row>
    <row r="883" spans="4:6">
      <c r="D883">
        <v>2634</v>
      </c>
      <c r="F883">
        <v>7</v>
      </c>
    </row>
    <row r="884" spans="4:6">
      <c r="D884">
        <v>2635</v>
      </c>
      <c r="F884">
        <v>10</v>
      </c>
    </row>
    <row r="885" spans="4:6">
      <c r="D885">
        <v>2636</v>
      </c>
      <c r="F885">
        <v>10</v>
      </c>
    </row>
    <row r="886" spans="4:6">
      <c r="D886">
        <v>2637</v>
      </c>
      <c r="F886">
        <v>10</v>
      </c>
    </row>
    <row r="887" spans="4:6">
      <c r="D887">
        <v>2638</v>
      </c>
      <c r="F887">
        <v>10</v>
      </c>
    </row>
    <row r="888" spans="4:6">
      <c r="D888">
        <v>2639</v>
      </c>
      <c r="F888">
        <v>10</v>
      </c>
    </row>
    <row r="889" spans="4:6">
      <c r="D889">
        <v>2640</v>
      </c>
      <c r="F889">
        <v>5</v>
      </c>
    </row>
    <row r="890" spans="4:6">
      <c r="D890">
        <v>2641</v>
      </c>
      <c r="F890">
        <v>6</v>
      </c>
    </row>
    <row r="891" spans="4:6">
      <c r="D891">
        <v>2642</v>
      </c>
      <c r="F891">
        <v>6</v>
      </c>
    </row>
    <row r="892" spans="4:6">
      <c r="D892">
        <v>2643</v>
      </c>
      <c r="F892">
        <v>5</v>
      </c>
    </row>
    <row r="893" spans="4:6">
      <c r="D893">
        <v>2644</v>
      </c>
      <c r="F893">
        <v>6</v>
      </c>
    </row>
    <row r="894" spans="4:6">
      <c r="D894">
        <v>2645</v>
      </c>
      <c r="F894">
        <v>6</v>
      </c>
    </row>
    <row r="895" spans="4:6">
      <c r="D895">
        <v>2646</v>
      </c>
      <c r="F895">
        <v>6</v>
      </c>
    </row>
    <row r="896" spans="4:6">
      <c r="D896">
        <v>2647</v>
      </c>
      <c r="F896">
        <v>9</v>
      </c>
    </row>
    <row r="897" spans="4:6">
      <c r="D897">
        <v>2648</v>
      </c>
      <c r="F897">
        <v>9</v>
      </c>
    </row>
    <row r="898" spans="4:6">
      <c r="D898">
        <v>2649</v>
      </c>
      <c r="F898">
        <v>9</v>
      </c>
    </row>
    <row r="899" spans="4:6">
      <c r="D899">
        <v>2651</v>
      </c>
      <c r="F899">
        <v>5</v>
      </c>
    </row>
    <row r="900" spans="4:6">
      <c r="D900">
        <v>2652</v>
      </c>
      <c r="F900">
        <v>9</v>
      </c>
    </row>
    <row r="901" spans="4:6">
      <c r="D901">
        <v>2653</v>
      </c>
      <c r="F901">
        <v>6</v>
      </c>
    </row>
    <row r="902" spans="4:6">
      <c r="D902">
        <v>2654</v>
      </c>
      <c r="F902">
        <v>9</v>
      </c>
    </row>
    <row r="903" spans="4:6">
      <c r="D903">
        <v>2655</v>
      </c>
      <c r="F903">
        <v>9</v>
      </c>
    </row>
    <row r="904" spans="4:6">
      <c r="D904">
        <v>2656</v>
      </c>
      <c r="F904">
        <v>9</v>
      </c>
    </row>
    <row r="905" spans="4:6">
      <c r="D905">
        <v>2657</v>
      </c>
      <c r="F905">
        <v>5</v>
      </c>
    </row>
    <row r="906" spans="4:6">
      <c r="D906">
        <v>2658</v>
      </c>
      <c r="F906">
        <v>9</v>
      </c>
    </row>
    <row r="907" spans="4:6">
      <c r="D907">
        <v>2659</v>
      </c>
      <c r="F907">
        <v>9</v>
      </c>
    </row>
    <row r="908" spans="4:6">
      <c r="D908">
        <v>2668</v>
      </c>
      <c r="F908">
        <v>9</v>
      </c>
    </row>
    <row r="909" spans="4:6">
      <c r="D909">
        <v>2669</v>
      </c>
      <c r="F909">
        <v>9</v>
      </c>
    </row>
    <row r="910" spans="4:6">
      <c r="D910">
        <v>2671</v>
      </c>
      <c r="F910">
        <v>9</v>
      </c>
    </row>
    <row r="911" spans="4:6">
      <c r="D911">
        <v>2672</v>
      </c>
      <c r="F911">
        <v>9</v>
      </c>
    </row>
    <row r="912" spans="4:6">
      <c r="D912">
        <v>2673</v>
      </c>
      <c r="F912">
        <v>9</v>
      </c>
    </row>
    <row r="913" spans="4:6">
      <c r="D913">
        <v>2675</v>
      </c>
      <c r="F913">
        <v>9</v>
      </c>
    </row>
    <row r="914" spans="4:6">
      <c r="D914">
        <v>2676</v>
      </c>
      <c r="F914">
        <v>9</v>
      </c>
    </row>
    <row r="915" spans="4:6">
      <c r="D915">
        <v>2677</v>
      </c>
      <c r="F915">
        <v>9</v>
      </c>
    </row>
    <row r="916" spans="4:6">
      <c r="D916">
        <v>2678</v>
      </c>
      <c r="F916">
        <v>9</v>
      </c>
    </row>
    <row r="917" spans="4:6">
      <c r="D917">
        <v>2681</v>
      </c>
      <c r="F917">
        <v>7</v>
      </c>
    </row>
    <row r="918" spans="4:6">
      <c r="D918">
        <v>2682</v>
      </c>
      <c r="F918">
        <v>6</v>
      </c>
    </row>
    <row r="919" spans="4:6">
      <c r="D919">
        <v>2683</v>
      </c>
      <c r="F919">
        <v>6</v>
      </c>
    </row>
    <row r="920" spans="4:6">
      <c r="D920">
        <v>2685</v>
      </c>
      <c r="F920">
        <v>6</v>
      </c>
    </row>
    <row r="921" spans="4:6">
      <c r="D921">
        <v>2686</v>
      </c>
      <c r="F921">
        <v>6</v>
      </c>
    </row>
    <row r="922" spans="4:6">
      <c r="D922">
        <v>2687</v>
      </c>
      <c r="F922">
        <v>9</v>
      </c>
    </row>
    <row r="923" spans="4:6">
      <c r="D923">
        <v>2688</v>
      </c>
      <c r="F923">
        <v>6</v>
      </c>
    </row>
    <row r="924" spans="4:6">
      <c r="D924">
        <v>2691</v>
      </c>
      <c r="F924">
        <v>9</v>
      </c>
    </row>
    <row r="925" spans="4:6">
      <c r="D925">
        <v>2692</v>
      </c>
      <c r="F925">
        <v>9</v>
      </c>
    </row>
    <row r="926" spans="4:6">
      <c r="D926">
        <v>2693</v>
      </c>
      <c r="F926">
        <v>9</v>
      </c>
    </row>
    <row r="927" spans="4:6">
      <c r="D927">
        <v>2694</v>
      </c>
      <c r="F927">
        <v>9</v>
      </c>
    </row>
    <row r="928" spans="4:6">
      <c r="D928">
        <v>2696</v>
      </c>
      <c r="F928">
        <v>9</v>
      </c>
    </row>
    <row r="929" spans="4:6">
      <c r="D929">
        <v>2697</v>
      </c>
      <c r="F929">
        <v>9</v>
      </c>
    </row>
    <row r="930" spans="4:6">
      <c r="D930">
        <v>2698</v>
      </c>
      <c r="F930">
        <v>9</v>
      </c>
    </row>
    <row r="931" spans="4:6">
      <c r="D931">
        <v>2699</v>
      </c>
      <c r="F931">
        <v>9</v>
      </c>
    </row>
    <row r="932" spans="4:6">
      <c r="D932">
        <v>2711</v>
      </c>
      <c r="F932">
        <v>9</v>
      </c>
    </row>
    <row r="933" spans="4:6">
      <c r="D933">
        <v>2712</v>
      </c>
      <c r="F933">
        <v>10</v>
      </c>
    </row>
    <row r="934" spans="4:6">
      <c r="D934">
        <v>2713</v>
      </c>
      <c r="F934">
        <v>10</v>
      </c>
    </row>
    <row r="935" spans="4:6">
      <c r="D935">
        <v>2721</v>
      </c>
      <c r="F935">
        <v>6</v>
      </c>
    </row>
    <row r="936" spans="4:6">
      <c r="D936">
        <v>2723</v>
      </c>
      <c r="F936">
        <v>6</v>
      </c>
    </row>
    <row r="937" spans="4:6">
      <c r="D937">
        <v>2724</v>
      </c>
      <c r="F937">
        <v>6</v>
      </c>
    </row>
    <row r="938" spans="4:6">
      <c r="D938">
        <v>2735</v>
      </c>
      <c r="F938">
        <v>9</v>
      </c>
    </row>
    <row r="939" spans="4:6">
      <c r="D939">
        <v>2736</v>
      </c>
      <c r="F939">
        <v>10</v>
      </c>
    </row>
    <row r="940" spans="4:6">
      <c r="D940">
        <v>2737</v>
      </c>
      <c r="F940">
        <v>9</v>
      </c>
    </row>
    <row r="941" spans="4:6">
      <c r="D941">
        <v>2738</v>
      </c>
      <c r="F941">
        <v>10</v>
      </c>
    </row>
    <row r="942" spans="4:6">
      <c r="D942">
        <v>2745</v>
      </c>
      <c r="F942">
        <v>10</v>
      </c>
    </row>
    <row r="943" spans="4:6">
      <c r="D943">
        <v>2746</v>
      </c>
      <c r="F943">
        <v>10</v>
      </c>
    </row>
    <row r="944" spans="4:6">
      <c r="D944">
        <v>2747</v>
      </c>
      <c r="F944">
        <v>10</v>
      </c>
    </row>
    <row r="945" spans="4:6">
      <c r="D945">
        <v>2755</v>
      </c>
      <c r="F945">
        <v>10</v>
      </c>
    </row>
    <row r="946" spans="4:6">
      <c r="D946">
        <v>2760</v>
      </c>
      <c r="F946">
        <v>9</v>
      </c>
    </row>
    <row r="947" spans="4:6">
      <c r="D947">
        <v>2761</v>
      </c>
      <c r="F947">
        <v>9</v>
      </c>
    </row>
    <row r="948" spans="4:6">
      <c r="D948">
        <v>2764</v>
      </c>
      <c r="F948">
        <v>9</v>
      </c>
    </row>
    <row r="949" spans="4:6">
      <c r="D949">
        <v>2765</v>
      </c>
      <c r="F949">
        <v>10</v>
      </c>
    </row>
    <row r="950" spans="4:6">
      <c r="D950">
        <v>2766</v>
      </c>
      <c r="F950">
        <v>10</v>
      </c>
    </row>
    <row r="951" spans="4:6">
      <c r="D951">
        <v>2767</v>
      </c>
      <c r="F951">
        <v>10</v>
      </c>
    </row>
    <row r="952" spans="4:6">
      <c r="D952">
        <v>2768</v>
      </c>
      <c r="F952">
        <v>10</v>
      </c>
    </row>
    <row r="953" spans="4:6">
      <c r="D953">
        <v>2769</v>
      </c>
      <c r="F953">
        <v>10</v>
      </c>
    </row>
    <row r="954" spans="4:6">
      <c r="D954">
        <v>2800</v>
      </c>
      <c r="F954">
        <v>5</v>
      </c>
    </row>
    <row r="955" spans="4:6">
      <c r="D955">
        <v>2801</v>
      </c>
      <c r="F955">
        <v>5</v>
      </c>
    </row>
    <row r="956" spans="4:6">
      <c r="D956">
        <v>2802</v>
      </c>
      <c r="F956">
        <v>5</v>
      </c>
    </row>
    <row r="957" spans="4:6">
      <c r="D957">
        <v>2803</v>
      </c>
      <c r="F957">
        <v>5</v>
      </c>
    </row>
    <row r="958" spans="4:6">
      <c r="D958">
        <v>2804</v>
      </c>
      <c r="F958">
        <v>5</v>
      </c>
    </row>
    <row r="959" spans="4:6">
      <c r="D959">
        <v>2805</v>
      </c>
      <c r="F959">
        <v>5</v>
      </c>
    </row>
    <row r="960" spans="4:6">
      <c r="D960">
        <v>2806</v>
      </c>
      <c r="F960">
        <v>5</v>
      </c>
    </row>
    <row r="961" spans="4:6">
      <c r="D961">
        <v>2807</v>
      </c>
      <c r="F961">
        <v>5</v>
      </c>
    </row>
    <row r="962" spans="4:6">
      <c r="D962">
        <v>2808</v>
      </c>
      <c r="F962">
        <v>5</v>
      </c>
    </row>
    <row r="963" spans="4:6">
      <c r="D963">
        <v>2809</v>
      </c>
      <c r="F963">
        <v>5</v>
      </c>
    </row>
    <row r="964" spans="4:6">
      <c r="D964">
        <v>2821</v>
      </c>
      <c r="F964">
        <v>5</v>
      </c>
    </row>
    <row r="965" spans="4:6">
      <c r="D965">
        <v>2822</v>
      </c>
      <c r="F965">
        <v>5</v>
      </c>
    </row>
    <row r="966" spans="4:6">
      <c r="D966">
        <v>2823</v>
      </c>
      <c r="F966">
        <v>9</v>
      </c>
    </row>
    <row r="967" spans="4:6">
      <c r="D967">
        <v>2831</v>
      </c>
      <c r="F967">
        <v>5</v>
      </c>
    </row>
    <row r="968" spans="4:6">
      <c r="D968">
        <v>2832</v>
      </c>
      <c r="F968">
        <v>9</v>
      </c>
    </row>
    <row r="969" spans="4:6">
      <c r="D969">
        <v>2834</v>
      </c>
      <c r="F969">
        <v>9</v>
      </c>
    </row>
    <row r="970" spans="4:6">
      <c r="D970">
        <v>2835</v>
      </c>
      <c r="F970">
        <v>7</v>
      </c>
    </row>
    <row r="971" spans="4:6">
      <c r="D971">
        <v>2836</v>
      </c>
      <c r="F971">
        <v>9</v>
      </c>
    </row>
    <row r="972" spans="4:6">
      <c r="D972">
        <v>2837</v>
      </c>
      <c r="F972">
        <v>7</v>
      </c>
    </row>
    <row r="973" spans="4:6">
      <c r="D973">
        <v>2840</v>
      </c>
      <c r="F973">
        <v>7</v>
      </c>
    </row>
    <row r="974" spans="4:6">
      <c r="D974">
        <v>2841</v>
      </c>
      <c r="F974">
        <v>7</v>
      </c>
    </row>
    <row r="975" spans="4:6">
      <c r="D975">
        <v>2842</v>
      </c>
      <c r="F975">
        <v>7</v>
      </c>
    </row>
    <row r="976" spans="4:6">
      <c r="D976">
        <v>2852</v>
      </c>
      <c r="F976">
        <v>9</v>
      </c>
    </row>
    <row r="977" spans="4:6">
      <c r="D977">
        <v>2861</v>
      </c>
      <c r="F977">
        <v>6</v>
      </c>
    </row>
    <row r="978" spans="4:6">
      <c r="D978">
        <v>2870</v>
      </c>
      <c r="F978">
        <v>9</v>
      </c>
    </row>
    <row r="979" spans="4:6">
      <c r="D979">
        <v>2890</v>
      </c>
      <c r="F979">
        <v>7</v>
      </c>
    </row>
    <row r="980" spans="4:6">
      <c r="D980">
        <v>2891</v>
      </c>
      <c r="F980">
        <v>7</v>
      </c>
    </row>
    <row r="981" spans="4:6">
      <c r="D981">
        <v>2892</v>
      </c>
      <c r="F981">
        <v>7</v>
      </c>
    </row>
    <row r="982" spans="4:6">
      <c r="D982">
        <v>2893</v>
      </c>
      <c r="F982">
        <v>7</v>
      </c>
    </row>
    <row r="983" spans="4:6">
      <c r="D983">
        <v>2894</v>
      </c>
      <c r="F983">
        <v>7</v>
      </c>
    </row>
    <row r="984" spans="4:6">
      <c r="D984">
        <v>2896</v>
      </c>
      <c r="F984">
        <v>9</v>
      </c>
    </row>
    <row r="985" spans="4:6">
      <c r="D985">
        <v>2903</v>
      </c>
      <c r="F985">
        <v>9</v>
      </c>
    </row>
    <row r="986" spans="4:6">
      <c r="D986">
        <v>2931</v>
      </c>
      <c r="F986">
        <v>9</v>
      </c>
    </row>
    <row r="987" spans="4:6">
      <c r="D987">
        <v>2932</v>
      </c>
      <c r="F987">
        <v>9</v>
      </c>
    </row>
    <row r="988" spans="4:6">
      <c r="D988">
        <v>2941</v>
      </c>
      <c r="F988">
        <v>9</v>
      </c>
    </row>
    <row r="989" spans="4:6">
      <c r="D989">
        <v>2942</v>
      </c>
      <c r="F989">
        <v>9</v>
      </c>
    </row>
    <row r="990" spans="4:6">
      <c r="D990">
        <v>2943</v>
      </c>
      <c r="F990">
        <v>9</v>
      </c>
    </row>
    <row r="991" spans="4:6">
      <c r="D991">
        <v>3000</v>
      </c>
      <c r="F991">
        <v>7</v>
      </c>
    </row>
    <row r="992" spans="4:6">
      <c r="D992">
        <v>3001</v>
      </c>
      <c r="F992">
        <v>7</v>
      </c>
    </row>
    <row r="993" spans="4:6">
      <c r="D993">
        <v>3002</v>
      </c>
      <c r="F993">
        <v>7</v>
      </c>
    </row>
    <row r="994" spans="4:6">
      <c r="D994">
        <v>3003</v>
      </c>
      <c r="F994">
        <v>7</v>
      </c>
    </row>
    <row r="995" spans="4:6">
      <c r="D995">
        <v>3009</v>
      </c>
      <c r="F995">
        <v>9</v>
      </c>
    </row>
    <row r="996" spans="4:6">
      <c r="D996">
        <v>3011</v>
      </c>
      <c r="F996">
        <v>9</v>
      </c>
    </row>
    <row r="997" spans="4:6">
      <c r="D997">
        <v>3013</v>
      </c>
      <c r="F997">
        <v>9</v>
      </c>
    </row>
    <row r="998" spans="4:6">
      <c r="D998">
        <v>3014</v>
      </c>
      <c r="F998">
        <v>9</v>
      </c>
    </row>
    <row r="999" spans="4:6">
      <c r="D999">
        <v>3015</v>
      </c>
      <c r="F999">
        <v>9</v>
      </c>
    </row>
    <row r="1000" spans="4:6">
      <c r="D1000">
        <v>3021</v>
      </c>
      <c r="F1000">
        <v>9</v>
      </c>
    </row>
    <row r="1001" spans="4:6">
      <c r="D1001">
        <v>3022</v>
      </c>
      <c r="F1001">
        <v>9</v>
      </c>
    </row>
    <row r="1002" spans="4:6">
      <c r="D1002">
        <v>3023</v>
      </c>
      <c r="F1002">
        <v>9</v>
      </c>
    </row>
    <row r="1003" spans="4:6">
      <c r="D1003">
        <v>3024</v>
      </c>
      <c r="F1003">
        <v>9</v>
      </c>
    </row>
    <row r="1004" spans="4:6">
      <c r="D1004">
        <v>3031</v>
      </c>
      <c r="F1004">
        <v>9</v>
      </c>
    </row>
    <row r="1005" spans="4:6">
      <c r="D1005">
        <v>3032</v>
      </c>
      <c r="F1005">
        <v>9</v>
      </c>
    </row>
    <row r="1006" spans="4:6">
      <c r="D1006">
        <v>3033</v>
      </c>
      <c r="F1006">
        <v>9</v>
      </c>
    </row>
    <row r="1007" spans="4:6">
      <c r="D1007">
        <v>3034</v>
      </c>
      <c r="F1007">
        <v>9</v>
      </c>
    </row>
    <row r="1008" spans="4:6">
      <c r="D1008">
        <v>3035</v>
      </c>
      <c r="F1008">
        <v>9</v>
      </c>
    </row>
    <row r="1009" spans="4:6">
      <c r="D1009">
        <v>3036</v>
      </c>
      <c r="F1009">
        <v>9</v>
      </c>
    </row>
    <row r="1010" spans="4:6">
      <c r="D1010">
        <v>3041</v>
      </c>
      <c r="F1010">
        <v>6</v>
      </c>
    </row>
    <row r="1011" spans="4:6">
      <c r="D1011">
        <v>3042</v>
      </c>
      <c r="F1011">
        <v>6</v>
      </c>
    </row>
    <row r="1012" spans="4:6">
      <c r="D1012">
        <v>3043</v>
      </c>
      <c r="F1012">
        <v>6</v>
      </c>
    </row>
    <row r="1013" spans="4:6">
      <c r="D1013">
        <v>3044</v>
      </c>
      <c r="F1013">
        <v>6</v>
      </c>
    </row>
    <row r="1014" spans="4:6">
      <c r="D1014">
        <v>3045</v>
      </c>
      <c r="F1014">
        <v>9</v>
      </c>
    </row>
    <row r="1015" spans="4:6">
      <c r="D1015">
        <v>3046</v>
      </c>
      <c r="F1015">
        <v>6</v>
      </c>
    </row>
    <row r="1016" spans="4:6">
      <c r="D1016">
        <v>3047</v>
      </c>
      <c r="F1016">
        <v>6</v>
      </c>
    </row>
    <row r="1017" spans="4:6">
      <c r="D1017">
        <v>3051</v>
      </c>
      <c r="F1017">
        <v>9</v>
      </c>
    </row>
    <row r="1018" spans="4:6">
      <c r="D1018">
        <v>3052</v>
      </c>
      <c r="F1018">
        <v>9</v>
      </c>
    </row>
    <row r="1019" spans="4:6">
      <c r="D1019">
        <v>3053</v>
      </c>
      <c r="F1019">
        <v>9</v>
      </c>
    </row>
    <row r="1020" spans="4:6">
      <c r="D1020">
        <v>3063</v>
      </c>
      <c r="F1020">
        <v>9</v>
      </c>
    </row>
    <row r="1021" spans="4:6">
      <c r="D1021">
        <v>3064</v>
      </c>
      <c r="F1021">
        <v>9</v>
      </c>
    </row>
    <row r="1022" spans="4:6">
      <c r="D1022">
        <v>3065</v>
      </c>
      <c r="F1022">
        <v>9</v>
      </c>
    </row>
    <row r="1023" spans="4:6">
      <c r="D1023">
        <v>3066</v>
      </c>
      <c r="F1023">
        <v>9</v>
      </c>
    </row>
    <row r="1024" spans="4:6">
      <c r="D1024">
        <v>3067</v>
      </c>
      <c r="F1024">
        <v>9</v>
      </c>
    </row>
    <row r="1025" spans="4:6">
      <c r="D1025">
        <v>3068</v>
      </c>
      <c r="F1025">
        <v>9</v>
      </c>
    </row>
    <row r="1026" spans="4:6">
      <c r="D1026">
        <v>3069</v>
      </c>
      <c r="F1026">
        <v>9</v>
      </c>
    </row>
    <row r="1027" spans="4:6">
      <c r="D1027">
        <v>3073</v>
      </c>
      <c r="F1027">
        <v>9</v>
      </c>
    </row>
    <row r="1028" spans="4:6">
      <c r="D1028">
        <v>3074</v>
      </c>
      <c r="F1028">
        <v>9</v>
      </c>
    </row>
    <row r="1029" spans="4:6">
      <c r="D1029">
        <v>3075</v>
      </c>
      <c r="F1029">
        <v>9</v>
      </c>
    </row>
    <row r="1030" spans="4:6">
      <c r="D1030">
        <v>3077</v>
      </c>
      <c r="F1030">
        <v>9</v>
      </c>
    </row>
    <row r="1031" spans="4:6">
      <c r="D1031">
        <v>3078</v>
      </c>
      <c r="F1031">
        <v>9</v>
      </c>
    </row>
    <row r="1032" spans="4:6">
      <c r="D1032">
        <v>3082</v>
      </c>
      <c r="F1032">
        <v>7</v>
      </c>
    </row>
    <row r="1033" spans="4:6">
      <c r="D1033">
        <v>3100</v>
      </c>
      <c r="F1033">
        <v>6</v>
      </c>
    </row>
    <row r="1034" spans="4:6">
      <c r="D1034">
        <v>3101</v>
      </c>
      <c r="F1034">
        <v>6</v>
      </c>
    </row>
    <row r="1035" spans="4:6">
      <c r="D1035">
        <v>3102</v>
      </c>
      <c r="F1035">
        <v>6</v>
      </c>
    </row>
    <row r="1036" spans="4:6">
      <c r="D1036">
        <v>3103</v>
      </c>
      <c r="F1036">
        <v>6</v>
      </c>
    </row>
    <row r="1037" spans="4:6">
      <c r="D1037">
        <v>3104</v>
      </c>
      <c r="F1037">
        <v>6</v>
      </c>
    </row>
    <row r="1038" spans="4:6">
      <c r="D1038">
        <v>3107</v>
      </c>
      <c r="F1038">
        <v>6</v>
      </c>
    </row>
    <row r="1039" spans="4:6">
      <c r="D1039">
        <v>3109</v>
      </c>
      <c r="F1039">
        <v>6</v>
      </c>
    </row>
    <row r="1040" spans="4:6">
      <c r="D1040">
        <v>3110</v>
      </c>
      <c r="F1040">
        <v>6</v>
      </c>
    </row>
    <row r="1041" spans="4:6">
      <c r="D1041">
        <v>3121</v>
      </c>
      <c r="F1041">
        <v>9</v>
      </c>
    </row>
    <row r="1042" spans="4:6">
      <c r="D1042">
        <v>3123</v>
      </c>
      <c r="F1042">
        <v>9</v>
      </c>
    </row>
    <row r="1043" spans="4:6">
      <c r="D1043">
        <v>3124</v>
      </c>
      <c r="F1043">
        <v>9</v>
      </c>
    </row>
    <row r="1044" spans="4:6">
      <c r="D1044">
        <v>3125</v>
      </c>
      <c r="F1044">
        <v>9</v>
      </c>
    </row>
    <row r="1045" spans="4:6">
      <c r="D1045">
        <v>3126</v>
      </c>
      <c r="F1045">
        <v>9</v>
      </c>
    </row>
    <row r="1046" spans="4:6">
      <c r="D1046">
        <v>3127</v>
      </c>
      <c r="F1046">
        <v>9</v>
      </c>
    </row>
    <row r="1047" spans="4:6">
      <c r="D1047">
        <v>3128</v>
      </c>
      <c r="F1047">
        <v>9</v>
      </c>
    </row>
    <row r="1048" spans="4:6">
      <c r="D1048">
        <v>3129</v>
      </c>
      <c r="F1048">
        <v>9</v>
      </c>
    </row>
    <row r="1049" spans="4:6">
      <c r="D1049">
        <v>3131</v>
      </c>
      <c r="F1049">
        <v>9</v>
      </c>
    </row>
    <row r="1050" spans="4:6">
      <c r="D1050">
        <v>3132</v>
      </c>
      <c r="F1050">
        <v>9</v>
      </c>
    </row>
    <row r="1051" spans="4:6">
      <c r="D1051">
        <v>3133</v>
      </c>
      <c r="F1051">
        <v>9</v>
      </c>
    </row>
    <row r="1052" spans="4:6">
      <c r="D1052">
        <v>3134</v>
      </c>
      <c r="F1052">
        <v>9</v>
      </c>
    </row>
    <row r="1053" spans="4:6">
      <c r="D1053">
        <v>3135</v>
      </c>
      <c r="F1053">
        <v>9</v>
      </c>
    </row>
    <row r="1054" spans="4:6">
      <c r="D1054">
        <v>3136</v>
      </c>
      <c r="F1054">
        <v>9</v>
      </c>
    </row>
    <row r="1055" spans="4:6">
      <c r="D1055">
        <v>3137</v>
      </c>
      <c r="F1055">
        <v>9</v>
      </c>
    </row>
    <row r="1056" spans="4:6">
      <c r="D1056">
        <v>3138</v>
      </c>
      <c r="F1056">
        <v>9</v>
      </c>
    </row>
    <row r="1057" spans="4:6">
      <c r="D1057">
        <v>3141</v>
      </c>
      <c r="F1057">
        <v>6</v>
      </c>
    </row>
    <row r="1058" spans="4:6">
      <c r="D1058">
        <v>3142</v>
      </c>
      <c r="F1058">
        <v>9</v>
      </c>
    </row>
    <row r="1059" spans="4:6">
      <c r="D1059">
        <v>3143</v>
      </c>
      <c r="F1059">
        <v>9</v>
      </c>
    </row>
    <row r="1060" spans="4:6">
      <c r="D1060">
        <v>3144</v>
      </c>
      <c r="F1060">
        <v>9</v>
      </c>
    </row>
    <row r="1061" spans="4:6">
      <c r="D1061">
        <v>3145</v>
      </c>
      <c r="F1061">
        <v>9</v>
      </c>
    </row>
    <row r="1062" spans="4:6">
      <c r="D1062">
        <v>3146</v>
      </c>
      <c r="F1062">
        <v>9</v>
      </c>
    </row>
    <row r="1063" spans="4:6">
      <c r="D1063">
        <v>3147</v>
      </c>
      <c r="F1063">
        <v>9</v>
      </c>
    </row>
    <row r="1064" spans="4:6">
      <c r="D1064">
        <v>3151</v>
      </c>
      <c r="F1064">
        <v>9</v>
      </c>
    </row>
    <row r="1065" spans="4:6">
      <c r="D1065">
        <v>3152</v>
      </c>
      <c r="F1065">
        <v>9</v>
      </c>
    </row>
    <row r="1066" spans="4:6">
      <c r="D1066">
        <v>3153</v>
      </c>
      <c r="F1066">
        <v>9</v>
      </c>
    </row>
    <row r="1067" spans="4:6">
      <c r="D1067">
        <v>3154</v>
      </c>
      <c r="F1067">
        <v>9</v>
      </c>
    </row>
    <row r="1068" spans="4:6">
      <c r="D1068">
        <v>3155</v>
      </c>
      <c r="F1068">
        <v>9</v>
      </c>
    </row>
    <row r="1069" spans="4:6">
      <c r="D1069">
        <v>3161</v>
      </c>
      <c r="F1069">
        <v>9</v>
      </c>
    </row>
    <row r="1070" spans="4:6">
      <c r="D1070">
        <v>3162</v>
      </c>
      <c r="F1070">
        <v>9</v>
      </c>
    </row>
    <row r="1071" spans="4:6">
      <c r="D1071">
        <v>3163</v>
      </c>
      <c r="F1071">
        <v>9</v>
      </c>
    </row>
    <row r="1072" spans="4:6">
      <c r="D1072">
        <v>3165</v>
      </c>
      <c r="F1072">
        <v>9</v>
      </c>
    </row>
    <row r="1073" spans="4:6">
      <c r="D1073">
        <v>3170</v>
      </c>
      <c r="F1073">
        <v>9</v>
      </c>
    </row>
    <row r="1074" spans="4:6">
      <c r="D1074">
        <v>3175</v>
      </c>
      <c r="F1074">
        <v>9</v>
      </c>
    </row>
    <row r="1075" spans="4:6">
      <c r="D1075">
        <v>3176</v>
      </c>
      <c r="F1075">
        <v>9</v>
      </c>
    </row>
    <row r="1076" spans="4:6">
      <c r="D1076">
        <v>3177</v>
      </c>
      <c r="F1076">
        <v>9</v>
      </c>
    </row>
    <row r="1077" spans="4:6">
      <c r="D1077">
        <v>3178</v>
      </c>
      <c r="F1077">
        <v>9</v>
      </c>
    </row>
    <row r="1078" spans="4:6">
      <c r="D1078">
        <v>3179</v>
      </c>
      <c r="F1078">
        <v>9</v>
      </c>
    </row>
    <row r="1079" spans="4:6">
      <c r="D1079">
        <v>3181</v>
      </c>
      <c r="F1079">
        <v>9</v>
      </c>
    </row>
    <row r="1080" spans="4:6">
      <c r="D1080">
        <v>3182</v>
      </c>
      <c r="F1080">
        <v>9</v>
      </c>
    </row>
    <row r="1081" spans="4:6">
      <c r="D1081">
        <v>3183</v>
      </c>
      <c r="F1081">
        <v>9</v>
      </c>
    </row>
    <row r="1082" spans="4:6">
      <c r="D1082">
        <v>3184</v>
      </c>
      <c r="F1082">
        <v>9</v>
      </c>
    </row>
    <row r="1083" spans="4:6">
      <c r="D1083">
        <v>3185</v>
      </c>
      <c r="F1083">
        <v>9</v>
      </c>
    </row>
    <row r="1084" spans="4:6">
      <c r="D1084">
        <v>3186</v>
      </c>
      <c r="F1084">
        <v>9</v>
      </c>
    </row>
    <row r="1085" spans="4:6">
      <c r="D1085">
        <v>3187</v>
      </c>
      <c r="F1085">
        <v>9</v>
      </c>
    </row>
    <row r="1086" spans="4:6">
      <c r="D1086">
        <v>3188</v>
      </c>
      <c r="F1086">
        <v>9</v>
      </c>
    </row>
    <row r="1087" spans="4:6">
      <c r="D1087">
        <v>3211</v>
      </c>
      <c r="F1087">
        <v>9</v>
      </c>
    </row>
    <row r="1088" spans="4:6">
      <c r="D1088">
        <v>3212</v>
      </c>
      <c r="F1088">
        <v>9</v>
      </c>
    </row>
    <row r="1089" spans="4:6">
      <c r="D1089">
        <v>3213</v>
      </c>
      <c r="F1089">
        <v>9</v>
      </c>
    </row>
    <row r="1090" spans="4:6">
      <c r="D1090">
        <v>3214</v>
      </c>
      <c r="F1090">
        <v>9</v>
      </c>
    </row>
    <row r="1091" spans="4:6">
      <c r="D1091">
        <v>3231</v>
      </c>
      <c r="F1091">
        <v>9</v>
      </c>
    </row>
    <row r="1092" spans="4:6">
      <c r="D1092">
        <v>3234</v>
      </c>
      <c r="F1092">
        <v>9</v>
      </c>
    </row>
    <row r="1093" spans="4:6">
      <c r="D1093">
        <v>3235</v>
      </c>
      <c r="F1093">
        <v>9</v>
      </c>
    </row>
    <row r="1094" spans="4:6">
      <c r="D1094">
        <v>3240</v>
      </c>
      <c r="F1094">
        <v>9</v>
      </c>
    </row>
    <row r="1095" spans="4:6">
      <c r="D1095">
        <v>3242</v>
      </c>
      <c r="F1095">
        <v>9</v>
      </c>
    </row>
    <row r="1096" spans="4:6">
      <c r="D1096">
        <v>3243</v>
      </c>
      <c r="F1096">
        <v>9</v>
      </c>
    </row>
    <row r="1097" spans="4:6">
      <c r="D1097">
        <v>3245</v>
      </c>
      <c r="F1097">
        <v>9</v>
      </c>
    </row>
    <row r="1098" spans="4:6">
      <c r="D1098">
        <v>3246</v>
      </c>
      <c r="F1098">
        <v>9</v>
      </c>
    </row>
    <row r="1099" spans="4:6">
      <c r="D1099">
        <v>3247</v>
      </c>
      <c r="F1099">
        <v>9</v>
      </c>
    </row>
    <row r="1100" spans="4:6">
      <c r="D1100">
        <v>3248</v>
      </c>
      <c r="F1100">
        <v>9</v>
      </c>
    </row>
    <row r="1101" spans="4:6">
      <c r="D1101">
        <v>3250</v>
      </c>
      <c r="F1101">
        <v>9</v>
      </c>
    </row>
    <row r="1102" spans="4:6">
      <c r="D1102">
        <v>3252</v>
      </c>
      <c r="F1102">
        <v>9</v>
      </c>
    </row>
    <row r="1103" spans="4:6">
      <c r="D1103">
        <v>3253</v>
      </c>
      <c r="F1103">
        <v>9</v>
      </c>
    </row>
    <row r="1104" spans="4:6">
      <c r="D1104">
        <v>3254</v>
      </c>
      <c r="F1104">
        <v>9</v>
      </c>
    </row>
    <row r="1105" spans="4:6">
      <c r="D1105">
        <v>3255</v>
      </c>
      <c r="F1105">
        <v>9</v>
      </c>
    </row>
    <row r="1106" spans="4:6">
      <c r="D1106">
        <v>3256</v>
      </c>
      <c r="F1106">
        <v>9</v>
      </c>
    </row>
    <row r="1107" spans="4:6">
      <c r="D1107">
        <v>3257</v>
      </c>
      <c r="F1107">
        <v>9</v>
      </c>
    </row>
    <row r="1108" spans="4:6">
      <c r="D1108">
        <v>3258</v>
      </c>
      <c r="F1108">
        <v>9</v>
      </c>
    </row>
    <row r="1109" spans="4:6">
      <c r="D1109">
        <v>3259</v>
      </c>
      <c r="F1109">
        <v>9</v>
      </c>
    </row>
    <row r="1110" spans="4:6">
      <c r="D1110">
        <v>3261</v>
      </c>
      <c r="F1110">
        <v>9</v>
      </c>
    </row>
    <row r="1111" spans="4:6">
      <c r="D1111">
        <v>3262</v>
      </c>
      <c r="F1111">
        <v>9</v>
      </c>
    </row>
    <row r="1112" spans="4:6">
      <c r="D1112">
        <v>3263</v>
      </c>
      <c r="F1112">
        <v>9</v>
      </c>
    </row>
    <row r="1113" spans="4:6">
      <c r="D1113">
        <v>3264</v>
      </c>
      <c r="F1113">
        <v>9</v>
      </c>
    </row>
    <row r="1114" spans="4:6">
      <c r="D1114">
        <v>3265</v>
      </c>
      <c r="F1114">
        <v>9</v>
      </c>
    </row>
    <row r="1115" spans="4:6">
      <c r="D1115">
        <v>3271</v>
      </c>
      <c r="F1115">
        <v>9</v>
      </c>
    </row>
    <row r="1116" spans="4:6">
      <c r="D1116">
        <v>3272</v>
      </c>
      <c r="F1116">
        <v>9</v>
      </c>
    </row>
    <row r="1117" spans="4:6">
      <c r="D1117">
        <v>3273</v>
      </c>
      <c r="F1117">
        <v>9</v>
      </c>
    </row>
    <row r="1118" spans="4:6">
      <c r="D1118">
        <v>3274</v>
      </c>
      <c r="F1118">
        <v>9</v>
      </c>
    </row>
    <row r="1119" spans="4:6">
      <c r="D1119">
        <v>3275</v>
      </c>
      <c r="F1119">
        <v>9</v>
      </c>
    </row>
    <row r="1120" spans="4:6">
      <c r="D1120">
        <v>3281</v>
      </c>
      <c r="F1120">
        <v>9</v>
      </c>
    </row>
    <row r="1121" spans="4:6">
      <c r="D1121">
        <v>3282</v>
      </c>
      <c r="F1121">
        <v>9</v>
      </c>
    </row>
    <row r="1122" spans="4:6">
      <c r="D1122">
        <v>3283</v>
      </c>
      <c r="F1122">
        <v>9</v>
      </c>
    </row>
    <row r="1123" spans="4:6">
      <c r="D1123">
        <v>3284</v>
      </c>
      <c r="F1123">
        <v>9</v>
      </c>
    </row>
    <row r="1124" spans="4:6">
      <c r="D1124">
        <v>3291</v>
      </c>
      <c r="F1124">
        <v>9</v>
      </c>
    </row>
    <row r="1125" spans="4:6">
      <c r="D1125">
        <v>3292</v>
      </c>
      <c r="F1125">
        <v>9</v>
      </c>
    </row>
    <row r="1126" spans="4:6">
      <c r="D1126">
        <v>3293</v>
      </c>
      <c r="F1126">
        <v>9</v>
      </c>
    </row>
    <row r="1127" spans="4:6">
      <c r="D1127">
        <v>3294</v>
      </c>
      <c r="F1127">
        <v>9</v>
      </c>
    </row>
    <row r="1128" spans="4:6">
      <c r="D1128">
        <v>3295</v>
      </c>
      <c r="F1128">
        <v>9</v>
      </c>
    </row>
    <row r="1129" spans="4:6">
      <c r="D1129">
        <v>3296</v>
      </c>
      <c r="F1129">
        <v>9</v>
      </c>
    </row>
    <row r="1130" spans="4:6">
      <c r="D1130">
        <v>3321</v>
      </c>
      <c r="F1130">
        <v>9</v>
      </c>
    </row>
    <row r="1131" spans="4:6">
      <c r="D1131">
        <v>3322</v>
      </c>
      <c r="F1131">
        <v>9</v>
      </c>
    </row>
    <row r="1132" spans="4:6">
      <c r="D1132">
        <v>3324</v>
      </c>
      <c r="F1132">
        <v>9</v>
      </c>
    </row>
    <row r="1133" spans="4:6">
      <c r="D1133">
        <v>3325</v>
      </c>
      <c r="F1133">
        <v>9</v>
      </c>
    </row>
    <row r="1134" spans="4:6">
      <c r="D1134">
        <v>3326</v>
      </c>
      <c r="F1134">
        <v>9</v>
      </c>
    </row>
    <row r="1135" spans="4:6">
      <c r="D1135">
        <v>3327</v>
      </c>
      <c r="F1135">
        <v>9</v>
      </c>
    </row>
    <row r="1136" spans="4:6">
      <c r="D1136">
        <v>3328</v>
      </c>
      <c r="F1136">
        <v>9</v>
      </c>
    </row>
    <row r="1137" spans="4:6">
      <c r="D1137">
        <v>3331</v>
      </c>
      <c r="F1137">
        <v>9</v>
      </c>
    </row>
    <row r="1138" spans="4:6">
      <c r="D1138">
        <v>3332</v>
      </c>
      <c r="F1138">
        <v>9</v>
      </c>
    </row>
    <row r="1139" spans="4:6">
      <c r="D1139">
        <v>3333</v>
      </c>
      <c r="F1139">
        <v>9</v>
      </c>
    </row>
    <row r="1140" spans="4:6">
      <c r="D1140">
        <v>3334</v>
      </c>
      <c r="F1140">
        <v>9</v>
      </c>
    </row>
    <row r="1141" spans="4:6">
      <c r="D1141">
        <v>3335</v>
      </c>
      <c r="F1141">
        <v>9</v>
      </c>
    </row>
    <row r="1142" spans="4:6">
      <c r="D1142">
        <v>3336</v>
      </c>
      <c r="F1142">
        <v>9</v>
      </c>
    </row>
    <row r="1143" spans="4:6">
      <c r="D1143">
        <v>3337</v>
      </c>
      <c r="F1143">
        <v>9</v>
      </c>
    </row>
    <row r="1144" spans="4:6">
      <c r="D1144">
        <v>3338</v>
      </c>
      <c r="F1144">
        <v>9</v>
      </c>
    </row>
    <row r="1145" spans="4:6">
      <c r="D1145">
        <v>3341</v>
      </c>
      <c r="F1145">
        <v>9</v>
      </c>
    </row>
    <row r="1146" spans="4:6">
      <c r="D1146">
        <v>3342</v>
      </c>
      <c r="F1146">
        <v>9</v>
      </c>
    </row>
    <row r="1147" spans="4:6">
      <c r="D1147">
        <v>3343</v>
      </c>
      <c r="F1147">
        <v>9</v>
      </c>
    </row>
    <row r="1148" spans="4:6">
      <c r="D1148">
        <v>3344</v>
      </c>
      <c r="F1148">
        <v>9</v>
      </c>
    </row>
    <row r="1149" spans="4:6">
      <c r="D1149">
        <v>3345</v>
      </c>
      <c r="F1149">
        <v>9</v>
      </c>
    </row>
    <row r="1150" spans="4:6">
      <c r="D1150">
        <v>3346</v>
      </c>
      <c r="F1150">
        <v>9</v>
      </c>
    </row>
    <row r="1151" spans="4:6">
      <c r="D1151">
        <v>3347</v>
      </c>
      <c r="F1151">
        <v>9</v>
      </c>
    </row>
    <row r="1152" spans="4:6">
      <c r="D1152">
        <v>3348</v>
      </c>
      <c r="F1152">
        <v>9</v>
      </c>
    </row>
    <row r="1153" spans="4:6">
      <c r="D1153">
        <v>3349</v>
      </c>
      <c r="F1153">
        <v>9</v>
      </c>
    </row>
    <row r="1154" spans="4:6">
      <c r="D1154">
        <v>3350</v>
      </c>
      <c r="F1154">
        <v>9</v>
      </c>
    </row>
    <row r="1155" spans="4:6">
      <c r="D1155">
        <v>3351</v>
      </c>
      <c r="F1155">
        <v>9</v>
      </c>
    </row>
    <row r="1156" spans="4:6">
      <c r="D1156">
        <v>3352</v>
      </c>
      <c r="F1156">
        <v>9</v>
      </c>
    </row>
    <row r="1157" spans="4:6">
      <c r="D1157">
        <v>3353</v>
      </c>
      <c r="F1157">
        <v>9</v>
      </c>
    </row>
    <row r="1158" spans="4:6">
      <c r="D1158">
        <v>3354</v>
      </c>
      <c r="F1158">
        <v>9</v>
      </c>
    </row>
    <row r="1159" spans="4:6">
      <c r="D1159">
        <v>3355</v>
      </c>
      <c r="F1159">
        <v>9</v>
      </c>
    </row>
    <row r="1160" spans="4:6">
      <c r="D1160">
        <v>3356</v>
      </c>
      <c r="F1160">
        <v>9</v>
      </c>
    </row>
    <row r="1161" spans="4:6">
      <c r="D1161">
        <v>3357</v>
      </c>
      <c r="F1161">
        <v>9</v>
      </c>
    </row>
    <row r="1162" spans="4:6">
      <c r="D1162">
        <v>3358</v>
      </c>
      <c r="F1162">
        <v>9</v>
      </c>
    </row>
    <row r="1163" spans="4:6">
      <c r="D1163">
        <v>3359</v>
      </c>
      <c r="F1163">
        <v>9</v>
      </c>
    </row>
    <row r="1164" spans="4:6">
      <c r="D1164">
        <v>3360</v>
      </c>
      <c r="F1164">
        <v>9</v>
      </c>
    </row>
    <row r="1165" spans="4:6">
      <c r="D1165">
        <v>3368</v>
      </c>
      <c r="F1165">
        <v>9</v>
      </c>
    </row>
    <row r="1166" spans="4:6">
      <c r="D1166">
        <v>3369</v>
      </c>
      <c r="F1166">
        <v>9</v>
      </c>
    </row>
    <row r="1167" spans="4:6">
      <c r="D1167">
        <v>3371</v>
      </c>
      <c r="F1167">
        <v>9</v>
      </c>
    </row>
    <row r="1168" spans="4:6">
      <c r="D1168">
        <v>3372</v>
      </c>
      <c r="F1168">
        <v>9</v>
      </c>
    </row>
    <row r="1169" spans="4:6">
      <c r="D1169">
        <v>3373</v>
      </c>
      <c r="F1169">
        <v>9</v>
      </c>
    </row>
    <row r="1170" spans="4:6">
      <c r="D1170">
        <v>3374</v>
      </c>
      <c r="F1170">
        <v>9</v>
      </c>
    </row>
    <row r="1171" spans="4:6">
      <c r="D1171">
        <v>3377</v>
      </c>
      <c r="F1171">
        <v>9</v>
      </c>
    </row>
    <row r="1172" spans="4:6">
      <c r="D1172">
        <v>3378</v>
      </c>
      <c r="F1172">
        <v>9</v>
      </c>
    </row>
    <row r="1173" spans="4:6">
      <c r="D1173">
        <v>3379</v>
      </c>
      <c r="F1173">
        <v>9</v>
      </c>
    </row>
    <row r="1174" spans="4:6">
      <c r="D1174">
        <v>3381</v>
      </c>
      <c r="F1174">
        <v>9</v>
      </c>
    </row>
    <row r="1175" spans="4:6">
      <c r="D1175">
        <v>3382</v>
      </c>
      <c r="F1175">
        <v>9</v>
      </c>
    </row>
    <row r="1176" spans="4:6">
      <c r="D1176">
        <v>3383</v>
      </c>
      <c r="F1176">
        <v>9</v>
      </c>
    </row>
    <row r="1177" spans="4:6">
      <c r="D1177">
        <v>3384</v>
      </c>
      <c r="F1177">
        <v>9</v>
      </c>
    </row>
    <row r="1178" spans="4:6">
      <c r="D1178">
        <v>3385</v>
      </c>
      <c r="F1178">
        <v>9</v>
      </c>
    </row>
    <row r="1179" spans="4:6">
      <c r="D1179">
        <v>3386</v>
      </c>
      <c r="F1179">
        <v>9</v>
      </c>
    </row>
    <row r="1180" spans="4:6">
      <c r="D1180">
        <v>3387</v>
      </c>
      <c r="F1180">
        <v>9</v>
      </c>
    </row>
    <row r="1181" spans="4:6">
      <c r="D1181">
        <v>3388</v>
      </c>
      <c r="F1181">
        <v>9</v>
      </c>
    </row>
    <row r="1182" spans="4:6">
      <c r="D1182">
        <v>3394</v>
      </c>
      <c r="F1182">
        <v>9</v>
      </c>
    </row>
    <row r="1183" spans="4:6">
      <c r="D1183">
        <v>3395</v>
      </c>
      <c r="F1183">
        <v>9</v>
      </c>
    </row>
    <row r="1184" spans="4:6">
      <c r="D1184">
        <v>3396</v>
      </c>
      <c r="F1184">
        <v>9</v>
      </c>
    </row>
    <row r="1185" spans="4:6">
      <c r="D1185">
        <v>3397</v>
      </c>
      <c r="F1185">
        <v>9</v>
      </c>
    </row>
    <row r="1186" spans="4:6">
      <c r="D1186">
        <v>3398</v>
      </c>
      <c r="F1186">
        <v>9</v>
      </c>
    </row>
    <row r="1187" spans="4:6">
      <c r="D1187">
        <v>3399</v>
      </c>
      <c r="F1187">
        <v>9</v>
      </c>
    </row>
    <row r="1188" spans="4:6">
      <c r="D1188">
        <v>3432</v>
      </c>
      <c r="F1188">
        <v>9</v>
      </c>
    </row>
    <row r="1189" spans="4:6">
      <c r="D1189">
        <v>3433</v>
      </c>
      <c r="F1189">
        <v>7</v>
      </c>
    </row>
    <row r="1190" spans="4:6">
      <c r="D1190">
        <v>3434</v>
      </c>
      <c r="F1190">
        <v>9</v>
      </c>
    </row>
    <row r="1191" spans="4:6">
      <c r="D1191">
        <v>3435</v>
      </c>
      <c r="F1191">
        <v>7</v>
      </c>
    </row>
    <row r="1192" spans="4:6">
      <c r="D1192">
        <v>3500</v>
      </c>
      <c r="F1192">
        <v>5</v>
      </c>
    </row>
    <row r="1193" spans="4:6">
      <c r="D1193">
        <v>3501</v>
      </c>
      <c r="F1193">
        <v>5</v>
      </c>
    </row>
    <row r="1194" spans="4:6">
      <c r="D1194">
        <v>3502</v>
      </c>
      <c r="F1194">
        <v>5</v>
      </c>
    </row>
    <row r="1195" spans="4:6">
      <c r="D1195">
        <v>3503</v>
      </c>
      <c r="F1195">
        <v>5</v>
      </c>
    </row>
    <row r="1196" spans="4:6">
      <c r="D1196">
        <v>3504</v>
      </c>
      <c r="F1196">
        <v>5</v>
      </c>
    </row>
    <row r="1197" spans="4:6">
      <c r="D1197">
        <v>3505</v>
      </c>
      <c r="F1197">
        <v>5</v>
      </c>
    </row>
    <row r="1198" spans="4:6">
      <c r="D1198">
        <v>3506</v>
      </c>
      <c r="F1198">
        <v>5</v>
      </c>
    </row>
    <row r="1199" spans="4:6">
      <c r="D1199">
        <v>3507</v>
      </c>
      <c r="F1199">
        <v>5</v>
      </c>
    </row>
    <row r="1200" spans="4:6">
      <c r="D1200">
        <v>3508</v>
      </c>
      <c r="F1200">
        <v>5</v>
      </c>
    </row>
    <row r="1201" spans="4:6">
      <c r="D1201">
        <v>3509</v>
      </c>
      <c r="F1201">
        <v>5</v>
      </c>
    </row>
    <row r="1202" spans="4:6">
      <c r="D1202">
        <v>3510</v>
      </c>
      <c r="F1202">
        <v>5</v>
      </c>
    </row>
    <row r="1203" spans="4:6">
      <c r="D1203">
        <v>3511</v>
      </c>
      <c r="F1203">
        <v>5</v>
      </c>
    </row>
    <row r="1204" spans="4:6">
      <c r="D1204">
        <v>3513</v>
      </c>
      <c r="F1204">
        <v>5</v>
      </c>
    </row>
    <row r="1205" spans="4:6">
      <c r="D1205">
        <v>3514</v>
      </c>
      <c r="F1205">
        <v>5</v>
      </c>
    </row>
    <row r="1206" spans="4:6">
      <c r="D1206">
        <v>3515</v>
      </c>
      <c r="F1206">
        <v>5</v>
      </c>
    </row>
    <row r="1207" spans="4:6">
      <c r="D1207">
        <v>3516</v>
      </c>
      <c r="F1207">
        <v>5</v>
      </c>
    </row>
    <row r="1208" spans="4:6">
      <c r="D1208">
        <v>3517</v>
      </c>
      <c r="F1208">
        <v>5</v>
      </c>
    </row>
    <row r="1209" spans="4:6">
      <c r="D1209">
        <v>3518</v>
      </c>
      <c r="F1209">
        <v>5</v>
      </c>
    </row>
    <row r="1210" spans="4:6">
      <c r="D1210">
        <v>3519</v>
      </c>
      <c r="F1210">
        <v>5</v>
      </c>
    </row>
    <row r="1211" spans="4:6">
      <c r="D1211">
        <v>3521</v>
      </c>
      <c r="F1211">
        <v>5</v>
      </c>
    </row>
    <row r="1212" spans="4:6">
      <c r="D1212">
        <v>3523</v>
      </c>
      <c r="F1212">
        <v>5</v>
      </c>
    </row>
    <row r="1213" spans="4:6">
      <c r="D1213">
        <v>3524</v>
      </c>
      <c r="F1213">
        <v>5</v>
      </c>
    </row>
    <row r="1214" spans="4:6">
      <c r="D1214">
        <v>3525</v>
      </c>
      <c r="F1214">
        <v>5</v>
      </c>
    </row>
    <row r="1215" spans="4:6">
      <c r="D1215">
        <v>3526</v>
      </c>
      <c r="F1215">
        <v>5</v>
      </c>
    </row>
    <row r="1216" spans="4:6">
      <c r="D1216">
        <v>3527</v>
      </c>
      <c r="F1216">
        <v>5</v>
      </c>
    </row>
    <row r="1217" spans="4:6">
      <c r="D1217">
        <v>3528</v>
      </c>
      <c r="F1217">
        <v>5</v>
      </c>
    </row>
    <row r="1218" spans="4:6">
      <c r="D1218">
        <v>3529</v>
      </c>
      <c r="F1218">
        <v>5</v>
      </c>
    </row>
    <row r="1219" spans="4:6">
      <c r="D1219">
        <v>3530</v>
      </c>
      <c r="F1219">
        <v>5</v>
      </c>
    </row>
    <row r="1220" spans="4:6">
      <c r="D1220">
        <v>3531</v>
      </c>
      <c r="F1220">
        <v>5</v>
      </c>
    </row>
    <row r="1221" spans="4:6">
      <c r="D1221">
        <v>3532</v>
      </c>
      <c r="F1221">
        <v>5</v>
      </c>
    </row>
    <row r="1222" spans="4:6">
      <c r="D1222">
        <v>3533</v>
      </c>
      <c r="F1222">
        <v>5</v>
      </c>
    </row>
    <row r="1223" spans="4:6">
      <c r="D1223">
        <v>3534</v>
      </c>
      <c r="F1223">
        <v>5</v>
      </c>
    </row>
    <row r="1224" spans="4:6">
      <c r="D1224">
        <v>3535</v>
      </c>
      <c r="F1224">
        <v>5</v>
      </c>
    </row>
    <row r="1225" spans="4:6">
      <c r="D1225">
        <v>3540</v>
      </c>
      <c r="F1225">
        <v>5</v>
      </c>
    </row>
    <row r="1226" spans="4:6">
      <c r="D1226">
        <v>3541</v>
      </c>
      <c r="F1226">
        <v>5</v>
      </c>
    </row>
    <row r="1227" spans="4:6">
      <c r="D1227">
        <v>3542</v>
      </c>
      <c r="F1227">
        <v>5</v>
      </c>
    </row>
    <row r="1228" spans="4:6">
      <c r="D1228">
        <v>3543</v>
      </c>
      <c r="F1228">
        <v>5</v>
      </c>
    </row>
    <row r="1229" spans="4:6">
      <c r="D1229">
        <v>3544</v>
      </c>
      <c r="F1229">
        <v>5</v>
      </c>
    </row>
    <row r="1230" spans="4:6">
      <c r="D1230">
        <v>3545</v>
      </c>
      <c r="F1230">
        <v>5</v>
      </c>
    </row>
    <row r="1231" spans="4:6">
      <c r="D1231">
        <v>3546</v>
      </c>
      <c r="F1231">
        <v>5</v>
      </c>
    </row>
    <row r="1232" spans="4:6">
      <c r="D1232">
        <v>3547</v>
      </c>
      <c r="F1232">
        <v>5</v>
      </c>
    </row>
    <row r="1233" spans="4:6">
      <c r="D1233">
        <v>3548</v>
      </c>
      <c r="F1233">
        <v>5</v>
      </c>
    </row>
    <row r="1234" spans="4:6">
      <c r="D1234">
        <v>3549</v>
      </c>
      <c r="F1234">
        <v>5</v>
      </c>
    </row>
    <row r="1235" spans="4:6">
      <c r="D1235">
        <v>3554</v>
      </c>
      <c r="F1235">
        <v>6</v>
      </c>
    </row>
    <row r="1236" spans="4:6">
      <c r="D1236">
        <v>3558</v>
      </c>
      <c r="F1236">
        <v>5</v>
      </c>
    </row>
    <row r="1237" spans="4:6">
      <c r="D1237">
        <v>3562</v>
      </c>
      <c r="F1237">
        <v>9</v>
      </c>
    </row>
    <row r="1238" spans="4:6">
      <c r="D1238">
        <v>3564</v>
      </c>
      <c r="F1238">
        <v>9</v>
      </c>
    </row>
    <row r="1239" spans="4:6">
      <c r="D1239">
        <v>3565</v>
      </c>
      <c r="F1239">
        <v>9</v>
      </c>
    </row>
    <row r="1240" spans="4:6">
      <c r="D1240">
        <v>3571</v>
      </c>
      <c r="F1240">
        <v>9</v>
      </c>
    </row>
    <row r="1241" spans="4:6">
      <c r="D1241">
        <v>3572</v>
      </c>
      <c r="F1241">
        <v>9</v>
      </c>
    </row>
    <row r="1242" spans="4:6">
      <c r="D1242">
        <v>3574</v>
      </c>
      <c r="F1242">
        <v>9</v>
      </c>
    </row>
    <row r="1243" spans="4:6">
      <c r="D1243">
        <v>3599</v>
      </c>
      <c r="F1243">
        <v>9</v>
      </c>
    </row>
    <row r="1244" spans="4:6">
      <c r="D1244">
        <v>3600</v>
      </c>
      <c r="F1244">
        <v>6</v>
      </c>
    </row>
    <row r="1245" spans="4:6">
      <c r="D1245">
        <v>3601</v>
      </c>
      <c r="F1245">
        <v>6</v>
      </c>
    </row>
    <row r="1246" spans="4:6">
      <c r="D1246">
        <v>3602</v>
      </c>
      <c r="F1246">
        <v>6</v>
      </c>
    </row>
    <row r="1247" spans="4:6">
      <c r="D1247">
        <v>3604</v>
      </c>
      <c r="F1247">
        <v>6</v>
      </c>
    </row>
    <row r="1248" spans="4:6">
      <c r="D1248">
        <v>3606</v>
      </c>
      <c r="F1248">
        <v>6</v>
      </c>
    </row>
    <row r="1249" spans="4:6">
      <c r="D1249">
        <v>3607</v>
      </c>
      <c r="F1249">
        <v>6</v>
      </c>
    </row>
    <row r="1250" spans="4:6">
      <c r="D1250">
        <v>3621</v>
      </c>
      <c r="F1250">
        <v>6</v>
      </c>
    </row>
    <row r="1251" spans="4:6">
      <c r="D1251">
        <v>3625</v>
      </c>
      <c r="F1251">
        <v>6</v>
      </c>
    </row>
    <row r="1252" spans="4:6">
      <c r="D1252">
        <v>3630</v>
      </c>
      <c r="F1252">
        <v>9</v>
      </c>
    </row>
    <row r="1253" spans="4:6">
      <c r="D1253">
        <v>3651</v>
      </c>
      <c r="F1253">
        <v>6</v>
      </c>
    </row>
    <row r="1254" spans="4:6">
      <c r="D1254">
        <v>3661</v>
      </c>
      <c r="F1254">
        <v>6</v>
      </c>
    </row>
    <row r="1255" spans="4:6">
      <c r="D1255">
        <v>3662</v>
      </c>
      <c r="F1255">
        <v>6</v>
      </c>
    </row>
    <row r="1256" spans="4:6">
      <c r="D1256">
        <v>3700</v>
      </c>
      <c r="F1256">
        <v>9</v>
      </c>
    </row>
    <row r="1257" spans="4:6">
      <c r="D1257">
        <v>3701</v>
      </c>
      <c r="F1257">
        <v>9</v>
      </c>
    </row>
    <row r="1258" spans="4:6">
      <c r="D1258">
        <v>3702</v>
      </c>
      <c r="F1258">
        <v>9</v>
      </c>
    </row>
    <row r="1259" spans="4:6">
      <c r="D1259">
        <v>3703</v>
      </c>
      <c r="F1259">
        <v>9</v>
      </c>
    </row>
    <row r="1260" spans="4:6">
      <c r="D1260">
        <v>3705</v>
      </c>
      <c r="F1260">
        <v>9</v>
      </c>
    </row>
    <row r="1261" spans="4:6">
      <c r="D1261">
        <v>3713</v>
      </c>
      <c r="F1261">
        <v>9</v>
      </c>
    </row>
    <row r="1262" spans="4:6">
      <c r="D1262">
        <v>3800</v>
      </c>
      <c r="F1262">
        <v>9</v>
      </c>
    </row>
    <row r="1263" spans="4:6">
      <c r="D1263">
        <v>3860</v>
      </c>
      <c r="F1263">
        <v>7</v>
      </c>
    </row>
    <row r="1264" spans="4:6">
      <c r="D1264">
        <v>3861</v>
      </c>
      <c r="F1264">
        <v>7</v>
      </c>
    </row>
    <row r="1265" spans="4:6">
      <c r="D1265">
        <v>3864</v>
      </c>
      <c r="F1265">
        <v>7</v>
      </c>
    </row>
    <row r="1266" spans="4:6">
      <c r="D1266">
        <v>3867</v>
      </c>
      <c r="F1266">
        <v>7</v>
      </c>
    </row>
    <row r="1267" spans="4:6">
      <c r="D1267">
        <v>3868</v>
      </c>
      <c r="F1267">
        <v>7</v>
      </c>
    </row>
    <row r="1268" spans="4:6">
      <c r="D1268">
        <v>3900</v>
      </c>
      <c r="F1268">
        <v>7</v>
      </c>
    </row>
    <row r="1269" spans="4:6">
      <c r="D1269">
        <v>3901</v>
      </c>
      <c r="F1269">
        <v>7</v>
      </c>
    </row>
    <row r="1270" spans="4:6">
      <c r="D1270">
        <v>3902</v>
      </c>
      <c r="F1270">
        <v>7</v>
      </c>
    </row>
    <row r="1271" spans="4:6">
      <c r="D1271">
        <v>3905</v>
      </c>
      <c r="F1271">
        <v>7</v>
      </c>
    </row>
    <row r="1272" spans="4:6">
      <c r="D1272">
        <v>3910</v>
      </c>
      <c r="F1272">
        <v>9</v>
      </c>
    </row>
    <row r="1273" spans="4:6">
      <c r="D1273">
        <v>3911</v>
      </c>
      <c r="F1273">
        <v>9</v>
      </c>
    </row>
    <row r="1274" spans="4:6">
      <c r="D1274">
        <v>3950</v>
      </c>
      <c r="F1274">
        <v>10</v>
      </c>
    </row>
    <row r="1275" spans="4:6">
      <c r="D1275">
        <v>3953</v>
      </c>
      <c r="F1275">
        <v>10</v>
      </c>
    </row>
    <row r="1276" spans="4:6">
      <c r="D1276">
        <v>4000</v>
      </c>
      <c r="F1276">
        <v>4</v>
      </c>
    </row>
    <row r="1277" spans="4:6">
      <c r="D1277">
        <v>4001</v>
      </c>
      <c r="F1277">
        <v>4</v>
      </c>
    </row>
    <row r="1278" spans="4:6">
      <c r="D1278">
        <v>4002</v>
      </c>
      <c r="F1278">
        <v>4</v>
      </c>
    </row>
    <row r="1279" spans="4:6">
      <c r="D1279">
        <v>4003</v>
      </c>
      <c r="F1279">
        <v>4</v>
      </c>
    </row>
    <row r="1280" spans="4:6">
      <c r="D1280">
        <v>4004</v>
      </c>
      <c r="F1280">
        <v>4</v>
      </c>
    </row>
    <row r="1281" spans="4:6">
      <c r="D1281">
        <v>4005</v>
      </c>
      <c r="F1281">
        <v>4</v>
      </c>
    </row>
    <row r="1282" spans="4:6">
      <c r="D1282">
        <v>4006</v>
      </c>
      <c r="F1282">
        <v>4</v>
      </c>
    </row>
    <row r="1283" spans="4:6">
      <c r="D1283">
        <v>4007</v>
      </c>
      <c r="F1283">
        <v>4</v>
      </c>
    </row>
    <row r="1284" spans="4:6">
      <c r="D1284">
        <v>4008</v>
      </c>
      <c r="F1284">
        <v>4</v>
      </c>
    </row>
    <row r="1285" spans="4:6">
      <c r="D1285">
        <v>4009</v>
      </c>
      <c r="F1285">
        <v>4</v>
      </c>
    </row>
    <row r="1286" spans="4:6">
      <c r="D1286">
        <v>4010</v>
      </c>
      <c r="F1286">
        <v>4</v>
      </c>
    </row>
    <row r="1287" spans="4:6">
      <c r="D1287">
        <v>4011</v>
      </c>
      <c r="F1287">
        <v>4</v>
      </c>
    </row>
    <row r="1288" spans="4:6">
      <c r="D1288">
        <v>4012</v>
      </c>
      <c r="F1288">
        <v>4</v>
      </c>
    </row>
    <row r="1289" spans="4:6">
      <c r="D1289">
        <v>4013</v>
      </c>
      <c r="F1289">
        <v>4</v>
      </c>
    </row>
    <row r="1290" spans="4:6">
      <c r="D1290">
        <v>4014</v>
      </c>
      <c r="F1290">
        <v>4</v>
      </c>
    </row>
    <row r="1291" spans="4:6">
      <c r="D1291">
        <v>4015</v>
      </c>
      <c r="F1291">
        <v>4</v>
      </c>
    </row>
    <row r="1292" spans="4:6">
      <c r="D1292">
        <v>4017</v>
      </c>
      <c r="F1292">
        <v>4</v>
      </c>
    </row>
    <row r="1293" spans="4:6">
      <c r="D1293">
        <v>4021</v>
      </c>
      <c r="F1293">
        <v>4</v>
      </c>
    </row>
    <row r="1294" spans="4:6">
      <c r="D1294">
        <v>4022</v>
      </c>
      <c r="F1294">
        <v>4</v>
      </c>
    </row>
    <row r="1295" spans="4:6">
      <c r="D1295">
        <v>4024</v>
      </c>
      <c r="F1295">
        <v>4</v>
      </c>
    </row>
    <row r="1296" spans="4:6">
      <c r="D1296">
        <v>4025</v>
      </c>
      <c r="F1296">
        <v>4</v>
      </c>
    </row>
    <row r="1297" spans="4:6">
      <c r="D1297">
        <v>4026</v>
      </c>
      <c r="F1297">
        <v>4</v>
      </c>
    </row>
    <row r="1298" spans="4:6">
      <c r="D1298">
        <v>4027</v>
      </c>
      <c r="F1298">
        <v>4</v>
      </c>
    </row>
    <row r="1299" spans="4:6">
      <c r="D1299">
        <v>4028</v>
      </c>
      <c r="F1299">
        <v>4</v>
      </c>
    </row>
    <row r="1300" spans="4:6">
      <c r="D1300">
        <v>4029</v>
      </c>
      <c r="F1300">
        <v>4</v>
      </c>
    </row>
    <row r="1301" spans="4:6">
      <c r="D1301">
        <v>4030</v>
      </c>
      <c r="F1301">
        <v>4</v>
      </c>
    </row>
    <row r="1302" spans="4:6">
      <c r="D1302">
        <v>4031</v>
      </c>
      <c r="F1302">
        <v>4</v>
      </c>
    </row>
    <row r="1303" spans="4:6">
      <c r="D1303">
        <v>4032</v>
      </c>
      <c r="F1303">
        <v>4</v>
      </c>
    </row>
    <row r="1304" spans="4:6">
      <c r="D1304">
        <v>4033</v>
      </c>
      <c r="F1304">
        <v>4</v>
      </c>
    </row>
    <row r="1305" spans="4:6">
      <c r="D1305">
        <v>4034</v>
      </c>
      <c r="F1305">
        <v>4</v>
      </c>
    </row>
    <row r="1306" spans="4:6">
      <c r="D1306">
        <v>4040</v>
      </c>
      <c r="F1306">
        <v>4</v>
      </c>
    </row>
    <row r="1307" spans="4:6">
      <c r="D1307">
        <v>4041</v>
      </c>
      <c r="F1307">
        <v>4</v>
      </c>
    </row>
    <row r="1308" spans="4:6">
      <c r="D1308">
        <v>4042</v>
      </c>
      <c r="F1308">
        <v>4</v>
      </c>
    </row>
    <row r="1309" spans="4:6">
      <c r="D1309">
        <v>4043</v>
      </c>
      <c r="F1309">
        <v>4</v>
      </c>
    </row>
    <row r="1310" spans="4:6">
      <c r="D1310">
        <v>4044</v>
      </c>
      <c r="F1310">
        <v>4</v>
      </c>
    </row>
    <row r="1311" spans="4:6">
      <c r="D1311">
        <v>4045</v>
      </c>
      <c r="F1311">
        <v>4</v>
      </c>
    </row>
    <row r="1312" spans="4:6">
      <c r="D1312">
        <v>4046</v>
      </c>
      <c r="F1312">
        <v>4</v>
      </c>
    </row>
    <row r="1313" spans="4:6">
      <c r="D1313">
        <v>4047</v>
      </c>
      <c r="F1313">
        <v>4</v>
      </c>
    </row>
    <row r="1314" spans="4:6">
      <c r="D1314">
        <v>4048</v>
      </c>
      <c r="F1314">
        <v>4</v>
      </c>
    </row>
    <row r="1315" spans="4:6">
      <c r="D1315">
        <v>4049</v>
      </c>
      <c r="F1315">
        <v>4</v>
      </c>
    </row>
    <row r="1316" spans="4:6">
      <c r="D1316">
        <v>4064</v>
      </c>
      <c r="F1316">
        <v>10</v>
      </c>
    </row>
    <row r="1317" spans="4:6">
      <c r="D1317">
        <v>4065</v>
      </c>
      <c r="F1317">
        <v>10</v>
      </c>
    </row>
    <row r="1318" spans="4:6">
      <c r="D1318">
        <v>4066</v>
      </c>
      <c r="F1318">
        <v>10</v>
      </c>
    </row>
    <row r="1319" spans="4:6">
      <c r="D1319">
        <v>4067</v>
      </c>
      <c r="F1319">
        <v>7</v>
      </c>
    </row>
    <row r="1320" spans="4:6">
      <c r="D1320">
        <v>4069</v>
      </c>
      <c r="F1320">
        <v>7</v>
      </c>
    </row>
    <row r="1321" spans="4:6">
      <c r="D1321">
        <v>4071</v>
      </c>
      <c r="F1321">
        <v>10</v>
      </c>
    </row>
    <row r="1322" spans="4:6">
      <c r="D1322">
        <v>4074</v>
      </c>
      <c r="F1322">
        <v>7</v>
      </c>
    </row>
    <row r="1323" spans="4:6">
      <c r="D1323">
        <v>4075</v>
      </c>
      <c r="F1323">
        <v>10</v>
      </c>
    </row>
    <row r="1324" spans="4:6">
      <c r="D1324">
        <v>4077</v>
      </c>
      <c r="F1324">
        <v>4</v>
      </c>
    </row>
    <row r="1325" spans="4:6">
      <c r="D1325">
        <v>4078</v>
      </c>
      <c r="F1325">
        <v>4</v>
      </c>
    </row>
    <row r="1326" spans="4:6">
      <c r="D1326">
        <v>4079</v>
      </c>
      <c r="F1326">
        <v>4</v>
      </c>
    </row>
    <row r="1327" spans="4:6">
      <c r="D1327">
        <v>4080</v>
      </c>
      <c r="F1327">
        <v>7</v>
      </c>
    </row>
    <row r="1328" spans="4:6">
      <c r="D1328">
        <v>4081</v>
      </c>
      <c r="F1328">
        <v>7</v>
      </c>
    </row>
    <row r="1329" spans="4:6">
      <c r="D1329">
        <v>4085</v>
      </c>
      <c r="F1329">
        <v>7</v>
      </c>
    </row>
    <row r="1330" spans="4:6">
      <c r="D1330">
        <v>4086</v>
      </c>
      <c r="F1330">
        <v>7</v>
      </c>
    </row>
    <row r="1331" spans="4:6">
      <c r="D1331">
        <v>4087</v>
      </c>
      <c r="F1331">
        <v>10</v>
      </c>
    </row>
    <row r="1332" spans="4:6">
      <c r="D1332">
        <v>4090</v>
      </c>
      <c r="F1332">
        <v>9</v>
      </c>
    </row>
    <row r="1333" spans="4:6">
      <c r="D1333">
        <v>4095</v>
      </c>
      <c r="F1333">
        <v>9</v>
      </c>
    </row>
    <row r="1334" spans="4:6">
      <c r="D1334">
        <v>4096</v>
      </c>
      <c r="F1334">
        <v>10</v>
      </c>
    </row>
    <row r="1335" spans="4:6">
      <c r="D1335">
        <v>4097</v>
      </c>
      <c r="F1335">
        <v>10</v>
      </c>
    </row>
    <row r="1336" spans="4:6">
      <c r="D1336">
        <v>4110</v>
      </c>
      <c r="F1336">
        <v>10</v>
      </c>
    </row>
    <row r="1337" spans="4:6">
      <c r="D1337">
        <v>4114</v>
      </c>
      <c r="F1337">
        <v>10</v>
      </c>
    </row>
    <row r="1338" spans="4:6">
      <c r="D1338">
        <v>4115</v>
      </c>
      <c r="F1338">
        <v>10</v>
      </c>
    </row>
    <row r="1339" spans="4:6">
      <c r="D1339">
        <v>4116</v>
      </c>
      <c r="F1339">
        <v>10</v>
      </c>
    </row>
    <row r="1340" spans="4:6">
      <c r="D1340">
        <v>4117</v>
      </c>
      <c r="F1340">
        <v>10</v>
      </c>
    </row>
    <row r="1341" spans="4:6">
      <c r="D1341">
        <v>4118</v>
      </c>
      <c r="F1341">
        <v>10</v>
      </c>
    </row>
    <row r="1342" spans="4:6">
      <c r="D1342">
        <v>4119</v>
      </c>
      <c r="F1342">
        <v>10</v>
      </c>
    </row>
    <row r="1343" spans="4:6">
      <c r="D1343">
        <v>4121</v>
      </c>
      <c r="F1343">
        <v>10</v>
      </c>
    </row>
    <row r="1344" spans="4:6">
      <c r="D1344">
        <v>4122</v>
      </c>
      <c r="F1344">
        <v>10</v>
      </c>
    </row>
    <row r="1345" spans="4:6">
      <c r="D1345">
        <v>4123</v>
      </c>
      <c r="F1345">
        <v>10</v>
      </c>
    </row>
    <row r="1346" spans="4:6">
      <c r="D1346">
        <v>4124</v>
      </c>
      <c r="F1346">
        <v>10</v>
      </c>
    </row>
    <row r="1347" spans="4:6">
      <c r="D1347">
        <v>4125</v>
      </c>
      <c r="F1347">
        <v>10</v>
      </c>
    </row>
    <row r="1348" spans="4:6">
      <c r="D1348">
        <v>4126</v>
      </c>
      <c r="F1348">
        <v>10</v>
      </c>
    </row>
    <row r="1349" spans="4:6">
      <c r="D1349">
        <v>4127</v>
      </c>
      <c r="F1349">
        <v>10</v>
      </c>
    </row>
    <row r="1350" spans="4:6">
      <c r="D1350">
        <v>4128</v>
      </c>
      <c r="F1350">
        <v>10</v>
      </c>
    </row>
    <row r="1351" spans="4:6">
      <c r="D1351">
        <v>4132</v>
      </c>
      <c r="F1351">
        <v>10</v>
      </c>
    </row>
    <row r="1352" spans="4:6">
      <c r="D1352">
        <v>4133</v>
      </c>
      <c r="F1352">
        <v>10</v>
      </c>
    </row>
    <row r="1353" spans="4:6">
      <c r="D1353">
        <v>4134</v>
      </c>
      <c r="F1353">
        <v>10</v>
      </c>
    </row>
    <row r="1354" spans="4:6">
      <c r="D1354">
        <v>4135</v>
      </c>
      <c r="F1354">
        <v>10</v>
      </c>
    </row>
    <row r="1355" spans="4:6">
      <c r="D1355">
        <v>4136</v>
      </c>
      <c r="F1355">
        <v>10</v>
      </c>
    </row>
    <row r="1356" spans="4:6">
      <c r="D1356">
        <v>4137</v>
      </c>
      <c r="F1356">
        <v>10</v>
      </c>
    </row>
    <row r="1357" spans="4:6">
      <c r="D1357">
        <v>4138</v>
      </c>
      <c r="F1357">
        <v>10</v>
      </c>
    </row>
    <row r="1358" spans="4:6">
      <c r="D1358">
        <v>4141</v>
      </c>
      <c r="F1358">
        <v>10</v>
      </c>
    </row>
    <row r="1359" spans="4:6">
      <c r="D1359">
        <v>4142</v>
      </c>
      <c r="F1359">
        <v>10</v>
      </c>
    </row>
    <row r="1360" spans="4:6">
      <c r="D1360">
        <v>4143</v>
      </c>
      <c r="F1360">
        <v>7</v>
      </c>
    </row>
    <row r="1361" spans="4:6">
      <c r="D1361">
        <v>4144</v>
      </c>
      <c r="F1361">
        <v>10</v>
      </c>
    </row>
    <row r="1362" spans="4:6">
      <c r="D1362">
        <v>4145</v>
      </c>
      <c r="F1362">
        <v>10</v>
      </c>
    </row>
    <row r="1363" spans="4:6">
      <c r="D1363">
        <v>4146</v>
      </c>
      <c r="F1363">
        <v>10</v>
      </c>
    </row>
    <row r="1364" spans="4:6">
      <c r="D1364">
        <v>4161</v>
      </c>
      <c r="F1364">
        <v>10</v>
      </c>
    </row>
    <row r="1365" spans="4:6">
      <c r="D1365">
        <v>4162</v>
      </c>
      <c r="F1365">
        <v>10</v>
      </c>
    </row>
    <row r="1366" spans="4:6">
      <c r="D1366">
        <v>4163</v>
      </c>
      <c r="F1366">
        <v>10</v>
      </c>
    </row>
    <row r="1367" spans="4:6">
      <c r="D1367">
        <v>4164</v>
      </c>
      <c r="F1367">
        <v>10</v>
      </c>
    </row>
    <row r="1368" spans="4:6">
      <c r="D1368">
        <v>4171</v>
      </c>
      <c r="F1368">
        <v>10</v>
      </c>
    </row>
    <row r="1369" spans="4:6">
      <c r="D1369">
        <v>4172</v>
      </c>
      <c r="F1369">
        <v>10</v>
      </c>
    </row>
    <row r="1370" spans="4:6">
      <c r="D1370">
        <v>4173</v>
      </c>
      <c r="F1370">
        <v>10</v>
      </c>
    </row>
    <row r="1371" spans="4:6">
      <c r="D1371">
        <v>4174</v>
      </c>
      <c r="F1371">
        <v>10</v>
      </c>
    </row>
    <row r="1372" spans="4:6">
      <c r="D1372">
        <v>4175</v>
      </c>
      <c r="F1372">
        <v>10</v>
      </c>
    </row>
    <row r="1373" spans="4:6">
      <c r="D1373">
        <v>4176</v>
      </c>
      <c r="F1373">
        <v>10</v>
      </c>
    </row>
    <row r="1374" spans="4:6">
      <c r="D1374">
        <v>4177</v>
      </c>
      <c r="F1374">
        <v>10</v>
      </c>
    </row>
    <row r="1375" spans="4:6">
      <c r="D1375">
        <v>4181</v>
      </c>
      <c r="F1375">
        <v>9</v>
      </c>
    </row>
    <row r="1376" spans="4:6">
      <c r="D1376">
        <v>4183</v>
      </c>
      <c r="F1376">
        <v>9</v>
      </c>
    </row>
    <row r="1377" spans="4:6">
      <c r="D1377">
        <v>4184</v>
      </c>
      <c r="F1377">
        <v>10</v>
      </c>
    </row>
    <row r="1378" spans="4:6">
      <c r="D1378">
        <v>4212</v>
      </c>
      <c r="F1378">
        <v>7</v>
      </c>
    </row>
    <row r="1379" spans="4:6">
      <c r="D1379">
        <v>4224</v>
      </c>
      <c r="F1379">
        <v>7</v>
      </c>
    </row>
    <row r="1380" spans="4:6">
      <c r="D1380">
        <v>4225</v>
      </c>
      <c r="F1380">
        <v>4</v>
      </c>
    </row>
    <row r="1381" spans="4:6">
      <c r="D1381">
        <v>4231</v>
      </c>
      <c r="F1381">
        <v>9</v>
      </c>
    </row>
    <row r="1382" spans="4:6">
      <c r="D1382">
        <v>4232</v>
      </c>
      <c r="F1382">
        <v>9</v>
      </c>
    </row>
    <row r="1383" spans="4:6">
      <c r="D1383">
        <v>4233</v>
      </c>
      <c r="F1383">
        <v>9</v>
      </c>
    </row>
    <row r="1384" spans="4:6">
      <c r="D1384">
        <v>4234</v>
      </c>
      <c r="F1384">
        <v>9</v>
      </c>
    </row>
    <row r="1385" spans="4:6">
      <c r="D1385">
        <v>4235</v>
      </c>
      <c r="F1385">
        <v>9</v>
      </c>
    </row>
    <row r="1386" spans="4:6">
      <c r="D1386">
        <v>4243</v>
      </c>
      <c r="F1386">
        <v>7</v>
      </c>
    </row>
    <row r="1387" spans="4:6">
      <c r="D1387">
        <v>4245</v>
      </c>
      <c r="F1387">
        <v>9</v>
      </c>
    </row>
    <row r="1388" spans="4:6">
      <c r="D1388">
        <v>4246</v>
      </c>
      <c r="F1388">
        <v>6</v>
      </c>
    </row>
    <row r="1389" spans="4:6">
      <c r="D1389">
        <v>4251</v>
      </c>
      <c r="F1389">
        <v>6</v>
      </c>
    </row>
    <row r="1390" spans="4:6">
      <c r="D1390">
        <v>4252</v>
      </c>
      <c r="F1390">
        <v>10</v>
      </c>
    </row>
    <row r="1391" spans="4:6">
      <c r="D1391">
        <v>4253</v>
      </c>
      <c r="F1391">
        <v>10</v>
      </c>
    </row>
    <row r="1392" spans="4:6">
      <c r="D1392">
        <v>4254</v>
      </c>
      <c r="F1392">
        <v>9</v>
      </c>
    </row>
    <row r="1393" spans="4:6">
      <c r="D1393">
        <v>4261</v>
      </c>
      <c r="F1393">
        <v>9</v>
      </c>
    </row>
    <row r="1394" spans="4:6">
      <c r="D1394">
        <v>4262</v>
      </c>
      <c r="F1394">
        <v>9</v>
      </c>
    </row>
    <row r="1395" spans="4:6">
      <c r="D1395">
        <v>4263</v>
      </c>
      <c r="F1395">
        <v>10</v>
      </c>
    </row>
    <row r="1396" spans="4:6">
      <c r="D1396">
        <v>4264</v>
      </c>
      <c r="F1396">
        <v>10</v>
      </c>
    </row>
    <row r="1397" spans="4:6">
      <c r="D1397">
        <v>4266</v>
      </c>
      <c r="F1397">
        <v>10</v>
      </c>
    </row>
    <row r="1398" spans="4:6">
      <c r="D1398">
        <v>4267</v>
      </c>
      <c r="F1398">
        <v>9</v>
      </c>
    </row>
    <row r="1399" spans="4:6">
      <c r="D1399">
        <v>4272</v>
      </c>
      <c r="F1399">
        <v>7</v>
      </c>
    </row>
    <row r="1400" spans="4:6">
      <c r="D1400">
        <v>4273</v>
      </c>
      <c r="F1400">
        <v>10</v>
      </c>
    </row>
    <row r="1401" spans="4:6">
      <c r="D1401">
        <v>4274</v>
      </c>
      <c r="F1401">
        <v>9</v>
      </c>
    </row>
    <row r="1402" spans="4:6">
      <c r="D1402">
        <v>4275</v>
      </c>
      <c r="F1402">
        <v>10</v>
      </c>
    </row>
    <row r="1403" spans="4:6">
      <c r="D1403">
        <v>4281</v>
      </c>
      <c r="F1403">
        <v>7</v>
      </c>
    </row>
    <row r="1404" spans="4:6">
      <c r="D1404">
        <v>4283</v>
      </c>
      <c r="F1404">
        <v>9</v>
      </c>
    </row>
    <row r="1405" spans="4:6">
      <c r="D1405">
        <v>4284</v>
      </c>
      <c r="F1405">
        <v>10</v>
      </c>
    </row>
    <row r="1406" spans="4:6">
      <c r="D1406">
        <v>4285</v>
      </c>
      <c r="F1406">
        <v>10</v>
      </c>
    </row>
    <row r="1407" spans="4:6">
      <c r="D1407">
        <v>4286</v>
      </c>
      <c r="F1407">
        <v>10</v>
      </c>
    </row>
    <row r="1408" spans="4:6">
      <c r="D1408">
        <v>4287</v>
      </c>
      <c r="F1408">
        <v>9</v>
      </c>
    </row>
    <row r="1409" spans="4:6">
      <c r="D1409">
        <v>4288</v>
      </c>
      <c r="F1409">
        <v>10</v>
      </c>
    </row>
    <row r="1410" spans="4:6">
      <c r="D1410">
        <v>4300</v>
      </c>
      <c r="F1410">
        <v>6</v>
      </c>
    </row>
    <row r="1411" spans="4:6">
      <c r="D1411">
        <v>4301</v>
      </c>
      <c r="F1411">
        <v>6</v>
      </c>
    </row>
    <row r="1412" spans="4:6">
      <c r="D1412">
        <v>4311</v>
      </c>
      <c r="F1412">
        <v>9</v>
      </c>
    </row>
    <row r="1413" spans="4:6">
      <c r="D1413">
        <v>4324</v>
      </c>
      <c r="F1413">
        <v>9</v>
      </c>
    </row>
    <row r="1414" spans="4:6">
      <c r="D1414">
        <v>4325</v>
      </c>
      <c r="F1414">
        <v>9</v>
      </c>
    </row>
    <row r="1415" spans="4:6">
      <c r="D1415">
        <v>4326</v>
      </c>
      <c r="F1415">
        <v>9</v>
      </c>
    </row>
    <row r="1416" spans="4:6">
      <c r="D1416">
        <v>4327</v>
      </c>
      <c r="F1416">
        <v>9</v>
      </c>
    </row>
    <row r="1417" spans="4:6">
      <c r="D1417">
        <v>4331</v>
      </c>
      <c r="F1417">
        <v>9</v>
      </c>
    </row>
    <row r="1418" spans="4:6">
      <c r="D1418">
        <v>4332</v>
      </c>
      <c r="F1418">
        <v>9</v>
      </c>
    </row>
    <row r="1419" spans="4:6">
      <c r="D1419">
        <v>4333</v>
      </c>
      <c r="F1419">
        <v>9</v>
      </c>
    </row>
    <row r="1420" spans="4:6">
      <c r="D1420">
        <v>4334</v>
      </c>
      <c r="F1420">
        <v>9</v>
      </c>
    </row>
    <row r="1421" spans="4:6">
      <c r="D1421">
        <v>4335</v>
      </c>
      <c r="F1421">
        <v>9</v>
      </c>
    </row>
    <row r="1422" spans="4:6">
      <c r="D1422">
        <v>4336</v>
      </c>
      <c r="F1422">
        <v>9</v>
      </c>
    </row>
    <row r="1423" spans="4:6">
      <c r="D1423">
        <v>4337</v>
      </c>
      <c r="F1423">
        <v>9</v>
      </c>
    </row>
    <row r="1424" spans="4:6">
      <c r="D1424">
        <v>4338</v>
      </c>
      <c r="F1424">
        <v>9</v>
      </c>
    </row>
    <row r="1425" spans="4:6">
      <c r="D1425">
        <v>4341</v>
      </c>
      <c r="F1425">
        <v>9</v>
      </c>
    </row>
    <row r="1426" spans="4:6">
      <c r="D1426">
        <v>4342</v>
      </c>
      <c r="F1426">
        <v>9</v>
      </c>
    </row>
    <row r="1427" spans="4:6">
      <c r="D1427">
        <v>4343</v>
      </c>
      <c r="F1427">
        <v>9</v>
      </c>
    </row>
    <row r="1428" spans="4:6">
      <c r="D1428">
        <v>4351</v>
      </c>
      <c r="F1428">
        <v>9</v>
      </c>
    </row>
    <row r="1429" spans="4:6">
      <c r="D1429">
        <v>4352</v>
      </c>
      <c r="F1429">
        <v>9</v>
      </c>
    </row>
    <row r="1430" spans="4:6">
      <c r="D1430">
        <v>4353</v>
      </c>
      <c r="F1430">
        <v>9</v>
      </c>
    </row>
    <row r="1431" spans="4:6">
      <c r="D1431">
        <v>4354</v>
      </c>
      <c r="F1431">
        <v>9</v>
      </c>
    </row>
    <row r="1432" spans="4:6">
      <c r="D1432">
        <v>4355</v>
      </c>
      <c r="F1432">
        <v>9</v>
      </c>
    </row>
    <row r="1433" spans="4:6">
      <c r="D1433">
        <v>4356</v>
      </c>
      <c r="F1433">
        <v>9</v>
      </c>
    </row>
    <row r="1434" spans="4:6">
      <c r="D1434">
        <v>4361</v>
      </c>
      <c r="F1434">
        <v>9</v>
      </c>
    </row>
    <row r="1435" spans="4:6">
      <c r="D1435">
        <v>4362</v>
      </c>
      <c r="F1435">
        <v>9</v>
      </c>
    </row>
    <row r="1436" spans="4:6">
      <c r="D1436">
        <v>4363</v>
      </c>
      <c r="F1436">
        <v>9</v>
      </c>
    </row>
    <row r="1437" spans="4:6">
      <c r="D1437">
        <v>4371</v>
      </c>
      <c r="F1437">
        <v>9</v>
      </c>
    </row>
    <row r="1438" spans="4:6">
      <c r="D1438">
        <v>4372</v>
      </c>
      <c r="F1438">
        <v>9</v>
      </c>
    </row>
    <row r="1439" spans="4:6">
      <c r="D1439">
        <v>4373</v>
      </c>
      <c r="F1439">
        <v>9</v>
      </c>
    </row>
    <row r="1440" spans="4:6">
      <c r="D1440">
        <v>4374</v>
      </c>
      <c r="F1440">
        <v>9</v>
      </c>
    </row>
    <row r="1441" spans="4:6">
      <c r="D1441">
        <v>4375</v>
      </c>
      <c r="F1441">
        <v>9</v>
      </c>
    </row>
    <row r="1442" spans="4:6">
      <c r="D1442">
        <v>4376</v>
      </c>
      <c r="F1442">
        <v>9</v>
      </c>
    </row>
    <row r="1443" spans="4:6">
      <c r="D1443">
        <v>4400</v>
      </c>
      <c r="F1443">
        <v>6</v>
      </c>
    </row>
    <row r="1444" spans="4:6">
      <c r="D1444">
        <v>4401</v>
      </c>
      <c r="F1444">
        <v>6</v>
      </c>
    </row>
    <row r="1445" spans="4:6">
      <c r="D1445">
        <v>4402</v>
      </c>
      <c r="F1445">
        <v>6</v>
      </c>
    </row>
    <row r="1446" spans="4:6">
      <c r="D1446">
        <v>4403</v>
      </c>
      <c r="F1446">
        <v>6</v>
      </c>
    </row>
    <row r="1447" spans="4:6">
      <c r="D1447">
        <v>4404</v>
      </c>
      <c r="F1447">
        <v>6</v>
      </c>
    </row>
    <row r="1448" spans="4:6">
      <c r="D1448">
        <v>4405</v>
      </c>
      <c r="F1448">
        <v>4</v>
      </c>
    </row>
    <row r="1449" spans="4:6">
      <c r="D1449">
        <v>4406</v>
      </c>
      <c r="F1449">
        <v>6</v>
      </c>
    </row>
    <row r="1450" spans="4:6">
      <c r="D1450">
        <v>4407</v>
      </c>
      <c r="F1450">
        <v>6</v>
      </c>
    </row>
    <row r="1451" spans="4:6">
      <c r="D1451">
        <v>4410</v>
      </c>
      <c r="F1451">
        <v>6</v>
      </c>
    </row>
    <row r="1452" spans="4:6">
      <c r="D1452">
        <v>4411</v>
      </c>
      <c r="F1452">
        <v>6</v>
      </c>
    </row>
    <row r="1453" spans="4:6">
      <c r="D1453">
        <v>4412</v>
      </c>
      <c r="F1453">
        <v>6</v>
      </c>
    </row>
    <row r="1454" spans="4:6">
      <c r="D1454">
        <v>4413</v>
      </c>
      <c r="F1454">
        <v>6</v>
      </c>
    </row>
    <row r="1455" spans="4:6">
      <c r="D1455">
        <v>4431</v>
      </c>
      <c r="F1455">
        <v>5</v>
      </c>
    </row>
    <row r="1456" spans="4:6">
      <c r="D1456">
        <v>4432</v>
      </c>
      <c r="F1456">
        <v>6</v>
      </c>
    </row>
    <row r="1457" spans="4:6">
      <c r="D1457">
        <v>4433</v>
      </c>
      <c r="F1457">
        <v>6</v>
      </c>
    </row>
    <row r="1458" spans="4:6">
      <c r="D1458">
        <v>4434</v>
      </c>
      <c r="F1458">
        <v>9</v>
      </c>
    </row>
    <row r="1459" spans="4:6">
      <c r="D1459">
        <v>4440</v>
      </c>
      <c r="F1459">
        <v>9</v>
      </c>
    </row>
    <row r="1460" spans="4:6">
      <c r="D1460">
        <v>4441</v>
      </c>
      <c r="F1460">
        <v>9</v>
      </c>
    </row>
    <row r="1461" spans="4:6">
      <c r="D1461">
        <v>4444</v>
      </c>
      <c r="F1461">
        <v>9</v>
      </c>
    </row>
    <row r="1462" spans="4:6">
      <c r="D1462">
        <v>4445</v>
      </c>
      <c r="F1462">
        <v>9</v>
      </c>
    </row>
    <row r="1463" spans="4:6">
      <c r="D1463">
        <v>4446</v>
      </c>
      <c r="F1463">
        <v>9</v>
      </c>
    </row>
    <row r="1464" spans="4:6">
      <c r="D1464">
        <v>4447</v>
      </c>
      <c r="F1464">
        <v>9</v>
      </c>
    </row>
    <row r="1465" spans="4:6">
      <c r="D1465">
        <v>4450</v>
      </c>
      <c r="F1465">
        <v>9</v>
      </c>
    </row>
    <row r="1466" spans="4:6">
      <c r="D1466">
        <v>4455</v>
      </c>
      <c r="F1466">
        <v>9</v>
      </c>
    </row>
    <row r="1467" spans="4:6">
      <c r="D1467">
        <v>4456</v>
      </c>
      <c r="F1467">
        <v>9</v>
      </c>
    </row>
    <row r="1468" spans="4:6">
      <c r="D1468">
        <v>4461</v>
      </c>
      <c r="F1468">
        <v>5</v>
      </c>
    </row>
    <row r="1469" spans="4:6">
      <c r="D1469">
        <v>4462</v>
      </c>
      <c r="F1469">
        <v>9</v>
      </c>
    </row>
    <row r="1470" spans="4:6">
      <c r="D1470">
        <v>4463</v>
      </c>
      <c r="F1470">
        <v>9</v>
      </c>
    </row>
    <row r="1471" spans="4:6">
      <c r="D1471">
        <v>4464</v>
      </c>
      <c r="F1471">
        <v>9</v>
      </c>
    </row>
    <row r="1472" spans="4:6">
      <c r="D1472">
        <v>4466</v>
      </c>
      <c r="F1472">
        <v>9</v>
      </c>
    </row>
    <row r="1473" spans="4:6">
      <c r="D1473">
        <v>4467</v>
      </c>
      <c r="F1473">
        <v>9</v>
      </c>
    </row>
    <row r="1474" spans="4:6">
      <c r="D1474">
        <v>4468</v>
      </c>
      <c r="F1474">
        <v>9</v>
      </c>
    </row>
    <row r="1475" spans="4:6">
      <c r="D1475">
        <v>4471</v>
      </c>
      <c r="F1475">
        <v>9</v>
      </c>
    </row>
    <row r="1476" spans="4:6">
      <c r="D1476">
        <v>4472</v>
      </c>
      <c r="F1476">
        <v>9</v>
      </c>
    </row>
    <row r="1477" spans="4:6">
      <c r="D1477">
        <v>4474</v>
      </c>
      <c r="F1477">
        <v>9</v>
      </c>
    </row>
    <row r="1478" spans="4:6">
      <c r="D1478">
        <v>4475</v>
      </c>
      <c r="F1478">
        <v>9</v>
      </c>
    </row>
    <row r="1479" spans="4:6">
      <c r="D1479">
        <v>4481</v>
      </c>
      <c r="F1479">
        <v>6</v>
      </c>
    </row>
    <row r="1480" spans="4:6">
      <c r="D1480">
        <v>4482</v>
      </c>
      <c r="F1480">
        <v>9</v>
      </c>
    </row>
    <row r="1481" spans="4:6">
      <c r="D1481">
        <v>4483</v>
      </c>
      <c r="F1481">
        <v>9</v>
      </c>
    </row>
    <row r="1482" spans="4:6">
      <c r="D1482">
        <v>4484</v>
      </c>
      <c r="F1482">
        <v>9</v>
      </c>
    </row>
    <row r="1483" spans="4:6">
      <c r="D1483">
        <v>4485</v>
      </c>
      <c r="F1483">
        <v>9</v>
      </c>
    </row>
    <row r="1484" spans="4:6">
      <c r="D1484">
        <v>4486</v>
      </c>
      <c r="F1484">
        <v>9</v>
      </c>
    </row>
    <row r="1485" spans="4:6">
      <c r="D1485">
        <v>4487</v>
      </c>
      <c r="F1485">
        <v>9</v>
      </c>
    </row>
    <row r="1486" spans="4:6">
      <c r="D1486">
        <v>4488</v>
      </c>
      <c r="F1486">
        <v>9</v>
      </c>
    </row>
    <row r="1487" spans="4:6">
      <c r="D1487">
        <v>4491</v>
      </c>
      <c r="F1487">
        <v>9</v>
      </c>
    </row>
    <row r="1488" spans="4:6">
      <c r="D1488">
        <v>4492</v>
      </c>
      <c r="F1488">
        <v>9</v>
      </c>
    </row>
    <row r="1489" spans="4:6">
      <c r="D1489">
        <v>4493</v>
      </c>
      <c r="F1489">
        <v>9</v>
      </c>
    </row>
    <row r="1490" spans="4:6">
      <c r="D1490">
        <v>4494</v>
      </c>
      <c r="F1490">
        <v>9</v>
      </c>
    </row>
    <row r="1491" spans="4:6">
      <c r="D1491">
        <v>4495</v>
      </c>
      <c r="F1491">
        <v>9</v>
      </c>
    </row>
    <row r="1492" spans="4:6">
      <c r="D1492">
        <v>4496</v>
      </c>
      <c r="F1492">
        <v>9</v>
      </c>
    </row>
    <row r="1493" spans="4:6">
      <c r="D1493">
        <v>4501</v>
      </c>
      <c r="F1493">
        <v>9</v>
      </c>
    </row>
    <row r="1494" spans="4:6">
      <c r="D1494">
        <v>4502</v>
      </c>
      <c r="F1494">
        <v>9</v>
      </c>
    </row>
    <row r="1495" spans="4:6">
      <c r="D1495">
        <v>4503</v>
      </c>
      <c r="F1495">
        <v>9</v>
      </c>
    </row>
    <row r="1496" spans="4:6">
      <c r="D1496">
        <v>4511</v>
      </c>
      <c r="F1496">
        <v>9</v>
      </c>
    </row>
    <row r="1497" spans="4:6">
      <c r="D1497">
        <v>4512</v>
      </c>
      <c r="F1497">
        <v>9</v>
      </c>
    </row>
    <row r="1498" spans="4:6">
      <c r="D1498">
        <v>4515</v>
      </c>
      <c r="F1498">
        <v>9</v>
      </c>
    </row>
    <row r="1499" spans="4:6">
      <c r="D1499">
        <v>4516</v>
      </c>
      <c r="F1499">
        <v>9</v>
      </c>
    </row>
    <row r="1500" spans="4:6">
      <c r="D1500">
        <v>4517</v>
      </c>
      <c r="F1500">
        <v>9</v>
      </c>
    </row>
    <row r="1501" spans="4:6">
      <c r="D1501">
        <v>4521</v>
      </c>
      <c r="F1501">
        <v>9</v>
      </c>
    </row>
    <row r="1502" spans="4:6">
      <c r="D1502">
        <v>4522</v>
      </c>
      <c r="F1502">
        <v>9</v>
      </c>
    </row>
    <row r="1503" spans="4:6">
      <c r="D1503">
        <v>4523</v>
      </c>
      <c r="F1503">
        <v>9</v>
      </c>
    </row>
    <row r="1504" spans="4:6">
      <c r="D1504">
        <v>4524</v>
      </c>
      <c r="F1504">
        <v>9</v>
      </c>
    </row>
    <row r="1505" spans="4:6">
      <c r="D1505">
        <v>4525</v>
      </c>
      <c r="F1505">
        <v>9</v>
      </c>
    </row>
    <row r="1506" spans="4:6">
      <c r="D1506">
        <v>4531</v>
      </c>
      <c r="F1506">
        <v>9</v>
      </c>
    </row>
    <row r="1507" spans="4:6">
      <c r="D1507">
        <v>4532</v>
      </c>
      <c r="F1507">
        <v>9</v>
      </c>
    </row>
    <row r="1508" spans="4:6">
      <c r="D1508">
        <v>4533</v>
      </c>
      <c r="F1508">
        <v>9</v>
      </c>
    </row>
    <row r="1509" spans="4:6">
      <c r="D1509">
        <v>4534</v>
      </c>
      <c r="F1509">
        <v>9</v>
      </c>
    </row>
    <row r="1510" spans="4:6">
      <c r="D1510">
        <v>4535</v>
      </c>
      <c r="F1510">
        <v>9</v>
      </c>
    </row>
    <row r="1511" spans="4:6">
      <c r="D1511">
        <v>4536</v>
      </c>
      <c r="F1511">
        <v>9</v>
      </c>
    </row>
    <row r="1512" spans="4:6">
      <c r="D1512">
        <v>4537</v>
      </c>
      <c r="F1512">
        <v>9</v>
      </c>
    </row>
    <row r="1513" spans="4:6">
      <c r="D1513">
        <v>4541</v>
      </c>
      <c r="F1513">
        <v>9</v>
      </c>
    </row>
    <row r="1514" spans="4:6">
      <c r="D1514">
        <v>4542</v>
      </c>
      <c r="F1514">
        <v>9</v>
      </c>
    </row>
    <row r="1515" spans="4:6">
      <c r="D1515">
        <v>4543</v>
      </c>
      <c r="F1515">
        <v>9</v>
      </c>
    </row>
    <row r="1516" spans="4:6">
      <c r="D1516">
        <v>4544</v>
      </c>
      <c r="F1516">
        <v>9</v>
      </c>
    </row>
    <row r="1517" spans="4:6">
      <c r="D1517">
        <v>4545</v>
      </c>
      <c r="F1517">
        <v>9</v>
      </c>
    </row>
    <row r="1518" spans="4:6">
      <c r="D1518">
        <v>4546</v>
      </c>
      <c r="F1518">
        <v>9</v>
      </c>
    </row>
    <row r="1519" spans="4:6">
      <c r="D1519">
        <v>4547</v>
      </c>
      <c r="F1519">
        <v>9</v>
      </c>
    </row>
    <row r="1520" spans="4:6">
      <c r="D1520">
        <v>4551</v>
      </c>
      <c r="F1520">
        <v>6</v>
      </c>
    </row>
    <row r="1521" spans="4:6">
      <c r="D1521">
        <v>4552</v>
      </c>
      <c r="F1521">
        <v>9</v>
      </c>
    </row>
    <row r="1522" spans="4:6">
      <c r="D1522">
        <v>4553</v>
      </c>
      <c r="F1522">
        <v>9</v>
      </c>
    </row>
    <row r="1523" spans="4:6">
      <c r="D1523">
        <v>4554</v>
      </c>
      <c r="F1523">
        <v>9</v>
      </c>
    </row>
    <row r="1524" spans="4:6">
      <c r="D1524">
        <v>4555</v>
      </c>
      <c r="F1524">
        <v>9</v>
      </c>
    </row>
    <row r="1525" spans="4:6">
      <c r="D1525">
        <v>4556</v>
      </c>
      <c r="F1525">
        <v>9</v>
      </c>
    </row>
    <row r="1526" spans="4:6">
      <c r="D1526">
        <v>4557</v>
      </c>
      <c r="F1526">
        <v>9</v>
      </c>
    </row>
    <row r="1527" spans="4:6">
      <c r="D1527">
        <v>4558</v>
      </c>
      <c r="F1527">
        <v>9</v>
      </c>
    </row>
    <row r="1528" spans="4:6">
      <c r="D1528">
        <v>4561</v>
      </c>
      <c r="F1528">
        <v>9</v>
      </c>
    </row>
    <row r="1529" spans="4:6">
      <c r="D1529">
        <v>4562</v>
      </c>
      <c r="F1529">
        <v>9</v>
      </c>
    </row>
    <row r="1530" spans="4:6">
      <c r="D1530">
        <v>4563</v>
      </c>
      <c r="F1530">
        <v>9</v>
      </c>
    </row>
    <row r="1531" spans="4:6">
      <c r="D1531">
        <v>4564</v>
      </c>
      <c r="F1531">
        <v>9</v>
      </c>
    </row>
    <row r="1532" spans="4:6">
      <c r="D1532">
        <v>4565</v>
      </c>
      <c r="F1532">
        <v>9</v>
      </c>
    </row>
    <row r="1533" spans="4:6">
      <c r="D1533">
        <v>4566</v>
      </c>
      <c r="F1533">
        <v>9</v>
      </c>
    </row>
    <row r="1534" spans="4:6">
      <c r="D1534">
        <v>4567</v>
      </c>
      <c r="F1534">
        <v>9</v>
      </c>
    </row>
    <row r="1535" spans="4:6">
      <c r="D1535">
        <v>4611</v>
      </c>
      <c r="F1535">
        <v>9</v>
      </c>
    </row>
    <row r="1536" spans="4:6">
      <c r="D1536">
        <v>4621</v>
      </c>
      <c r="F1536">
        <v>9</v>
      </c>
    </row>
    <row r="1537" spans="4:6">
      <c r="D1537">
        <v>4622</v>
      </c>
      <c r="F1537">
        <v>9</v>
      </c>
    </row>
    <row r="1538" spans="4:6">
      <c r="D1538">
        <v>4623</v>
      </c>
      <c r="F1538">
        <v>9</v>
      </c>
    </row>
    <row r="1539" spans="4:6">
      <c r="D1539">
        <v>4624</v>
      </c>
      <c r="F1539">
        <v>9</v>
      </c>
    </row>
    <row r="1540" spans="4:6">
      <c r="D1540">
        <v>4625</v>
      </c>
      <c r="F1540">
        <v>9</v>
      </c>
    </row>
    <row r="1541" spans="4:6">
      <c r="D1541">
        <v>4627</v>
      </c>
      <c r="F1541">
        <v>9</v>
      </c>
    </row>
    <row r="1542" spans="4:6">
      <c r="D1542">
        <v>4628</v>
      </c>
      <c r="F1542">
        <v>9</v>
      </c>
    </row>
    <row r="1543" spans="4:6">
      <c r="D1543">
        <v>4631</v>
      </c>
      <c r="F1543">
        <v>9</v>
      </c>
    </row>
    <row r="1544" spans="4:6">
      <c r="D1544">
        <v>4632</v>
      </c>
      <c r="F1544">
        <v>9</v>
      </c>
    </row>
    <row r="1545" spans="4:6">
      <c r="D1545">
        <v>4633</v>
      </c>
      <c r="F1545">
        <v>9</v>
      </c>
    </row>
    <row r="1546" spans="4:6">
      <c r="D1546">
        <v>4634</v>
      </c>
      <c r="F1546">
        <v>9</v>
      </c>
    </row>
    <row r="1547" spans="4:6">
      <c r="D1547">
        <v>4635</v>
      </c>
      <c r="F1547">
        <v>9</v>
      </c>
    </row>
    <row r="1548" spans="4:6">
      <c r="D1548">
        <v>4641</v>
      </c>
      <c r="F1548">
        <v>9</v>
      </c>
    </row>
    <row r="1549" spans="4:6">
      <c r="D1549">
        <v>4642</v>
      </c>
      <c r="F1549">
        <v>9</v>
      </c>
    </row>
    <row r="1550" spans="4:6">
      <c r="D1550">
        <v>4643</v>
      </c>
      <c r="F1550">
        <v>9</v>
      </c>
    </row>
    <row r="1551" spans="4:6">
      <c r="D1551">
        <v>4644</v>
      </c>
      <c r="F1551">
        <v>9</v>
      </c>
    </row>
    <row r="1552" spans="4:6">
      <c r="D1552">
        <v>4645</v>
      </c>
      <c r="F1552">
        <v>9</v>
      </c>
    </row>
    <row r="1553" spans="4:6">
      <c r="D1553">
        <v>4646</v>
      </c>
      <c r="F1553">
        <v>9</v>
      </c>
    </row>
    <row r="1554" spans="4:6">
      <c r="D1554">
        <v>4700</v>
      </c>
      <c r="F1554">
        <v>4</v>
      </c>
    </row>
    <row r="1555" spans="4:6">
      <c r="D1555">
        <v>4701</v>
      </c>
      <c r="F1555">
        <v>4</v>
      </c>
    </row>
    <row r="1556" spans="4:6">
      <c r="D1556">
        <v>4702</v>
      </c>
      <c r="F1556">
        <v>4</v>
      </c>
    </row>
    <row r="1557" spans="4:6">
      <c r="D1557">
        <v>4721</v>
      </c>
      <c r="F1557">
        <v>9</v>
      </c>
    </row>
    <row r="1558" spans="4:6">
      <c r="D1558">
        <v>4722</v>
      </c>
      <c r="F1558">
        <v>9</v>
      </c>
    </row>
    <row r="1559" spans="4:6">
      <c r="D1559">
        <v>4731</v>
      </c>
      <c r="F1559">
        <v>9</v>
      </c>
    </row>
    <row r="1560" spans="4:6">
      <c r="D1560">
        <v>4732</v>
      </c>
      <c r="F1560">
        <v>9</v>
      </c>
    </row>
    <row r="1561" spans="4:6">
      <c r="D1561">
        <v>4733</v>
      </c>
      <c r="F1561">
        <v>7</v>
      </c>
    </row>
    <row r="1562" spans="4:6">
      <c r="D1562">
        <v>4734</v>
      </c>
      <c r="F1562">
        <v>9</v>
      </c>
    </row>
    <row r="1563" spans="4:6">
      <c r="D1563">
        <v>4735</v>
      </c>
      <c r="F1563">
        <v>9</v>
      </c>
    </row>
    <row r="1564" spans="4:6">
      <c r="D1564">
        <v>4737</v>
      </c>
      <c r="F1564">
        <v>9</v>
      </c>
    </row>
    <row r="1565" spans="4:6">
      <c r="D1565">
        <v>4741</v>
      </c>
      <c r="F1565">
        <v>9</v>
      </c>
    </row>
    <row r="1566" spans="4:6">
      <c r="D1566">
        <v>4742</v>
      </c>
      <c r="F1566">
        <v>9</v>
      </c>
    </row>
    <row r="1567" spans="4:6">
      <c r="D1567">
        <v>4743</v>
      </c>
      <c r="F1567">
        <v>9</v>
      </c>
    </row>
    <row r="1568" spans="4:6">
      <c r="D1568">
        <v>4744</v>
      </c>
      <c r="F1568">
        <v>9</v>
      </c>
    </row>
    <row r="1569" spans="4:6">
      <c r="D1569">
        <v>4745</v>
      </c>
      <c r="F1569">
        <v>9</v>
      </c>
    </row>
    <row r="1570" spans="4:6">
      <c r="D1570">
        <v>4746</v>
      </c>
      <c r="F1570">
        <v>9</v>
      </c>
    </row>
    <row r="1571" spans="4:6">
      <c r="D1571">
        <v>4751</v>
      </c>
      <c r="F1571">
        <v>9</v>
      </c>
    </row>
    <row r="1572" spans="4:6">
      <c r="D1572">
        <v>4752</v>
      </c>
      <c r="F1572">
        <v>9</v>
      </c>
    </row>
    <row r="1573" spans="4:6">
      <c r="D1573">
        <v>4753</v>
      </c>
      <c r="F1573">
        <v>9</v>
      </c>
    </row>
    <row r="1574" spans="4:6">
      <c r="D1574">
        <v>4754</v>
      </c>
      <c r="F1574">
        <v>9</v>
      </c>
    </row>
    <row r="1575" spans="4:6">
      <c r="D1575">
        <v>4755</v>
      </c>
      <c r="F1575">
        <v>9</v>
      </c>
    </row>
    <row r="1576" spans="4:6">
      <c r="D1576">
        <v>4756</v>
      </c>
      <c r="F1576">
        <v>9</v>
      </c>
    </row>
    <row r="1577" spans="4:6">
      <c r="D1577">
        <v>4761</v>
      </c>
      <c r="F1577">
        <v>9</v>
      </c>
    </row>
    <row r="1578" spans="4:6">
      <c r="D1578">
        <v>4762</v>
      </c>
      <c r="F1578">
        <v>9</v>
      </c>
    </row>
    <row r="1579" spans="4:6">
      <c r="D1579">
        <v>4763</v>
      </c>
      <c r="F1579">
        <v>9</v>
      </c>
    </row>
    <row r="1580" spans="4:6">
      <c r="D1580">
        <v>4764</v>
      </c>
      <c r="F1580">
        <v>9</v>
      </c>
    </row>
    <row r="1581" spans="4:6">
      <c r="D1581">
        <v>4765</v>
      </c>
      <c r="F1581">
        <v>9</v>
      </c>
    </row>
    <row r="1582" spans="4:6">
      <c r="D1582">
        <v>4766</v>
      </c>
      <c r="F1582">
        <v>9</v>
      </c>
    </row>
    <row r="1583" spans="4:6">
      <c r="D1583">
        <v>4767</v>
      </c>
      <c r="F1583">
        <v>9</v>
      </c>
    </row>
    <row r="1584" spans="4:6">
      <c r="D1584">
        <v>4800</v>
      </c>
      <c r="F1584">
        <v>9</v>
      </c>
    </row>
    <row r="1585" spans="4:6">
      <c r="D1585">
        <v>4801</v>
      </c>
      <c r="F1585">
        <v>9</v>
      </c>
    </row>
    <row r="1586" spans="4:6">
      <c r="D1586">
        <v>4803</v>
      </c>
      <c r="F1586">
        <v>9</v>
      </c>
    </row>
    <row r="1587" spans="4:6">
      <c r="D1587">
        <v>4804</v>
      </c>
      <c r="F1587">
        <v>9</v>
      </c>
    </row>
    <row r="1588" spans="4:6">
      <c r="D1588">
        <v>4811</v>
      </c>
      <c r="F1588">
        <v>9</v>
      </c>
    </row>
    <row r="1589" spans="4:6">
      <c r="D1589">
        <v>4812</v>
      </c>
      <c r="F1589">
        <v>9</v>
      </c>
    </row>
    <row r="1590" spans="4:6">
      <c r="D1590">
        <v>4813</v>
      </c>
      <c r="F1590">
        <v>9</v>
      </c>
    </row>
    <row r="1591" spans="4:6">
      <c r="D1591">
        <v>4821</v>
      </c>
      <c r="F1591">
        <v>9</v>
      </c>
    </row>
    <row r="1592" spans="4:6">
      <c r="D1592">
        <v>4822</v>
      </c>
      <c r="F1592">
        <v>9</v>
      </c>
    </row>
    <row r="1593" spans="4:6">
      <c r="D1593">
        <v>4823</v>
      </c>
      <c r="F1593">
        <v>9</v>
      </c>
    </row>
    <row r="1594" spans="4:6">
      <c r="D1594">
        <v>4824</v>
      </c>
      <c r="F1594">
        <v>9</v>
      </c>
    </row>
    <row r="1595" spans="4:6">
      <c r="D1595">
        <v>4826</v>
      </c>
      <c r="F1595">
        <v>9</v>
      </c>
    </row>
    <row r="1596" spans="4:6">
      <c r="D1596">
        <v>4831</v>
      </c>
      <c r="F1596">
        <v>9</v>
      </c>
    </row>
    <row r="1597" spans="4:6">
      <c r="D1597">
        <v>4832</v>
      </c>
      <c r="F1597">
        <v>9</v>
      </c>
    </row>
    <row r="1598" spans="4:6">
      <c r="D1598">
        <v>4833</v>
      </c>
      <c r="F1598">
        <v>9</v>
      </c>
    </row>
    <row r="1599" spans="4:6">
      <c r="D1599">
        <v>4834</v>
      </c>
      <c r="F1599">
        <v>9</v>
      </c>
    </row>
    <row r="1600" spans="4:6">
      <c r="D1600">
        <v>4835</v>
      </c>
      <c r="F1600">
        <v>9</v>
      </c>
    </row>
    <row r="1601" spans="4:6">
      <c r="D1601">
        <v>4836</v>
      </c>
      <c r="F1601">
        <v>9</v>
      </c>
    </row>
    <row r="1602" spans="4:6">
      <c r="D1602">
        <v>4841</v>
      </c>
      <c r="F1602">
        <v>9</v>
      </c>
    </row>
    <row r="1603" spans="4:6">
      <c r="D1603">
        <v>4842</v>
      </c>
      <c r="F1603">
        <v>9</v>
      </c>
    </row>
    <row r="1604" spans="4:6">
      <c r="D1604">
        <v>4843</v>
      </c>
      <c r="F1604">
        <v>9</v>
      </c>
    </row>
    <row r="1605" spans="4:6">
      <c r="D1605">
        <v>4844</v>
      </c>
      <c r="F1605">
        <v>9</v>
      </c>
    </row>
    <row r="1606" spans="4:6">
      <c r="D1606">
        <v>4845</v>
      </c>
      <c r="F1606">
        <v>9</v>
      </c>
    </row>
    <row r="1607" spans="4:6">
      <c r="D1607">
        <v>4900</v>
      </c>
      <c r="F1607">
        <v>9</v>
      </c>
    </row>
    <row r="1608" spans="4:6">
      <c r="D1608">
        <v>4901</v>
      </c>
      <c r="F1608">
        <v>9</v>
      </c>
    </row>
    <row r="1609" spans="4:6">
      <c r="D1609">
        <v>4911</v>
      </c>
      <c r="F1609">
        <v>9</v>
      </c>
    </row>
    <row r="1610" spans="4:6">
      <c r="D1610">
        <v>4912</v>
      </c>
      <c r="F1610">
        <v>9</v>
      </c>
    </row>
    <row r="1611" spans="4:6">
      <c r="D1611">
        <v>4913</v>
      </c>
      <c r="F1611">
        <v>9</v>
      </c>
    </row>
    <row r="1612" spans="4:6">
      <c r="D1612">
        <v>4914</v>
      </c>
      <c r="F1612">
        <v>9</v>
      </c>
    </row>
    <row r="1613" spans="4:6">
      <c r="D1613">
        <v>4921</v>
      </c>
      <c r="F1613">
        <v>9</v>
      </c>
    </row>
    <row r="1614" spans="4:6">
      <c r="D1614">
        <v>4922</v>
      </c>
      <c r="F1614">
        <v>9</v>
      </c>
    </row>
    <row r="1615" spans="4:6">
      <c r="D1615">
        <v>4931</v>
      </c>
      <c r="F1615">
        <v>9</v>
      </c>
    </row>
    <row r="1616" spans="4:6">
      <c r="D1616">
        <v>4932</v>
      </c>
      <c r="F1616">
        <v>9</v>
      </c>
    </row>
    <row r="1617" spans="4:6">
      <c r="D1617">
        <v>4933</v>
      </c>
      <c r="F1617">
        <v>9</v>
      </c>
    </row>
    <row r="1618" spans="4:6">
      <c r="D1618">
        <v>4934</v>
      </c>
      <c r="F1618">
        <v>9</v>
      </c>
    </row>
    <row r="1619" spans="4:6">
      <c r="D1619">
        <v>4935</v>
      </c>
      <c r="F1619">
        <v>9</v>
      </c>
    </row>
    <row r="1620" spans="4:6">
      <c r="D1620">
        <v>4936</v>
      </c>
      <c r="F1620">
        <v>9</v>
      </c>
    </row>
    <row r="1621" spans="4:6">
      <c r="D1621">
        <v>4937</v>
      </c>
      <c r="F1621">
        <v>9</v>
      </c>
    </row>
    <row r="1622" spans="4:6">
      <c r="D1622">
        <v>4941</v>
      </c>
      <c r="F1622">
        <v>9</v>
      </c>
    </row>
    <row r="1623" spans="4:6">
      <c r="D1623">
        <v>4942</v>
      </c>
      <c r="F1623">
        <v>9</v>
      </c>
    </row>
    <row r="1624" spans="4:6">
      <c r="D1624">
        <v>4943</v>
      </c>
      <c r="F1624">
        <v>9</v>
      </c>
    </row>
    <row r="1625" spans="4:6">
      <c r="D1625">
        <v>4944</v>
      </c>
      <c r="F1625">
        <v>9</v>
      </c>
    </row>
    <row r="1626" spans="4:6">
      <c r="D1626">
        <v>4945</v>
      </c>
      <c r="F1626">
        <v>9</v>
      </c>
    </row>
    <row r="1627" spans="4:6">
      <c r="D1627">
        <v>4946</v>
      </c>
      <c r="F1627">
        <v>9</v>
      </c>
    </row>
    <row r="1628" spans="4:6">
      <c r="D1628">
        <v>4947</v>
      </c>
      <c r="F1628">
        <v>9</v>
      </c>
    </row>
    <row r="1629" spans="4:6">
      <c r="D1629">
        <v>4948</v>
      </c>
      <c r="F1629">
        <v>9</v>
      </c>
    </row>
    <row r="1630" spans="4:6">
      <c r="D1630">
        <v>4951</v>
      </c>
      <c r="F1630">
        <v>9</v>
      </c>
    </row>
    <row r="1631" spans="4:6">
      <c r="D1631">
        <v>4952</v>
      </c>
      <c r="F1631">
        <v>9</v>
      </c>
    </row>
    <row r="1632" spans="4:6">
      <c r="D1632">
        <v>4953</v>
      </c>
      <c r="F1632">
        <v>9</v>
      </c>
    </row>
    <row r="1633" spans="4:6">
      <c r="D1633">
        <v>4954</v>
      </c>
      <c r="F1633">
        <v>9</v>
      </c>
    </row>
    <row r="1634" spans="4:6">
      <c r="D1634">
        <v>4955</v>
      </c>
      <c r="F1634">
        <v>9</v>
      </c>
    </row>
    <row r="1635" spans="4:6">
      <c r="D1635">
        <v>4956</v>
      </c>
      <c r="F1635">
        <v>9</v>
      </c>
    </row>
    <row r="1636" spans="4:6">
      <c r="D1636">
        <v>4961</v>
      </c>
      <c r="F1636">
        <v>9</v>
      </c>
    </row>
    <row r="1637" spans="4:6">
      <c r="D1637">
        <v>4962</v>
      </c>
      <c r="F1637">
        <v>9</v>
      </c>
    </row>
    <row r="1638" spans="4:6">
      <c r="D1638">
        <v>4963</v>
      </c>
      <c r="F1638">
        <v>9</v>
      </c>
    </row>
    <row r="1639" spans="4:6">
      <c r="D1639">
        <v>4964</v>
      </c>
      <c r="F1639">
        <v>9</v>
      </c>
    </row>
    <row r="1640" spans="4:6">
      <c r="D1640">
        <v>4965</v>
      </c>
      <c r="F1640">
        <v>9</v>
      </c>
    </row>
    <row r="1641" spans="4:6">
      <c r="D1641">
        <v>4966</v>
      </c>
      <c r="F1641">
        <v>9</v>
      </c>
    </row>
    <row r="1642" spans="4:6">
      <c r="D1642">
        <v>4967</v>
      </c>
      <c r="F1642">
        <v>9</v>
      </c>
    </row>
    <row r="1643" spans="4:6">
      <c r="D1643">
        <v>4968</v>
      </c>
      <c r="F1643">
        <v>9</v>
      </c>
    </row>
    <row r="1644" spans="4:6">
      <c r="D1644">
        <v>4969</v>
      </c>
      <c r="F1644">
        <v>9</v>
      </c>
    </row>
    <row r="1645" spans="4:6">
      <c r="D1645">
        <v>4971</v>
      </c>
      <c r="F1645">
        <v>9</v>
      </c>
    </row>
    <row r="1646" spans="4:6">
      <c r="D1646">
        <v>4972</v>
      </c>
      <c r="F1646">
        <v>9</v>
      </c>
    </row>
    <row r="1647" spans="4:6">
      <c r="D1647">
        <v>4973</v>
      </c>
      <c r="F1647">
        <v>9</v>
      </c>
    </row>
    <row r="1648" spans="4:6">
      <c r="D1648">
        <v>4974</v>
      </c>
      <c r="F1648">
        <v>9</v>
      </c>
    </row>
    <row r="1649" spans="4:6">
      <c r="D1649">
        <v>4975</v>
      </c>
      <c r="F1649">
        <v>9</v>
      </c>
    </row>
    <row r="1650" spans="4:6">
      <c r="D1650">
        <v>4976</v>
      </c>
      <c r="F1650">
        <v>7</v>
      </c>
    </row>
    <row r="1651" spans="4:6">
      <c r="D1651">
        <v>4977</v>
      </c>
      <c r="F1651">
        <v>9</v>
      </c>
    </row>
    <row r="1652" spans="4:6">
      <c r="D1652">
        <v>5000</v>
      </c>
      <c r="F1652">
        <v>6</v>
      </c>
    </row>
    <row r="1653" spans="4:6">
      <c r="D1653">
        <v>5001</v>
      </c>
      <c r="F1653">
        <v>6</v>
      </c>
    </row>
    <row r="1654" spans="4:6">
      <c r="D1654">
        <v>5002</v>
      </c>
      <c r="F1654">
        <v>6</v>
      </c>
    </row>
    <row r="1655" spans="4:6">
      <c r="D1655">
        <v>5003</v>
      </c>
      <c r="F1655">
        <v>6</v>
      </c>
    </row>
    <row r="1656" spans="4:6">
      <c r="D1656">
        <v>5004</v>
      </c>
      <c r="F1656">
        <v>6</v>
      </c>
    </row>
    <row r="1657" spans="4:6">
      <c r="D1657">
        <v>5005</v>
      </c>
      <c r="F1657">
        <v>6</v>
      </c>
    </row>
    <row r="1658" spans="4:6">
      <c r="D1658">
        <v>5006</v>
      </c>
      <c r="F1658">
        <v>6</v>
      </c>
    </row>
    <row r="1659" spans="4:6">
      <c r="D1659">
        <v>5007</v>
      </c>
      <c r="F1659">
        <v>6</v>
      </c>
    </row>
    <row r="1660" spans="4:6">
      <c r="D1660">
        <v>5008</v>
      </c>
      <c r="F1660">
        <v>6</v>
      </c>
    </row>
    <row r="1661" spans="4:6">
      <c r="D1661">
        <v>5009</v>
      </c>
      <c r="F1661">
        <v>6</v>
      </c>
    </row>
    <row r="1662" spans="4:6">
      <c r="D1662">
        <v>5051</v>
      </c>
      <c r="F1662">
        <v>9</v>
      </c>
    </row>
    <row r="1663" spans="4:6">
      <c r="D1663">
        <v>5052</v>
      </c>
      <c r="F1663">
        <v>10</v>
      </c>
    </row>
    <row r="1664" spans="4:6">
      <c r="D1664">
        <v>5053</v>
      </c>
      <c r="F1664">
        <v>9</v>
      </c>
    </row>
    <row r="1665" spans="4:6">
      <c r="D1665">
        <v>5054</v>
      </c>
      <c r="F1665">
        <v>9</v>
      </c>
    </row>
    <row r="1666" spans="4:6">
      <c r="D1666">
        <v>5055</v>
      </c>
      <c r="F1666">
        <v>9</v>
      </c>
    </row>
    <row r="1667" spans="4:6">
      <c r="D1667">
        <v>5061</v>
      </c>
      <c r="F1667">
        <v>9</v>
      </c>
    </row>
    <row r="1668" spans="4:6">
      <c r="D1668">
        <v>5062</v>
      </c>
      <c r="F1668">
        <v>9</v>
      </c>
    </row>
    <row r="1669" spans="4:6">
      <c r="D1669">
        <v>5063</v>
      </c>
      <c r="F1669">
        <v>9</v>
      </c>
    </row>
    <row r="1670" spans="4:6">
      <c r="D1670">
        <v>5064</v>
      </c>
      <c r="F1670">
        <v>9</v>
      </c>
    </row>
    <row r="1671" spans="4:6">
      <c r="D1671">
        <v>5065</v>
      </c>
      <c r="F1671">
        <v>9</v>
      </c>
    </row>
    <row r="1672" spans="4:6">
      <c r="D1672">
        <v>5071</v>
      </c>
      <c r="F1672">
        <v>9</v>
      </c>
    </row>
    <row r="1673" spans="4:6">
      <c r="D1673">
        <v>5072</v>
      </c>
      <c r="F1673">
        <v>9</v>
      </c>
    </row>
    <row r="1674" spans="4:6">
      <c r="D1674">
        <v>5081</v>
      </c>
      <c r="F1674">
        <v>9</v>
      </c>
    </row>
    <row r="1675" spans="4:6">
      <c r="D1675">
        <v>5082</v>
      </c>
      <c r="F1675">
        <v>9</v>
      </c>
    </row>
    <row r="1676" spans="4:6">
      <c r="D1676">
        <v>5083</v>
      </c>
      <c r="F1676">
        <v>9</v>
      </c>
    </row>
    <row r="1677" spans="4:6">
      <c r="D1677">
        <v>5084</v>
      </c>
      <c r="F1677">
        <v>9</v>
      </c>
    </row>
    <row r="1678" spans="4:6">
      <c r="D1678">
        <v>5085</v>
      </c>
      <c r="F1678">
        <v>9</v>
      </c>
    </row>
    <row r="1679" spans="4:6">
      <c r="D1679">
        <v>5091</v>
      </c>
      <c r="F1679">
        <v>9</v>
      </c>
    </row>
    <row r="1680" spans="4:6">
      <c r="D1680">
        <v>5092</v>
      </c>
      <c r="F1680">
        <v>9</v>
      </c>
    </row>
    <row r="1681" spans="4:6">
      <c r="D1681">
        <v>5093</v>
      </c>
      <c r="F1681">
        <v>9</v>
      </c>
    </row>
    <row r="1682" spans="4:6">
      <c r="D1682">
        <v>5094</v>
      </c>
      <c r="F1682">
        <v>9</v>
      </c>
    </row>
    <row r="1683" spans="4:6">
      <c r="D1683">
        <v>5095</v>
      </c>
      <c r="F1683">
        <v>9</v>
      </c>
    </row>
    <row r="1684" spans="4:6">
      <c r="D1684">
        <v>5111</v>
      </c>
      <c r="F1684">
        <v>9</v>
      </c>
    </row>
    <row r="1685" spans="4:6">
      <c r="D1685">
        <v>5121</v>
      </c>
      <c r="F1685">
        <v>9</v>
      </c>
    </row>
    <row r="1686" spans="4:6">
      <c r="D1686">
        <v>5122</v>
      </c>
      <c r="F1686">
        <v>9</v>
      </c>
    </row>
    <row r="1687" spans="4:6">
      <c r="D1687">
        <v>5123</v>
      </c>
      <c r="F1687">
        <v>9</v>
      </c>
    </row>
    <row r="1688" spans="4:6">
      <c r="D1688">
        <v>5124</v>
      </c>
      <c r="F1688">
        <v>9</v>
      </c>
    </row>
    <row r="1689" spans="4:6">
      <c r="D1689">
        <v>5125</v>
      </c>
      <c r="F1689">
        <v>9</v>
      </c>
    </row>
    <row r="1690" spans="4:6">
      <c r="D1690">
        <v>5126</v>
      </c>
      <c r="F1690">
        <v>9</v>
      </c>
    </row>
    <row r="1691" spans="4:6">
      <c r="D1691">
        <v>5135</v>
      </c>
      <c r="F1691">
        <v>9</v>
      </c>
    </row>
    <row r="1692" spans="4:6">
      <c r="D1692">
        <v>5136</v>
      </c>
      <c r="F1692">
        <v>9</v>
      </c>
    </row>
    <row r="1693" spans="4:6">
      <c r="D1693">
        <v>5137</v>
      </c>
      <c r="F1693">
        <v>9</v>
      </c>
    </row>
    <row r="1694" spans="4:6">
      <c r="D1694">
        <v>5141</v>
      </c>
      <c r="F1694">
        <v>9</v>
      </c>
    </row>
    <row r="1695" spans="4:6">
      <c r="D1695">
        <v>5142</v>
      </c>
      <c r="F1695">
        <v>9</v>
      </c>
    </row>
    <row r="1696" spans="4:6">
      <c r="D1696">
        <v>5143</v>
      </c>
      <c r="F1696">
        <v>9</v>
      </c>
    </row>
    <row r="1697" spans="4:6">
      <c r="D1697">
        <v>5144</v>
      </c>
      <c r="F1697">
        <v>9</v>
      </c>
    </row>
    <row r="1698" spans="4:6">
      <c r="D1698">
        <v>5200</v>
      </c>
      <c r="F1698">
        <v>10</v>
      </c>
    </row>
    <row r="1699" spans="4:6">
      <c r="D1699">
        <v>5201</v>
      </c>
      <c r="F1699">
        <v>10</v>
      </c>
    </row>
    <row r="1700" spans="4:6">
      <c r="D1700">
        <v>5211</v>
      </c>
      <c r="F1700">
        <v>9</v>
      </c>
    </row>
    <row r="1701" spans="4:6">
      <c r="D1701">
        <v>5213</v>
      </c>
      <c r="F1701">
        <v>9</v>
      </c>
    </row>
    <row r="1702" spans="4:6">
      <c r="D1702">
        <v>5222</v>
      </c>
      <c r="F1702">
        <v>9</v>
      </c>
    </row>
    <row r="1703" spans="4:6">
      <c r="D1703">
        <v>5231</v>
      </c>
      <c r="F1703">
        <v>9</v>
      </c>
    </row>
    <row r="1704" spans="4:6">
      <c r="D1704">
        <v>5232</v>
      </c>
      <c r="F1704">
        <v>9</v>
      </c>
    </row>
    <row r="1705" spans="4:6">
      <c r="D1705">
        <v>5233</v>
      </c>
      <c r="F1705">
        <v>9</v>
      </c>
    </row>
    <row r="1706" spans="4:6">
      <c r="D1706">
        <v>5234</v>
      </c>
      <c r="F1706">
        <v>9</v>
      </c>
    </row>
    <row r="1707" spans="4:6">
      <c r="D1707">
        <v>5235</v>
      </c>
      <c r="F1707">
        <v>9</v>
      </c>
    </row>
    <row r="1708" spans="4:6">
      <c r="D1708">
        <v>5241</v>
      </c>
      <c r="F1708">
        <v>9</v>
      </c>
    </row>
    <row r="1709" spans="4:6">
      <c r="D1709">
        <v>5242</v>
      </c>
      <c r="F1709">
        <v>9</v>
      </c>
    </row>
    <row r="1710" spans="4:6">
      <c r="D1710">
        <v>5243</v>
      </c>
      <c r="F1710">
        <v>9</v>
      </c>
    </row>
    <row r="1711" spans="4:6">
      <c r="D1711">
        <v>5244</v>
      </c>
      <c r="F1711">
        <v>9</v>
      </c>
    </row>
    <row r="1712" spans="4:6">
      <c r="D1712">
        <v>5300</v>
      </c>
      <c r="F1712">
        <v>7</v>
      </c>
    </row>
    <row r="1713" spans="4:6">
      <c r="D1713">
        <v>5301</v>
      </c>
      <c r="F1713">
        <v>7</v>
      </c>
    </row>
    <row r="1714" spans="4:6">
      <c r="D1714">
        <v>5302</v>
      </c>
      <c r="F1714">
        <v>7</v>
      </c>
    </row>
    <row r="1715" spans="4:6">
      <c r="D1715">
        <v>5308</v>
      </c>
      <c r="F1715">
        <v>7</v>
      </c>
    </row>
    <row r="1716" spans="4:6">
      <c r="D1716">
        <v>5309</v>
      </c>
      <c r="F1716">
        <v>7</v>
      </c>
    </row>
    <row r="1717" spans="4:6">
      <c r="D1717">
        <v>5310</v>
      </c>
      <c r="F1717">
        <v>9</v>
      </c>
    </row>
    <row r="1718" spans="4:6">
      <c r="D1718">
        <v>5311</v>
      </c>
      <c r="F1718">
        <v>9</v>
      </c>
    </row>
    <row r="1719" spans="4:6">
      <c r="D1719">
        <v>5321</v>
      </c>
      <c r="F1719">
        <v>9</v>
      </c>
    </row>
    <row r="1720" spans="4:6">
      <c r="D1720">
        <v>5322</v>
      </c>
      <c r="F1720">
        <v>9</v>
      </c>
    </row>
    <row r="1721" spans="4:6">
      <c r="D1721">
        <v>5323</v>
      </c>
      <c r="F1721">
        <v>9</v>
      </c>
    </row>
    <row r="1722" spans="4:6">
      <c r="D1722">
        <v>5324</v>
      </c>
      <c r="F1722">
        <v>9</v>
      </c>
    </row>
    <row r="1723" spans="4:6">
      <c r="D1723">
        <v>5331</v>
      </c>
      <c r="F1723">
        <v>9</v>
      </c>
    </row>
    <row r="1724" spans="4:6">
      <c r="D1724">
        <v>5340</v>
      </c>
      <c r="F1724">
        <v>9</v>
      </c>
    </row>
    <row r="1725" spans="4:6">
      <c r="D1725">
        <v>5341</v>
      </c>
      <c r="F1725">
        <v>9</v>
      </c>
    </row>
    <row r="1726" spans="4:6">
      <c r="D1726">
        <v>5349</v>
      </c>
      <c r="F1726">
        <v>9</v>
      </c>
    </row>
    <row r="1727" spans="4:6">
      <c r="D1727">
        <v>5350</v>
      </c>
      <c r="F1727">
        <v>9</v>
      </c>
    </row>
    <row r="1728" spans="4:6">
      <c r="D1728">
        <v>5351</v>
      </c>
      <c r="F1728">
        <v>9</v>
      </c>
    </row>
    <row r="1729" spans="4:6">
      <c r="D1729">
        <v>5358</v>
      </c>
      <c r="F1729">
        <v>9</v>
      </c>
    </row>
    <row r="1730" spans="4:6">
      <c r="D1730">
        <v>5359</v>
      </c>
      <c r="F1730">
        <v>9</v>
      </c>
    </row>
    <row r="1731" spans="4:6">
      <c r="D1731">
        <v>5361</v>
      </c>
      <c r="F1731">
        <v>9</v>
      </c>
    </row>
    <row r="1732" spans="4:6">
      <c r="D1732">
        <v>5362</v>
      </c>
      <c r="F1732">
        <v>9</v>
      </c>
    </row>
    <row r="1733" spans="4:6">
      <c r="D1733">
        <v>5363</v>
      </c>
      <c r="F1733">
        <v>9</v>
      </c>
    </row>
    <row r="1734" spans="4:6">
      <c r="D1734">
        <v>5411</v>
      </c>
      <c r="F1734">
        <v>9</v>
      </c>
    </row>
    <row r="1735" spans="4:6">
      <c r="D1735">
        <v>5412</v>
      </c>
      <c r="F1735">
        <v>9</v>
      </c>
    </row>
    <row r="1736" spans="4:6">
      <c r="D1736">
        <v>5420</v>
      </c>
      <c r="F1736">
        <v>9</v>
      </c>
    </row>
    <row r="1737" spans="4:6">
      <c r="D1737">
        <v>5421</v>
      </c>
      <c r="F1737">
        <v>9</v>
      </c>
    </row>
    <row r="1738" spans="4:6">
      <c r="D1738">
        <v>5435</v>
      </c>
      <c r="F1738">
        <v>9</v>
      </c>
    </row>
    <row r="1739" spans="4:6">
      <c r="D1739">
        <v>5440</v>
      </c>
      <c r="F1739">
        <v>9</v>
      </c>
    </row>
    <row r="1740" spans="4:6">
      <c r="D1740">
        <v>5441</v>
      </c>
      <c r="F1740">
        <v>9</v>
      </c>
    </row>
    <row r="1741" spans="4:6">
      <c r="D1741">
        <v>5449</v>
      </c>
      <c r="F1741">
        <v>9</v>
      </c>
    </row>
    <row r="1742" spans="4:6">
      <c r="D1742">
        <v>5451</v>
      </c>
      <c r="F1742">
        <v>9</v>
      </c>
    </row>
    <row r="1743" spans="4:6">
      <c r="D1743">
        <v>5452</v>
      </c>
      <c r="F1743">
        <v>9</v>
      </c>
    </row>
    <row r="1744" spans="4:6">
      <c r="D1744">
        <v>5453</v>
      </c>
      <c r="F1744">
        <v>9</v>
      </c>
    </row>
    <row r="1745" spans="4:6">
      <c r="D1745">
        <v>5461</v>
      </c>
      <c r="F1745">
        <v>9</v>
      </c>
    </row>
    <row r="1746" spans="4:6">
      <c r="D1746">
        <v>5462</v>
      </c>
      <c r="F1746">
        <v>9</v>
      </c>
    </row>
    <row r="1747" spans="4:6">
      <c r="D1747">
        <v>5463</v>
      </c>
      <c r="F1747">
        <v>9</v>
      </c>
    </row>
    <row r="1748" spans="4:6">
      <c r="D1748">
        <v>5464</v>
      </c>
      <c r="F1748">
        <v>9</v>
      </c>
    </row>
    <row r="1749" spans="4:6">
      <c r="D1749">
        <v>5465</v>
      </c>
      <c r="F1749">
        <v>9</v>
      </c>
    </row>
    <row r="1750" spans="4:6">
      <c r="D1750">
        <v>5471</v>
      </c>
      <c r="F1750">
        <v>9</v>
      </c>
    </row>
    <row r="1751" spans="4:6">
      <c r="D1751">
        <v>5472</v>
      </c>
      <c r="F1751">
        <v>9</v>
      </c>
    </row>
    <row r="1752" spans="4:6">
      <c r="D1752">
        <v>5473</v>
      </c>
      <c r="F1752">
        <v>9</v>
      </c>
    </row>
    <row r="1753" spans="4:6">
      <c r="D1753">
        <v>5474</v>
      </c>
      <c r="F1753">
        <v>9</v>
      </c>
    </row>
    <row r="1754" spans="4:6">
      <c r="D1754">
        <v>5475</v>
      </c>
      <c r="F1754">
        <v>9</v>
      </c>
    </row>
    <row r="1755" spans="4:6">
      <c r="D1755">
        <v>5476</v>
      </c>
      <c r="F1755">
        <v>9</v>
      </c>
    </row>
    <row r="1756" spans="4:6">
      <c r="D1756">
        <v>5501</v>
      </c>
      <c r="F1756">
        <v>5</v>
      </c>
    </row>
    <row r="1757" spans="4:6">
      <c r="D1757">
        <v>5510</v>
      </c>
      <c r="F1757">
        <v>9</v>
      </c>
    </row>
    <row r="1758" spans="4:6">
      <c r="D1758">
        <v>5515</v>
      </c>
      <c r="F1758">
        <v>10</v>
      </c>
    </row>
    <row r="1759" spans="4:6">
      <c r="D1759">
        <v>5516</v>
      </c>
      <c r="F1759">
        <v>10</v>
      </c>
    </row>
    <row r="1760" spans="4:6">
      <c r="D1760">
        <v>5520</v>
      </c>
      <c r="F1760">
        <v>10</v>
      </c>
    </row>
    <row r="1761" spans="4:6">
      <c r="D1761">
        <v>5521</v>
      </c>
      <c r="F1761">
        <v>10</v>
      </c>
    </row>
    <row r="1762" spans="4:6">
      <c r="D1762">
        <v>5525</v>
      </c>
      <c r="F1762">
        <v>10</v>
      </c>
    </row>
    <row r="1763" spans="4:6">
      <c r="D1763">
        <v>5526</v>
      </c>
      <c r="F1763">
        <v>10</v>
      </c>
    </row>
    <row r="1764" spans="4:6">
      <c r="D1764">
        <v>5527</v>
      </c>
      <c r="F1764">
        <v>10</v>
      </c>
    </row>
    <row r="1765" spans="4:6">
      <c r="D1765">
        <v>5530</v>
      </c>
      <c r="F1765">
        <v>10</v>
      </c>
    </row>
    <row r="1766" spans="4:6">
      <c r="D1766">
        <v>5534</v>
      </c>
      <c r="F1766">
        <v>10</v>
      </c>
    </row>
    <row r="1767" spans="4:6">
      <c r="D1767">
        <v>5536</v>
      </c>
      <c r="F1767">
        <v>10</v>
      </c>
    </row>
    <row r="1768" spans="4:6">
      <c r="D1768">
        <v>5537</v>
      </c>
      <c r="F1768">
        <v>10</v>
      </c>
    </row>
    <row r="1769" spans="4:6">
      <c r="D1769">
        <v>5538</v>
      </c>
      <c r="F1769">
        <v>10</v>
      </c>
    </row>
    <row r="1770" spans="4:6">
      <c r="D1770">
        <v>5539</v>
      </c>
      <c r="F1770">
        <v>10</v>
      </c>
    </row>
    <row r="1771" spans="4:6">
      <c r="D1771">
        <v>5551</v>
      </c>
      <c r="F1771">
        <v>10</v>
      </c>
    </row>
    <row r="1772" spans="4:6">
      <c r="D1772">
        <v>5552</v>
      </c>
      <c r="F1772">
        <v>10</v>
      </c>
    </row>
    <row r="1773" spans="4:6">
      <c r="D1773">
        <v>5553</v>
      </c>
      <c r="F1773">
        <v>10</v>
      </c>
    </row>
    <row r="1774" spans="4:6">
      <c r="D1774">
        <v>5555</v>
      </c>
      <c r="F1774">
        <v>10</v>
      </c>
    </row>
    <row r="1775" spans="4:6">
      <c r="D1775">
        <v>5556</v>
      </c>
      <c r="F1775">
        <v>10</v>
      </c>
    </row>
    <row r="1776" spans="4:6">
      <c r="D1776">
        <v>5561</v>
      </c>
      <c r="F1776">
        <v>9</v>
      </c>
    </row>
    <row r="1777" spans="4:6">
      <c r="D1777">
        <v>5609</v>
      </c>
      <c r="F1777">
        <v>10</v>
      </c>
    </row>
    <row r="1778" spans="4:6">
      <c r="D1778">
        <v>5621</v>
      </c>
      <c r="F1778">
        <v>10</v>
      </c>
    </row>
    <row r="1779" spans="4:6">
      <c r="D1779">
        <v>5622</v>
      </c>
      <c r="F1779">
        <v>10</v>
      </c>
    </row>
    <row r="1780" spans="4:6">
      <c r="D1780">
        <v>5641</v>
      </c>
      <c r="F1780">
        <v>10</v>
      </c>
    </row>
    <row r="1781" spans="4:6">
      <c r="D1781">
        <v>5642</v>
      </c>
      <c r="F1781">
        <v>10</v>
      </c>
    </row>
    <row r="1782" spans="4:6">
      <c r="D1782">
        <v>5643</v>
      </c>
      <c r="F1782">
        <v>10</v>
      </c>
    </row>
    <row r="1783" spans="4:6">
      <c r="D1783">
        <v>5650</v>
      </c>
      <c r="F1783">
        <v>9</v>
      </c>
    </row>
    <row r="1784" spans="4:6">
      <c r="D1784">
        <v>5661</v>
      </c>
      <c r="F1784">
        <v>10</v>
      </c>
    </row>
    <row r="1785" spans="4:6">
      <c r="D1785">
        <v>5662</v>
      </c>
      <c r="F1785">
        <v>10</v>
      </c>
    </row>
    <row r="1786" spans="4:6">
      <c r="D1786">
        <v>5663</v>
      </c>
      <c r="F1786">
        <v>10</v>
      </c>
    </row>
    <row r="1787" spans="4:6">
      <c r="D1787">
        <v>5664</v>
      </c>
      <c r="F1787">
        <v>10</v>
      </c>
    </row>
    <row r="1788" spans="4:6">
      <c r="D1788">
        <v>5665</v>
      </c>
      <c r="F1788">
        <v>10</v>
      </c>
    </row>
    <row r="1789" spans="4:6">
      <c r="D1789">
        <v>5666</v>
      </c>
      <c r="F1789">
        <v>10</v>
      </c>
    </row>
    <row r="1790" spans="4:6">
      <c r="D1790">
        <v>5667</v>
      </c>
      <c r="F1790">
        <v>10</v>
      </c>
    </row>
    <row r="1791" spans="4:6">
      <c r="D1791">
        <v>5668</v>
      </c>
      <c r="F1791">
        <v>10</v>
      </c>
    </row>
    <row r="1792" spans="4:6">
      <c r="D1792">
        <v>5672</v>
      </c>
      <c r="F1792">
        <v>10</v>
      </c>
    </row>
    <row r="1793" spans="4:6">
      <c r="D1793">
        <v>5673</v>
      </c>
      <c r="F1793">
        <v>10</v>
      </c>
    </row>
    <row r="1794" spans="4:6">
      <c r="D1794">
        <v>5674</v>
      </c>
      <c r="F1794">
        <v>10</v>
      </c>
    </row>
    <row r="1795" spans="4:6">
      <c r="D1795">
        <v>5675</v>
      </c>
      <c r="F1795">
        <v>10</v>
      </c>
    </row>
    <row r="1796" spans="4:6">
      <c r="D1796">
        <v>5712</v>
      </c>
      <c r="F1796">
        <v>10</v>
      </c>
    </row>
    <row r="1797" spans="4:6">
      <c r="D1797">
        <v>5725</v>
      </c>
      <c r="F1797">
        <v>10</v>
      </c>
    </row>
    <row r="1798" spans="4:6">
      <c r="D1798">
        <v>5726</v>
      </c>
      <c r="F1798">
        <v>10</v>
      </c>
    </row>
    <row r="1799" spans="4:6">
      <c r="D1799">
        <v>5727</v>
      </c>
      <c r="F1799">
        <v>10</v>
      </c>
    </row>
    <row r="1800" spans="4:6">
      <c r="D1800">
        <v>5731</v>
      </c>
      <c r="F1800">
        <v>10</v>
      </c>
    </row>
    <row r="1801" spans="4:6">
      <c r="D1801">
        <v>5732</v>
      </c>
      <c r="F1801">
        <v>10</v>
      </c>
    </row>
    <row r="1802" spans="4:6">
      <c r="D1802">
        <v>5734</v>
      </c>
      <c r="F1802">
        <v>10</v>
      </c>
    </row>
    <row r="1803" spans="4:6">
      <c r="D1803">
        <v>5741</v>
      </c>
      <c r="F1803">
        <v>10</v>
      </c>
    </row>
    <row r="1804" spans="4:6">
      <c r="D1804">
        <v>5742</v>
      </c>
      <c r="F1804">
        <v>10</v>
      </c>
    </row>
    <row r="1805" spans="4:6">
      <c r="D1805">
        <v>5743</v>
      </c>
      <c r="F1805">
        <v>10</v>
      </c>
    </row>
    <row r="1806" spans="4:6">
      <c r="D1806">
        <v>5744</v>
      </c>
      <c r="F1806">
        <v>10</v>
      </c>
    </row>
    <row r="1807" spans="4:6">
      <c r="D1807">
        <v>5745</v>
      </c>
      <c r="F1807">
        <v>10</v>
      </c>
    </row>
    <row r="1808" spans="4:6">
      <c r="D1808">
        <v>5746</v>
      </c>
      <c r="F1808">
        <v>10</v>
      </c>
    </row>
    <row r="1809" spans="4:6">
      <c r="D1809">
        <v>5747</v>
      </c>
      <c r="F1809">
        <v>10</v>
      </c>
    </row>
    <row r="1810" spans="4:6">
      <c r="D1810">
        <v>5751</v>
      </c>
      <c r="F1810">
        <v>10</v>
      </c>
    </row>
    <row r="1811" spans="4:6">
      <c r="D1811">
        <v>5752</v>
      </c>
      <c r="F1811">
        <v>10</v>
      </c>
    </row>
    <row r="1812" spans="4:6">
      <c r="D1812">
        <v>5811</v>
      </c>
      <c r="F1812">
        <v>10</v>
      </c>
    </row>
    <row r="1813" spans="4:6">
      <c r="D1813">
        <v>5820</v>
      </c>
      <c r="F1813">
        <v>10</v>
      </c>
    </row>
    <row r="1814" spans="4:6">
      <c r="D1814">
        <v>5830</v>
      </c>
      <c r="F1814">
        <v>10</v>
      </c>
    </row>
    <row r="1815" spans="4:6">
      <c r="D1815">
        <v>5836</v>
      </c>
      <c r="F1815">
        <v>10</v>
      </c>
    </row>
    <row r="1816" spans="4:6">
      <c r="D1816">
        <v>5837</v>
      </c>
      <c r="F1816">
        <v>10</v>
      </c>
    </row>
    <row r="1817" spans="4:6">
      <c r="D1817">
        <v>5838</v>
      </c>
      <c r="F1817">
        <v>10</v>
      </c>
    </row>
    <row r="1818" spans="4:6">
      <c r="D1818">
        <v>5919</v>
      </c>
      <c r="F1818">
        <v>10</v>
      </c>
    </row>
    <row r="1819" spans="4:6">
      <c r="D1819">
        <v>5920</v>
      </c>
      <c r="F1819">
        <v>10</v>
      </c>
    </row>
    <row r="1820" spans="4:6">
      <c r="D1820">
        <v>5925</v>
      </c>
      <c r="F1820">
        <v>10</v>
      </c>
    </row>
    <row r="1821" spans="4:6">
      <c r="D1821">
        <v>5931</v>
      </c>
      <c r="F1821">
        <v>10</v>
      </c>
    </row>
    <row r="1822" spans="4:6">
      <c r="D1822">
        <v>5932</v>
      </c>
      <c r="F1822">
        <v>10</v>
      </c>
    </row>
    <row r="1823" spans="4:6">
      <c r="D1823">
        <v>5940</v>
      </c>
      <c r="F1823">
        <v>10</v>
      </c>
    </row>
    <row r="1824" spans="4:6">
      <c r="D1824">
        <v>5945</v>
      </c>
      <c r="F1824">
        <v>10</v>
      </c>
    </row>
    <row r="1825" spans="4:6">
      <c r="D1825">
        <v>5946</v>
      </c>
      <c r="F1825">
        <v>10</v>
      </c>
    </row>
    <row r="1826" spans="4:6">
      <c r="D1826">
        <v>5947</v>
      </c>
      <c r="F1826">
        <v>7</v>
      </c>
    </row>
    <row r="1827" spans="4:6">
      <c r="D1827">
        <v>5948</v>
      </c>
      <c r="F1827">
        <v>10</v>
      </c>
    </row>
    <row r="1828" spans="4:6">
      <c r="D1828">
        <v>5949</v>
      </c>
      <c r="F1828">
        <v>7</v>
      </c>
    </row>
    <row r="1829" spans="4:6">
      <c r="D1829">
        <v>6000</v>
      </c>
      <c r="F1829">
        <v>7</v>
      </c>
    </row>
    <row r="1830" spans="4:6">
      <c r="D1830">
        <v>6001</v>
      </c>
      <c r="F1830">
        <v>7</v>
      </c>
    </row>
    <row r="1831" spans="4:6">
      <c r="D1831">
        <v>6002</v>
      </c>
      <c r="F1831">
        <v>7</v>
      </c>
    </row>
    <row r="1832" spans="4:6">
      <c r="D1832">
        <v>6003</v>
      </c>
      <c r="F1832">
        <v>7</v>
      </c>
    </row>
    <row r="1833" spans="4:6">
      <c r="D1833">
        <v>6004</v>
      </c>
      <c r="F1833">
        <v>7</v>
      </c>
    </row>
    <row r="1834" spans="4:6">
      <c r="D1834">
        <v>6005</v>
      </c>
      <c r="F1834">
        <v>7</v>
      </c>
    </row>
    <row r="1835" spans="4:6">
      <c r="D1835">
        <v>6006</v>
      </c>
      <c r="F1835">
        <v>7</v>
      </c>
    </row>
    <row r="1836" spans="4:6">
      <c r="D1836">
        <v>6007</v>
      </c>
      <c r="F1836">
        <v>7</v>
      </c>
    </row>
    <row r="1837" spans="4:6">
      <c r="D1837">
        <v>6008</v>
      </c>
      <c r="F1837">
        <v>7</v>
      </c>
    </row>
    <row r="1838" spans="4:6">
      <c r="D1838">
        <v>6010</v>
      </c>
      <c r="F1838">
        <v>7</v>
      </c>
    </row>
    <row r="1839" spans="4:6">
      <c r="D1839">
        <v>6031</v>
      </c>
      <c r="F1839">
        <v>9</v>
      </c>
    </row>
    <row r="1840" spans="4:6">
      <c r="D1840">
        <v>6032</v>
      </c>
      <c r="F1840">
        <v>9</v>
      </c>
    </row>
    <row r="1841" spans="4:6">
      <c r="D1841">
        <v>6033</v>
      </c>
      <c r="F1841">
        <v>9</v>
      </c>
    </row>
    <row r="1842" spans="4:6">
      <c r="D1842">
        <v>6035</v>
      </c>
      <c r="F1842">
        <v>9</v>
      </c>
    </row>
    <row r="1843" spans="4:6">
      <c r="D1843">
        <v>6041</v>
      </c>
      <c r="F1843">
        <v>10</v>
      </c>
    </row>
    <row r="1844" spans="4:6">
      <c r="D1844">
        <v>6042</v>
      </c>
      <c r="F1844">
        <v>10</v>
      </c>
    </row>
    <row r="1845" spans="4:6">
      <c r="D1845">
        <v>6043</v>
      </c>
      <c r="F1845">
        <v>10</v>
      </c>
    </row>
    <row r="1846" spans="4:6">
      <c r="D1846">
        <v>6044</v>
      </c>
      <c r="F1846">
        <v>7</v>
      </c>
    </row>
    <row r="1847" spans="4:6">
      <c r="D1847">
        <v>6045</v>
      </c>
      <c r="F1847">
        <v>9</v>
      </c>
    </row>
    <row r="1848" spans="4:6">
      <c r="D1848">
        <v>6055</v>
      </c>
      <c r="F1848">
        <v>9</v>
      </c>
    </row>
    <row r="1849" spans="4:6">
      <c r="D1849">
        <v>6060</v>
      </c>
      <c r="F1849">
        <v>10</v>
      </c>
    </row>
    <row r="1850" spans="4:6">
      <c r="D1850">
        <v>6061</v>
      </c>
      <c r="F1850">
        <v>10</v>
      </c>
    </row>
    <row r="1851" spans="4:6">
      <c r="D1851">
        <v>6062</v>
      </c>
      <c r="F1851">
        <v>10</v>
      </c>
    </row>
    <row r="1852" spans="4:6">
      <c r="D1852">
        <v>6063</v>
      </c>
      <c r="F1852">
        <v>10</v>
      </c>
    </row>
    <row r="1853" spans="4:6">
      <c r="D1853">
        <v>6064</v>
      </c>
      <c r="F1853">
        <v>10</v>
      </c>
    </row>
    <row r="1854" spans="4:6">
      <c r="D1854">
        <v>6067</v>
      </c>
      <c r="F1854">
        <v>10</v>
      </c>
    </row>
    <row r="1855" spans="4:6">
      <c r="D1855">
        <v>6070</v>
      </c>
      <c r="F1855">
        <v>10</v>
      </c>
    </row>
    <row r="1856" spans="4:6">
      <c r="D1856">
        <v>6075</v>
      </c>
      <c r="F1856">
        <v>10</v>
      </c>
    </row>
    <row r="1857" spans="4:6">
      <c r="D1857">
        <v>6076</v>
      </c>
      <c r="F1857">
        <v>10</v>
      </c>
    </row>
    <row r="1858" spans="4:6">
      <c r="D1858">
        <v>6077</v>
      </c>
      <c r="F1858">
        <v>9</v>
      </c>
    </row>
    <row r="1859" spans="4:6">
      <c r="D1859">
        <v>6078</v>
      </c>
      <c r="F1859">
        <v>10</v>
      </c>
    </row>
    <row r="1860" spans="4:6">
      <c r="D1860">
        <v>6080</v>
      </c>
      <c r="F1860">
        <v>10</v>
      </c>
    </row>
    <row r="1861" spans="4:6">
      <c r="D1861">
        <v>6085</v>
      </c>
      <c r="F1861">
        <v>10</v>
      </c>
    </row>
    <row r="1862" spans="4:6">
      <c r="D1862">
        <v>6086</v>
      </c>
      <c r="F1862">
        <v>9</v>
      </c>
    </row>
    <row r="1863" spans="4:6">
      <c r="D1863">
        <v>6087</v>
      </c>
      <c r="F1863">
        <v>10</v>
      </c>
    </row>
    <row r="1864" spans="4:6">
      <c r="D1864">
        <v>6088</v>
      </c>
      <c r="F1864">
        <v>9</v>
      </c>
    </row>
    <row r="1865" spans="4:6">
      <c r="D1865">
        <v>6090</v>
      </c>
      <c r="F1865">
        <v>10</v>
      </c>
    </row>
    <row r="1866" spans="4:6">
      <c r="D1866">
        <v>6093</v>
      </c>
      <c r="F1866">
        <v>10</v>
      </c>
    </row>
    <row r="1867" spans="4:6">
      <c r="D1867">
        <v>6094</v>
      </c>
      <c r="F1867">
        <v>10</v>
      </c>
    </row>
    <row r="1868" spans="4:6">
      <c r="D1868">
        <v>6095</v>
      </c>
      <c r="F1868">
        <v>10</v>
      </c>
    </row>
    <row r="1869" spans="4:6">
      <c r="D1869">
        <v>6096</v>
      </c>
      <c r="F1869">
        <v>10</v>
      </c>
    </row>
    <row r="1870" spans="4:6">
      <c r="D1870">
        <v>6097</v>
      </c>
      <c r="F1870">
        <v>10</v>
      </c>
    </row>
    <row r="1871" spans="4:6">
      <c r="D1871">
        <v>6098</v>
      </c>
      <c r="F1871">
        <v>9</v>
      </c>
    </row>
    <row r="1872" spans="4:6">
      <c r="D1872">
        <v>6100</v>
      </c>
      <c r="F1872">
        <v>9</v>
      </c>
    </row>
    <row r="1873" spans="4:6">
      <c r="D1873">
        <v>6101</v>
      </c>
      <c r="F1873">
        <v>9</v>
      </c>
    </row>
    <row r="1874" spans="4:6">
      <c r="D1874">
        <v>6102</v>
      </c>
      <c r="F1874">
        <v>9</v>
      </c>
    </row>
    <row r="1875" spans="4:6">
      <c r="D1875">
        <v>6111</v>
      </c>
      <c r="F1875">
        <v>10</v>
      </c>
    </row>
    <row r="1876" spans="4:6">
      <c r="D1876">
        <v>6112</v>
      </c>
      <c r="F1876">
        <v>10</v>
      </c>
    </row>
    <row r="1877" spans="4:6">
      <c r="D1877">
        <v>6113</v>
      </c>
      <c r="F1877">
        <v>10</v>
      </c>
    </row>
    <row r="1878" spans="4:6">
      <c r="D1878">
        <v>6114</v>
      </c>
      <c r="F1878">
        <v>9</v>
      </c>
    </row>
    <row r="1879" spans="4:6">
      <c r="D1879">
        <v>6115</v>
      </c>
      <c r="F1879">
        <v>10</v>
      </c>
    </row>
    <row r="1880" spans="4:6">
      <c r="D1880">
        <v>6116</v>
      </c>
      <c r="F1880">
        <v>9</v>
      </c>
    </row>
    <row r="1881" spans="4:6">
      <c r="D1881">
        <v>6120</v>
      </c>
      <c r="F1881">
        <v>10</v>
      </c>
    </row>
    <row r="1882" spans="4:6">
      <c r="D1882">
        <v>6131</v>
      </c>
      <c r="F1882">
        <v>10</v>
      </c>
    </row>
    <row r="1883" spans="4:6">
      <c r="D1883">
        <v>6132</v>
      </c>
      <c r="F1883">
        <v>10</v>
      </c>
    </row>
    <row r="1884" spans="4:6">
      <c r="D1884">
        <v>6133</v>
      </c>
      <c r="F1884">
        <v>9</v>
      </c>
    </row>
    <row r="1885" spans="4:6">
      <c r="D1885">
        <v>6134</v>
      </c>
      <c r="F1885">
        <v>10</v>
      </c>
    </row>
    <row r="1886" spans="4:6">
      <c r="D1886">
        <v>6135</v>
      </c>
      <c r="F1886">
        <v>9</v>
      </c>
    </row>
    <row r="1887" spans="4:6">
      <c r="D1887">
        <v>6136</v>
      </c>
      <c r="F1887">
        <v>10</v>
      </c>
    </row>
    <row r="1888" spans="4:6">
      <c r="D1888">
        <v>6211</v>
      </c>
      <c r="F1888">
        <v>10</v>
      </c>
    </row>
    <row r="1889" spans="4:6">
      <c r="D1889">
        <v>6221</v>
      </c>
      <c r="F1889">
        <v>10</v>
      </c>
    </row>
    <row r="1890" spans="4:6">
      <c r="D1890">
        <v>6222</v>
      </c>
      <c r="F1890">
        <v>10</v>
      </c>
    </row>
    <row r="1891" spans="4:6">
      <c r="D1891">
        <v>6223</v>
      </c>
      <c r="F1891">
        <v>10</v>
      </c>
    </row>
    <row r="1892" spans="4:6">
      <c r="D1892">
        <v>6224</v>
      </c>
      <c r="F1892">
        <v>10</v>
      </c>
    </row>
    <row r="1893" spans="4:6">
      <c r="D1893">
        <v>6230</v>
      </c>
      <c r="F1893">
        <v>10</v>
      </c>
    </row>
    <row r="1894" spans="4:6">
      <c r="D1894">
        <v>6235</v>
      </c>
      <c r="F1894">
        <v>9</v>
      </c>
    </row>
    <row r="1895" spans="4:6">
      <c r="D1895">
        <v>6236</v>
      </c>
      <c r="F1895">
        <v>9</v>
      </c>
    </row>
    <row r="1896" spans="4:6">
      <c r="D1896">
        <v>6237</v>
      </c>
      <c r="F1896">
        <v>10</v>
      </c>
    </row>
    <row r="1897" spans="4:6">
      <c r="D1897">
        <v>6238</v>
      </c>
      <c r="F1897">
        <v>10</v>
      </c>
    </row>
    <row r="1898" spans="4:6">
      <c r="D1898">
        <v>6239</v>
      </c>
      <c r="F1898">
        <v>10</v>
      </c>
    </row>
    <row r="1899" spans="4:6">
      <c r="D1899">
        <v>6300</v>
      </c>
      <c r="F1899">
        <v>7</v>
      </c>
    </row>
    <row r="1900" spans="4:6">
      <c r="D1900">
        <v>6301</v>
      </c>
      <c r="F1900">
        <v>7</v>
      </c>
    </row>
    <row r="1901" spans="4:6">
      <c r="D1901">
        <v>6311</v>
      </c>
      <c r="F1901">
        <v>10</v>
      </c>
    </row>
    <row r="1902" spans="4:6">
      <c r="D1902">
        <v>6320</v>
      </c>
      <c r="F1902">
        <v>10</v>
      </c>
    </row>
    <row r="1903" spans="4:6">
      <c r="D1903">
        <v>6321</v>
      </c>
      <c r="F1903">
        <v>10</v>
      </c>
    </row>
    <row r="1904" spans="4:6">
      <c r="D1904">
        <v>6323</v>
      </c>
      <c r="F1904">
        <v>9</v>
      </c>
    </row>
    <row r="1905" spans="4:6">
      <c r="D1905">
        <v>6325</v>
      </c>
      <c r="F1905">
        <v>10</v>
      </c>
    </row>
    <row r="1906" spans="4:6">
      <c r="D1906">
        <v>6326</v>
      </c>
      <c r="F1906">
        <v>10</v>
      </c>
    </row>
    <row r="1907" spans="4:6">
      <c r="D1907">
        <v>6327</v>
      </c>
      <c r="F1907">
        <v>10</v>
      </c>
    </row>
    <row r="1908" spans="4:6">
      <c r="D1908">
        <v>6328</v>
      </c>
      <c r="F1908">
        <v>9</v>
      </c>
    </row>
    <row r="1909" spans="4:6">
      <c r="D1909">
        <v>6331</v>
      </c>
      <c r="F1909">
        <v>10</v>
      </c>
    </row>
    <row r="1910" spans="4:6">
      <c r="D1910">
        <v>6332</v>
      </c>
      <c r="F1910">
        <v>10</v>
      </c>
    </row>
    <row r="1911" spans="4:6">
      <c r="D1911">
        <v>6333</v>
      </c>
      <c r="F1911">
        <v>10</v>
      </c>
    </row>
    <row r="1912" spans="4:6">
      <c r="D1912">
        <v>6334</v>
      </c>
      <c r="F1912">
        <v>10</v>
      </c>
    </row>
    <row r="1913" spans="4:6">
      <c r="D1913">
        <v>6335</v>
      </c>
      <c r="F1913">
        <v>10</v>
      </c>
    </row>
    <row r="1914" spans="4:6">
      <c r="D1914">
        <v>6336</v>
      </c>
      <c r="F1914">
        <v>10</v>
      </c>
    </row>
    <row r="1915" spans="4:6">
      <c r="D1915">
        <v>6337</v>
      </c>
      <c r="F1915">
        <v>10</v>
      </c>
    </row>
    <row r="1916" spans="4:6">
      <c r="D1916">
        <v>6341</v>
      </c>
      <c r="F1916">
        <v>10</v>
      </c>
    </row>
    <row r="1917" spans="4:6">
      <c r="D1917">
        <v>6342</v>
      </c>
      <c r="F1917">
        <v>10</v>
      </c>
    </row>
    <row r="1918" spans="4:6">
      <c r="D1918">
        <v>6343</v>
      </c>
      <c r="F1918">
        <v>10</v>
      </c>
    </row>
    <row r="1919" spans="4:6">
      <c r="D1919">
        <v>6344</v>
      </c>
      <c r="F1919">
        <v>10</v>
      </c>
    </row>
    <row r="1920" spans="4:6">
      <c r="D1920">
        <v>6345</v>
      </c>
      <c r="F1920">
        <v>10</v>
      </c>
    </row>
    <row r="1921" spans="4:6">
      <c r="D1921">
        <v>6346</v>
      </c>
      <c r="F1921">
        <v>9</v>
      </c>
    </row>
    <row r="1922" spans="4:6">
      <c r="D1922">
        <v>6347</v>
      </c>
      <c r="F1922">
        <v>9</v>
      </c>
    </row>
    <row r="1923" spans="4:6">
      <c r="D1923">
        <v>6348</v>
      </c>
      <c r="F1923">
        <v>10</v>
      </c>
    </row>
    <row r="1924" spans="4:6">
      <c r="D1924">
        <v>6351</v>
      </c>
      <c r="F1924">
        <v>10</v>
      </c>
    </row>
    <row r="1925" spans="4:6">
      <c r="D1925">
        <v>6352</v>
      </c>
      <c r="F1925">
        <v>10</v>
      </c>
    </row>
    <row r="1926" spans="4:6">
      <c r="D1926">
        <v>6353</v>
      </c>
      <c r="F1926">
        <v>10</v>
      </c>
    </row>
    <row r="1927" spans="4:6">
      <c r="D1927">
        <v>6400</v>
      </c>
      <c r="F1927">
        <v>10</v>
      </c>
    </row>
    <row r="1928" spans="4:6">
      <c r="D1928">
        <v>6401</v>
      </c>
      <c r="F1928">
        <v>10</v>
      </c>
    </row>
    <row r="1929" spans="4:6">
      <c r="D1929">
        <v>6411</v>
      </c>
      <c r="F1929">
        <v>10</v>
      </c>
    </row>
    <row r="1930" spans="4:6">
      <c r="D1930">
        <v>6412</v>
      </c>
      <c r="F1930">
        <v>10</v>
      </c>
    </row>
    <row r="1931" spans="4:6">
      <c r="D1931">
        <v>6413</v>
      </c>
      <c r="F1931">
        <v>10</v>
      </c>
    </row>
    <row r="1932" spans="4:6">
      <c r="D1932">
        <v>6414</v>
      </c>
      <c r="F1932">
        <v>10</v>
      </c>
    </row>
    <row r="1933" spans="4:6">
      <c r="D1933">
        <v>6421</v>
      </c>
      <c r="F1933">
        <v>9</v>
      </c>
    </row>
    <row r="1934" spans="4:6">
      <c r="D1934">
        <v>6422</v>
      </c>
      <c r="F1934">
        <v>10</v>
      </c>
    </row>
    <row r="1935" spans="4:6">
      <c r="D1935">
        <v>6423</v>
      </c>
      <c r="F1935">
        <v>9</v>
      </c>
    </row>
    <row r="1936" spans="4:6">
      <c r="D1936">
        <v>6424</v>
      </c>
      <c r="F1936">
        <v>10</v>
      </c>
    </row>
    <row r="1937" spans="4:6">
      <c r="D1937">
        <v>6425</v>
      </c>
      <c r="F1937">
        <v>10</v>
      </c>
    </row>
    <row r="1938" spans="4:6">
      <c r="D1938">
        <v>6430</v>
      </c>
      <c r="F1938">
        <v>9</v>
      </c>
    </row>
    <row r="1939" spans="4:6">
      <c r="D1939">
        <v>6435</v>
      </c>
      <c r="F1939">
        <v>10</v>
      </c>
    </row>
    <row r="1940" spans="4:6">
      <c r="D1940">
        <v>6440</v>
      </c>
      <c r="F1940">
        <v>10</v>
      </c>
    </row>
    <row r="1941" spans="4:6">
      <c r="D1941">
        <v>6444</v>
      </c>
      <c r="F1941">
        <v>10</v>
      </c>
    </row>
    <row r="1942" spans="4:6">
      <c r="D1942">
        <v>6445</v>
      </c>
      <c r="F1942">
        <v>10</v>
      </c>
    </row>
    <row r="1943" spans="4:6">
      <c r="D1943">
        <v>6446</v>
      </c>
      <c r="F1943">
        <v>10</v>
      </c>
    </row>
    <row r="1944" spans="4:6">
      <c r="D1944">
        <v>6447</v>
      </c>
      <c r="F1944">
        <v>10</v>
      </c>
    </row>
    <row r="1945" spans="4:6">
      <c r="D1945">
        <v>6448</v>
      </c>
      <c r="F1945">
        <v>10</v>
      </c>
    </row>
    <row r="1946" spans="4:6">
      <c r="D1946">
        <v>6449</v>
      </c>
      <c r="F1946">
        <v>10</v>
      </c>
    </row>
    <row r="1947" spans="4:6">
      <c r="D1947">
        <v>6451</v>
      </c>
      <c r="F1947">
        <v>10</v>
      </c>
    </row>
    <row r="1948" spans="4:6">
      <c r="D1948">
        <v>6452</v>
      </c>
      <c r="F1948">
        <v>10</v>
      </c>
    </row>
    <row r="1949" spans="4:6">
      <c r="D1949">
        <v>6453</v>
      </c>
      <c r="F1949">
        <v>10</v>
      </c>
    </row>
    <row r="1950" spans="4:6">
      <c r="D1950">
        <v>6454</v>
      </c>
      <c r="F1950">
        <v>10</v>
      </c>
    </row>
    <row r="1951" spans="4:6">
      <c r="D1951">
        <v>6455</v>
      </c>
      <c r="F1951">
        <v>10</v>
      </c>
    </row>
    <row r="1952" spans="4:6">
      <c r="D1952">
        <v>6456</v>
      </c>
      <c r="F1952">
        <v>10</v>
      </c>
    </row>
    <row r="1953" spans="4:6">
      <c r="D1953">
        <v>6500</v>
      </c>
      <c r="F1953">
        <v>6</v>
      </c>
    </row>
    <row r="1954" spans="4:6">
      <c r="D1954">
        <v>6501</v>
      </c>
      <c r="F1954">
        <v>6</v>
      </c>
    </row>
    <row r="1955" spans="4:6">
      <c r="D1955">
        <v>6502</v>
      </c>
      <c r="F1955">
        <v>6</v>
      </c>
    </row>
    <row r="1956" spans="4:6">
      <c r="D1956">
        <v>6503</v>
      </c>
      <c r="F1956">
        <v>6</v>
      </c>
    </row>
    <row r="1957" spans="4:6">
      <c r="D1957">
        <v>6511</v>
      </c>
      <c r="F1957">
        <v>10</v>
      </c>
    </row>
    <row r="1958" spans="4:6">
      <c r="D1958">
        <v>6512</v>
      </c>
      <c r="F1958">
        <v>10</v>
      </c>
    </row>
    <row r="1959" spans="4:6">
      <c r="D1959">
        <v>6513</v>
      </c>
      <c r="F1959">
        <v>10</v>
      </c>
    </row>
    <row r="1960" spans="4:6">
      <c r="D1960">
        <v>6521</v>
      </c>
      <c r="F1960">
        <v>9</v>
      </c>
    </row>
    <row r="1961" spans="4:6">
      <c r="D1961">
        <v>6522</v>
      </c>
      <c r="F1961">
        <v>10</v>
      </c>
    </row>
    <row r="1962" spans="4:6">
      <c r="D1962">
        <v>6523</v>
      </c>
      <c r="F1962">
        <v>10</v>
      </c>
    </row>
    <row r="1963" spans="4:6">
      <c r="D1963">
        <v>6524</v>
      </c>
      <c r="F1963">
        <v>10</v>
      </c>
    </row>
    <row r="1964" spans="4:6">
      <c r="D1964">
        <v>6525</v>
      </c>
      <c r="F1964">
        <v>10</v>
      </c>
    </row>
    <row r="1965" spans="4:6">
      <c r="D1965">
        <v>6527</v>
      </c>
      <c r="F1965">
        <v>10</v>
      </c>
    </row>
    <row r="1966" spans="4:6">
      <c r="D1966">
        <v>6528</v>
      </c>
      <c r="F1966">
        <v>10</v>
      </c>
    </row>
    <row r="1967" spans="4:6">
      <c r="D1967">
        <v>6612</v>
      </c>
      <c r="F1967">
        <v>10</v>
      </c>
    </row>
    <row r="1968" spans="4:6">
      <c r="D1968">
        <v>6621</v>
      </c>
      <c r="F1968">
        <v>10</v>
      </c>
    </row>
    <row r="1969" spans="4:6">
      <c r="D1969">
        <v>6622</v>
      </c>
      <c r="F1969">
        <v>10</v>
      </c>
    </row>
    <row r="1970" spans="4:6">
      <c r="D1970">
        <v>6623</v>
      </c>
      <c r="F1970">
        <v>10</v>
      </c>
    </row>
    <row r="1971" spans="4:6">
      <c r="D1971">
        <v>6624</v>
      </c>
      <c r="F1971">
        <v>10</v>
      </c>
    </row>
    <row r="1972" spans="4:6">
      <c r="D1972">
        <v>6625</v>
      </c>
      <c r="F1972">
        <v>10</v>
      </c>
    </row>
    <row r="1973" spans="4:6">
      <c r="D1973">
        <v>6630</v>
      </c>
      <c r="F1973">
        <v>9</v>
      </c>
    </row>
    <row r="1974" spans="4:6">
      <c r="D1974">
        <v>6635</v>
      </c>
      <c r="F1974">
        <v>10</v>
      </c>
    </row>
    <row r="1975" spans="4:6">
      <c r="D1975">
        <v>6636</v>
      </c>
      <c r="F1975">
        <v>10</v>
      </c>
    </row>
    <row r="1976" spans="4:6">
      <c r="D1976">
        <v>6640</v>
      </c>
      <c r="F1976">
        <v>9</v>
      </c>
    </row>
    <row r="1977" spans="4:6">
      <c r="D1977">
        <v>6641</v>
      </c>
      <c r="F1977">
        <v>9</v>
      </c>
    </row>
    <row r="1978" spans="4:6">
      <c r="D1978">
        <v>6642</v>
      </c>
      <c r="F1978">
        <v>9</v>
      </c>
    </row>
    <row r="1979" spans="4:6">
      <c r="D1979">
        <v>6645</v>
      </c>
      <c r="F1979">
        <v>10</v>
      </c>
    </row>
    <row r="1980" spans="4:6">
      <c r="D1980">
        <v>6646</v>
      </c>
      <c r="F1980">
        <v>9</v>
      </c>
    </row>
    <row r="1981" spans="4:6">
      <c r="D1981">
        <v>6647</v>
      </c>
      <c r="F1981">
        <v>9</v>
      </c>
    </row>
    <row r="1982" spans="4:6">
      <c r="D1982">
        <v>6648</v>
      </c>
      <c r="F1982">
        <v>10</v>
      </c>
    </row>
    <row r="1983" spans="4:6">
      <c r="D1983">
        <v>6700</v>
      </c>
      <c r="F1983">
        <v>7</v>
      </c>
    </row>
    <row r="1984" spans="4:6">
      <c r="D1984">
        <v>6701</v>
      </c>
      <c r="F1984">
        <v>6</v>
      </c>
    </row>
    <row r="1985" spans="4:6">
      <c r="D1985">
        <v>6702</v>
      </c>
      <c r="F1985">
        <v>6</v>
      </c>
    </row>
    <row r="1986" spans="4:6">
      <c r="D1986">
        <v>6703</v>
      </c>
      <c r="F1986">
        <v>6</v>
      </c>
    </row>
    <row r="1987" spans="4:6">
      <c r="D1987">
        <v>6704</v>
      </c>
      <c r="F1987">
        <v>6</v>
      </c>
    </row>
    <row r="1988" spans="4:6">
      <c r="D1988">
        <v>6705</v>
      </c>
      <c r="F1988">
        <v>6</v>
      </c>
    </row>
    <row r="1989" spans="4:6">
      <c r="D1989">
        <v>6706</v>
      </c>
      <c r="F1989">
        <v>6</v>
      </c>
    </row>
    <row r="1990" spans="4:6">
      <c r="D1990">
        <v>6707</v>
      </c>
      <c r="F1990">
        <v>6</v>
      </c>
    </row>
    <row r="1991" spans="4:6">
      <c r="D1991">
        <v>6708</v>
      </c>
      <c r="F1991">
        <v>6</v>
      </c>
    </row>
    <row r="1992" spans="4:6">
      <c r="D1992">
        <v>6709</v>
      </c>
      <c r="F1992">
        <v>6</v>
      </c>
    </row>
    <row r="1993" spans="4:6">
      <c r="D1993">
        <v>6710</v>
      </c>
      <c r="F1993">
        <v>6</v>
      </c>
    </row>
    <row r="1994" spans="4:6">
      <c r="D1994">
        <v>6712</v>
      </c>
      <c r="F1994">
        <v>6</v>
      </c>
    </row>
    <row r="1995" spans="4:6">
      <c r="D1995">
        <v>6713</v>
      </c>
      <c r="F1995">
        <v>6</v>
      </c>
    </row>
    <row r="1996" spans="4:6">
      <c r="D1996">
        <v>6717</v>
      </c>
      <c r="F1996">
        <v>7</v>
      </c>
    </row>
    <row r="1997" spans="4:6">
      <c r="D1997">
        <v>6718</v>
      </c>
      <c r="F1997">
        <v>6</v>
      </c>
    </row>
    <row r="1998" spans="4:6">
      <c r="D1998">
        <v>6719</v>
      </c>
      <c r="F1998">
        <v>7</v>
      </c>
    </row>
    <row r="1999" spans="4:6">
      <c r="D1999">
        <v>6720</v>
      </c>
      <c r="F1999">
        <v>6</v>
      </c>
    </row>
    <row r="2000" spans="4:6">
      <c r="D2000">
        <v>6721</v>
      </c>
      <c r="F2000">
        <v>6</v>
      </c>
    </row>
    <row r="2001" spans="4:6">
      <c r="D2001">
        <v>6722</v>
      </c>
      <c r="F2001">
        <v>6</v>
      </c>
    </row>
    <row r="2002" spans="4:6">
      <c r="D2002">
        <v>6723</v>
      </c>
      <c r="F2002">
        <v>6</v>
      </c>
    </row>
    <row r="2003" spans="4:6">
      <c r="D2003">
        <v>6724</v>
      </c>
      <c r="F2003">
        <v>6</v>
      </c>
    </row>
    <row r="2004" spans="4:6">
      <c r="D2004">
        <v>6725</v>
      </c>
      <c r="F2004">
        <v>6</v>
      </c>
    </row>
    <row r="2005" spans="4:6">
      <c r="D2005">
        <v>6726</v>
      </c>
      <c r="F2005">
        <v>6</v>
      </c>
    </row>
    <row r="2006" spans="4:6">
      <c r="D2006">
        <v>6727</v>
      </c>
      <c r="F2006">
        <v>6</v>
      </c>
    </row>
    <row r="2007" spans="4:6">
      <c r="D2007">
        <v>6728</v>
      </c>
      <c r="F2007">
        <v>6</v>
      </c>
    </row>
    <row r="2008" spans="4:6">
      <c r="D2008">
        <v>6729</v>
      </c>
      <c r="F2008">
        <v>6</v>
      </c>
    </row>
    <row r="2009" spans="4:6">
      <c r="D2009">
        <v>6740</v>
      </c>
      <c r="F2009">
        <v>6</v>
      </c>
    </row>
    <row r="2010" spans="4:6">
      <c r="D2010">
        <v>6741</v>
      </c>
      <c r="F2010">
        <v>6</v>
      </c>
    </row>
    <row r="2011" spans="4:6">
      <c r="D2011">
        <v>6742</v>
      </c>
      <c r="F2011">
        <v>7</v>
      </c>
    </row>
    <row r="2012" spans="4:6">
      <c r="D2012">
        <v>6743</v>
      </c>
      <c r="F2012">
        <v>6</v>
      </c>
    </row>
    <row r="2013" spans="4:6">
      <c r="D2013">
        <v>6744</v>
      </c>
      <c r="F2013">
        <v>6</v>
      </c>
    </row>
    <row r="2014" spans="4:6">
      <c r="D2014">
        <v>6745</v>
      </c>
      <c r="F2014">
        <v>6</v>
      </c>
    </row>
    <row r="2015" spans="4:6">
      <c r="D2015">
        <v>6746</v>
      </c>
      <c r="F2015">
        <v>6</v>
      </c>
    </row>
    <row r="2016" spans="4:6">
      <c r="D2016">
        <v>6747</v>
      </c>
      <c r="F2016">
        <v>6</v>
      </c>
    </row>
    <row r="2017" spans="4:6">
      <c r="D2017">
        <v>6748</v>
      </c>
      <c r="F2017">
        <v>7</v>
      </c>
    </row>
    <row r="2018" spans="4:6">
      <c r="D2018">
        <v>6753</v>
      </c>
      <c r="F2018">
        <v>6</v>
      </c>
    </row>
    <row r="2019" spans="4:6">
      <c r="D2019">
        <v>6754</v>
      </c>
      <c r="F2019">
        <v>10</v>
      </c>
    </row>
    <row r="2020" spans="4:6">
      <c r="D2020">
        <v>6755</v>
      </c>
      <c r="F2020">
        <v>10</v>
      </c>
    </row>
    <row r="2021" spans="4:6">
      <c r="D2021">
        <v>6756</v>
      </c>
      <c r="F2021">
        <v>10</v>
      </c>
    </row>
    <row r="2022" spans="4:6">
      <c r="D2022">
        <v>6757</v>
      </c>
      <c r="F2022">
        <v>6</v>
      </c>
    </row>
    <row r="2023" spans="4:6">
      <c r="D2023">
        <v>6758</v>
      </c>
      <c r="F2023">
        <v>9</v>
      </c>
    </row>
    <row r="2024" spans="4:6">
      <c r="D2024">
        <v>6760</v>
      </c>
      <c r="F2024">
        <v>9</v>
      </c>
    </row>
    <row r="2025" spans="4:6">
      <c r="D2025">
        <v>6762</v>
      </c>
      <c r="F2025">
        <v>7</v>
      </c>
    </row>
    <row r="2026" spans="4:6">
      <c r="D2026">
        <v>6764</v>
      </c>
      <c r="F2026">
        <v>9</v>
      </c>
    </row>
    <row r="2027" spans="4:6">
      <c r="D2027">
        <v>6765</v>
      </c>
      <c r="F2027">
        <v>10</v>
      </c>
    </row>
    <row r="2028" spans="4:6">
      <c r="D2028">
        <v>6766</v>
      </c>
      <c r="F2028">
        <v>10</v>
      </c>
    </row>
    <row r="2029" spans="4:6">
      <c r="D2029">
        <v>6767</v>
      </c>
      <c r="F2029">
        <v>10</v>
      </c>
    </row>
    <row r="2030" spans="4:6">
      <c r="D2030">
        <v>6768</v>
      </c>
      <c r="F2030">
        <v>10</v>
      </c>
    </row>
    <row r="2031" spans="4:6">
      <c r="D2031">
        <v>6769</v>
      </c>
      <c r="F2031">
        <v>10</v>
      </c>
    </row>
    <row r="2032" spans="4:6">
      <c r="D2032">
        <v>6771</v>
      </c>
      <c r="F2032">
        <v>6</v>
      </c>
    </row>
    <row r="2033" spans="4:6">
      <c r="D2033">
        <v>6772</v>
      </c>
      <c r="F2033">
        <v>9</v>
      </c>
    </row>
    <row r="2034" spans="4:6">
      <c r="D2034">
        <v>6773</v>
      </c>
      <c r="F2034">
        <v>10</v>
      </c>
    </row>
    <row r="2035" spans="4:6">
      <c r="D2035">
        <v>6774</v>
      </c>
      <c r="F2035">
        <v>10</v>
      </c>
    </row>
    <row r="2036" spans="4:6">
      <c r="D2036">
        <v>6775</v>
      </c>
      <c r="F2036">
        <v>9</v>
      </c>
    </row>
    <row r="2037" spans="4:6">
      <c r="D2037">
        <v>6781</v>
      </c>
      <c r="F2037">
        <v>10</v>
      </c>
    </row>
    <row r="2038" spans="4:6">
      <c r="D2038">
        <v>6782</v>
      </c>
      <c r="F2038">
        <v>9</v>
      </c>
    </row>
    <row r="2039" spans="4:6">
      <c r="D2039">
        <v>6783</v>
      </c>
      <c r="F2039">
        <v>9</v>
      </c>
    </row>
    <row r="2040" spans="4:6">
      <c r="D2040">
        <v>6784</v>
      </c>
      <c r="F2040">
        <v>10</v>
      </c>
    </row>
    <row r="2041" spans="4:6">
      <c r="D2041">
        <v>6785</v>
      </c>
      <c r="F2041">
        <v>10</v>
      </c>
    </row>
    <row r="2042" spans="4:6">
      <c r="D2042">
        <v>6786</v>
      </c>
      <c r="F2042">
        <v>9</v>
      </c>
    </row>
    <row r="2043" spans="4:6">
      <c r="D2043">
        <v>6787</v>
      </c>
      <c r="F2043">
        <v>9</v>
      </c>
    </row>
    <row r="2044" spans="4:6">
      <c r="D2044">
        <v>6791</v>
      </c>
      <c r="F2044">
        <v>6</v>
      </c>
    </row>
    <row r="2045" spans="4:6">
      <c r="D2045">
        <v>6792</v>
      </c>
      <c r="F2045">
        <v>9</v>
      </c>
    </row>
    <row r="2046" spans="4:6">
      <c r="D2046">
        <v>6793</v>
      </c>
      <c r="F2046">
        <v>10</v>
      </c>
    </row>
    <row r="2047" spans="4:6">
      <c r="D2047">
        <v>6794</v>
      </c>
      <c r="F2047">
        <v>9</v>
      </c>
    </row>
    <row r="2048" spans="4:6">
      <c r="D2048">
        <v>6795</v>
      </c>
      <c r="F2048">
        <v>10</v>
      </c>
    </row>
    <row r="2049" spans="4:6">
      <c r="D2049">
        <v>6800</v>
      </c>
      <c r="F2049">
        <v>10</v>
      </c>
    </row>
    <row r="2050" spans="4:6">
      <c r="D2050">
        <v>6801</v>
      </c>
      <c r="F2050">
        <v>10</v>
      </c>
    </row>
    <row r="2051" spans="4:6">
      <c r="D2051">
        <v>6802</v>
      </c>
      <c r="F2051">
        <v>10</v>
      </c>
    </row>
    <row r="2052" spans="4:6">
      <c r="D2052">
        <v>6803</v>
      </c>
      <c r="F2052">
        <v>10</v>
      </c>
    </row>
    <row r="2053" spans="4:6">
      <c r="D2053">
        <v>6804</v>
      </c>
      <c r="F2053">
        <v>10</v>
      </c>
    </row>
    <row r="2054" spans="4:6">
      <c r="D2054">
        <v>6805</v>
      </c>
      <c r="F2054">
        <v>10</v>
      </c>
    </row>
    <row r="2055" spans="4:6">
      <c r="D2055">
        <v>6806</v>
      </c>
      <c r="F2055">
        <v>10</v>
      </c>
    </row>
    <row r="2056" spans="4:6">
      <c r="D2056">
        <v>6808</v>
      </c>
      <c r="F2056">
        <v>10</v>
      </c>
    </row>
    <row r="2057" spans="4:6">
      <c r="D2057">
        <v>6811</v>
      </c>
      <c r="F2057">
        <v>10</v>
      </c>
    </row>
    <row r="2058" spans="4:6">
      <c r="D2058">
        <v>6821</v>
      </c>
      <c r="F2058">
        <v>10</v>
      </c>
    </row>
    <row r="2059" spans="4:6">
      <c r="D2059">
        <v>6900</v>
      </c>
      <c r="F2059">
        <v>10</v>
      </c>
    </row>
    <row r="2060" spans="4:6">
      <c r="D2060">
        <v>6901</v>
      </c>
      <c r="F2060">
        <v>10</v>
      </c>
    </row>
    <row r="2061" spans="4:6">
      <c r="D2061">
        <v>6902</v>
      </c>
      <c r="F2061">
        <v>10</v>
      </c>
    </row>
    <row r="2062" spans="4:6">
      <c r="D2062">
        <v>6903</v>
      </c>
      <c r="F2062">
        <v>10</v>
      </c>
    </row>
    <row r="2063" spans="4:6">
      <c r="D2063">
        <v>6911</v>
      </c>
      <c r="F2063">
        <v>10</v>
      </c>
    </row>
    <row r="2064" spans="4:6">
      <c r="D2064">
        <v>6912</v>
      </c>
      <c r="F2064">
        <v>10</v>
      </c>
    </row>
    <row r="2065" spans="4:6">
      <c r="D2065">
        <v>6913</v>
      </c>
      <c r="F2065">
        <v>10</v>
      </c>
    </row>
    <row r="2066" spans="4:6">
      <c r="D2066">
        <v>6914</v>
      </c>
      <c r="F2066">
        <v>10</v>
      </c>
    </row>
    <row r="2067" spans="4:6">
      <c r="D2067">
        <v>6915</v>
      </c>
      <c r="F2067">
        <v>10</v>
      </c>
    </row>
    <row r="2068" spans="4:6">
      <c r="D2068">
        <v>6916</v>
      </c>
      <c r="F2068">
        <v>10</v>
      </c>
    </row>
    <row r="2069" spans="4:6">
      <c r="D2069">
        <v>6917</v>
      </c>
      <c r="F2069">
        <v>10</v>
      </c>
    </row>
    <row r="2070" spans="4:6">
      <c r="D2070">
        <v>6921</v>
      </c>
      <c r="F2070">
        <v>10</v>
      </c>
    </row>
    <row r="2071" spans="4:6">
      <c r="D2071">
        <v>6922</v>
      </c>
      <c r="F2071">
        <v>10</v>
      </c>
    </row>
    <row r="2072" spans="4:6">
      <c r="D2072">
        <v>6923</v>
      </c>
      <c r="F2072">
        <v>10</v>
      </c>
    </row>
    <row r="2073" spans="4:6">
      <c r="D2073">
        <v>6931</v>
      </c>
      <c r="F2073">
        <v>10</v>
      </c>
    </row>
    <row r="2074" spans="4:6">
      <c r="D2074">
        <v>6932</v>
      </c>
      <c r="F2074">
        <v>10</v>
      </c>
    </row>
    <row r="2075" spans="4:6">
      <c r="D2075">
        <v>6933</v>
      </c>
      <c r="F2075">
        <v>10</v>
      </c>
    </row>
    <row r="2076" spans="4:6">
      <c r="D2076">
        <v>7000</v>
      </c>
      <c r="F2076">
        <v>7</v>
      </c>
    </row>
    <row r="2077" spans="4:6">
      <c r="D2077">
        <v>7001</v>
      </c>
      <c r="F2077">
        <v>7</v>
      </c>
    </row>
    <row r="2078" spans="4:6">
      <c r="D2078">
        <v>7002</v>
      </c>
      <c r="F2078">
        <v>7</v>
      </c>
    </row>
    <row r="2079" spans="4:6">
      <c r="D2079">
        <v>7003</v>
      </c>
      <c r="F2079">
        <v>7</v>
      </c>
    </row>
    <row r="2080" spans="4:6">
      <c r="D2080">
        <v>7011</v>
      </c>
      <c r="F2080">
        <v>9</v>
      </c>
    </row>
    <row r="2081" spans="4:6">
      <c r="D2081">
        <v>7012</v>
      </c>
      <c r="F2081">
        <v>9</v>
      </c>
    </row>
    <row r="2082" spans="4:6">
      <c r="D2082">
        <v>7013</v>
      </c>
      <c r="F2082">
        <v>9</v>
      </c>
    </row>
    <row r="2083" spans="4:6">
      <c r="D2083">
        <v>7014</v>
      </c>
      <c r="F2083">
        <v>9</v>
      </c>
    </row>
    <row r="2084" spans="4:6">
      <c r="D2084">
        <v>7015</v>
      </c>
      <c r="F2084">
        <v>9</v>
      </c>
    </row>
    <row r="2085" spans="4:6">
      <c r="D2085">
        <v>7016</v>
      </c>
      <c r="F2085">
        <v>9</v>
      </c>
    </row>
    <row r="2086" spans="4:6">
      <c r="D2086">
        <v>7017</v>
      </c>
      <c r="F2086">
        <v>9</v>
      </c>
    </row>
    <row r="2087" spans="4:6">
      <c r="D2087">
        <v>7041</v>
      </c>
      <c r="F2087">
        <v>9</v>
      </c>
    </row>
    <row r="2088" spans="4:6">
      <c r="D2088">
        <v>7055</v>
      </c>
      <c r="F2088">
        <v>7</v>
      </c>
    </row>
    <row r="2089" spans="4:6">
      <c r="D2089">
        <v>7090</v>
      </c>
      <c r="F2089">
        <v>7</v>
      </c>
    </row>
    <row r="2090" spans="4:6">
      <c r="D2090">
        <v>7100</v>
      </c>
      <c r="F2090">
        <v>5</v>
      </c>
    </row>
    <row r="2091" spans="4:6">
      <c r="D2091">
        <v>7101</v>
      </c>
      <c r="F2091">
        <v>5</v>
      </c>
    </row>
    <row r="2092" spans="4:6">
      <c r="D2092">
        <v>7102</v>
      </c>
      <c r="F2092">
        <v>5</v>
      </c>
    </row>
    <row r="2093" spans="4:6">
      <c r="D2093">
        <v>7103</v>
      </c>
      <c r="F2093">
        <v>5</v>
      </c>
    </row>
    <row r="2094" spans="4:6">
      <c r="D2094">
        <v>7150</v>
      </c>
      <c r="F2094">
        <v>6</v>
      </c>
    </row>
    <row r="2095" spans="4:6">
      <c r="D2095">
        <v>7151</v>
      </c>
      <c r="F2095">
        <v>6</v>
      </c>
    </row>
    <row r="2096" spans="4:6">
      <c r="D2096">
        <v>7153</v>
      </c>
      <c r="F2096">
        <v>6</v>
      </c>
    </row>
    <row r="2097" spans="4:6">
      <c r="D2097">
        <v>7158</v>
      </c>
      <c r="F2097">
        <v>6</v>
      </c>
    </row>
    <row r="2098" spans="4:6">
      <c r="D2098">
        <v>7159</v>
      </c>
      <c r="F2098">
        <v>6</v>
      </c>
    </row>
    <row r="2099" spans="4:6">
      <c r="D2099">
        <v>7172</v>
      </c>
      <c r="F2099">
        <v>7</v>
      </c>
    </row>
    <row r="2100" spans="4:6">
      <c r="D2100">
        <v>7173</v>
      </c>
      <c r="F2100">
        <v>7</v>
      </c>
    </row>
    <row r="2101" spans="4:6">
      <c r="D2101">
        <v>7184</v>
      </c>
      <c r="F2101">
        <v>9</v>
      </c>
    </row>
    <row r="2102" spans="4:6">
      <c r="D2102">
        <v>7188</v>
      </c>
      <c r="F2102">
        <v>9</v>
      </c>
    </row>
    <row r="2103" spans="4:6">
      <c r="D2103">
        <v>7200</v>
      </c>
      <c r="F2103">
        <v>6</v>
      </c>
    </row>
    <row r="2104" spans="4:6">
      <c r="D2104">
        <v>7201</v>
      </c>
      <c r="F2104">
        <v>6</v>
      </c>
    </row>
    <row r="2105" spans="4:6">
      <c r="D2105">
        <v>7202</v>
      </c>
      <c r="F2105">
        <v>6</v>
      </c>
    </row>
    <row r="2106" spans="4:6">
      <c r="D2106">
        <v>7203</v>
      </c>
      <c r="F2106">
        <v>6</v>
      </c>
    </row>
    <row r="2107" spans="4:6">
      <c r="D2107">
        <v>7253</v>
      </c>
      <c r="F2107">
        <v>9</v>
      </c>
    </row>
    <row r="2108" spans="4:6">
      <c r="D2108">
        <v>7255</v>
      </c>
      <c r="F2108">
        <v>9</v>
      </c>
    </row>
    <row r="2109" spans="4:6">
      <c r="D2109">
        <v>7256</v>
      </c>
      <c r="F2109">
        <v>9</v>
      </c>
    </row>
    <row r="2110" spans="4:6">
      <c r="D2110">
        <v>7257</v>
      </c>
      <c r="F2110">
        <v>9</v>
      </c>
    </row>
    <row r="2111" spans="4:6">
      <c r="D2111">
        <v>7258</v>
      </c>
      <c r="F2111">
        <v>9</v>
      </c>
    </row>
    <row r="2112" spans="4:6">
      <c r="D2112">
        <v>7259</v>
      </c>
      <c r="F2112">
        <v>9</v>
      </c>
    </row>
    <row r="2113" spans="4:6">
      <c r="D2113">
        <v>7261</v>
      </c>
      <c r="F2113">
        <v>10</v>
      </c>
    </row>
    <row r="2114" spans="4:6">
      <c r="D2114">
        <v>7271</v>
      </c>
      <c r="F2114">
        <v>9</v>
      </c>
    </row>
    <row r="2115" spans="4:6">
      <c r="D2115">
        <v>7272</v>
      </c>
      <c r="F2115">
        <v>9</v>
      </c>
    </row>
    <row r="2116" spans="4:6">
      <c r="D2116">
        <v>7273</v>
      </c>
      <c r="F2116">
        <v>9</v>
      </c>
    </row>
    <row r="2117" spans="4:6">
      <c r="D2117">
        <v>7274</v>
      </c>
      <c r="F2117">
        <v>9</v>
      </c>
    </row>
    <row r="2118" spans="4:6">
      <c r="D2118">
        <v>7275</v>
      </c>
      <c r="F2118">
        <v>9</v>
      </c>
    </row>
    <row r="2119" spans="4:6">
      <c r="D2119">
        <v>7276</v>
      </c>
      <c r="F2119">
        <v>9</v>
      </c>
    </row>
    <row r="2120" spans="4:6">
      <c r="D2120">
        <v>7277</v>
      </c>
      <c r="F2120">
        <v>9</v>
      </c>
    </row>
    <row r="2121" spans="4:6">
      <c r="D2121">
        <v>7279</v>
      </c>
      <c r="F2121">
        <v>9</v>
      </c>
    </row>
    <row r="2122" spans="4:6">
      <c r="D2122">
        <v>7281</v>
      </c>
      <c r="F2122">
        <v>9</v>
      </c>
    </row>
    <row r="2123" spans="4:6">
      <c r="D2123">
        <v>7282</v>
      </c>
      <c r="F2123">
        <v>9</v>
      </c>
    </row>
    <row r="2124" spans="4:6">
      <c r="D2124">
        <v>7283</v>
      </c>
      <c r="F2124">
        <v>9</v>
      </c>
    </row>
    <row r="2125" spans="4:6">
      <c r="D2125">
        <v>7284</v>
      </c>
      <c r="F2125">
        <v>9</v>
      </c>
    </row>
    <row r="2126" spans="4:6">
      <c r="D2126">
        <v>7285</v>
      </c>
      <c r="F2126">
        <v>9</v>
      </c>
    </row>
    <row r="2127" spans="4:6">
      <c r="D2127">
        <v>7286</v>
      </c>
      <c r="F2127">
        <v>9</v>
      </c>
    </row>
    <row r="2128" spans="4:6">
      <c r="D2128">
        <v>7300</v>
      </c>
      <c r="F2128">
        <v>6</v>
      </c>
    </row>
    <row r="2129" spans="4:6">
      <c r="D2129">
        <v>7301</v>
      </c>
      <c r="F2129">
        <v>6</v>
      </c>
    </row>
    <row r="2130" spans="4:6">
      <c r="D2130">
        <v>7302</v>
      </c>
      <c r="F2130">
        <v>6</v>
      </c>
    </row>
    <row r="2131" spans="4:6">
      <c r="D2131">
        <v>7303</v>
      </c>
      <c r="F2131">
        <v>6</v>
      </c>
    </row>
    <row r="2132" spans="4:6">
      <c r="D2132">
        <v>7304</v>
      </c>
      <c r="F2132">
        <v>7</v>
      </c>
    </row>
    <row r="2133" spans="4:6">
      <c r="D2133">
        <v>7305</v>
      </c>
      <c r="F2133">
        <v>7</v>
      </c>
    </row>
    <row r="2134" spans="4:6">
      <c r="D2134">
        <v>7306</v>
      </c>
      <c r="F2134">
        <v>6</v>
      </c>
    </row>
    <row r="2135" spans="4:6">
      <c r="D2135">
        <v>7309</v>
      </c>
      <c r="F2135">
        <v>6</v>
      </c>
    </row>
    <row r="2136" spans="4:6">
      <c r="D2136">
        <v>7331</v>
      </c>
      <c r="F2136">
        <v>4</v>
      </c>
    </row>
    <row r="2137" spans="4:6">
      <c r="D2137">
        <v>7333</v>
      </c>
      <c r="F2137">
        <v>4</v>
      </c>
    </row>
    <row r="2138" spans="4:6">
      <c r="D2138">
        <v>7349</v>
      </c>
      <c r="F2138">
        <v>7</v>
      </c>
    </row>
    <row r="2139" spans="4:6">
      <c r="D2139">
        <v>7351</v>
      </c>
      <c r="F2139">
        <v>7</v>
      </c>
    </row>
    <row r="2140" spans="4:6">
      <c r="D2140">
        <v>7356</v>
      </c>
      <c r="F2140">
        <v>5</v>
      </c>
    </row>
    <row r="2141" spans="4:6">
      <c r="D2141">
        <v>7396</v>
      </c>
      <c r="F2141">
        <v>4</v>
      </c>
    </row>
    <row r="2142" spans="4:6">
      <c r="D2142">
        <v>7400</v>
      </c>
      <c r="F2142">
        <v>6</v>
      </c>
    </row>
    <row r="2143" spans="4:6">
      <c r="D2143">
        <v>7401</v>
      </c>
      <c r="F2143">
        <v>6</v>
      </c>
    </row>
    <row r="2144" spans="4:6">
      <c r="D2144">
        <v>7402</v>
      </c>
      <c r="F2144">
        <v>6</v>
      </c>
    </row>
    <row r="2145" spans="4:6">
      <c r="D2145">
        <v>7403</v>
      </c>
      <c r="F2145">
        <v>6</v>
      </c>
    </row>
    <row r="2146" spans="4:6">
      <c r="D2146">
        <v>7404</v>
      </c>
      <c r="F2146">
        <v>6</v>
      </c>
    </row>
    <row r="2147" spans="4:6">
      <c r="D2147">
        <v>7405</v>
      </c>
      <c r="F2147">
        <v>6</v>
      </c>
    </row>
    <row r="2148" spans="4:6">
      <c r="D2148">
        <v>7406</v>
      </c>
      <c r="F2148">
        <v>6</v>
      </c>
    </row>
    <row r="2149" spans="4:6">
      <c r="D2149">
        <v>7407</v>
      </c>
      <c r="F2149">
        <v>6</v>
      </c>
    </row>
    <row r="2150" spans="4:6">
      <c r="D2150">
        <v>7408</v>
      </c>
      <c r="F2150">
        <v>6</v>
      </c>
    </row>
    <row r="2151" spans="4:6">
      <c r="D2151">
        <v>7409</v>
      </c>
      <c r="F2151">
        <v>3</v>
      </c>
    </row>
    <row r="2152" spans="4:6">
      <c r="D2152">
        <v>7431</v>
      </c>
      <c r="F2152">
        <v>10</v>
      </c>
    </row>
    <row r="2153" spans="4:6">
      <c r="D2153">
        <v>7432</v>
      </c>
      <c r="F2153">
        <v>9</v>
      </c>
    </row>
    <row r="2154" spans="4:6">
      <c r="D2154">
        <v>7434</v>
      </c>
      <c r="F2154">
        <v>9</v>
      </c>
    </row>
    <row r="2155" spans="4:6">
      <c r="D2155">
        <v>7435</v>
      </c>
      <c r="F2155">
        <v>9</v>
      </c>
    </row>
    <row r="2156" spans="4:6">
      <c r="D2156">
        <v>7436</v>
      </c>
      <c r="F2156">
        <v>9</v>
      </c>
    </row>
    <row r="2157" spans="4:6">
      <c r="D2157">
        <v>7439</v>
      </c>
      <c r="F2157">
        <v>9</v>
      </c>
    </row>
    <row r="2158" spans="4:6">
      <c r="D2158">
        <v>7441</v>
      </c>
      <c r="F2158">
        <v>9</v>
      </c>
    </row>
    <row r="2159" spans="4:6">
      <c r="D2159">
        <v>7442</v>
      </c>
      <c r="F2159">
        <v>9</v>
      </c>
    </row>
    <row r="2160" spans="4:6">
      <c r="D2160">
        <v>7443</v>
      </c>
      <c r="F2160">
        <v>9</v>
      </c>
    </row>
    <row r="2161" spans="4:6">
      <c r="D2161">
        <v>7444</v>
      </c>
      <c r="F2161">
        <v>9</v>
      </c>
    </row>
    <row r="2162" spans="4:6">
      <c r="D2162">
        <v>7451</v>
      </c>
      <c r="F2162">
        <v>6</v>
      </c>
    </row>
    <row r="2163" spans="4:6">
      <c r="D2163">
        <v>7452</v>
      </c>
      <c r="F2163">
        <v>9</v>
      </c>
    </row>
    <row r="2164" spans="4:6">
      <c r="D2164">
        <v>7453</v>
      </c>
      <c r="F2164">
        <v>9</v>
      </c>
    </row>
    <row r="2165" spans="4:6">
      <c r="D2165">
        <v>7454</v>
      </c>
      <c r="F2165">
        <v>9</v>
      </c>
    </row>
    <row r="2166" spans="4:6">
      <c r="D2166">
        <v>7455</v>
      </c>
      <c r="F2166">
        <v>9</v>
      </c>
    </row>
    <row r="2167" spans="4:6">
      <c r="D2167">
        <v>7456</v>
      </c>
      <c r="F2167">
        <v>9</v>
      </c>
    </row>
    <row r="2168" spans="4:6">
      <c r="D2168">
        <v>7457</v>
      </c>
      <c r="F2168">
        <v>9</v>
      </c>
    </row>
    <row r="2169" spans="4:6">
      <c r="D2169">
        <v>7458</v>
      </c>
      <c r="F2169">
        <v>9</v>
      </c>
    </row>
    <row r="2170" spans="4:6">
      <c r="D2170">
        <v>7461</v>
      </c>
      <c r="F2170">
        <v>6</v>
      </c>
    </row>
    <row r="2171" spans="4:6">
      <c r="D2171">
        <v>7463</v>
      </c>
      <c r="F2171">
        <v>9</v>
      </c>
    </row>
    <row r="2172" spans="4:6">
      <c r="D2172">
        <v>7464</v>
      </c>
      <c r="F2172">
        <v>9</v>
      </c>
    </row>
    <row r="2173" spans="4:6">
      <c r="D2173">
        <v>7465</v>
      </c>
      <c r="F2173">
        <v>9</v>
      </c>
    </row>
    <row r="2174" spans="4:6">
      <c r="D2174">
        <v>7471</v>
      </c>
      <c r="F2174">
        <v>9</v>
      </c>
    </row>
    <row r="2175" spans="4:6">
      <c r="D2175">
        <v>7472</v>
      </c>
      <c r="F2175">
        <v>10</v>
      </c>
    </row>
    <row r="2176" spans="4:6">
      <c r="D2176">
        <v>7473</v>
      </c>
      <c r="F2176">
        <v>10</v>
      </c>
    </row>
    <row r="2177" spans="4:6">
      <c r="D2177">
        <v>7474</v>
      </c>
      <c r="F2177">
        <v>10</v>
      </c>
    </row>
    <row r="2178" spans="4:6">
      <c r="D2178">
        <v>7475</v>
      </c>
      <c r="F2178">
        <v>10</v>
      </c>
    </row>
    <row r="2179" spans="4:6">
      <c r="D2179">
        <v>7476</v>
      </c>
      <c r="F2179">
        <v>10</v>
      </c>
    </row>
    <row r="2180" spans="4:6">
      <c r="D2180">
        <v>7477</v>
      </c>
      <c r="F2180">
        <v>9</v>
      </c>
    </row>
    <row r="2181" spans="4:6">
      <c r="D2181">
        <v>7478</v>
      </c>
      <c r="F2181">
        <v>9</v>
      </c>
    </row>
    <row r="2182" spans="4:6">
      <c r="D2182">
        <v>7479</v>
      </c>
      <c r="F2182">
        <v>10</v>
      </c>
    </row>
    <row r="2183" spans="4:6">
      <c r="D2183">
        <v>7511</v>
      </c>
      <c r="F2183">
        <v>9</v>
      </c>
    </row>
    <row r="2184" spans="4:6">
      <c r="D2184">
        <v>7512</v>
      </c>
      <c r="F2184">
        <v>9</v>
      </c>
    </row>
    <row r="2185" spans="4:6">
      <c r="D2185">
        <v>7513</v>
      </c>
      <c r="F2185">
        <v>9</v>
      </c>
    </row>
    <row r="2186" spans="4:6">
      <c r="D2186">
        <v>7514</v>
      </c>
      <c r="F2186">
        <v>9</v>
      </c>
    </row>
    <row r="2187" spans="4:6">
      <c r="D2187">
        <v>7515</v>
      </c>
      <c r="F2187">
        <v>9</v>
      </c>
    </row>
    <row r="2188" spans="4:6">
      <c r="D2188">
        <v>7516</v>
      </c>
      <c r="F2188">
        <v>9</v>
      </c>
    </row>
    <row r="2189" spans="4:6">
      <c r="D2189">
        <v>7517</v>
      </c>
      <c r="F2189">
        <v>9</v>
      </c>
    </row>
    <row r="2190" spans="4:6">
      <c r="D2190">
        <v>7521</v>
      </c>
      <c r="F2190">
        <v>10</v>
      </c>
    </row>
    <row r="2191" spans="4:6">
      <c r="D2191">
        <v>7522</v>
      </c>
      <c r="F2191">
        <v>9</v>
      </c>
    </row>
    <row r="2192" spans="4:6">
      <c r="D2192">
        <v>7523</v>
      </c>
      <c r="F2192">
        <v>10</v>
      </c>
    </row>
    <row r="2193" spans="4:6">
      <c r="D2193">
        <v>7524</v>
      </c>
      <c r="F2193">
        <v>9</v>
      </c>
    </row>
    <row r="2194" spans="4:6">
      <c r="D2194">
        <v>7525</v>
      </c>
      <c r="F2194">
        <v>9</v>
      </c>
    </row>
    <row r="2195" spans="4:6">
      <c r="D2195">
        <v>7526</v>
      </c>
      <c r="F2195">
        <v>9</v>
      </c>
    </row>
    <row r="2196" spans="4:6">
      <c r="D2196">
        <v>7527</v>
      </c>
      <c r="F2196">
        <v>10</v>
      </c>
    </row>
    <row r="2197" spans="4:6">
      <c r="D2197">
        <v>7530</v>
      </c>
      <c r="F2197">
        <v>9</v>
      </c>
    </row>
    <row r="2198" spans="4:6">
      <c r="D2198">
        <v>7531</v>
      </c>
      <c r="F2198">
        <v>9</v>
      </c>
    </row>
    <row r="2199" spans="4:6">
      <c r="D2199">
        <v>7532</v>
      </c>
      <c r="F2199">
        <v>9</v>
      </c>
    </row>
    <row r="2200" spans="4:6">
      <c r="D2200">
        <v>7533</v>
      </c>
      <c r="F2200">
        <v>9</v>
      </c>
    </row>
    <row r="2201" spans="4:6">
      <c r="D2201">
        <v>7534</v>
      </c>
      <c r="F2201">
        <v>9</v>
      </c>
    </row>
    <row r="2202" spans="4:6">
      <c r="D2202">
        <v>7535</v>
      </c>
      <c r="F2202">
        <v>9</v>
      </c>
    </row>
    <row r="2203" spans="4:6">
      <c r="D2203">
        <v>7536</v>
      </c>
      <c r="F2203">
        <v>9</v>
      </c>
    </row>
    <row r="2204" spans="4:6">
      <c r="D2204">
        <v>7537</v>
      </c>
      <c r="F2204">
        <v>9</v>
      </c>
    </row>
    <row r="2205" spans="4:6">
      <c r="D2205">
        <v>7538</v>
      </c>
      <c r="F2205">
        <v>9</v>
      </c>
    </row>
    <row r="2206" spans="4:6">
      <c r="D2206">
        <v>7539</v>
      </c>
      <c r="F2206">
        <v>9</v>
      </c>
    </row>
    <row r="2207" spans="4:6">
      <c r="D2207">
        <v>7541</v>
      </c>
      <c r="F2207">
        <v>9</v>
      </c>
    </row>
    <row r="2208" spans="4:6">
      <c r="D2208">
        <v>7542</v>
      </c>
      <c r="F2208">
        <v>9</v>
      </c>
    </row>
    <row r="2209" spans="4:6">
      <c r="D2209">
        <v>7543</v>
      </c>
      <c r="F2209">
        <v>9</v>
      </c>
    </row>
    <row r="2210" spans="4:6">
      <c r="D2210">
        <v>7544</v>
      </c>
      <c r="F2210">
        <v>9</v>
      </c>
    </row>
    <row r="2211" spans="4:6">
      <c r="D2211">
        <v>7545</v>
      </c>
      <c r="F2211">
        <v>9</v>
      </c>
    </row>
    <row r="2212" spans="4:6">
      <c r="D2212">
        <v>7551</v>
      </c>
      <c r="F2212">
        <v>9</v>
      </c>
    </row>
    <row r="2213" spans="4:6">
      <c r="D2213">
        <v>7552</v>
      </c>
      <c r="F2213">
        <v>9</v>
      </c>
    </row>
    <row r="2214" spans="4:6">
      <c r="D2214">
        <v>7553</v>
      </c>
      <c r="F2214">
        <v>9</v>
      </c>
    </row>
    <row r="2215" spans="4:6">
      <c r="D2215">
        <v>7555</v>
      </c>
      <c r="F2215">
        <v>9</v>
      </c>
    </row>
    <row r="2216" spans="4:6">
      <c r="D2216">
        <v>7556</v>
      </c>
      <c r="F2216">
        <v>9</v>
      </c>
    </row>
    <row r="2217" spans="4:6">
      <c r="D2217">
        <v>7557</v>
      </c>
      <c r="F2217">
        <v>9</v>
      </c>
    </row>
    <row r="2218" spans="4:6">
      <c r="D2218">
        <v>7561</v>
      </c>
      <c r="F2218">
        <v>9</v>
      </c>
    </row>
    <row r="2219" spans="4:6">
      <c r="D2219">
        <v>7562</v>
      </c>
      <c r="F2219">
        <v>9</v>
      </c>
    </row>
    <row r="2220" spans="4:6">
      <c r="D2220">
        <v>7563</v>
      </c>
      <c r="F2220">
        <v>9</v>
      </c>
    </row>
    <row r="2221" spans="4:6">
      <c r="D2221">
        <v>7564</v>
      </c>
      <c r="F2221">
        <v>9</v>
      </c>
    </row>
    <row r="2222" spans="4:6">
      <c r="D2222">
        <v>7582</v>
      </c>
      <c r="F2222">
        <v>9</v>
      </c>
    </row>
    <row r="2223" spans="4:6">
      <c r="D2223">
        <v>7584</v>
      </c>
      <c r="F2223">
        <v>9</v>
      </c>
    </row>
    <row r="2224" spans="4:6">
      <c r="D2224">
        <v>7585</v>
      </c>
      <c r="F2224">
        <v>9</v>
      </c>
    </row>
    <row r="2225" spans="4:6">
      <c r="D2225">
        <v>7586</v>
      </c>
      <c r="F2225">
        <v>9</v>
      </c>
    </row>
    <row r="2226" spans="4:6">
      <c r="D2226">
        <v>7587</v>
      </c>
      <c r="F2226">
        <v>9</v>
      </c>
    </row>
    <row r="2227" spans="4:6">
      <c r="D2227">
        <v>7588</v>
      </c>
      <c r="F2227">
        <v>9</v>
      </c>
    </row>
    <row r="2228" spans="4:6">
      <c r="D2228">
        <v>7589</v>
      </c>
      <c r="F2228">
        <v>9</v>
      </c>
    </row>
    <row r="2229" spans="4:6">
      <c r="D2229">
        <v>7600</v>
      </c>
      <c r="F2229">
        <v>4</v>
      </c>
    </row>
    <row r="2230" spans="4:6">
      <c r="D2230">
        <v>7601</v>
      </c>
      <c r="F2230">
        <v>4</v>
      </c>
    </row>
    <row r="2231" spans="4:6">
      <c r="D2231">
        <v>7602</v>
      </c>
      <c r="F2231">
        <v>4</v>
      </c>
    </row>
    <row r="2232" spans="4:6">
      <c r="D2232">
        <v>7603</v>
      </c>
      <c r="F2232">
        <v>4</v>
      </c>
    </row>
    <row r="2233" spans="4:6">
      <c r="D2233">
        <v>7604</v>
      </c>
      <c r="F2233">
        <v>4</v>
      </c>
    </row>
    <row r="2234" spans="4:6">
      <c r="D2234">
        <v>7605</v>
      </c>
      <c r="F2234">
        <v>4</v>
      </c>
    </row>
    <row r="2235" spans="4:6">
      <c r="D2235">
        <v>7606</v>
      </c>
      <c r="F2235">
        <v>4</v>
      </c>
    </row>
    <row r="2236" spans="4:6">
      <c r="D2236">
        <v>7607</v>
      </c>
      <c r="F2236">
        <v>4</v>
      </c>
    </row>
    <row r="2237" spans="4:6">
      <c r="D2237">
        <v>7608</v>
      </c>
      <c r="F2237">
        <v>4</v>
      </c>
    </row>
    <row r="2238" spans="4:6">
      <c r="D2238">
        <v>7609</v>
      </c>
      <c r="F2238">
        <v>4</v>
      </c>
    </row>
    <row r="2239" spans="4:6">
      <c r="D2239">
        <v>7610</v>
      </c>
      <c r="F2239">
        <v>4</v>
      </c>
    </row>
    <row r="2240" spans="4:6">
      <c r="D2240">
        <v>7611</v>
      </c>
      <c r="F2240">
        <v>4</v>
      </c>
    </row>
    <row r="2241" spans="4:6">
      <c r="D2241">
        <v>7612</v>
      </c>
      <c r="F2241">
        <v>4</v>
      </c>
    </row>
    <row r="2242" spans="4:6">
      <c r="D2242">
        <v>7613</v>
      </c>
      <c r="F2242">
        <v>4</v>
      </c>
    </row>
    <row r="2243" spans="4:6">
      <c r="D2243">
        <v>7614</v>
      </c>
      <c r="F2243">
        <v>4</v>
      </c>
    </row>
    <row r="2244" spans="4:6">
      <c r="D2244">
        <v>7615</v>
      </c>
      <c r="F2244">
        <v>4</v>
      </c>
    </row>
    <row r="2245" spans="4:6">
      <c r="D2245">
        <v>7616</v>
      </c>
      <c r="F2245">
        <v>4</v>
      </c>
    </row>
    <row r="2246" spans="4:6">
      <c r="D2246">
        <v>7617</v>
      </c>
      <c r="F2246">
        <v>4</v>
      </c>
    </row>
    <row r="2247" spans="4:6">
      <c r="D2247">
        <v>7618</v>
      </c>
      <c r="F2247">
        <v>4</v>
      </c>
    </row>
    <row r="2248" spans="4:6">
      <c r="D2248">
        <v>7619</v>
      </c>
      <c r="F2248">
        <v>4</v>
      </c>
    </row>
    <row r="2249" spans="4:6">
      <c r="D2249">
        <v>7620</v>
      </c>
      <c r="F2249">
        <v>4</v>
      </c>
    </row>
    <row r="2250" spans="4:6">
      <c r="D2250">
        <v>7621</v>
      </c>
      <c r="F2250">
        <v>4</v>
      </c>
    </row>
    <row r="2251" spans="4:6">
      <c r="D2251">
        <v>7622</v>
      </c>
      <c r="F2251">
        <v>4</v>
      </c>
    </row>
    <row r="2252" spans="4:6">
      <c r="D2252">
        <v>7623</v>
      </c>
      <c r="F2252">
        <v>4</v>
      </c>
    </row>
    <row r="2253" spans="4:6">
      <c r="D2253">
        <v>7624</v>
      </c>
      <c r="F2253">
        <v>4</v>
      </c>
    </row>
    <row r="2254" spans="4:6">
      <c r="D2254">
        <v>7625</v>
      </c>
      <c r="F2254">
        <v>4</v>
      </c>
    </row>
    <row r="2255" spans="4:6">
      <c r="D2255">
        <v>7626</v>
      </c>
      <c r="F2255">
        <v>4</v>
      </c>
    </row>
    <row r="2256" spans="4:6">
      <c r="D2256">
        <v>7627</v>
      </c>
      <c r="F2256">
        <v>4</v>
      </c>
    </row>
    <row r="2257" spans="4:6">
      <c r="D2257">
        <v>7628</v>
      </c>
      <c r="F2257">
        <v>4</v>
      </c>
    </row>
    <row r="2258" spans="4:6">
      <c r="D2258">
        <v>7629</v>
      </c>
      <c r="F2258">
        <v>4</v>
      </c>
    </row>
    <row r="2259" spans="4:6">
      <c r="D2259">
        <v>7630</v>
      </c>
      <c r="F2259">
        <v>4</v>
      </c>
    </row>
    <row r="2260" spans="4:6">
      <c r="D2260">
        <v>7631</v>
      </c>
      <c r="F2260">
        <v>4</v>
      </c>
    </row>
    <row r="2261" spans="4:6">
      <c r="D2261">
        <v>7632</v>
      </c>
      <c r="F2261">
        <v>4</v>
      </c>
    </row>
    <row r="2262" spans="4:6">
      <c r="D2262">
        <v>7633</v>
      </c>
      <c r="F2262">
        <v>4</v>
      </c>
    </row>
    <row r="2263" spans="4:6">
      <c r="D2263">
        <v>7634</v>
      </c>
      <c r="F2263">
        <v>4</v>
      </c>
    </row>
    <row r="2264" spans="4:6">
      <c r="D2264">
        <v>7635</v>
      </c>
      <c r="F2264">
        <v>4</v>
      </c>
    </row>
    <row r="2265" spans="4:6">
      <c r="D2265">
        <v>7636</v>
      </c>
      <c r="F2265">
        <v>4</v>
      </c>
    </row>
    <row r="2266" spans="4:6">
      <c r="D2266">
        <v>7639</v>
      </c>
      <c r="F2266">
        <v>4</v>
      </c>
    </row>
    <row r="2267" spans="4:6">
      <c r="D2267">
        <v>7642</v>
      </c>
      <c r="F2267">
        <v>4</v>
      </c>
    </row>
    <row r="2268" spans="4:6">
      <c r="D2268">
        <v>7643</v>
      </c>
      <c r="F2268">
        <v>4</v>
      </c>
    </row>
    <row r="2269" spans="4:6">
      <c r="D2269">
        <v>7644</v>
      </c>
      <c r="F2269">
        <v>4</v>
      </c>
    </row>
    <row r="2270" spans="4:6">
      <c r="D2270">
        <v>7645</v>
      </c>
      <c r="F2270">
        <v>4</v>
      </c>
    </row>
    <row r="2271" spans="4:6">
      <c r="D2271">
        <v>7646</v>
      </c>
      <c r="F2271">
        <v>4</v>
      </c>
    </row>
    <row r="2272" spans="4:6">
      <c r="D2272">
        <v>7647</v>
      </c>
      <c r="F2272">
        <v>4</v>
      </c>
    </row>
    <row r="2273" spans="4:6">
      <c r="D2273">
        <v>7648</v>
      </c>
      <c r="F2273">
        <v>4</v>
      </c>
    </row>
    <row r="2274" spans="4:6">
      <c r="D2274">
        <v>7650</v>
      </c>
      <c r="F2274">
        <v>4</v>
      </c>
    </row>
    <row r="2275" spans="4:6">
      <c r="D2275">
        <v>7666</v>
      </c>
      <c r="F2275">
        <v>4</v>
      </c>
    </row>
    <row r="2276" spans="4:6">
      <c r="D2276">
        <v>7668</v>
      </c>
      <c r="F2276">
        <v>4</v>
      </c>
    </row>
    <row r="2277" spans="4:6">
      <c r="D2277">
        <v>7673</v>
      </c>
      <c r="F2277">
        <v>4</v>
      </c>
    </row>
    <row r="2278" spans="4:6">
      <c r="D2278">
        <v>7675</v>
      </c>
      <c r="F2278">
        <v>4</v>
      </c>
    </row>
    <row r="2279" spans="4:6">
      <c r="D2279">
        <v>7677</v>
      </c>
      <c r="F2279">
        <v>4</v>
      </c>
    </row>
    <row r="2280" spans="4:6">
      <c r="D2280">
        <v>7691</v>
      </c>
      <c r="F2280">
        <v>4</v>
      </c>
    </row>
    <row r="2281" spans="4:6">
      <c r="D2281">
        <v>7693</v>
      </c>
      <c r="F2281">
        <v>4</v>
      </c>
    </row>
    <row r="2282" spans="4:6">
      <c r="D2282">
        <v>7720</v>
      </c>
      <c r="F2282">
        <v>4</v>
      </c>
    </row>
    <row r="2283" spans="4:6">
      <c r="D2283">
        <v>7722</v>
      </c>
      <c r="F2283">
        <v>4</v>
      </c>
    </row>
    <row r="2284" spans="4:6">
      <c r="D2284">
        <v>7741</v>
      </c>
      <c r="F2284">
        <v>7</v>
      </c>
    </row>
    <row r="2285" spans="4:6">
      <c r="D2285">
        <v>7742</v>
      </c>
      <c r="F2285">
        <v>7</v>
      </c>
    </row>
    <row r="2286" spans="4:6">
      <c r="D2286">
        <v>7743</v>
      </c>
      <c r="F2286">
        <v>7</v>
      </c>
    </row>
    <row r="2287" spans="4:6">
      <c r="D2287">
        <v>7753</v>
      </c>
      <c r="F2287">
        <v>9</v>
      </c>
    </row>
    <row r="2288" spans="4:6">
      <c r="D2288">
        <v>7761</v>
      </c>
      <c r="F2288">
        <v>4</v>
      </c>
    </row>
    <row r="2289" spans="4:6">
      <c r="D2289">
        <v>7762</v>
      </c>
      <c r="F2289">
        <v>7</v>
      </c>
    </row>
    <row r="2290" spans="4:6">
      <c r="D2290">
        <v>7812</v>
      </c>
      <c r="F2290">
        <v>4</v>
      </c>
    </row>
    <row r="2291" spans="4:6">
      <c r="D2291">
        <v>7813</v>
      </c>
      <c r="F2291">
        <v>4</v>
      </c>
    </row>
    <row r="2292" spans="4:6">
      <c r="D2292">
        <v>7831</v>
      </c>
      <c r="F2292">
        <v>4</v>
      </c>
    </row>
    <row r="2293" spans="4:6">
      <c r="D2293">
        <v>7849</v>
      </c>
      <c r="F2293">
        <v>9</v>
      </c>
    </row>
    <row r="2294" spans="4:6">
      <c r="D2294">
        <v>7912</v>
      </c>
      <c r="F2294">
        <v>4</v>
      </c>
    </row>
    <row r="2295" spans="4:6">
      <c r="D2295">
        <v>7918</v>
      </c>
      <c r="F2295">
        <v>9</v>
      </c>
    </row>
    <row r="2296" spans="4:6">
      <c r="D2296">
        <v>7940</v>
      </c>
      <c r="F2296">
        <v>7</v>
      </c>
    </row>
    <row r="2297" spans="4:6">
      <c r="D2297">
        <v>7951</v>
      </c>
      <c r="F2297">
        <v>4</v>
      </c>
    </row>
    <row r="2298" spans="4:6">
      <c r="D2298">
        <v>7952</v>
      </c>
      <c r="F2298">
        <v>4</v>
      </c>
    </row>
    <row r="2299" spans="4:6">
      <c r="D2299">
        <v>7977</v>
      </c>
      <c r="F2299">
        <v>9</v>
      </c>
    </row>
    <row r="2300" spans="4:6">
      <c r="D2300">
        <v>7979</v>
      </c>
      <c r="F2300">
        <v>9</v>
      </c>
    </row>
    <row r="2301" spans="4:6">
      <c r="D2301">
        <v>7987</v>
      </c>
      <c r="F2301">
        <v>9</v>
      </c>
    </row>
    <row r="2302" spans="4:6">
      <c r="D2302">
        <v>7988</v>
      </c>
      <c r="F2302">
        <v>9</v>
      </c>
    </row>
    <row r="2303" spans="4:6">
      <c r="D2303">
        <v>8000</v>
      </c>
      <c r="F2303">
        <v>6</v>
      </c>
    </row>
    <row r="2304" spans="4:6">
      <c r="D2304">
        <v>8001</v>
      </c>
      <c r="F2304">
        <v>6</v>
      </c>
    </row>
    <row r="2305" spans="4:6">
      <c r="D2305">
        <v>8002</v>
      </c>
      <c r="F2305">
        <v>6</v>
      </c>
    </row>
    <row r="2306" spans="4:6">
      <c r="D2306">
        <v>8003</v>
      </c>
      <c r="F2306">
        <v>6</v>
      </c>
    </row>
    <row r="2307" spans="4:6">
      <c r="D2307">
        <v>8004</v>
      </c>
      <c r="F2307">
        <v>6</v>
      </c>
    </row>
    <row r="2308" spans="4:6">
      <c r="D2308">
        <v>8005</v>
      </c>
      <c r="F2308">
        <v>6</v>
      </c>
    </row>
    <row r="2309" spans="4:6">
      <c r="D2309">
        <v>8006</v>
      </c>
      <c r="F2309">
        <v>6</v>
      </c>
    </row>
    <row r="2310" spans="4:6">
      <c r="D2310">
        <v>8007</v>
      </c>
      <c r="F2310">
        <v>6</v>
      </c>
    </row>
    <row r="2311" spans="4:6">
      <c r="D2311">
        <v>8008</v>
      </c>
      <c r="F2311">
        <v>6</v>
      </c>
    </row>
    <row r="2312" spans="4:6">
      <c r="D2312">
        <v>8011</v>
      </c>
      <c r="F2312">
        <v>6</v>
      </c>
    </row>
    <row r="2313" spans="4:6">
      <c r="D2313">
        <v>8019</v>
      </c>
      <c r="F2313">
        <v>6</v>
      </c>
    </row>
    <row r="2314" spans="4:6">
      <c r="D2314">
        <v>8020</v>
      </c>
      <c r="F2314">
        <v>6</v>
      </c>
    </row>
    <row r="2315" spans="4:6">
      <c r="D2315">
        <v>8042</v>
      </c>
      <c r="F2315">
        <v>9</v>
      </c>
    </row>
    <row r="2316" spans="4:6">
      <c r="D2316">
        <v>8043</v>
      </c>
      <c r="F2316">
        <v>9</v>
      </c>
    </row>
    <row r="2317" spans="4:6">
      <c r="D2317">
        <v>8044</v>
      </c>
      <c r="F2317">
        <v>9</v>
      </c>
    </row>
    <row r="2318" spans="4:6">
      <c r="D2318">
        <v>8045</v>
      </c>
      <c r="F2318">
        <v>9</v>
      </c>
    </row>
    <row r="2319" spans="4:6">
      <c r="D2319">
        <v>8046</v>
      </c>
      <c r="F2319">
        <v>9</v>
      </c>
    </row>
    <row r="2320" spans="4:6">
      <c r="D2320">
        <v>8051</v>
      </c>
      <c r="F2320">
        <v>9</v>
      </c>
    </row>
    <row r="2321" spans="4:6">
      <c r="D2321">
        <v>8052</v>
      </c>
      <c r="F2321">
        <v>9</v>
      </c>
    </row>
    <row r="2322" spans="4:6">
      <c r="D2322">
        <v>8053</v>
      </c>
      <c r="F2322">
        <v>9</v>
      </c>
    </row>
    <row r="2323" spans="4:6">
      <c r="D2323">
        <v>8054</v>
      </c>
      <c r="F2323">
        <v>9</v>
      </c>
    </row>
    <row r="2324" spans="4:6">
      <c r="D2324">
        <v>8055</v>
      </c>
      <c r="F2324">
        <v>9</v>
      </c>
    </row>
    <row r="2325" spans="4:6">
      <c r="D2325">
        <v>8056</v>
      </c>
      <c r="F2325">
        <v>9</v>
      </c>
    </row>
    <row r="2326" spans="4:6">
      <c r="D2326">
        <v>8065</v>
      </c>
      <c r="F2326">
        <v>9</v>
      </c>
    </row>
    <row r="2327" spans="4:6">
      <c r="D2327">
        <v>8066</v>
      </c>
      <c r="F2327">
        <v>9</v>
      </c>
    </row>
    <row r="2328" spans="4:6">
      <c r="D2328">
        <v>8071</v>
      </c>
      <c r="F2328">
        <v>9</v>
      </c>
    </row>
    <row r="2329" spans="4:6">
      <c r="D2329">
        <v>8072</v>
      </c>
      <c r="F2329">
        <v>9</v>
      </c>
    </row>
    <row r="2330" spans="4:6">
      <c r="D2330">
        <v>8073</v>
      </c>
      <c r="F2330">
        <v>9</v>
      </c>
    </row>
    <row r="2331" spans="4:6">
      <c r="D2331">
        <v>8074</v>
      </c>
      <c r="F2331">
        <v>9</v>
      </c>
    </row>
    <row r="2332" spans="4:6">
      <c r="D2332">
        <v>8081</v>
      </c>
      <c r="F2332">
        <v>9</v>
      </c>
    </row>
    <row r="2333" spans="4:6">
      <c r="D2333">
        <v>8082</v>
      </c>
      <c r="F2333">
        <v>9</v>
      </c>
    </row>
    <row r="2334" spans="4:6">
      <c r="D2334">
        <v>8086</v>
      </c>
      <c r="F2334">
        <v>9</v>
      </c>
    </row>
    <row r="2335" spans="4:6">
      <c r="D2335">
        <v>8087</v>
      </c>
      <c r="F2335">
        <v>9</v>
      </c>
    </row>
    <row r="2336" spans="4:6">
      <c r="D2336">
        <v>8089</v>
      </c>
      <c r="F2336">
        <v>9</v>
      </c>
    </row>
    <row r="2337" spans="4:6">
      <c r="D2337">
        <v>8092</v>
      </c>
      <c r="F2337">
        <v>9</v>
      </c>
    </row>
    <row r="2338" spans="4:6">
      <c r="D2338">
        <v>8093</v>
      </c>
      <c r="F2338">
        <v>9</v>
      </c>
    </row>
    <row r="2339" spans="4:6">
      <c r="D2339">
        <v>8096</v>
      </c>
      <c r="F2339">
        <v>9</v>
      </c>
    </row>
    <row r="2340" spans="4:6">
      <c r="D2340">
        <v>8111</v>
      </c>
      <c r="F2340">
        <v>9</v>
      </c>
    </row>
    <row r="2341" spans="4:6">
      <c r="D2341">
        <v>8112</v>
      </c>
      <c r="F2341">
        <v>9</v>
      </c>
    </row>
    <row r="2342" spans="4:6">
      <c r="D2342">
        <v>8121</v>
      </c>
      <c r="F2342">
        <v>9</v>
      </c>
    </row>
    <row r="2343" spans="4:6">
      <c r="D2343">
        <v>8122</v>
      </c>
      <c r="F2343">
        <v>9</v>
      </c>
    </row>
    <row r="2344" spans="4:6">
      <c r="D2344">
        <v>8123</v>
      </c>
      <c r="F2344">
        <v>9</v>
      </c>
    </row>
    <row r="2345" spans="4:6">
      <c r="D2345">
        <v>8124</v>
      </c>
      <c r="F2345">
        <v>9</v>
      </c>
    </row>
    <row r="2346" spans="4:6">
      <c r="D2346">
        <v>8125</v>
      </c>
      <c r="F2346">
        <v>9</v>
      </c>
    </row>
    <row r="2347" spans="4:6">
      <c r="D2347">
        <v>8126</v>
      </c>
      <c r="F2347">
        <v>9</v>
      </c>
    </row>
    <row r="2348" spans="4:6">
      <c r="D2348">
        <v>8127</v>
      </c>
      <c r="F2348">
        <v>9</v>
      </c>
    </row>
    <row r="2349" spans="4:6">
      <c r="D2349">
        <v>8128</v>
      </c>
      <c r="F2349">
        <v>9</v>
      </c>
    </row>
    <row r="2350" spans="4:6">
      <c r="D2350">
        <v>8130</v>
      </c>
      <c r="F2350">
        <v>9</v>
      </c>
    </row>
    <row r="2351" spans="4:6">
      <c r="D2351">
        <v>8131</v>
      </c>
      <c r="F2351">
        <v>9</v>
      </c>
    </row>
    <row r="2352" spans="4:6">
      <c r="D2352">
        <v>8132</v>
      </c>
      <c r="F2352">
        <v>9</v>
      </c>
    </row>
    <row r="2353" spans="4:6">
      <c r="D2353">
        <v>8133</v>
      </c>
      <c r="F2353">
        <v>9</v>
      </c>
    </row>
    <row r="2354" spans="4:6">
      <c r="D2354">
        <v>8134</v>
      </c>
      <c r="F2354">
        <v>9</v>
      </c>
    </row>
    <row r="2355" spans="4:6">
      <c r="D2355">
        <v>8135</v>
      </c>
      <c r="F2355">
        <v>9</v>
      </c>
    </row>
    <row r="2356" spans="4:6">
      <c r="D2356">
        <v>8136</v>
      </c>
      <c r="F2356">
        <v>9</v>
      </c>
    </row>
    <row r="2357" spans="4:6">
      <c r="D2357">
        <v>8137</v>
      </c>
      <c r="F2357">
        <v>9</v>
      </c>
    </row>
    <row r="2358" spans="4:6">
      <c r="D2358">
        <v>8138</v>
      </c>
      <c r="F2358">
        <v>9</v>
      </c>
    </row>
    <row r="2359" spans="4:6">
      <c r="D2359">
        <v>8139</v>
      </c>
      <c r="F2359">
        <v>9</v>
      </c>
    </row>
    <row r="2360" spans="4:6">
      <c r="D2360">
        <v>8141</v>
      </c>
      <c r="F2360">
        <v>9</v>
      </c>
    </row>
    <row r="2361" spans="4:6">
      <c r="D2361">
        <v>8142</v>
      </c>
      <c r="F2361">
        <v>9</v>
      </c>
    </row>
    <row r="2362" spans="4:6">
      <c r="D2362">
        <v>8143</v>
      </c>
      <c r="F2362">
        <v>9</v>
      </c>
    </row>
    <row r="2363" spans="4:6">
      <c r="D2363">
        <v>8144</v>
      </c>
      <c r="F2363">
        <v>9</v>
      </c>
    </row>
    <row r="2364" spans="4:6">
      <c r="D2364">
        <v>8146</v>
      </c>
      <c r="F2364">
        <v>9</v>
      </c>
    </row>
    <row r="2365" spans="4:6">
      <c r="D2365">
        <v>8151</v>
      </c>
      <c r="F2365">
        <v>9</v>
      </c>
    </row>
    <row r="2366" spans="4:6">
      <c r="D2366">
        <v>8152</v>
      </c>
      <c r="F2366">
        <v>9</v>
      </c>
    </row>
    <row r="2367" spans="4:6">
      <c r="D2367">
        <v>8153</v>
      </c>
      <c r="F2367">
        <v>9</v>
      </c>
    </row>
    <row r="2368" spans="4:6">
      <c r="D2368">
        <v>8156</v>
      </c>
      <c r="F2368">
        <v>9</v>
      </c>
    </row>
    <row r="2369" spans="4:6">
      <c r="D2369">
        <v>8157</v>
      </c>
      <c r="F2369">
        <v>9</v>
      </c>
    </row>
    <row r="2370" spans="4:6">
      <c r="D2370">
        <v>8171</v>
      </c>
      <c r="F2370">
        <v>9</v>
      </c>
    </row>
    <row r="2371" spans="4:6">
      <c r="D2371">
        <v>8200</v>
      </c>
      <c r="F2371">
        <v>5</v>
      </c>
    </row>
    <row r="2372" spans="4:6">
      <c r="D2372">
        <v>8201</v>
      </c>
      <c r="F2372">
        <v>5</v>
      </c>
    </row>
    <row r="2373" spans="4:6">
      <c r="D2373">
        <v>8202</v>
      </c>
      <c r="F2373">
        <v>5</v>
      </c>
    </row>
    <row r="2374" spans="4:6">
      <c r="D2374">
        <v>8204</v>
      </c>
      <c r="F2374">
        <v>5</v>
      </c>
    </row>
    <row r="2375" spans="4:6">
      <c r="D2375">
        <v>8205</v>
      </c>
      <c r="F2375">
        <v>5</v>
      </c>
    </row>
    <row r="2376" spans="4:6">
      <c r="D2376">
        <v>8206</v>
      </c>
      <c r="F2376">
        <v>5</v>
      </c>
    </row>
    <row r="2377" spans="4:6">
      <c r="D2377">
        <v>8207</v>
      </c>
      <c r="F2377">
        <v>5</v>
      </c>
    </row>
    <row r="2378" spans="4:6">
      <c r="D2378">
        <v>8220</v>
      </c>
      <c r="F2378">
        <v>6</v>
      </c>
    </row>
    <row r="2379" spans="4:6">
      <c r="D2379">
        <v>8221</v>
      </c>
      <c r="F2379">
        <v>6</v>
      </c>
    </row>
    <row r="2380" spans="4:6">
      <c r="D2380">
        <v>8222</v>
      </c>
      <c r="F2380">
        <v>6</v>
      </c>
    </row>
    <row r="2381" spans="4:6">
      <c r="D2381">
        <v>8223</v>
      </c>
      <c r="F2381">
        <v>6</v>
      </c>
    </row>
    <row r="2382" spans="4:6">
      <c r="D2382">
        <v>8230</v>
      </c>
      <c r="F2382">
        <v>7</v>
      </c>
    </row>
    <row r="2383" spans="4:6">
      <c r="D2383">
        <v>8231</v>
      </c>
      <c r="F2383">
        <v>7</v>
      </c>
    </row>
    <row r="2384" spans="4:6">
      <c r="D2384">
        <v>8232</v>
      </c>
      <c r="F2384">
        <v>7</v>
      </c>
    </row>
    <row r="2385" spans="4:6">
      <c r="D2385">
        <v>8235</v>
      </c>
      <c r="F2385">
        <v>7</v>
      </c>
    </row>
    <row r="2386" spans="4:6">
      <c r="D2386">
        <v>8248</v>
      </c>
      <c r="F2386">
        <v>5</v>
      </c>
    </row>
    <row r="2387" spans="4:6">
      <c r="D2387">
        <v>8315</v>
      </c>
      <c r="F2387">
        <v>6</v>
      </c>
    </row>
    <row r="2388" spans="4:6">
      <c r="D2388">
        <v>8360</v>
      </c>
      <c r="F2388">
        <v>7</v>
      </c>
    </row>
    <row r="2389" spans="4:6">
      <c r="D2389">
        <v>8361</v>
      </c>
      <c r="F2389">
        <v>7</v>
      </c>
    </row>
    <row r="2390" spans="4:6">
      <c r="D2390">
        <v>8362</v>
      </c>
      <c r="F2390">
        <v>7</v>
      </c>
    </row>
    <row r="2391" spans="4:6">
      <c r="D2391">
        <v>8363</v>
      </c>
      <c r="F2391">
        <v>7</v>
      </c>
    </row>
    <row r="2392" spans="4:6">
      <c r="D2392">
        <v>8364</v>
      </c>
      <c r="F2392">
        <v>7</v>
      </c>
    </row>
    <row r="2393" spans="4:6">
      <c r="D2393">
        <v>8369</v>
      </c>
      <c r="F2393">
        <v>7</v>
      </c>
    </row>
    <row r="2394" spans="4:6">
      <c r="D2394">
        <v>8380</v>
      </c>
      <c r="F2394">
        <v>7</v>
      </c>
    </row>
    <row r="2395" spans="4:6">
      <c r="D2395">
        <v>8381</v>
      </c>
      <c r="F2395">
        <v>7</v>
      </c>
    </row>
    <row r="2396" spans="4:6">
      <c r="D2396">
        <v>8411</v>
      </c>
      <c r="F2396">
        <v>5</v>
      </c>
    </row>
    <row r="2397" spans="4:6">
      <c r="D2397">
        <v>8412</v>
      </c>
      <c r="F2397">
        <v>5</v>
      </c>
    </row>
    <row r="2398" spans="4:6">
      <c r="D2398">
        <v>8438</v>
      </c>
      <c r="F2398">
        <v>5</v>
      </c>
    </row>
    <row r="2399" spans="4:6">
      <c r="D2399">
        <v>8458</v>
      </c>
      <c r="F2399">
        <v>7</v>
      </c>
    </row>
    <row r="2400" spans="4:6">
      <c r="D2400">
        <v>8475</v>
      </c>
      <c r="F2400">
        <v>5</v>
      </c>
    </row>
    <row r="2401" spans="4:6">
      <c r="D2401">
        <v>8500</v>
      </c>
      <c r="F2401">
        <v>7</v>
      </c>
    </row>
    <row r="2402" spans="4:6">
      <c r="D2402">
        <v>8501</v>
      </c>
      <c r="F2402">
        <v>7</v>
      </c>
    </row>
    <row r="2403" spans="4:6">
      <c r="D2403">
        <v>8502</v>
      </c>
      <c r="F2403">
        <v>7</v>
      </c>
    </row>
    <row r="2404" spans="4:6">
      <c r="D2404">
        <v>8503</v>
      </c>
      <c r="F2404">
        <v>7</v>
      </c>
    </row>
    <row r="2405" spans="4:6">
      <c r="D2405">
        <v>8505</v>
      </c>
      <c r="F2405">
        <v>7</v>
      </c>
    </row>
    <row r="2406" spans="4:6">
      <c r="D2406">
        <v>8511</v>
      </c>
      <c r="F2406">
        <v>7</v>
      </c>
    </row>
    <row r="2407" spans="4:6">
      <c r="D2407">
        <v>8556</v>
      </c>
      <c r="F2407">
        <v>7</v>
      </c>
    </row>
    <row r="2408" spans="4:6">
      <c r="D2408">
        <v>8591</v>
      </c>
      <c r="F2408">
        <v>7</v>
      </c>
    </row>
    <row r="2409" spans="4:6">
      <c r="D2409">
        <v>8593</v>
      </c>
      <c r="F2409">
        <v>7</v>
      </c>
    </row>
    <row r="2410" spans="4:6">
      <c r="D2410">
        <v>8594</v>
      </c>
      <c r="F2410">
        <v>7</v>
      </c>
    </row>
    <row r="2411" spans="4:6">
      <c r="D2411">
        <v>8596</v>
      </c>
      <c r="F2411">
        <v>7</v>
      </c>
    </row>
    <row r="2412" spans="4:6">
      <c r="D2412">
        <v>8598</v>
      </c>
      <c r="F2412">
        <v>7</v>
      </c>
    </row>
    <row r="2413" spans="4:6">
      <c r="D2413">
        <v>8600</v>
      </c>
      <c r="F2413">
        <v>7</v>
      </c>
    </row>
    <row r="2414" spans="4:6">
      <c r="D2414">
        <v>8601</v>
      </c>
      <c r="F2414">
        <v>7</v>
      </c>
    </row>
    <row r="2415" spans="4:6">
      <c r="D2415">
        <v>8602</v>
      </c>
      <c r="F2415">
        <v>7</v>
      </c>
    </row>
    <row r="2416" spans="4:6">
      <c r="D2416">
        <v>8603</v>
      </c>
      <c r="F2416">
        <v>7</v>
      </c>
    </row>
    <row r="2417" spans="4:6">
      <c r="D2417">
        <v>8604</v>
      </c>
      <c r="F2417">
        <v>7</v>
      </c>
    </row>
    <row r="2418" spans="4:6">
      <c r="D2418">
        <v>8609</v>
      </c>
      <c r="F2418">
        <v>7</v>
      </c>
    </row>
    <row r="2419" spans="4:6">
      <c r="D2419">
        <v>8611</v>
      </c>
      <c r="F2419">
        <v>7</v>
      </c>
    </row>
    <row r="2420" spans="4:6">
      <c r="D2420">
        <v>8612</v>
      </c>
      <c r="F2420">
        <v>9</v>
      </c>
    </row>
    <row r="2421" spans="4:6">
      <c r="D2421">
        <v>8613</v>
      </c>
      <c r="F2421">
        <v>9</v>
      </c>
    </row>
    <row r="2422" spans="4:6">
      <c r="D2422">
        <v>8614</v>
      </c>
      <c r="F2422">
        <v>9</v>
      </c>
    </row>
    <row r="2423" spans="4:6">
      <c r="D2423">
        <v>8617</v>
      </c>
      <c r="F2423">
        <v>9</v>
      </c>
    </row>
    <row r="2424" spans="4:6">
      <c r="D2424">
        <v>8618</v>
      </c>
      <c r="F2424">
        <v>9</v>
      </c>
    </row>
    <row r="2425" spans="4:6">
      <c r="D2425">
        <v>8619</v>
      </c>
      <c r="F2425">
        <v>9</v>
      </c>
    </row>
    <row r="2426" spans="4:6">
      <c r="D2426">
        <v>8621</v>
      </c>
      <c r="F2426">
        <v>9</v>
      </c>
    </row>
    <row r="2427" spans="4:6">
      <c r="D2427">
        <v>8622</v>
      </c>
      <c r="F2427">
        <v>9</v>
      </c>
    </row>
    <row r="2428" spans="4:6">
      <c r="D2428">
        <v>8624</v>
      </c>
      <c r="F2428">
        <v>9</v>
      </c>
    </row>
    <row r="2429" spans="4:6">
      <c r="D2429">
        <v>8625</v>
      </c>
      <c r="F2429">
        <v>9</v>
      </c>
    </row>
    <row r="2430" spans="4:6">
      <c r="D2430">
        <v>8626</v>
      </c>
      <c r="F2430">
        <v>9</v>
      </c>
    </row>
    <row r="2431" spans="4:6">
      <c r="D2431">
        <v>8627</v>
      </c>
      <c r="F2431">
        <v>9</v>
      </c>
    </row>
    <row r="2432" spans="4:6">
      <c r="D2432">
        <v>8628</v>
      </c>
      <c r="F2432">
        <v>9</v>
      </c>
    </row>
    <row r="2433" spans="4:6">
      <c r="D2433">
        <v>8635</v>
      </c>
      <c r="F2433">
        <v>9</v>
      </c>
    </row>
    <row r="2434" spans="4:6">
      <c r="D2434">
        <v>8636</v>
      </c>
      <c r="F2434">
        <v>9</v>
      </c>
    </row>
    <row r="2435" spans="4:6">
      <c r="D2435">
        <v>8637</v>
      </c>
      <c r="F2435">
        <v>9</v>
      </c>
    </row>
    <row r="2436" spans="4:6">
      <c r="D2436">
        <v>8638</v>
      </c>
      <c r="F2436">
        <v>10</v>
      </c>
    </row>
    <row r="2437" spans="4:6">
      <c r="D2437">
        <v>8646</v>
      </c>
      <c r="F2437">
        <v>9</v>
      </c>
    </row>
    <row r="2438" spans="4:6">
      <c r="D2438">
        <v>8647</v>
      </c>
      <c r="F2438">
        <v>9</v>
      </c>
    </row>
    <row r="2439" spans="4:6">
      <c r="D2439">
        <v>8648</v>
      </c>
      <c r="F2439">
        <v>9</v>
      </c>
    </row>
    <row r="2440" spans="4:6">
      <c r="D2440">
        <v>8649</v>
      </c>
      <c r="F2440">
        <v>9</v>
      </c>
    </row>
    <row r="2441" spans="4:6">
      <c r="D2441">
        <v>8651</v>
      </c>
      <c r="F2441">
        <v>7</v>
      </c>
    </row>
    <row r="2442" spans="4:6">
      <c r="D2442">
        <v>8652</v>
      </c>
      <c r="F2442">
        <v>9</v>
      </c>
    </row>
    <row r="2443" spans="4:6">
      <c r="D2443">
        <v>8653</v>
      </c>
      <c r="F2443">
        <v>9</v>
      </c>
    </row>
    <row r="2444" spans="4:6">
      <c r="D2444">
        <v>8654</v>
      </c>
      <c r="F2444">
        <v>9</v>
      </c>
    </row>
    <row r="2445" spans="4:6">
      <c r="D2445">
        <v>8655</v>
      </c>
      <c r="F2445">
        <v>9</v>
      </c>
    </row>
    <row r="2446" spans="4:6">
      <c r="D2446">
        <v>8656</v>
      </c>
      <c r="F2446">
        <v>9</v>
      </c>
    </row>
    <row r="2447" spans="4:6">
      <c r="D2447">
        <v>8657</v>
      </c>
      <c r="F2447">
        <v>9</v>
      </c>
    </row>
    <row r="2448" spans="4:6">
      <c r="D2448">
        <v>8658</v>
      </c>
      <c r="F2448">
        <v>9</v>
      </c>
    </row>
    <row r="2449" spans="4:6">
      <c r="D2449">
        <v>8660</v>
      </c>
      <c r="F2449">
        <v>9</v>
      </c>
    </row>
    <row r="2450" spans="4:6">
      <c r="D2450">
        <v>8665</v>
      </c>
      <c r="F2450">
        <v>9</v>
      </c>
    </row>
    <row r="2451" spans="4:6">
      <c r="D2451">
        <v>8666</v>
      </c>
      <c r="F2451">
        <v>9</v>
      </c>
    </row>
    <row r="2452" spans="4:6">
      <c r="D2452">
        <v>8667</v>
      </c>
      <c r="F2452">
        <v>9</v>
      </c>
    </row>
    <row r="2453" spans="4:6">
      <c r="D2453">
        <v>8668</v>
      </c>
      <c r="F2453">
        <v>9</v>
      </c>
    </row>
    <row r="2454" spans="4:6">
      <c r="D2454">
        <v>8669</v>
      </c>
      <c r="F2454">
        <v>9</v>
      </c>
    </row>
    <row r="2455" spans="4:6">
      <c r="D2455">
        <v>8671</v>
      </c>
      <c r="F2455">
        <v>9</v>
      </c>
    </row>
    <row r="2456" spans="4:6">
      <c r="D2456">
        <v>8672</v>
      </c>
      <c r="F2456">
        <v>9</v>
      </c>
    </row>
    <row r="2457" spans="4:6">
      <c r="D2457">
        <v>8673</v>
      </c>
      <c r="F2457">
        <v>9</v>
      </c>
    </row>
    <row r="2458" spans="4:6">
      <c r="D2458">
        <v>8674</v>
      </c>
      <c r="F2458">
        <v>9</v>
      </c>
    </row>
    <row r="2459" spans="4:6">
      <c r="D2459">
        <v>8675</v>
      </c>
      <c r="F2459">
        <v>9</v>
      </c>
    </row>
    <row r="2460" spans="4:6">
      <c r="D2460">
        <v>8676</v>
      </c>
      <c r="F2460">
        <v>9</v>
      </c>
    </row>
    <row r="2461" spans="4:6">
      <c r="D2461">
        <v>8681</v>
      </c>
      <c r="F2461">
        <v>9</v>
      </c>
    </row>
    <row r="2462" spans="4:6">
      <c r="D2462">
        <v>8683</v>
      </c>
      <c r="F2462">
        <v>9</v>
      </c>
    </row>
    <row r="2463" spans="4:6">
      <c r="D2463">
        <v>8684</v>
      </c>
      <c r="F2463">
        <v>9</v>
      </c>
    </row>
    <row r="2464" spans="4:6">
      <c r="D2464">
        <v>8685</v>
      </c>
      <c r="F2464">
        <v>9</v>
      </c>
    </row>
    <row r="2465" spans="4:6">
      <c r="D2465">
        <v>8691</v>
      </c>
      <c r="F2465">
        <v>9</v>
      </c>
    </row>
    <row r="2466" spans="4:6">
      <c r="D2466">
        <v>8692</v>
      </c>
      <c r="F2466">
        <v>9</v>
      </c>
    </row>
    <row r="2467" spans="4:6">
      <c r="D2467">
        <v>8693</v>
      </c>
      <c r="F2467">
        <v>9</v>
      </c>
    </row>
    <row r="2468" spans="4:6">
      <c r="D2468">
        <v>8694</v>
      </c>
      <c r="F2468">
        <v>9</v>
      </c>
    </row>
    <row r="2469" spans="4:6">
      <c r="D2469">
        <v>8695</v>
      </c>
      <c r="F2469">
        <v>9</v>
      </c>
    </row>
    <row r="2470" spans="4:6">
      <c r="D2470">
        <v>8696</v>
      </c>
      <c r="F2470">
        <v>9</v>
      </c>
    </row>
    <row r="2471" spans="4:6">
      <c r="D2471">
        <v>8697</v>
      </c>
      <c r="F2471">
        <v>9</v>
      </c>
    </row>
    <row r="2472" spans="4:6">
      <c r="D2472">
        <v>8698</v>
      </c>
      <c r="F2472">
        <v>9</v>
      </c>
    </row>
    <row r="2473" spans="4:6">
      <c r="D2473">
        <v>8699</v>
      </c>
      <c r="F2473">
        <v>9</v>
      </c>
    </row>
    <row r="2474" spans="4:6">
      <c r="D2474">
        <v>8700</v>
      </c>
      <c r="F2474">
        <v>10</v>
      </c>
    </row>
    <row r="2475" spans="4:6">
      <c r="D2475">
        <v>8705</v>
      </c>
      <c r="F2475">
        <v>9</v>
      </c>
    </row>
    <row r="2476" spans="4:6">
      <c r="D2476">
        <v>8706</v>
      </c>
      <c r="F2476">
        <v>9</v>
      </c>
    </row>
    <row r="2477" spans="4:6">
      <c r="D2477">
        <v>8707</v>
      </c>
      <c r="F2477">
        <v>9</v>
      </c>
    </row>
    <row r="2478" spans="4:6">
      <c r="D2478">
        <v>8708</v>
      </c>
      <c r="F2478">
        <v>9</v>
      </c>
    </row>
    <row r="2479" spans="4:6">
      <c r="D2479">
        <v>8709</v>
      </c>
      <c r="F2479">
        <v>9</v>
      </c>
    </row>
    <row r="2480" spans="4:6">
      <c r="D2480">
        <v>8710</v>
      </c>
      <c r="F2480">
        <v>9</v>
      </c>
    </row>
    <row r="2481" spans="4:6">
      <c r="D2481">
        <v>8711</v>
      </c>
      <c r="F2481">
        <v>9</v>
      </c>
    </row>
    <row r="2482" spans="4:6">
      <c r="D2482">
        <v>8712</v>
      </c>
      <c r="F2482">
        <v>9</v>
      </c>
    </row>
    <row r="2483" spans="4:6">
      <c r="D2483">
        <v>8713</v>
      </c>
      <c r="F2483">
        <v>9</v>
      </c>
    </row>
    <row r="2484" spans="4:6">
      <c r="D2484">
        <v>8714</v>
      </c>
      <c r="F2484">
        <v>9</v>
      </c>
    </row>
    <row r="2485" spans="4:6">
      <c r="D2485">
        <v>8715</v>
      </c>
      <c r="F2485">
        <v>9</v>
      </c>
    </row>
    <row r="2486" spans="4:6">
      <c r="D2486">
        <v>8716</v>
      </c>
      <c r="F2486">
        <v>9</v>
      </c>
    </row>
    <row r="2487" spans="4:6">
      <c r="D2487">
        <v>8717</v>
      </c>
      <c r="F2487">
        <v>9</v>
      </c>
    </row>
    <row r="2488" spans="4:6">
      <c r="D2488">
        <v>8718</v>
      </c>
      <c r="F2488">
        <v>9</v>
      </c>
    </row>
    <row r="2489" spans="4:6">
      <c r="D2489">
        <v>8719</v>
      </c>
      <c r="F2489">
        <v>9</v>
      </c>
    </row>
    <row r="2490" spans="4:6">
      <c r="D2490">
        <v>8721</v>
      </c>
      <c r="F2490">
        <v>9</v>
      </c>
    </row>
    <row r="2491" spans="4:6">
      <c r="D2491">
        <v>8722</v>
      </c>
      <c r="F2491">
        <v>9</v>
      </c>
    </row>
    <row r="2492" spans="4:6">
      <c r="D2492">
        <v>8723</v>
      </c>
      <c r="F2492">
        <v>9</v>
      </c>
    </row>
    <row r="2493" spans="4:6">
      <c r="D2493">
        <v>8724</v>
      </c>
      <c r="F2493">
        <v>9</v>
      </c>
    </row>
    <row r="2494" spans="4:6">
      <c r="D2494">
        <v>8725</v>
      </c>
      <c r="F2494">
        <v>9</v>
      </c>
    </row>
    <row r="2495" spans="4:6">
      <c r="D2495">
        <v>8726</v>
      </c>
      <c r="F2495">
        <v>9</v>
      </c>
    </row>
    <row r="2496" spans="4:6">
      <c r="D2496">
        <v>8728</v>
      </c>
      <c r="F2496">
        <v>9</v>
      </c>
    </row>
    <row r="2497" spans="4:6">
      <c r="D2497">
        <v>8731</v>
      </c>
      <c r="F2497">
        <v>9</v>
      </c>
    </row>
    <row r="2498" spans="4:6">
      <c r="D2498">
        <v>8732</v>
      </c>
      <c r="F2498">
        <v>9</v>
      </c>
    </row>
    <row r="2499" spans="4:6">
      <c r="D2499">
        <v>8733</v>
      </c>
      <c r="F2499">
        <v>9</v>
      </c>
    </row>
    <row r="2500" spans="4:6">
      <c r="D2500">
        <v>8734</v>
      </c>
      <c r="F2500">
        <v>9</v>
      </c>
    </row>
    <row r="2501" spans="4:6">
      <c r="D2501">
        <v>8735</v>
      </c>
      <c r="F2501">
        <v>9</v>
      </c>
    </row>
    <row r="2502" spans="4:6">
      <c r="D2502">
        <v>8736</v>
      </c>
      <c r="F2502">
        <v>9</v>
      </c>
    </row>
    <row r="2503" spans="4:6">
      <c r="D2503">
        <v>8737</v>
      </c>
      <c r="F2503">
        <v>9</v>
      </c>
    </row>
    <row r="2504" spans="4:6">
      <c r="D2504">
        <v>8738</v>
      </c>
      <c r="F2504">
        <v>9</v>
      </c>
    </row>
    <row r="2505" spans="4:6">
      <c r="D2505">
        <v>8739</v>
      </c>
      <c r="F2505">
        <v>9</v>
      </c>
    </row>
    <row r="2506" spans="4:6">
      <c r="D2506">
        <v>8800</v>
      </c>
      <c r="F2506">
        <v>6</v>
      </c>
    </row>
    <row r="2507" spans="4:6">
      <c r="D2507">
        <v>8801</v>
      </c>
      <c r="F2507">
        <v>6</v>
      </c>
    </row>
    <row r="2508" spans="4:6">
      <c r="D2508">
        <v>8802</v>
      </c>
      <c r="F2508">
        <v>6</v>
      </c>
    </row>
    <row r="2509" spans="4:6">
      <c r="D2509">
        <v>8803</v>
      </c>
      <c r="F2509">
        <v>6</v>
      </c>
    </row>
    <row r="2510" spans="4:6">
      <c r="D2510">
        <v>8804</v>
      </c>
      <c r="F2510">
        <v>6</v>
      </c>
    </row>
    <row r="2511" spans="4:6">
      <c r="D2511">
        <v>8808</v>
      </c>
      <c r="F2511">
        <v>6</v>
      </c>
    </row>
    <row r="2512" spans="4:6">
      <c r="D2512">
        <v>8809</v>
      </c>
      <c r="F2512">
        <v>6</v>
      </c>
    </row>
    <row r="2513" spans="4:6">
      <c r="D2513">
        <v>8823</v>
      </c>
      <c r="F2513">
        <v>6</v>
      </c>
    </row>
    <row r="2514" spans="4:6">
      <c r="D2514">
        <v>8831</v>
      </c>
      <c r="F2514">
        <v>6</v>
      </c>
    </row>
    <row r="2515" spans="4:6">
      <c r="D2515">
        <v>8833</v>
      </c>
      <c r="F2515">
        <v>6</v>
      </c>
    </row>
    <row r="2516" spans="4:6">
      <c r="D2516">
        <v>8835</v>
      </c>
      <c r="F2516">
        <v>6</v>
      </c>
    </row>
    <row r="2517" spans="4:6">
      <c r="D2517">
        <v>8840</v>
      </c>
      <c r="F2517">
        <v>9</v>
      </c>
    </row>
    <row r="2518" spans="4:6">
      <c r="D2518">
        <v>8849</v>
      </c>
      <c r="F2518">
        <v>9</v>
      </c>
    </row>
    <row r="2519" spans="4:6">
      <c r="D2519">
        <v>8851</v>
      </c>
      <c r="F2519">
        <v>9</v>
      </c>
    </row>
    <row r="2520" spans="4:6">
      <c r="D2520">
        <v>8852</v>
      </c>
      <c r="F2520">
        <v>9</v>
      </c>
    </row>
    <row r="2521" spans="4:6">
      <c r="D2521">
        <v>8853</v>
      </c>
      <c r="F2521">
        <v>9</v>
      </c>
    </row>
    <row r="2522" spans="4:6">
      <c r="D2522">
        <v>8854</v>
      </c>
      <c r="F2522">
        <v>9</v>
      </c>
    </row>
    <row r="2523" spans="4:6">
      <c r="D2523">
        <v>8858</v>
      </c>
      <c r="F2523">
        <v>9</v>
      </c>
    </row>
    <row r="2524" spans="4:6">
      <c r="D2524">
        <v>8896</v>
      </c>
      <c r="F2524">
        <v>7</v>
      </c>
    </row>
    <row r="2525" spans="4:6">
      <c r="D2525">
        <v>8900</v>
      </c>
      <c r="F2525">
        <v>6</v>
      </c>
    </row>
    <row r="2526" spans="4:6">
      <c r="D2526">
        <v>8901</v>
      </c>
      <c r="F2526">
        <v>6</v>
      </c>
    </row>
    <row r="2527" spans="4:6">
      <c r="D2527">
        <v>8902</v>
      </c>
      <c r="F2527">
        <v>6</v>
      </c>
    </row>
    <row r="2528" spans="4:6">
      <c r="D2528">
        <v>8903</v>
      </c>
      <c r="F2528">
        <v>6</v>
      </c>
    </row>
    <row r="2529" spans="4:6">
      <c r="D2529">
        <v>8904</v>
      </c>
      <c r="F2529">
        <v>6</v>
      </c>
    </row>
    <row r="2530" spans="4:6">
      <c r="D2530">
        <v>8905</v>
      </c>
      <c r="F2530">
        <v>6</v>
      </c>
    </row>
    <row r="2531" spans="4:6">
      <c r="D2531">
        <v>8906</v>
      </c>
      <c r="F2531">
        <v>6</v>
      </c>
    </row>
    <row r="2532" spans="4:6">
      <c r="D2532">
        <v>8907</v>
      </c>
      <c r="F2532">
        <v>6</v>
      </c>
    </row>
    <row r="2533" spans="4:6">
      <c r="D2533">
        <v>8908</v>
      </c>
      <c r="F2533">
        <v>6</v>
      </c>
    </row>
    <row r="2534" spans="4:6">
      <c r="D2534">
        <v>8909</v>
      </c>
      <c r="F2534">
        <v>6</v>
      </c>
    </row>
    <row r="2535" spans="4:6">
      <c r="D2535">
        <v>8934</v>
      </c>
      <c r="F2535">
        <v>7</v>
      </c>
    </row>
    <row r="2536" spans="4:6">
      <c r="D2536">
        <v>8941</v>
      </c>
      <c r="F2536">
        <v>6</v>
      </c>
    </row>
    <row r="2537" spans="4:6">
      <c r="D2537">
        <v>8960</v>
      </c>
      <c r="F2537">
        <v>7</v>
      </c>
    </row>
    <row r="2538" spans="4:6">
      <c r="D2538">
        <v>8961</v>
      </c>
      <c r="F2538">
        <v>7</v>
      </c>
    </row>
    <row r="2539" spans="4:6">
      <c r="D2539">
        <v>8966</v>
      </c>
      <c r="F2539">
        <v>7</v>
      </c>
    </row>
    <row r="2540" spans="4:6">
      <c r="D2540">
        <v>8967</v>
      </c>
      <c r="F2540">
        <v>7</v>
      </c>
    </row>
    <row r="2541" spans="4:6">
      <c r="D2541">
        <v>9000</v>
      </c>
      <c r="F2541">
        <v>7</v>
      </c>
    </row>
    <row r="2542" spans="4:6">
      <c r="D2542">
        <v>9001</v>
      </c>
      <c r="F2542">
        <v>6</v>
      </c>
    </row>
    <row r="2543" spans="4:6">
      <c r="D2543">
        <v>9002</v>
      </c>
      <c r="F2543">
        <v>6</v>
      </c>
    </row>
    <row r="2544" spans="4:6">
      <c r="D2544">
        <v>9003</v>
      </c>
      <c r="F2544">
        <v>6</v>
      </c>
    </row>
    <row r="2545" spans="4:6">
      <c r="D2545">
        <v>9004</v>
      </c>
      <c r="F2545">
        <v>6</v>
      </c>
    </row>
    <row r="2546" spans="4:6">
      <c r="D2546">
        <v>9005</v>
      </c>
      <c r="F2546">
        <v>6</v>
      </c>
    </row>
    <row r="2547" spans="4:6">
      <c r="D2547">
        <v>9006</v>
      </c>
      <c r="F2547">
        <v>6</v>
      </c>
    </row>
    <row r="2548" spans="4:6">
      <c r="D2548">
        <v>9007</v>
      </c>
      <c r="F2548">
        <v>6</v>
      </c>
    </row>
    <row r="2549" spans="4:6">
      <c r="D2549">
        <v>9008</v>
      </c>
      <c r="F2549">
        <v>6</v>
      </c>
    </row>
    <row r="2550" spans="4:6">
      <c r="D2550">
        <v>9009</v>
      </c>
      <c r="F2550">
        <v>6</v>
      </c>
    </row>
    <row r="2551" spans="4:6">
      <c r="D2551">
        <v>9010</v>
      </c>
      <c r="F2551">
        <v>7</v>
      </c>
    </row>
    <row r="2552" spans="4:6">
      <c r="D2552">
        <v>9011</v>
      </c>
      <c r="F2552">
        <v>6</v>
      </c>
    </row>
    <row r="2553" spans="4:6">
      <c r="D2553">
        <v>9012</v>
      </c>
      <c r="F2553">
        <v>6</v>
      </c>
    </row>
    <row r="2554" spans="4:6">
      <c r="D2554">
        <v>9013</v>
      </c>
      <c r="F2554">
        <v>6</v>
      </c>
    </row>
    <row r="2555" spans="4:6">
      <c r="D2555">
        <v>9018</v>
      </c>
      <c r="F2555">
        <v>6</v>
      </c>
    </row>
    <row r="2556" spans="4:6">
      <c r="D2556">
        <v>9019</v>
      </c>
      <c r="F2556">
        <v>6</v>
      </c>
    </row>
    <row r="2557" spans="4:6">
      <c r="D2557">
        <v>9021</v>
      </c>
      <c r="F2557">
        <v>6</v>
      </c>
    </row>
    <row r="2558" spans="4:6">
      <c r="D2558">
        <v>9022</v>
      </c>
      <c r="F2558">
        <v>6</v>
      </c>
    </row>
    <row r="2559" spans="4:6">
      <c r="D2559">
        <v>9023</v>
      </c>
      <c r="F2559">
        <v>6</v>
      </c>
    </row>
    <row r="2560" spans="4:6">
      <c r="D2560">
        <v>9024</v>
      </c>
      <c r="F2560">
        <v>6</v>
      </c>
    </row>
    <row r="2561" spans="4:6">
      <c r="D2561">
        <v>9025</v>
      </c>
      <c r="F2561">
        <v>6</v>
      </c>
    </row>
    <row r="2562" spans="4:6">
      <c r="D2562">
        <v>9026</v>
      </c>
      <c r="F2562">
        <v>6</v>
      </c>
    </row>
    <row r="2563" spans="4:6">
      <c r="D2563">
        <v>9027</v>
      </c>
      <c r="F2563">
        <v>6</v>
      </c>
    </row>
    <row r="2564" spans="4:6">
      <c r="D2564">
        <v>9028</v>
      </c>
      <c r="F2564">
        <v>6</v>
      </c>
    </row>
    <row r="2565" spans="4:6">
      <c r="D2565">
        <v>9029</v>
      </c>
      <c r="F2565">
        <v>6</v>
      </c>
    </row>
    <row r="2566" spans="4:6">
      <c r="D2566">
        <v>9030</v>
      </c>
      <c r="F2566">
        <v>6</v>
      </c>
    </row>
    <row r="2567" spans="4:6">
      <c r="D2567">
        <v>9040</v>
      </c>
      <c r="F2567">
        <v>6</v>
      </c>
    </row>
    <row r="2568" spans="4:6">
      <c r="D2568">
        <v>9083</v>
      </c>
      <c r="F2568">
        <v>6</v>
      </c>
    </row>
    <row r="2569" spans="4:6">
      <c r="D2569">
        <v>9153</v>
      </c>
      <c r="F2569">
        <v>6</v>
      </c>
    </row>
    <row r="2570" spans="4:6">
      <c r="D2570">
        <v>9154</v>
      </c>
      <c r="F2570">
        <v>6</v>
      </c>
    </row>
    <row r="2571" spans="4:6">
      <c r="D2571">
        <v>9174</v>
      </c>
      <c r="F2571">
        <v>6</v>
      </c>
    </row>
    <row r="2572" spans="4:6">
      <c r="D2572">
        <v>9200</v>
      </c>
      <c r="F2572">
        <v>5</v>
      </c>
    </row>
    <row r="2573" spans="4:6">
      <c r="D2573">
        <v>9201</v>
      </c>
      <c r="F2573">
        <v>5</v>
      </c>
    </row>
    <row r="2574" spans="4:6">
      <c r="D2574">
        <v>9202</v>
      </c>
      <c r="F2574">
        <v>5</v>
      </c>
    </row>
    <row r="2575" spans="4:6">
      <c r="D2575">
        <v>9203</v>
      </c>
      <c r="F2575">
        <v>5</v>
      </c>
    </row>
    <row r="2576" spans="4:6">
      <c r="D2576">
        <v>9245</v>
      </c>
      <c r="F2576">
        <v>6</v>
      </c>
    </row>
    <row r="2577" spans="4:6">
      <c r="D2577">
        <v>9400</v>
      </c>
      <c r="F2577">
        <v>4</v>
      </c>
    </row>
    <row r="2578" spans="4:6">
      <c r="D2578">
        <v>9401</v>
      </c>
      <c r="F2578">
        <v>4</v>
      </c>
    </row>
    <row r="2579" spans="4:6">
      <c r="D2579">
        <v>9402</v>
      </c>
      <c r="F2579">
        <v>4</v>
      </c>
    </row>
    <row r="2580" spans="4:6">
      <c r="D2580">
        <v>9403</v>
      </c>
      <c r="F2580">
        <v>4</v>
      </c>
    </row>
    <row r="2581" spans="4:6">
      <c r="D2581">
        <v>9404</v>
      </c>
      <c r="F2581">
        <v>4</v>
      </c>
    </row>
    <row r="2582" spans="4:6">
      <c r="D2582">
        <v>9405</v>
      </c>
      <c r="F2582">
        <v>4</v>
      </c>
    </row>
    <row r="2583" spans="4:6">
      <c r="D2583">
        <v>9406</v>
      </c>
      <c r="F2583">
        <v>4</v>
      </c>
    </row>
    <row r="2584" spans="4:6">
      <c r="D2584">
        <v>9407</v>
      </c>
      <c r="F2584">
        <v>4</v>
      </c>
    </row>
    <row r="2585" spans="4:6">
      <c r="D2585">
        <v>9408</v>
      </c>
      <c r="F2585">
        <v>4</v>
      </c>
    </row>
    <row r="2586" spans="4:6">
      <c r="D2586">
        <v>9409</v>
      </c>
      <c r="F2586">
        <v>4</v>
      </c>
    </row>
    <row r="2587" spans="4:6">
      <c r="D2587">
        <v>9421</v>
      </c>
      <c r="F2587">
        <v>6</v>
      </c>
    </row>
    <row r="2588" spans="4:6">
      <c r="D2588">
        <v>9422</v>
      </c>
      <c r="F2588">
        <v>4</v>
      </c>
    </row>
    <row r="2589" spans="4:6">
      <c r="D2589">
        <v>9433</v>
      </c>
      <c r="F2589">
        <v>6</v>
      </c>
    </row>
    <row r="2590" spans="4:6">
      <c r="D2590">
        <v>9494</v>
      </c>
      <c r="F2590">
        <v>4</v>
      </c>
    </row>
    <row r="2591" spans="4:6">
      <c r="D2591">
        <v>9511</v>
      </c>
      <c r="F2591">
        <v>9</v>
      </c>
    </row>
    <row r="2592" spans="4:6">
      <c r="D2592">
        <v>9512</v>
      </c>
      <c r="F2592">
        <v>9</v>
      </c>
    </row>
    <row r="2593" spans="4:6">
      <c r="D2593">
        <v>9513</v>
      </c>
      <c r="F2593">
        <v>9</v>
      </c>
    </row>
    <row r="2594" spans="4:6">
      <c r="D2594">
        <v>9514</v>
      </c>
      <c r="F2594">
        <v>9</v>
      </c>
    </row>
    <row r="2595" spans="4:6">
      <c r="D2595">
        <v>9515</v>
      </c>
      <c r="F2595">
        <v>9</v>
      </c>
    </row>
    <row r="2596" spans="4:6">
      <c r="D2596">
        <v>9516</v>
      </c>
      <c r="F2596">
        <v>9</v>
      </c>
    </row>
    <row r="2597" spans="4:6">
      <c r="D2597">
        <v>9517</v>
      </c>
      <c r="F2597">
        <v>9</v>
      </c>
    </row>
    <row r="2598" spans="4:6">
      <c r="D2598">
        <v>9521</v>
      </c>
      <c r="F2598">
        <v>9</v>
      </c>
    </row>
    <row r="2599" spans="4:6">
      <c r="D2599">
        <v>9522</v>
      </c>
      <c r="F2599">
        <v>9</v>
      </c>
    </row>
    <row r="2600" spans="4:6">
      <c r="D2600">
        <v>9523</v>
      </c>
      <c r="F2600">
        <v>9</v>
      </c>
    </row>
    <row r="2601" spans="4:6">
      <c r="D2601">
        <v>9531</v>
      </c>
      <c r="F2601">
        <v>9</v>
      </c>
    </row>
    <row r="2602" spans="4:6">
      <c r="D2602">
        <v>9541</v>
      </c>
      <c r="F2602">
        <v>9</v>
      </c>
    </row>
    <row r="2603" spans="4:6">
      <c r="D2603">
        <v>9542</v>
      </c>
      <c r="F2603">
        <v>9</v>
      </c>
    </row>
    <row r="2604" spans="4:6">
      <c r="D2604">
        <v>9544</v>
      </c>
      <c r="F2604">
        <v>9</v>
      </c>
    </row>
    <row r="2605" spans="4:6">
      <c r="D2605">
        <v>9545</v>
      </c>
      <c r="F2605">
        <v>9</v>
      </c>
    </row>
    <row r="2606" spans="4:6">
      <c r="D2606">
        <v>9547</v>
      </c>
      <c r="F2606">
        <v>9</v>
      </c>
    </row>
    <row r="2607" spans="4:6">
      <c r="D2607">
        <v>9548</v>
      </c>
      <c r="F2607">
        <v>9</v>
      </c>
    </row>
    <row r="2608" spans="4:6">
      <c r="D2608">
        <v>9549</v>
      </c>
      <c r="F2608">
        <v>7</v>
      </c>
    </row>
    <row r="2609" spans="4:6">
      <c r="D2609">
        <v>9551</v>
      </c>
      <c r="F2609">
        <v>9</v>
      </c>
    </row>
    <row r="2610" spans="4:6">
      <c r="D2610">
        <v>9552</v>
      </c>
      <c r="F2610">
        <v>9</v>
      </c>
    </row>
    <row r="2611" spans="4:6">
      <c r="D2611">
        <v>9553</v>
      </c>
      <c r="F2611">
        <v>9</v>
      </c>
    </row>
    <row r="2612" spans="4:6">
      <c r="D2612">
        <v>9554</v>
      </c>
      <c r="F2612">
        <v>9</v>
      </c>
    </row>
    <row r="2613" spans="4:6">
      <c r="D2613">
        <v>9555</v>
      </c>
      <c r="F2613">
        <v>9</v>
      </c>
    </row>
    <row r="2614" spans="4:6">
      <c r="D2614">
        <v>9556</v>
      </c>
      <c r="F2614">
        <v>9</v>
      </c>
    </row>
    <row r="2615" spans="4:6">
      <c r="D2615">
        <v>9561</v>
      </c>
      <c r="F2615">
        <v>9</v>
      </c>
    </row>
    <row r="2616" spans="4:6">
      <c r="D2616">
        <v>9600</v>
      </c>
      <c r="F2616">
        <v>7</v>
      </c>
    </row>
    <row r="2617" spans="4:6">
      <c r="D2617">
        <v>9601</v>
      </c>
      <c r="F2617">
        <v>7</v>
      </c>
    </row>
    <row r="2618" spans="4:6">
      <c r="D2618">
        <v>9602</v>
      </c>
      <c r="F2618">
        <v>7</v>
      </c>
    </row>
    <row r="2619" spans="4:6">
      <c r="D2619">
        <v>9608</v>
      </c>
      <c r="F2619">
        <v>7</v>
      </c>
    </row>
    <row r="2620" spans="4:6">
      <c r="D2620">
        <v>9609</v>
      </c>
      <c r="F2620">
        <v>7</v>
      </c>
    </row>
    <row r="2621" spans="4:6">
      <c r="D2621">
        <v>9611</v>
      </c>
      <c r="F2621">
        <v>9</v>
      </c>
    </row>
    <row r="2622" spans="4:6">
      <c r="D2622">
        <v>9612</v>
      </c>
      <c r="F2622">
        <v>9</v>
      </c>
    </row>
    <row r="2623" spans="4:6">
      <c r="D2623">
        <v>9621</v>
      </c>
      <c r="F2623">
        <v>9</v>
      </c>
    </row>
    <row r="2624" spans="4:6">
      <c r="D2624">
        <v>9622</v>
      </c>
      <c r="F2624">
        <v>9</v>
      </c>
    </row>
    <row r="2625" spans="4:6">
      <c r="D2625">
        <v>9623</v>
      </c>
      <c r="F2625">
        <v>9</v>
      </c>
    </row>
    <row r="2626" spans="4:6">
      <c r="D2626">
        <v>9624</v>
      </c>
      <c r="F2626">
        <v>9</v>
      </c>
    </row>
    <row r="2627" spans="4:6">
      <c r="D2627">
        <v>9625</v>
      </c>
      <c r="F2627">
        <v>9</v>
      </c>
    </row>
    <row r="2628" spans="4:6">
      <c r="D2628">
        <v>9631</v>
      </c>
      <c r="F2628">
        <v>9</v>
      </c>
    </row>
    <row r="2629" spans="4:6">
      <c r="D2629">
        <v>9632</v>
      </c>
      <c r="F2629">
        <v>9</v>
      </c>
    </row>
    <row r="2630" spans="4:6">
      <c r="D2630">
        <v>9633</v>
      </c>
      <c r="F2630">
        <v>9</v>
      </c>
    </row>
    <row r="2631" spans="4:6">
      <c r="D2631">
        <v>9634</v>
      </c>
      <c r="F2631">
        <v>9</v>
      </c>
    </row>
    <row r="2632" spans="4:6">
      <c r="D2632">
        <v>9635</v>
      </c>
      <c r="F2632">
        <v>9</v>
      </c>
    </row>
    <row r="2633" spans="4:6">
      <c r="D2633">
        <v>9636</v>
      </c>
      <c r="F2633">
        <v>9</v>
      </c>
    </row>
    <row r="2634" spans="4:6">
      <c r="D2634">
        <v>9641</v>
      </c>
      <c r="F2634">
        <v>7</v>
      </c>
    </row>
    <row r="2635" spans="4:6">
      <c r="D2635">
        <v>9642</v>
      </c>
      <c r="F2635">
        <v>7</v>
      </c>
    </row>
    <row r="2636" spans="4:6">
      <c r="D2636">
        <v>9643</v>
      </c>
      <c r="F2636">
        <v>9</v>
      </c>
    </row>
    <row r="2637" spans="4:6">
      <c r="D2637">
        <v>9651</v>
      </c>
      <c r="F2637">
        <v>9</v>
      </c>
    </row>
    <row r="2638" spans="4:6">
      <c r="D2638">
        <v>9652</v>
      </c>
      <c r="F2638">
        <v>9</v>
      </c>
    </row>
    <row r="2639" spans="4:6">
      <c r="D2639">
        <v>9653</v>
      </c>
      <c r="F2639">
        <v>9</v>
      </c>
    </row>
    <row r="2640" spans="4:6">
      <c r="D2640">
        <v>9654</v>
      </c>
      <c r="F2640">
        <v>9</v>
      </c>
    </row>
    <row r="2641" spans="4:6">
      <c r="D2641">
        <v>9661</v>
      </c>
      <c r="F2641">
        <v>9</v>
      </c>
    </row>
    <row r="2642" spans="4:6">
      <c r="D2642">
        <v>9662</v>
      </c>
      <c r="F2642">
        <v>9</v>
      </c>
    </row>
    <row r="2643" spans="4:6">
      <c r="D2643">
        <v>9663</v>
      </c>
      <c r="F2643">
        <v>9</v>
      </c>
    </row>
    <row r="2644" spans="4:6">
      <c r="D2644">
        <v>9664</v>
      </c>
      <c r="F2644">
        <v>9</v>
      </c>
    </row>
    <row r="2645" spans="4:6">
      <c r="D2645">
        <v>9665</v>
      </c>
      <c r="F2645">
        <v>9</v>
      </c>
    </row>
    <row r="2646" spans="4:6">
      <c r="D2646">
        <v>9671</v>
      </c>
      <c r="F2646">
        <v>9</v>
      </c>
    </row>
    <row r="2647" spans="4:6">
      <c r="D2647">
        <v>9672</v>
      </c>
      <c r="F2647">
        <v>9</v>
      </c>
    </row>
    <row r="2648" spans="4:6">
      <c r="D2648">
        <v>9673</v>
      </c>
      <c r="F2648">
        <v>9</v>
      </c>
    </row>
    <row r="2649" spans="4:6">
      <c r="D2649">
        <v>9674</v>
      </c>
      <c r="F2649">
        <v>9</v>
      </c>
    </row>
    <row r="2650" spans="4:6">
      <c r="D2650">
        <v>9675</v>
      </c>
      <c r="F2650">
        <v>9</v>
      </c>
    </row>
    <row r="2651" spans="4:6">
      <c r="D2651">
        <v>9676</v>
      </c>
      <c r="F2651">
        <v>9</v>
      </c>
    </row>
    <row r="2652" spans="4:6">
      <c r="D2652">
        <v>9681</v>
      </c>
      <c r="F2652">
        <v>9</v>
      </c>
    </row>
    <row r="2653" spans="4:6">
      <c r="D2653">
        <v>9682</v>
      </c>
      <c r="F2653">
        <v>9</v>
      </c>
    </row>
    <row r="2654" spans="4:6">
      <c r="D2654">
        <v>9683</v>
      </c>
      <c r="F2654">
        <v>9</v>
      </c>
    </row>
    <row r="2655" spans="4:6">
      <c r="D2655">
        <v>9684</v>
      </c>
      <c r="F2655">
        <v>9</v>
      </c>
    </row>
    <row r="2656" spans="4:6">
      <c r="D2656">
        <v>9685</v>
      </c>
      <c r="F2656">
        <v>9</v>
      </c>
    </row>
    <row r="2657" spans="4:6">
      <c r="D2657">
        <v>9700</v>
      </c>
      <c r="F2657">
        <v>5</v>
      </c>
    </row>
    <row r="2658" spans="4:6">
      <c r="D2658">
        <v>9701</v>
      </c>
      <c r="F2658">
        <v>5</v>
      </c>
    </row>
    <row r="2659" spans="4:6">
      <c r="D2659">
        <v>9702</v>
      </c>
      <c r="F2659">
        <v>5</v>
      </c>
    </row>
    <row r="2660" spans="4:6">
      <c r="D2660">
        <v>9703</v>
      </c>
      <c r="F2660">
        <v>5</v>
      </c>
    </row>
    <row r="2661" spans="4:6">
      <c r="D2661">
        <v>9704</v>
      </c>
      <c r="F2661">
        <v>5</v>
      </c>
    </row>
    <row r="2662" spans="4:6">
      <c r="D2662">
        <v>9705</v>
      </c>
      <c r="F2662">
        <v>5</v>
      </c>
    </row>
    <row r="2663" spans="4:6">
      <c r="D2663">
        <v>9706</v>
      </c>
      <c r="F2663">
        <v>5</v>
      </c>
    </row>
    <row r="2664" spans="4:6">
      <c r="D2664">
        <v>9707</v>
      </c>
      <c r="F2664">
        <v>5</v>
      </c>
    </row>
    <row r="2665" spans="4:6">
      <c r="D2665">
        <v>9708</v>
      </c>
      <c r="F2665">
        <v>5</v>
      </c>
    </row>
    <row r="2666" spans="4:6">
      <c r="D2666">
        <v>9709</v>
      </c>
      <c r="F2666">
        <v>5</v>
      </c>
    </row>
    <row r="2667" spans="4:6">
      <c r="D2667">
        <v>9710</v>
      </c>
      <c r="F2667">
        <v>5</v>
      </c>
    </row>
    <row r="2668" spans="4:6">
      <c r="D2668">
        <v>9719</v>
      </c>
      <c r="F2668">
        <v>9</v>
      </c>
    </row>
    <row r="2669" spans="4:6">
      <c r="D2669">
        <v>9722</v>
      </c>
      <c r="F2669">
        <v>9</v>
      </c>
    </row>
    <row r="2670" spans="4:6">
      <c r="D2670">
        <v>9723</v>
      </c>
      <c r="F2670">
        <v>9</v>
      </c>
    </row>
    <row r="2671" spans="4:6">
      <c r="D2671">
        <v>9724</v>
      </c>
      <c r="F2671">
        <v>9</v>
      </c>
    </row>
    <row r="2672" spans="4:6">
      <c r="D2672">
        <v>9725</v>
      </c>
      <c r="F2672">
        <v>9</v>
      </c>
    </row>
    <row r="2673" spans="4:6">
      <c r="D2673">
        <v>9726</v>
      </c>
      <c r="F2673">
        <v>9</v>
      </c>
    </row>
    <row r="2674" spans="4:6">
      <c r="D2674">
        <v>9727</v>
      </c>
      <c r="F2674">
        <v>9</v>
      </c>
    </row>
    <row r="2675" spans="4:6">
      <c r="D2675">
        <v>9733</v>
      </c>
      <c r="F2675">
        <v>9</v>
      </c>
    </row>
    <row r="2676" spans="4:6">
      <c r="D2676">
        <v>9734</v>
      </c>
      <c r="F2676">
        <v>9</v>
      </c>
    </row>
    <row r="2677" spans="4:6">
      <c r="D2677">
        <v>9736</v>
      </c>
      <c r="F2677">
        <v>9</v>
      </c>
    </row>
    <row r="2678" spans="4:6">
      <c r="D2678">
        <v>9738</v>
      </c>
      <c r="F2678">
        <v>9</v>
      </c>
    </row>
    <row r="2679" spans="4:6">
      <c r="D2679">
        <v>9739</v>
      </c>
      <c r="F2679">
        <v>9</v>
      </c>
    </row>
    <row r="2680" spans="4:6">
      <c r="D2680">
        <v>9740</v>
      </c>
      <c r="F2680">
        <v>9</v>
      </c>
    </row>
    <row r="2681" spans="4:6">
      <c r="D2681">
        <v>9741</v>
      </c>
      <c r="F2681">
        <v>9</v>
      </c>
    </row>
    <row r="2682" spans="4:6">
      <c r="D2682">
        <v>9742</v>
      </c>
      <c r="F2682">
        <v>9</v>
      </c>
    </row>
    <row r="2683" spans="4:6">
      <c r="D2683">
        <v>9743</v>
      </c>
      <c r="F2683">
        <v>9</v>
      </c>
    </row>
    <row r="2684" spans="4:6">
      <c r="D2684">
        <v>9744</v>
      </c>
      <c r="F2684">
        <v>9</v>
      </c>
    </row>
    <row r="2685" spans="4:6">
      <c r="D2685">
        <v>9745</v>
      </c>
      <c r="F2685">
        <v>9</v>
      </c>
    </row>
    <row r="2686" spans="4:6">
      <c r="D2686">
        <v>9746</v>
      </c>
      <c r="F2686">
        <v>9</v>
      </c>
    </row>
    <row r="2687" spans="4:6">
      <c r="D2687">
        <v>9747</v>
      </c>
      <c r="F2687">
        <v>9</v>
      </c>
    </row>
    <row r="2688" spans="4:6">
      <c r="D2688">
        <v>9748</v>
      </c>
      <c r="F2688">
        <v>9</v>
      </c>
    </row>
    <row r="2689" spans="4:6">
      <c r="D2689">
        <v>9749</v>
      </c>
      <c r="F2689">
        <v>9</v>
      </c>
    </row>
    <row r="2690" spans="4:6">
      <c r="D2690">
        <v>9751</v>
      </c>
      <c r="F2690">
        <v>5</v>
      </c>
    </row>
    <row r="2691" spans="4:6">
      <c r="D2691">
        <v>9752</v>
      </c>
      <c r="F2691">
        <v>9</v>
      </c>
    </row>
    <row r="2692" spans="4:6">
      <c r="D2692">
        <v>9754</v>
      </c>
      <c r="F2692">
        <v>9</v>
      </c>
    </row>
    <row r="2693" spans="4:6">
      <c r="D2693">
        <v>9756</v>
      </c>
      <c r="F2693">
        <v>9</v>
      </c>
    </row>
    <row r="2694" spans="4:6">
      <c r="D2694">
        <v>9757</v>
      </c>
      <c r="F2694">
        <v>9</v>
      </c>
    </row>
    <row r="2695" spans="4:6">
      <c r="D2695">
        <v>9758</v>
      </c>
      <c r="F2695">
        <v>9</v>
      </c>
    </row>
    <row r="2696" spans="4:6">
      <c r="D2696">
        <v>9762</v>
      </c>
      <c r="F2696">
        <v>9</v>
      </c>
    </row>
    <row r="2697" spans="4:6">
      <c r="D2697">
        <v>9763</v>
      </c>
      <c r="F2697">
        <v>9</v>
      </c>
    </row>
    <row r="2698" spans="4:6">
      <c r="D2698">
        <v>9764</v>
      </c>
      <c r="F2698">
        <v>9</v>
      </c>
    </row>
    <row r="2699" spans="4:6">
      <c r="D2699">
        <v>9765</v>
      </c>
      <c r="F2699">
        <v>9</v>
      </c>
    </row>
    <row r="2700" spans="4:6">
      <c r="D2700">
        <v>9766</v>
      </c>
      <c r="F2700">
        <v>9</v>
      </c>
    </row>
    <row r="2701" spans="4:6">
      <c r="D2701">
        <v>9771</v>
      </c>
      <c r="F2701">
        <v>9</v>
      </c>
    </row>
    <row r="2702" spans="4:6">
      <c r="D2702">
        <v>9772</v>
      </c>
      <c r="F2702">
        <v>9</v>
      </c>
    </row>
    <row r="2703" spans="4:6">
      <c r="D2703">
        <v>9773</v>
      </c>
      <c r="F2703">
        <v>9</v>
      </c>
    </row>
    <row r="2704" spans="4:6">
      <c r="D2704">
        <v>9774</v>
      </c>
      <c r="F2704">
        <v>9</v>
      </c>
    </row>
    <row r="2705" spans="4:6">
      <c r="D2705">
        <v>9775</v>
      </c>
      <c r="F2705">
        <v>9</v>
      </c>
    </row>
    <row r="2706" spans="4:6">
      <c r="D2706">
        <v>9776</v>
      </c>
      <c r="F2706">
        <v>9</v>
      </c>
    </row>
    <row r="2707" spans="4:6">
      <c r="D2707">
        <v>9777</v>
      </c>
      <c r="F2707">
        <v>9</v>
      </c>
    </row>
    <row r="2708" spans="4:6">
      <c r="D2708">
        <v>9781</v>
      </c>
      <c r="F2708">
        <v>9</v>
      </c>
    </row>
    <row r="2709" spans="4:6">
      <c r="D2709">
        <v>9782</v>
      </c>
      <c r="F2709">
        <v>9</v>
      </c>
    </row>
    <row r="2710" spans="4:6">
      <c r="D2710">
        <v>9783</v>
      </c>
      <c r="F2710">
        <v>9</v>
      </c>
    </row>
    <row r="2711" spans="4:6">
      <c r="D2711">
        <v>9784</v>
      </c>
      <c r="F2711">
        <v>9</v>
      </c>
    </row>
    <row r="2712" spans="4:6">
      <c r="D2712">
        <v>9792</v>
      </c>
      <c r="F2712">
        <v>9</v>
      </c>
    </row>
    <row r="2713" spans="4:6">
      <c r="D2713">
        <v>9793</v>
      </c>
      <c r="F2713">
        <v>9</v>
      </c>
    </row>
    <row r="2714" spans="4:6">
      <c r="D2714">
        <v>9794</v>
      </c>
      <c r="F2714">
        <v>9</v>
      </c>
    </row>
    <row r="2715" spans="4:6">
      <c r="D2715">
        <v>9795</v>
      </c>
      <c r="F2715">
        <v>9</v>
      </c>
    </row>
    <row r="2716" spans="4:6">
      <c r="D2716">
        <v>9796</v>
      </c>
      <c r="F2716">
        <v>9</v>
      </c>
    </row>
    <row r="2717" spans="4:6">
      <c r="D2717">
        <v>9798</v>
      </c>
      <c r="F2717">
        <v>9</v>
      </c>
    </row>
    <row r="2718" spans="4:6">
      <c r="D2718">
        <v>9799</v>
      </c>
      <c r="F2718">
        <v>9</v>
      </c>
    </row>
    <row r="2719" spans="4:6">
      <c r="D2719">
        <v>9800</v>
      </c>
      <c r="F2719">
        <v>9</v>
      </c>
    </row>
    <row r="2720" spans="4:6">
      <c r="D2720">
        <v>9801</v>
      </c>
      <c r="F2720">
        <v>9</v>
      </c>
    </row>
    <row r="2721" spans="4:6">
      <c r="D2721">
        <v>9811</v>
      </c>
      <c r="F2721">
        <v>9</v>
      </c>
    </row>
    <row r="2722" spans="4:6">
      <c r="D2722">
        <v>9812</v>
      </c>
      <c r="F2722">
        <v>9</v>
      </c>
    </row>
    <row r="2723" spans="4:6">
      <c r="D2723">
        <v>9813</v>
      </c>
      <c r="F2723">
        <v>9</v>
      </c>
    </row>
    <row r="2724" spans="4:6">
      <c r="D2724">
        <v>9814</v>
      </c>
      <c r="F2724">
        <v>9</v>
      </c>
    </row>
    <row r="2725" spans="4:6">
      <c r="D2725">
        <v>9821</v>
      </c>
      <c r="F2725">
        <v>9</v>
      </c>
    </row>
    <row r="2726" spans="4:6">
      <c r="D2726">
        <v>9823</v>
      </c>
      <c r="F2726">
        <v>9</v>
      </c>
    </row>
    <row r="2727" spans="4:6">
      <c r="D2727">
        <v>9824</v>
      </c>
      <c r="F2727">
        <v>9</v>
      </c>
    </row>
    <row r="2728" spans="4:6">
      <c r="D2728">
        <v>9825</v>
      </c>
      <c r="F2728">
        <v>9</v>
      </c>
    </row>
    <row r="2729" spans="4:6">
      <c r="D2729">
        <v>9826</v>
      </c>
      <c r="F2729">
        <v>9</v>
      </c>
    </row>
    <row r="2730" spans="4:6">
      <c r="D2730">
        <v>9831</v>
      </c>
      <c r="F2730">
        <v>9</v>
      </c>
    </row>
    <row r="2731" spans="4:6">
      <c r="D2731">
        <v>9832</v>
      </c>
      <c r="F2731">
        <v>9</v>
      </c>
    </row>
    <row r="2732" spans="4:6">
      <c r="D2732">
        <v>9833</v>
      </c>
      <c r="F2732">
        <v>9</v>
      </c>
    </row>
    <row r="2733" spans="4:6">
      <c r="D2733">
        <v>9834</v>
      </c>
      <c r="F2733">
        <v>9</v>
      </c>
    </row>
    <row r="2734" spans="4:6">
      <c r="D2734">
        <v>9835</v>
      </c>
      <c r="F2734">
        <v>9</v>
      </c>
    </row>
    <row r="2735" spans="4:6">
      <c r="D2735">
        <v>9836</v>
      </c>
      <c r="F2735">
        <v>9</v>
      </c>
    </row>
    <row r="2736" spans="4:6">
      <c r="D2736">
        <v>9841</v>
      </c>
      <c r="F2736">
        <v>9</v>
      </c>
    </row>
    <row r="2737" spans="4:6">
      <c r="D2737">
        <v>9842</v>
      </c>
      <c r="F2737">
        <v>9</v>
      </c>
    </row>
    <row r="2738" spans="4:6">
      <c r="D2738">
        <v>9900</v>
      </c>
      <c r="F2738">
        <v>10</v>
      </c>
    </row>
    <row r="2739" spans="4:6">
      <c r="D2739">
        <v>9901</v>
      </c>
      <c r="F2739">
        <v>10</v>
      </c>
    </row>
    <row r="2740" spans="4:6">
      <c r="D2740">
        <v>9909</v>
      </c>
      <c r="F2740">
        <v>9</v>
      </c>
    </row>
    <row r="2741" spans="4:6">
      <c r="D2741">
        <v>9911</v>
      </c>
      <c r="F2741">
        <v>9</v>
      </c>
    </row>
    <row r="2742" spans="4:6">
      <c r="D2742">
        <v>9912</v>
      </c>
      <c r="F2742">
        <v>9</v>
      </c>
    </row>
    <row r="2743" spans="4:6">
      <c r="D2743">
        <v>9913</v>
      </c>
      <c r="F2743">
        <v>9</v>
      </c>
    </row>
    <row r="2744" spans="4:6">
      <c r="D2744">
        <v>9914</v>
      </c>
      <c r="F2744">
        <v>9</v>
      </c>
    </row>
    <row r="2745" spans="4:6">
      <c r="D2745">
        <v>9915</v>
      </c>
      <c r="F2745">
        <v>9</v>
      </c>
    </row>
    <row r="2746" spans="4:6">
      <c r="D2746">
        <v>9917</v>
      </c>
      <c r="F2746">
        <v>9</v>
      </c>
    </row>
    <row r="2747" spans="4:6">
      <c r="D2747">
        <v>9918</v>
      </c>
      <c r="F2747">
        <v>9</v>
      </c>
    </row>
    <row r="2748" spans="4:6">
      <c r="D2748">
        <v>9919</v>
      </c>
      <c r="F2748">
        <v>9</v>
      </c>
    </row>
    <row r="2749" spans="4:6">
      <c r="D2749">
        <v>9921</v>
      </c>
      <c r="F2749">
        <v>9</v>
      </c>
    </row>
    <row r="2750" spans="4:6">
      <c r="D2750">
        <v>9922</v>
      </c>
      <c r="F2750">
        <v>9</v>
      </c>
    </row>
    <row r="2751" spans="4:6">
      <c r="D2751">
        <v>9923</v>
      </c>
      <c r="F2751">
        <v>9</v>
      </c>
    </row>
    <row r="2752" spans="4:6">
      <c r="D2752">
        <v>9931</v>
      </c>
      <c r="F2752">
        <v>9</v>
      </c>
    </row>
    <row r="2753" spans="4:6">
      <c r="D2753">
        <v>9932</v>
      </c>
      <c r="F2753">
        <v>9</v>
      </c>
    </row>
    <row r="2754" spans="4:6">
      <c r="D2754">
        <v>9933</v>
      </c>
      <c r="F2754">
        <v>9</v>
      </c>
    </row>
    <row r="2755" spans="4:6">
      <c r="D2755">
        <v>9934</v>
      </c>
      <c r="F2755">
        <v>9</v>
      </c>
    </row>
    <row r="2756" spans="4:6">
      <c r="D2756">
        <v>9935</v>
      </c>
      <c r="F2756">
        <v>9</v>
      </c>
    </row>
    <row r="2757" spans="4:6">
      <c r="D2757">
        <v>9936</v>
      </c>
      <c r="F2757">
        <v>9</v>
      </c>
    </row>
    <row r="2758" spans="4:6">
      <c r="D2758">
        <v>9937</v>
      </c>
      <c r="F2758">
        <v>9</v>
      </c>
    </row>
    <row r="2759" spans="4:6">
      <c r="D2759">
        <v>9938</v>
      </c>
      <c r="F2759">
        <v>9</v>
      </c>
    </row>
    <row r="2760" spans="4:6">
      <c r="D2760">
        <v>9941</v>
      </c>
      <c r="F2760">
        <v>9</v>
      </c>
    </row>
    <row r="2761" spans="4:6">
      <c r="D2761">
        <v>9942</v>
      </c>
      <c r="F2761">
        <v>9</v>
      </c>
    </row>
    <row r="2762" spans="4:6">
      <c r="D2762">
        <v>9943</v>
      </c>
      <c r="F2762">
        <v>9</v>
      </c>
    </row>
    <row r="2763" spans="4:6">
      <c r="D2763">
        <v>9944</v>
      </c>
      <c r="F2763">
        <v>9</v>
      </c>
    </row>
    <row r="2764" spans="4:6">
      <c r="D2764">
        <v>9945</v>
      </c>
      <c r="F2764">
        <v>9</v>
      </c>
    </row>
    <row r="2765" spans="4:6">
      <c r="D2765">
        <v>9946</v>
      </c>
      <c r="F2765">
        <v>9</v>
      </c>
    </row>
    <row r="2766" spans="4:6">
      <c r="D2766">
        <v>9951</v>
      </c>
      <c r="F2766">
        <v>9</v>
      </c>
    </row>
    <row r="2767" spans="4:6">
      <c r="D2767">
        <v>9952</v>
      </c>
      <c r="F2767">
        <v>9</v>
      </c>
    </row>
    <row r="2768" spans="4:6">
      <c r="D2768">
        <v>9953</v>
      </c>
      <c r="F2768">
        <v>9</v>
      </c>
    </row>
    <row r="2769" spans="4:6">
      <c r="D2769">
        <v>9954</v>
      </c>
      <c r="F2769">
        <v>9</v>
      </c>
    </row>
    <row r="2770" spans="4:6">
      <c r="D2770">
        <v>9955</v>
      </c>
      <c r="F2770">
        <v>9</v>
      </c>
    </row>
    <row r="2771" spans="4:6">
      <c r="D2771">
        <v>9961</v>
      </c>
      <c r="F2771">
        <v>9</v>
      </c>
    </row>
    <row r="2772" spans="4:6">
      <c r="D2772">
        <v>9962</v>
      </c>
      <c r="F2772">
        <v>9</v>
      </c>
    </row>
    <row r="2773" spans="4:6">
      <c r="D2773">
        <v>9963</v>
      </c>
      <c r="F2773">
        <v>9</v>
      </c>
    </row>
    <row r="2774" spans="4:6">
      <c r="D2774">
        <v>9981</v>
      </c>
      <c r="F2774">
        <v>5</v>
      </c>
    </row>
    <row r="2775" spans="4:6">
      <c r="D2775">
        <v>9982</v>
      </c>
      <c r="F2775">
        <v>9</v>
      </c>
    </row>
    <row r="2776" spans="4:6">
      <c r="D2776">
        <v>9983</v>
      </c>
      <c r="F2776">
        <v>9</v>
      </c>
    </row>
    <row r="2777" spans="4:6">
      <c r="D2777">
        <v>9985</v>
      </c>
      <c r="F2777">
        <v>9</v>
      </c>
    </row>
    <row r="2778" spans="4:6">
      <c r="D2778"/>
    </row>
    <row r="2779" spans="4:6">
      <c r="D2779"/>
    </row>
    <row r="2780" spans="4:6">
      <c r="D2780"/>
    </row>
    <row r="2781" spans="4:6">
      <c r="D2781"/>
    </row>
    <row r="2782" spans="4:6">
      <c r="D2782"/>
    </row>
    <row r="2783" spans="4:6">
      <c r="D2783"/>
    </row>
    <row r="2784" spans="4:6">
      <c r="D2784"/>
    </row>
    <row r="2785" spans="4:4">
      <c r="D2785"/>
    </row>
    <row r="2786" spans="4:4">
      <c r="D2786"/>
    </row>
    <row r="2787" spans="4:4">
      <c r="D2787"/>
    </row>
    <row r="2788" spans="4:4">
      <c r="D2788"/>
    </row>
    <row r="2789" spans="4:4">
      <c r="D2789"/>
    </row>
    <row r="2790" spans="4:4">
      <c r="D2790"/>
    </row>
    <row r="2791" spans="4:4">
      <c r="D2791"/>
    </row>
    <row r="2792" spans="4:4">
      <c r="D2792"/>
    </row>
    <row r="2793" spans="4:4">
      <c r="D2793"/>
    </row>
    <row r="2794" spans="4:4">
      <c r="D2794"/>
    </row>
    <row r="2795" spans="4:4">
      <c r="D2795"/>
    </row>
    <row r="2796" spans="4:4">
      <c r="D2796"/>
    </row>
    <row r="2797" spans="4:4">
      <c r="D2797"/>
    </row>
    <row r="2798" spans="4:4">
      <c r="D2798"/>
    </row>
    <row r="2799" spans="4:4">
      <c r="D2799"/>
    </row>
    <row r="2800" spans="4:4">
      <c r="D2800"/>
    </row>
    <row r="2801" spans="4:4">
      <c r="D2801"/>
    </row>
    <row r="2802" spans="4:4">
      <c r="D2802"/>
    </row>
    <row r="2803" spans="4:4">
      <c r="D2803"/>
    </row>
    <row r="2804" spans="4:4">
      <c r="D2804"/>
    </row>
    <row r="2805" spans="4:4">
      <c r="D2805"/>
    </row>
    <row r="2806" spans="4:4">
      <c r="D2806"/>
    </row>
    <row r="2807" spans="4:4">
      <c r="D2807"/>
    </row>
    <row r="2808" spans="4:4">
      <c r="D2808"/>
    </row>
    <row r="2809" spans="4:4">
      <c r="D2809"/>
    </row>
    <row r="2810" spans="4:4">
      <c r="D2810"/>
    </row>
    <row r="2811" spans="4:4">
      <c r="D2811"/>
    </row>
    <row r="2812" spans="4:4">
      <c r="D2812"/>
    </row>
    <row r="2813" spans="4:4">
      <c r="D2813"/>
    </row>
    <row r="2814" spans="4:4">
      <c r="D2814"/>
    </row>
    <row r="2815" spans="4:4">
      <c r="D2815"/>
    </row>
    <row r="2816" spans="4:4">
      <c r="D2816"/>
    </row>
    <row r="2817" spans="4:4">
      <c r="D2817"/>
    </row>
    <row r="2818" spans="4:4">
      <c r="D2818"/>
    </row>
    <row r="2819" spans="4:4">
      <c r="D2819"/>
    </row>
    <row r="2820" spans="4:4">
      <c r="D2820"/>
    </row>
    <row r="2821" spans="4:4">
      <c r="D2821"/>
    </row>
    <row r="2822" spans="4:4">
      <c r="D2822"/>
    </row>
    <row r="2823" spans="4:4">
      <c r="D2823"/>
    </row>
    <row r="2824" spans="4:4">
      <c r="D2824"/>
    </row>
    <row r="2825" spans="4:4">
      <c r="D2825"/>
    </row>
    <row r="2826" spans="4:4">
      <c r="D2826"/>
    </row>
    <row r="2827" spans="4:4">
      <c r="D2827"/>
    </row>
    <row r="2828" spans="4:4">
      <c r="D2828"/>
    </row>
    <row r="2829" spans="4:4">
      <c r="D2829"/>
    </row>
    <row r="2830" spans="4:4">
      <c r="D2830"/>
    </row>
    <row r="2831" spans="4:4">
      <c r="D2831"/>
    </row>
    <row r="2832" spans="4:4">
      <c r="D2832"/>
    </row>
    <row r="2833" spans="4:4">
      <c r="D2833"/>
    </row>
    <row r="2834" spans="4:4">
      <c r="D2834"/>
    </row>
    <row r="2835" spans="4:4">
      <c r="D2835"/>
    </row>
    <row r="2836" spans="4:4">
      <c r="D2836"/>
    </row>
    <row r="2837" spans="4:4">
      <c r="D2837"/>
    </row>
    <row r="2838" spans="4:4">
      <c r="D2838"/>
    </row>
    <row r="2839" spans="4:4">
      <c r="D2839"/>
    </row>
    <row r="2840" spans="4:4">
      <c r="D2840"/>
    </row>
    <row r="2841" spans="4:4">
      <c r="D2841"/>
    </row>
    <row r="2842" spans="4:4">
      <c r="D2842"/>
    </row>
    <row r="2843" spans="4:4">
      <c r="D2843"/>
    </row>
    <row r="2844" spans="4:4">
      <c r="D2844"/>
    </row>
    <row r="2845" spans="4:4">
      <c r="D2845"/>
    </row>
    <row r="2846" spans="4:4">
      <c r="D2846"/>
    </row>
    <row r="2847" spans="4:4">
      <c r="D2847"/>
    </row>
    <row r="2848" spans="4:4">
      <c r="D2848"/>
    </row>
    <row r="2849" spans="4:4">
      <c r="D2849"/>
    </row>
    <row r="2850" spans="4:4">
      <c r="D2850"/>
    </row>
    <row r="2851" spans="4:4">
      <c r="D2851"/>
    </row>
    <row r="2852" spans="4:4">
      <c r="D2852"/>
    </row>
    <row r="2853" spans="4:4">
      <c r="D2853"/>
    </row>
    <row r="2854" spans="4:4">
      <c r="D2854"/>
    </row>
    <row r="2855" spans="4:4">
      <c r="D2855"/>
    </row>
    <row r="2856" spans="4:4">
      <c r="D2856"/>
    </row>
    <row r="2857" spans="4:4">
      <c r="D2857"/>
    </row>
    <row r="2858" spans="4:4">
      <c r="D2858"/>
    </row>
    <row r="2859" spans="4:4">
      <c r="D2859"/>
    </row>
    <row r="2860" spans="4:4">
      <c r="D2860"/>
    </row>
    <row r="2861" spans="4:4">
      <c r="D2861"/>
    </row>
    <row r="2862" spans="4:4">
      <c r="D2862"/>
    </row>
    <row r="2863" spans="4:4">
      <c r="D2863"/>
    </row>
    <row r="2864" spans="4:4">
      <c r="D2864"/>
    </row>
    <row r="2865" spans="4:4">
      <c r="D2865"/>
    </row>
    <row r="2866" spans="4:4">
      <c r="D2866"/>
    </row>
    <row r="2867" spans="4:4">
      <c r="D2867"/>
    </row>
    <row r="2868" spans="4:4">
      <c r="D2868"/>
    </row>
    <row r="2869" spans="4:4">
      <c r="D2869"/>
    </row>
    <row r="2870" spans="4:4">
      <c r="D2870"/>
    </row>
    <row r="2871" spans="4:4">
      <c r="D2871"/>
    </row>
    <row r="2872" spans="4:4">
      <c r="D2872"/>
    </row>
    <row r="2873" spans="4:4">
      <c r="D2873"/>
    </row>
    <row r="2874" spans="4:4">
      <c r="D2874"/>
    </row>
    <row r="2875" spans="4:4">
      <c r="D2875"/>
    </row>
    <row r="2876" spans="4:4">
      <c r="D2876"/>
    </row>
    <row r="2877" spans="4:4">
      <c r="D2877"/>
    </row>
    <row r="2878" spans="4:4">
      <c r="D2878"/>
    </row>
    <row r="2879" spans="4:4">
      <c r="D2879"/>
    </row>
    <row r="2880" spans="4:4">
      <c r="D2880"/>
    </row>
    <row r="2881" spans="4:4">
      <c r="D2881"/>
    </row>
    <row r="2882" spans="4:4">
      <c r="D2882"/>
    </row>
    <row r="2883" spans="4:4">
      <c r="D2883"/>
    </row>
    <row r="2884" spans="4:4">
      <c r="D2884"/>
    </row>
    <row r="2885" spans="4:4">
      <c r="D2885"/>
    </row>
    <row r="2886" spans="4:4">
      <c r="D2886"/>
    </row>
    <row r="2887" spans="4:4">
      <c r="D2887"/>
    </row>
    <row r="2888" spans="4:4">
      <c r="D2888"/>
    </row>
    <row r="2889" spans="4:4">
      <c r="D2889"/>
    </row>
    <row r="2890" spans="4:4">
      <c r="D2890"/>
    </row>
    <row r="2891" spans="4:4">
      <c r="D2891"/>
    </row>
    <row r="2892" spans="4:4">
      <c r="D2892"/>
    </row>
    <row r="2893" spans="4:4">
      <c r="D2893"/>
    </row>
    <row r="2894" spans="4:4">
      <c r="D2894"/>
    </row>
    <row r="2895" spans="4:4">
      <c r="D2895"/>
    </row>
    <row r="2896" spans="4:4">
      <c r="D2896"/>
    </row>
    <row r="2897" spans="4:4">
      <c r="D2897"/>
    </row>
    <row r="2898" spans="4:4">
      <c r="D2898"/>
    </row>
    <row r="2899" spans="4:4">
      <c r="D2899"/>
    </row>
    <row r="2900" spans="4:4">
      <c r="D2900"/>
    </row>
    <row r="2901" spans="4:4">
      <c r="D2901"/>
    </row>
    <row r="2902" spans="4:4">
      <c r="D2902"/>
    </row>
    <row r="2903" spans="4:4">
      <c r="D2903"/>
    </row>
    <row r="2904" spans="4:4">
      <c r="D2904"/>
    </row>
    <row r="2905" spans="4:4">
      <c r="D2905"/>
    </row>
    <row r="2906" spans="4:4">
      <c r="D2906"/>
    </row>
    <row r="2907" spans="4:4">
      <c r="D2907"/>
    </row>
    <row r="2908" spans="4:4">
      <c r="D2908"/>
    </row>
    <row r="2909" spans="4:4">
      <c r="D2909"/>
    </row>
    <row r="2910" spans="4:4">
      <c r="D2910"/>
    </row>
    <row r="2911" spans="4:4">
      <c r="D2911"/>
    </row>
    <row r="2912" spans="4:4">
      <c r="D2912"/>
    </row>
    <row r="2913" spans="4:4">
      <c r="D2913"/>
    </row>
    <row r="2914" spans="4:4">
      <c r="D2914"/>
    </row>
    <row r="2915" spans="4:4">
      <c r="D2915"/>
    </row>
    <row r="2916" spans="4:4">
      <c r="D2916"/>
    </row>
    <row r="2917" spans="4:4">
      <c r="D2917"/>
    </row>
    <row r="2918" spans="4:4">
      <c r="D2918"/>
    </row>
    <row r="2919" spans="4:4">
      <c r="D2919"/>
    </row>
    <row r="2920" spans="4:4">
      <c r="D2920"/>
    </row>
    <row r="2921" spans="4:4">
      <c r="D2921"/>
    </row>
    <row r="2922" spans="4:4">
      <c r="D2922"/>
    </row>
    <row r="2923" spans="4:4">
      <c r="D2923"/>
    </row>
    <row r="2924" spans="4:4">
      <c r="D2924"/>
    </row>
    <row r="2925" spans="4:4">
      <c r="D2925"/>
    </row>
    <row r="2926" spans="4:4">
      <c r="D2926"/>
    </row>
    <row r="2927" spans="4:4">
      <c r="D2927"/>
    </row>
    <row r="2928" spans="4:4">
      <c r="D2928"/>
    </row>
    <row r="2929" spans="4:4">
      <c r="D2929"/>
    </row>
    <row r="2930" spans="4:4">
      <c r="D2930"/>
    </row>
    <row r="2931" spans="4:4">
      <c r="D2931"/>
    </row>
    <row r="2932" spans="4:4">
      <c r="D2932"/>
    </row>
    <row r="2933" spans="4:4">
      <c r="D2933"/>
    </row>
    <row r="2934" spans="4:4">
      <c r="D2934"/>
    </row>
    <row r="2935" spans="4:4">
      <c r="D2935"/>
    </row>
    <row r="2936" spans="4:4">
      <c r="D2936"/>
    </row>
    <row r="2937" spans="4:4">
      <c r="D2937"/>
    </row>
    <row r="2938" spans="4:4">
      <c r="D2938"/>
    </row>
    <row r="2939" spans="4:4">
      <c r="D2939"/>
    </row>
    <row r="2940" spans="4:4">
      <c r="D2940"/>
    </row>
    <row r="2941" spans="4:4">
      <c r="D2941"/>
    </row>
    <row r="2942" spans="4:4">
      <c r="D2942"/>
    </row>
    <row r="2943" spans="4:4">
      <c r="D2943"/>
    </row>
    <row r="2944" spans="4:4">
      <c r="D2944"/>
    </row>
    <row r="2945" spans="4:4">
      <c r="D2945"/>
    </row>
    <row r="2946" spans="4:4">
      <c r="D2946"/>
    </row>
    <row r="2947" spans="4:4">
      <c r="D2947"/>
    </row>
    <row r="2948" spans="4:4">
      <c r="D2948"/>
    </row>
    <row r="2949" spans="4:4">
      <c r="D2949"/>
    </row>
    <row r="2950" spans="4:4">
      <c r="D2950"/>
    </row>
    <row r="2951" spans="4:4">
      <c r="D2951"/>
    </row>
    <row r="2952" spans="4:4">
      <c r="D2952"/>
    </row>
    <row r="2953" spans="4:4">
      <c r="D2953"/>
    </row>
    <row r="2954" spans="4:4">
      <c r="D2954"/>
    </row>
    <row r="2955" spans="4:4">
      <c r="D2955"/>
    </row>
    <row r="2956" spans="4:4">
      <c r="D2956"/>
    </row>
    <row r="2957" spans="4:4">
      <c r="D2957"/>
    </row>
    <row r="2958" spans="4:4">
      <c r="D2958"/>
    </row>
    <row r="2959" spans="4:4">
      <c r="D2959"/>
    </row>
    <row r="2960" spans="4:4">
      <c r="D2960"/>
    </row>
    <row r="2961" spans="4:4">
      <c r="D2961"/>
    </row>
    <row r="2962" spans="4:4">
      <c r="D2962"/>
    </row>
    <row r="2963" spans="4:4">
      <c r="D2963"/>
    </row>
    <row r="2964" spans="4:4">
      <c r="D2964"/>
    </row>
    <row r="2965" spans="4:4">
      <c r="D2965"/>
    </row>
    <row r="2966" spans="4:4">
      <c r="D2966"/>
    </row>
    <row r="2967" spans="4:4">
      <c r="D2967"/>
    </row>
    <row r="2968" spans="4:4">
      <c r="D2968"/>
    </row>
    <row r="2969" spans="4:4">
      <c r="D2969"/>
    </row>
    <row r="2970" spans="4:4">
      <c r="D2970"/>
    </row>
    <row r="2971" spans="4:4">
      <c r="D2971"/>
    </row>
    <row r="2972" spans="4:4">
      <c r="D2972"/>
    </row>
    <row r="2973" spans="4:4">
      <c r="D2973"/>
    </row>
    <row r="2974" spans="4:4">
      <c r="D2974"/>
    </row>
    <row r="2975" spans="4:4">
      <c r="D2975"/>
    </row>
    <row r="2976" spans="4:4">
      <c r="D2976"/>
    </row>
    <row r="2977" spans="4:4">
      <c r="D2977"/>
    </row>
    <row r="2978" spans="4:4">
      <c r="D2978"/>
    </row>
    <row r="2979" spans="4:4">
      <c r="D2979"/>
    </row>
    <row r="2980" spans="4:4">
      <c r="D2980"/>
    </row>
    <row r="2981" spans="4:4">
      <c r="D2981"/>
    </row>
    <row r="2982" spans="4:4">
      <c r="D2982"/>
    </row>
    <row r="2983" spans="4:4">
      <c r="D2983"/>
    </row>
    <row r="2984" spans="4:4">
      <c r="D2984"/>
    </row>
    <row r="2985" spans="4:4">
      <c r="D2985"/>
    </row>
    <row r="2986" spans="4:4">
      <c r="D2986"/>
    </row>
    <row r="2987" spans="4:4">
      <c r="D2987"/>
    </row>
    <row r="2988" spans="4:4">
      <c r="D2988"/>
    </row>
    <row r="2989" spans="4:4">
      <c r="D2989"/>
    </row>
    <row r="2990" spans="4:4">
      <c r="D2990"/>
    </row>
    <row r="2991" spans="4:4">
      <c r="D2991"/>
    </row>
    <row r="2992" spans="4:4">
      <c r="D2992"/>
    </row>
    <row r="2993" spans="4:4">
      <c r="D2993"/>
    </row>
    <row r="2994" spans="4:4">
      <c r="D2994"/>
    </row>
    <row r="2995" spans="4:4">
      <c r="D2995"/>
    </row>
    <row r="2996" spans="4:4">
      <c r="D2996"/>
    </row>
    <row r="2997" spans="4:4">
      <c r="D2997"/>
    </row>
    <row r="2998" spans="4:4">
      <c r="D2998"/>
    </row>
    <row r="2999" spans="4:4">
      <c r="D2999"/>
    </row>
    <row r="3000" spans="4:4">
      <c r="D3000"/>
    </row>
    <row r="3001" spans="4:4">
      <c r="D3001"/>
    </row>
    <row r="3002" spans="4:4">
      <c r="D3002"/>
    </row>
    <row r="3003" spans="4:4">
      <c r="D3003"/>
    </row>
    <row r="3004" spans="4:4">
      <c r="D3004"/>
    </row>
    <row r="3005" spans="4:4">
      <c r="D3005"/>
    </row>
    <row r="3006" spans="4:4">
      <c r="D3006"/>
    </row>
    <row r="3007" spans="4:4">
      <c r="D3007"/>
    </row>
    <row r="3008" spans="4:4">
      <c r="D3008"/>
    </row>
    <row r="3009" spans="4:4">
      <c r="D3009"/>
    </row>
    <row r="3010" spans="4:4">
      <c r="D3010"/>
    </row>
    <row r="3011" spans="4:4">
      <c r="D3011"/>
    </row>
    <row r="3012" spans="4:4">
      <c r="D3012"/>
    </row>
    <row r="3013" spans="4:4">
      <c r="D3013"/>
    </row>
    <row r="3014" spans="4:4">
      <c r="D3014"/>
    </row>
    <row r="3015" spans="4:4">
      <c r="D3015"/>
    </row>
    <row r="3016" spans="4:4">
      <c r="D3016"/>
    </row>
    <row r="3017" spans="4:4">
      <c r="D3017"/>
    </row>
    <row r="3018" spans="4:4">
      <c r="D3018"/>
    </row>
    <row r="3019" spans="4:4">
      <c r="D3019"/>
    </row>
    <row r="3020" spans="4:4">
      <c r="D3020"/>
    </row>
    <row r="3021" spans="4:4">
      <c r="D3021"/>
    </row>
    <row r="3022" spans="4:4">
      <c r="D3022"/>
    </row>
    <row r="3023" spans="4:4">
      <c r="D3023"/>
    </row>
    <row r="3024" spans="4:4">
      <c r="D3024"/>
    </row>
    <row r="3025" spans="4:4">
      <c r="D3025"/>
    </row>
    <row r="3026" spans="4:4">
      <c r="D3026"/>
    </row>
    <row r="3027" spans="4:4">
      <c r="D3027"/>
    </row>
    <row r="3028" spans="4:4">
      <c r="D3028"/>
    </row>
    <row r="3029" spans="4:4">
      <c r="D3029"/>
    </row>
    <row r="3030" spans="4:4">
      <c r="D3030"/>
    </row>
    <row r="3031" spans="4:4">
      <c r="D3031"/>
    </row>
    <row r="3032" spans="4:4">
      <c r="D3032"/>
    </row>
    <row r="3033" spans="4:4">
      <c r="D3033"/>
    </row>
    <row r="3034" spans="4:4">
      <c r="D3034"/>
    </row>
    <row r="3035" spans="4:4">
      <c r="D3035"/>
    </row>
    <row r="3036" spans="4:4">
      <c r="D3036"/>
    </row>
    <row r="3037" spans="4:4">
      <c r="D3037"/>
    </row>
    <row r="3038" spans="4:4">
      <c r="D3038"/>
    </row>
    <row r="3039" spans="4:4">
      <c r="D3039"/>
    </row>
    <row r="3040" spans="4:4">
      <c r="D3040"/>
    </row>
    <row r="3041" spans="4:4">
      <c r="D3041"/>
    </row>
    <row r="3042" spans="4:4">
      <c r="D3042"/>
    </row>
    <row r="3043" spans="4:4">
      <c r="D3043"/>
    </row>
    <row r="3044" spans="4:4">
      <c r="D3044"/>
    </row>
    <row r="3045" spans="4:4">
      <c r="D3045"/>
    </row>
    <row r="3046" spans="4:4">
      <c r="D3046"/>
    </row>
    <row r="3047" spans="4:4">
      <c r="D3047"/>
    </row>
    <row r="3048" spans="4:4">
      <c r="D3048"/>
    </row>
    <row r="3049" spans="4:4">
      <c r="D3049"/>
    </row>
    <row r="3050" spans="4:4">
      <c r="D3050"/>
    </row>
    <row r="3051" spans="4:4">
      <c r="D3051"/>
    </row>
    <row r="3052" spans="4:4">
      <c r="D3052"/>
    </row>
    <row r="3053" spans="4:4">
      <c r="D3053"/>
    </row>
    <row r="3054" spans="4:4">
      <c r="D3054"/>
    </row>
    <row r="3055" spans="4:4">
      <c r="D3055"/>
    </row>
    <row r="3056" spans="4:4">
      <c r="D3056"/>
    </row>
    <row r="3057" spans="4:4">
      <c r="D3057"/>
    </row>
    <row r="3058" spans="4:4">
      <c r="D3058"/>
    </row>
    <row r="3059" spans="4:4">
      <c r="D3059"/>
    </row>
    <row r="3060" spans="4:4">
      <c r="D3060"/>
    </row>
    <row r="3061" spans="4:4">
      <c r="D3061"/>
    </row>
    <row r="3062" spans="4:4">
      <c r="D3062"/>
    </row>
    <row r="3063" spans="4:4">
      <c r="D3063"/>
    </row>
    <row r="3064" spans="4:4">
      <c r="D3064"/>
    </row>
    <row r="3065" spans="4:4">
      <c r="D3065"/>
    </row>
    <row r="3066" spans="4:4">
      <c r="D3066"/>
    </row>
    <row r="3067" spans="4:4">
      <c r="D3067"/>
    </row>
    <row r="3068" spans="4:4">
      <c r="D3068"/>
    </row>
    <row r="3069" spans="4:4">
      <c r="D3069"/>
    </row>
    <row r="3070" spans="4:4">
      <c r="D3070"/>
    </row>
    <row r="3071" spans="4:4">
      <c r="D3071"/>
    </row>
    <row r="3072" spans="4:4">
      <c r="D3072"/>
    </row>
    <row r="3073" spans="4:4">
      <c r="D3073"/>
    </row>
    <row r="3074" spans="4:4">
      <c r="D3074"/>
    </row>
    <row r="3075" spans="4:4">
      <c r="D3075"/>
    </row>
    <row r="3076" spans="4:4">
      <c r="D3076"/>
    </row>
    <row r="3077" spans="4:4">
      <c r="D3077"/>
    </row>
    <row r="3078" spans="4:4">
      <c r="D3078"/>
    </row>
    <row r="3079" spans="4:4">
      <c r="D3079"/>
    </row>
    <row r="3080" spans="4:4">
      <c r="D3080"/>
    </row>
    <row r="3081" spans="4:4">
      <c r="D3081"/>
    </row>
    <row r="3082" spans="4:4">
      <c r="D3082"/>
    </row>
    <row r="3083" spans="4:4">
      <c r="D3083"/>
    </row>
    <row r="3084" spans="4:4">
      <c r="D3084"/>
    </row>
    <row r="3085" spans="4:4">
      <c r="D3085"/>
    </row>
    <row r="3086" spans="4:4">
      <c r="D3086"/>
    </row>
    <row r="3087" spans="4:4">
      <c r="D3087"/>
    </row>
    <row r="3088" spans="4:4">
      <c r="D3088"/>
    </row>
    <row r="3089" spans="4:4">
      <c r="D3089"/>
    </row>
    <row r="3090" spans="4:4">
      <c r="D3090"/>
    </row>
    <row r="3091" spans="4:4">
      <c r="D3091"/>
    </row>
    <row r="3092" spans="4:4">
      <c r="D3092"/>
    </row>
    <row r="3093" spans="4:4">
      <c r="D3093"/>
    </row>
    <row r="3094" spans="4:4">
      <c r="D3094"/>
    </row>
    <row r="3095" spans="4:4">
      <c r="D3095"/>
    </row>
    <row r="3096" spans="4:4">
      <c r="D3096"/>
    </row>
    <row r="3097" spans="4:4">
      <c r="D3097"/>
    </row>
    <row r="3098" spans="4:4">
      <c r="D3098"/>
    </row>
    <row r="3099" spans="4:4">
      <c r="D3099"/>
    </row>
    <row r="3100" spans="4:4">
      <c r="D3100"/>
    </row>
    <row r="3101" spans="4:4">
      <c r="D3101"/>
    </row>
    <row r="3102" spans="4:4">
      <c r="D3102"/>
    </row>
    <row r="3103" spans="4:4">
      <c r="D3103"/>
    </row>
    <row r="3104" spans="4:4">
      <c r="D3104"/>
    </row>
    <row r="3105" spans="4:4">
      <c r="D3105"/>
    </row>
    <row r="3106" spans="4:4">
      <c r="D3106"/>
    </row>
    <row r="3107" spans="4:4">
      <c r="D3107"/>
    </row>
    <row r="3108" spans="4:4">
      <c r="D3108"/>
    </row>
    <row r="3109" spans="4:4">
      <c r="D3109"/>
    </row>
    <row r="3110" spans="4:4">
      <c r="D3110"/>
    </row>
    <row r="3111" spans="4:4">
      <c r="D3111"/>
    </row>
    <row r="3112" spans="4:4">
      <c r="D3112"/>
    </row>
    <row r="3113" spans="4:4">
      <c r="D3113"/>
    </row>
    <row r="3114" spans="4:4">
      <c r="D3114"/>
    </row>
    <row r="3115" spans="4:4">
      <c r="D3115"/>
    </row>
    <row r="3116" spans="4:4">
      <c r="D3116"/>
    </row>
    <row r="3117" spans="4:4">
      <c r="D3117"/>
    </row>
    <row r="3118" spans="4:4">
      <c r="D3118"/>
    </row>
    <row r="3119" spans="4:4">
      <c r="D3119"/>
    </row>
    <row r="3120" spans="4:4">
      <c r="D3120"/>
    </row>
    <row r="3121" spans="4:4">
      <c r="D3121"/>
    </row>
    <row r="3122" spans="4:4">
      <c r="D3122"/>
    </row>
    <row r="3123" spans="4:4">
      <c r="D3123"/>
    </row>
    <row r="3124" spans="4:4">
      <c r="D3124"/>
    </row>
    <row r="3125" spans="4:4">
      <c r="D3125"/>
    </row>
    <row r="3126" spans="4:4">
      <c r="D3126"/>
    </row>
    <row r="3127" spans="4:4">
      <c r="D3127"/>
    </row>
    <row r="3128" spans="4:4">
      <c r="D3128"/>
    </row>
    <row r="3129" spans="4:4">
      <c r="D3129"/>
    </row>
    <row r="3130" spans="4:4">
      <c r="D3130"/>
    </row>
    <row r="3131" spans="4:4">
      <c r="D3131"/>
    </row>
    <row r="3132" spans="4:4">
      <c r="D3132"/>
    </row>
    <row r="3133" spans="4:4">
      <c r="D3133"/>
    </row>
    <row r="3134" spans="4:4">
      <c r="D3134"/>
    </row>
    <row r="3135" spans="4:4">
      <c r="D3135"/>
    </row>
    <row r="3136" spans="4:4">
      <c r="D3136"/>
    </row>
    <row r="3137" spans="4:4">
      <c r="D3137"/>
    </row>
    <row r="3138" spans="4:4">
      <c r="D3138"/>
    </row>
    <row r="3139" spans="4:4">
      <c r="D3139"/>
    </row>
    <row r="3140" spans="4:4">
      <c r="D3140"/>
    </row>
    <row r="3141" spans="4:4">
      <c r="D3141"/>
    </row>
    <row r="3142" spans="4:4">
      <c r="D3142"/>
    </row>
    <row r="3143" spans="4:4">
      <c r="D3143"/>
    </row>
    <row r="3144" spans="4:4">
      <c r="D3144"/>
    </row>
    <row r="3145" spans="4:4">
      <c r="D3145"/>
    </row>
    <row r="3146" spans="4:4">
      <c r="D3146"/>
    </row>
    <row r="3147" spans="4:4">
      <c r="D3147"/>
    </row>
    <row r="3148" spans="4:4">
      <c r="D3148"/>
    </row>
    <row r="3149" spans="4:4">
      <c r="D3149"/>
    </row>
    <row r="3150" spans="4:4">
      <c r="D3150"/>
    </row>
    <row r="3151" spans="4:4">
      <c r="D3151"/>
    </row>
    <row r="3152" spans="4:4">
      <c r="D3152"/>
    </row>
    <row r="3153" spans="4:4">
      <c r="D3153"/>
    </row>
    <row r="3154" spans="4:4">
      <c r="D3154"/>
    </row>
    <row r="3155" spans="4:4">
      <c r="D3155"/>
    </row>
    <row r="3156" spans="4:4">
      <c r="D3156"/>
    </row>
    <row r="3157" spans="4:4">
      <c r="D3157"/>
    </row>
    <row r="3158" spans="4:4">
      <c r="D3158"/>
    </row>
    <row r="3159" spans="4:4">
      <c r="D3159"/>
    </row>
    <row r="3160" spans="4:4">
      <c r="D3160"/>
    </row>
    <row r="3161" spans="4:4">
      <c r="D3161"/>
    </row>
    <row r="3162" spans="4:4">
      <c r="D3162"/>
    </row>
    <row r="3163" spans="4:4">
      <c r="D3163"/>
    </row>
    <row r="3164" spans="4:4">
      <c r="D3164"/>
    </row>
    <row r="3165" spans="4:4">
      <c r="D3165"/>
    </row>
    <row r="3166" spans="4:4">
      <c r="D3166"/>
    </row>
    <row r="3167" spans="4:4">
      <c r="D3167"/>
    </row>
    <row r="3168" spans="4:4">
      <c r="D3168"/>
    </row>
    <row r="3169" spans="4:4">
      <c r="D3169"/>
    </row>
    <row r="3170" spans="4:4">
      <c r="D3170"/>
    </row>
    <row r="3171" spans="4:4">
      <c r="D3171"/>
    </row>
    <row r="3172" spans="4:4">
      <c r="D3172"/>
    </row>
    <row r="3173" spans="4:4">
      <c r="D3173"/>
    </row>
    <row r="3174" spans="4:4">
      <c r="D3174"/>
    </row>
    <row r="3175" spans="4:4">
      <c r="D3175"/>
    </row>
    <row r="3176" spans="4:4">
      <c r="D3176"/>
    </row>
    <row r="3177" spans="4:4">
      <c r="D3177"/>
    </row>
    <row r="3178" spans="4:4">
      <c r="D3178"/>
    </row>
    <row r="3179" spans="4:4">
      <c r="D3179"/>
    </row>
    <row r="3180" spans="4:4">
      <c r="D3180"/>
    </row>
    <row r="3181" spans="4:4">
      <c r="D3181"/>
    </row>
    <row r="3182" spans="4:4">
      <c r="D3182"/>
    </row>
    <row r="3183" spans="4:4">
      <c r="D3183"/>
    </row>
    <row r="3184" spans="4:4">
      <c r="D3184"/>
    </row>
    <row r="3185" spans="4:4">
      <c r="D3185"/>
    </row>
    <row r="3186" spans="4:4">
      <c r="D3186"/>
    </row>
    <row r="3187" spans="4:4">
      <c r="D3187"/>
    </row>
    <row r="3188" spans="4:4">
      <c r="D3188"/>
    </row>
    <row r="3189" spans="4:4">
      <c r="D3189"/>
    </row>
    <row r="3190" spans="4:4">
      <c r="D3190"/>
    </row>
    <row r="3191" spans="4:4">
      <c r="D3191"/>
    </row>
    <row r="3192" spans="4:4">
      <c r="D3192"/>
    </row>
    <row r="3193" spans="4:4">
      <c r="D3193"/>
    </row>
    <row r="3194" spans="4:4">
      <c r="D3194"/>
    </row>
    <row r="3195" spans="4:4">
      <c r="D3195"/>
    </row>
    <row r="3196" spans="4:4">
      <c r="D3196"/>
    </row>
    <row r="3197" spans="4:4">
      <c r="D3197"/>
    </row>
    <row r="3198" spans="4:4">
      <c r="D3198"/>
    </row>
    <row r="3199" spans="4:4">
      <c r="D3199"/>
    </row>
    <row r="3200" spans="4:4">
      <c r="D3200"/>
    </row>
    <row r="3201" spans="4:4">
      <c r="D3201"/>
    </row>
    <row r="3202" spans="4:4">
      <c r="D3202"/>
    </row>
    <row r="3203" spans="4:4">
      <c r="D3203"/>
    </row>
    <row r="3204" spans="4:4">
      <c r="D3204"/>
    </row>
    <row r="3205" spans="4:4">
      <c r="D3205"/>
    </row>
    <row r="3206" spans="4:4">
      <c r="D3206"/>
    </row>
    <row r="3207" spans="4:4">
      <c r="D3207"/>
    </row>
    <row r="3208" spans="4:4">
      <c r="D3208"/>
    </row>
    <row r="3209" spans="4:4">
      <c r="D3209"/>
    </row>
    <row r="3210" spans="4:4">
      <c r="D3210"/>
    </row>
    <row r="3211" spans="4:4">
      <c r="D3211"/>
    </row>
    <row r="3212" spans="4:4">
      <c r="D3212"/>
    </row>
    <row r="3213" spans="4:4">
      <c r="D3213"/>
    </row>
    <row r="3214" spans="4:4">
      <c r="D3214"/>
    </row>
    <row r="3215" spans="4:4">
      <c r="D3215"/>
    </row>
    <row r="3216" spans="4:4">
      <c r="D3216"/>
    </row>
    <row r="3217" spans="4:4">
      <c r="D3217"/>
    </row>
    <row r="3218" spans="4:4">
      <c r="D3218"/>
    </row>
    <row r="3219" spans="4:4">
      <c r="D3219"/>
    </row>
    <row r="3220" spans="4:4">
      <c r="D3220"/>
    </row>
    <row r="3221" spans="4:4">
      <c r="D3221"/>
    </row>
    <row r="3222" spans="4:4">
      <c r="D3222"/>
    </row>
    <row r="3223" spans="4:4">
      <c r="D3223"/>
    </row>
    <row r="3224" spans="4:4">
      <c r="D3224"/>
    </row>
    <row r="3225" spans="4:4">
      <c r="D3225"/>
    </row>
    <row r="3226" spans="4:4">
      <c r="D3226"/>
    </row>
    <row r="3227" spans="4:4">
      <c r="D3227"/>
    </row>
    <row r="3228" spans="4:4">
      <c r="D3228"/>
    </row>
    <row r="3229" spans="4:4">
      <c r="D3229"/>
    </row>
    <row r="3230" spans="4:4">
      <c r="D3230"/>
    </row>
    <row r="3231" spans="4:4">
      <c r="D3231"/>
    </row>
    <row r="3232" spans="4:4">
      <c r="D3232"/>
    </row>
    <row r="3233" spans="4:4">
      <c r="D3233"/>
    </row>
    <row r="3234" spans="4:4">
      <c r="D3234"/>
    </row>
    <row r="3235" spans="4:4">
      <c r="D3235"/>
    </row>
    <row r="3236" spans="4:4">
      <c r="D3236"/>
    </row>
    <row r="3237" spans="4:4">
      <c r="D3237"/>
    </row>
    <row r="3238" spans="4:4">
      <c r="D3238"/>
    </row>
    <row r="3239" spans="4:4">
      <c r="D3239"/>
    </row>
    <row r="3240" spans="4:4">
      <c r="D3240"/>
    </row>
    <row r="3241" spans="4:4">
      <c r="D3241"/>
    </row>
    <row r="3242" spans="4:4">
      <c r="D3242"/>
    </row>
    <row r="3243" spans="4:4">
      <c r="D3243"/>
    </row>
    <row r="3244" spans="4:4">
      <c r="D3244"/>
    </row>
    <row r="3245" spans="4:4">
      <c r="D3245"/>
    </row>
    <row r="3246" spans="4:4">
      <c r="D3246"/>
    </row>
    <row r="3247" spans="4:4">
      <c r="D3247"/>
    </row>
    <row r="3248" spans="4:4">
      <c r="D3248"/>
    </row>
    <row r="3249" spans="4:4">
      <c r="D3249"/>
    </row>
    <row r="3250" spans="4:4">
      <c r="D3250"/>
    </row>
    <row r="3251" spans="4:4">
      <c r="D3251"/>
    </row>
    <row r="3252" spans="4:4">
      <c r="D3252"/>
    </row>
    <row r="3253" spans="4:4">
      <c r="D3253"/>
    </row>
    <row r="3254" spans="4:4">
      <c r="D3254"/>
    </row>
    <row r="3255" spans="4:4">
      <c r="D3255"/>
    </row>
    <row r="3256" spans="4:4">
      <c r="D3256"/>
    </row>
    <row r="3257" spans="4:4">
      <c r="D3257"/>
    </row>
    <row r="3258" spans="4:4">
      <c r="D3258"/>
    </row>
    <row r="3259" spans="4:4">
      <c r="D3259"/>
    </row>
    <row r="3260" spans="4:4">
      <c r="D3260"/>
    </row>
    <row r="3261" spans="4:4">
      <c r="D3261"/>
    </row>
    <row r="3262" spans="4:4">
      <c r="D3262"/>
    </row>
    <row r="3263" spans="4:4">
      <c r="D3263"/>
    </row>
    <row r="3264" spans="4:4">
      <c r="D3264"/>
    </row>
    <row r="3265" spans="4:4">
      <c r="D3265"/>
    </row>
    <row r="3266" spans="4:4">
      <c r="D3266"/>
    </row>
    <row r="3267" spans="4:4">
      <c r="D3267"/>
    </row>
    <row r="3268" spans="4:4">
      <c r="D3268"/>
    </row>
    <row r="3269" spans="4:4">
      <c r="D3269"/>
    </row>
    <row r="3270" spans="4:4">
      <c r="D3270"/>
    </row>
    <row r="3271" spans="4:4">
      <c r="D3271"/>
    </row>
    <row r="3272" spans="4:4">
      <c r="D3272"/>
    </row>
    <row r="3273" spans="4:4">
      <c r="D3273"/>
    </row>
    <row r="3274" spans="4:4">
      <c r="D3274"/>
    </row>
    <row r="3275" spans="4:4">
      <c r="D3275"/>
    </row>
    <row r="3276" spans="4:4">
      <c r="D3276"/>
    </row>
    <row r="3277" spans="4:4">
      <c r="D3277"/>
    </row>
    <row r="3278" spans="4:4">
      <c r="D3278"/>
    </row>
    <row r="3279" spans="4:4">
      <c r="D3279"/>
    </row>
    <row r="3280" spans="4:4">
      <c r="D3280"/>
    </row>
    <row r="3281" spans="4:4">
      <c r="D3281"/>
    </row>
    <row r="3282" spans="4:4">
      <c r="D3282"/>
    </row>
    <row r="3283" spans="4:4">
      <c r="D3283"/>
    </row>
    <row r="3284" spans="4:4">
      <c r="D3284"/>
    </row>
    <row r="3285" spans="4:4">
      <c r="D3285"/>
    </row>
    <row r="3286" spans="4:4">
      <c r="D3286"/>
    </row>
    <row r="3287" spans="4:4">
      <c r="D3287"/>
    </row>
    <row r="3288" spans="4:4">
      <c r="D3288"/>
    </row>
    <row r="3289" spans="4:4">
      <c r="D3289"/>
    </row>
    <row r="3290" spans="4:4">
      <c r="D3290"/>
    </row>
    <row r="3291" spans="4:4">
      <c r="D3291"/>
    </row>
    <row r="3292" spans="4:4">
      <c r="D3292"/>
    </row>
    <row r="3293" spans="4:4">
      <c r="D3293"/>
    </row>
    <row r="3294" spans="4:4">
      <c r="D3294"/>
    </row>
    <row r="3295" spans="4:4">
      <c r="D3295"/>
    </row>
    <row r="3296" spans="4:4">
      <c r="D3296"/>
    </row>
    <row r="3297" spans="4:4">
      <c r="D3297"/>
    </row>
    <row r="3298" spans="4:4">
      <c r="D3298"/>
    </row>
    <row r="3299" spans="4:4">
      <c r="D3299"/>
    </row>
    <row r="3300" spans="4:4">
      <c r="D3300"/>
    </row>
    <row r="3301" spans="4:4">
      <c r="D3301"/>
    </row>
    <row r="3302" spans="4:4">
      <c r="D3302"/>
    </row>
    <row r="3303" spans="4:4">
      <c r="D3303"/>
    </row>
    <row r="3304" spans="4:4">
      <c r="D3304"/>
    </row>
    <row r="3305" spans="4:4">
      <c r="D3305"/>
    </row>
    <row r="3306" spans="4:4">
      <c r="D3306"/>
    </row>
    <row r="3307" spans="4:4">
      <c r="D3307"/>
    </row>
    <row r="3308" spans="4:4">
      <c r="D3308"/>
    </row>
    <row r="3309" spans="4:4">
      <c r="D3309"/>
    </row>
    <row r="3310" spans="4:4">
      <c r="D3310"/>
    </row>
    <row r="3311" spans="4:4">
      <c r="D3311"/>
    </row>
    <row r="3312" spans="4:4">
      <c r="D3312"/>
    </row>
    <row r="3313" spans="4:4">
      <c r="D3313"/>
    </row>
    <row r="3314" spans="4:4">
      <c r="D3314"/>
    </row>
    <row r="3315" spans="4:4">
      <c r="D3315"/>
    </row>
    <row r="3316" spans="4:4">
      <c r="D3316"/>
    </row>
    <row r="3317" spans="4:4">
      <c r="D3317"/>
    </row>
    <row r="3318" spans="4:4">
      <c r="D3318"/>
    </row>
    <row r="3319" spans="4:4">
      <c r="D3319"/>
    </row>
    <row r="3320" spans="4:4">
      <c r="D3320"/>
    </row>
    <row r="3321" spans="4:4">
      <c r="D3321"/>
    </row>
    <row r="3322" spans="4:4">
      <c r="D3322"/>
    </row>
    <row r="3323" spans="4:4">
      <c r="D3323"/>
    </row>
    <row r="3324" spans="4:4">
      <c r="D3324"/>
    </row>
    <row r="3325" spans="4:4">
      <c r="D3325"/>
    </row>
    <row r="3326" spans="4:4">
      <c r="D3326"/>
    </row>
    <row r="3327" spans="4:4">
      <c r="D3327"/>
    </row>
    <row r="3328" spans="4:4">
      <c r="D3328"/>
    </row>
    <row r="3329" spans="4:4">
      <c r="D3329"/>
    </row>
    <row r="3330" spans="4:4">
      <c r="D3330"/>
    </row>
    <row r="3331" spans="4:4">
      <c r="D3331"/>
    </row>
    <row r="3332" spans="4:4">
      <c r="D3332"/>
    </row>
    <row r="3333" spans="4:4">
      <c r="D3333"/>
    </row>
    <row r="3334" spans="4:4">
      <c r="D3334"/>
    </row>
    <row r="3335" spans="4:4">
      <c r="D3335"/>
    </row>
    <row r="3336" spans="4:4">
      <c r="D3336"/>
    </row>
    <row r="3337" spans="4:4">
      <c r="D3337"/>
    </row>
    <row r="3338" spans="4:4">
      <c r="D3338"/>
    </row>
    <row r="3339" spans="4:4">
      <c r="D3339"/>
    </row>
    <row r="3340" spans="4:4">
      <c r="D3340"/>
    </row>
    <row r="3341" spans="4:4">
      <c r="D3341"/>
    </row>
    <row r="3342" spans="4:4">
      <c r="D3342"/>
    </row>
    <row r="3343" spans="4:4">
      <c r="D3343"/>
    </row>
    <row r="3344" spans="4:4">
      <c r="D3344"/>
    </row>
    <row r="3345" spans="4:4">
      <c r="D3345"/>
    </row>
    <row r="3346" spans="4:4">
      <c r="D3346"/>
    </row>
    <row r="3347" spans="4:4">
      <c r="D3347"/>
    </row>
    <row r="3348" spans="4:4">
      <c r="D3348"/>
    </row>
    <row r="3349" spans="4:4">
      <c r="D3349"/>
    </row>
    <row r="3350" spans="4:4">
      <c r="D3350"/>
    </row>
    <row r="3351" spans="4:4">
      <c r="D3351"/>
    </row>
    <row r="3352" spans="4:4">
      <c r="D3352"/>
    </row>
    <row r="3353" spans="4:4">
      <c r="D3353"/>
    </row>
    <row r="3354" spans="4:4">
      <c r="D3354"/>
    </row>
    <row r="3355" spans="4:4">
      <c r="D3355"/>
    </row>
    <row r="3356" spans="4:4">
      <c r="D3356"/>
    </row>
    <row r="3357" spans="4:4">
      <c r="D3357"/>
    </row>
    <row r="3358" spans="4:4">
      <c r="D3358"/>
    </row>
    <row r="3359" spans="4:4">
      <c r="D3359"/>
    </row>
    <row r="3360" spans="4:4">
      <c r="D3360"/>
    </row>
    <row r="3361" spans="4:4">
      <c r="D3361"/>
    </row>
    <row r="3362" spans="4:4">
      <c r="D3362"/>
    </row>
    <row r="3363" spans="4:4">
      <c r="D3363"/>
    </row>
    <row r="3364" spans="4:4">
      <c r="D3364"/>
    </row>
    <row r="3365" spans="4:4">
      <c r="D3365"/>
    </row>
    <row r="3366" spans="4:4">
      <c r="D3366"/>
    </row>
    <row r="3367" spans="4:4">
      <c r="D3367"/>
    </row>
    <row r="3368" spans="4:4">
      <c r="D3368"/>
    </row>
    <row r="3369" spans="4:4">
      <c r="D3369"/>
    </row>
    <row r="3370" spans="4:4">
      <c r="D3370"/>
    </row>
    <row r="3371" spans="4:4">
      <c r="D3371"/>
    </row>
    <row r="3372" spans="4:4">
      <c r="D3372"/>
    </row>
    <row r="3373" spans="4:4">
      <c r="D3373"/>
    </row>
    <row r="3374" spans="4:4">
      <c r="D3374"/>
    </row>
    <row r="3375" spans="4:4">
      <c r="D3375"/>
    </row>
    <row r="3376" spans="4:4">
      <c r="D3376"/>
    </row>
    <row r="3377" spans="4:4">
      <c r="D3377"/>
    </row>
    <row r="3378" spans="4:4">
      <c r="D3378"/>
    </row>
    <row r="3379" spans="4:4">
      <c r="D3379"/>
    </row>
    <row r="3380" spans="4:4">
      <c r="D3380"/>
    </row>
    <row r="3381" spans="4:4">
      <c r="D3381"/>
    </row>
    <row r="3382" spans="4:4">
      <c r="D3382"/>
    </row>
    <row r="3383" spans="4:4">
      <c r="D3383"/>
    </row>
    <row r="3384" spans="4:4">
      <c r="D3384"/>
    </row>
    <row r="3385" spans="4:4">
      <c r="D3385"/>
    </row>
    <row r="3386" spans="4:4">
      <c r="D3386"/>
    </row>
    <row r="3387" spans="4:4">
      <c r="D3387"/>
    </row>
    <row r="3388" spans="4:4">
      <c r="D3388"/>
    </row>
    <row r="3389" spans="4:4">
      <c r="D3389"/>
    </row>
    <row r="3390" spans="4:4">
      <c r="D3390"/>
    </row>
    <row r="3391" spans="4:4">
      <c r="D3391"/>
    </row>
    <row r="3392" spans="4:4">
      <c r="D3392"/>
    </row>
    <row r="3393" spans="4:4">
      <c r="D3393"/>
    </row>
    <row r="3394" spans="4:4">
      <c r="D3394"/>
    </row>
    <row r="3395" spans="4:4">
      <c r="D3395"/>
    </row>
    <row r="3396" spans="4:4">
      <c r="D3396"/>
    </row>
    <row r="3397" spans="4:4">
      <c r="D3397"/>
    </row>
    <row r="3398" spans="4:4">
      <c r="D3398"/>
    </row>
    <row r="3399" spans="4:4">
      <c r="D3399"/>
    </row>
    <row r="3400" spans="4:4">
      <c r="D3400"/>
    </row>
    <row r="3401" spans="4:4">
      <c r="D3401"/>
    </row>
    <row r="3402" spans="4:4">
      <c r="D3402"/>
    </row>
    <row r="3403" spans="4:4">
      <c r="D3403"/>
    </row>
    <row r="3404" spans="4:4">
      <c r="D3404"/>
    </row>
    <row r="3405" spans="4:4">
      <c r="D3405"/>
    </row>
    <row r="3406" spans="4:4">
      <c r="D3406"/>
    </row>
    <row r="3407" spans="4:4">
      <c r="D3407"/>
    </row>
    <row r="3408" spans="4:4">
      <c r="D3408"/>
    </row>
    <row r="3409" spans="4:4">
      <c r="D3409"/>
    </row>
    <row r="3410" spans="4:4">
      <c r="D3410"/>
    </row>
    <row r="3411" spans="4:4">
      <c r="D3411"/>
    </row>
    <row r="3412" spans="4:4">
      <c r="D3412"/>
    </row>
    <row r="3413" spans="4:4">
      <c r="D3413"/>
    </row>
    <row r="3414" spans="4:4">
      <c r="D3414"/>
    </row>
    <row r="3415" spans="4:4">
      <c r="D3415"/>
    </row>
    <row r="3416" spans="4:4">
      <c r="D3416"/>
    </row>
    <row r="3417" spans="4:4">
      <c r="D3417"/>
    </row>
    <row r="3418" spans="4:4">
      <c r="D3418"/>
    </row>
    <row r="3419" spans="4:4">
      <c r="D3419"/>
    </row>
    <row r="3420" spans="4:4">
      <c r="D3420"/>
    </row>
    <row r="3421" spans="4:4">
      <c r="D3421"/>
    </row>
    <row r="3422" spans="4:4">
      <c r="D3422"/>
    </row>
    <row r="3423" spans="4:4">
      <c r="D3423"/>
    </row>
    <row r="3424" spans="4:4">
      <c r="D3424"/>
    </row>
    <row r="3425" spans="4:4">
      <c r="D3425"/>
    </row>
    <row r="3426" spans="4:4">
      <c r="D3426"/>
    </row>
    <row r="3427" spans="4:4">
      <c r="D3427"/>
    </row>
    <row r="3428" spans="4:4">
      <c r="D3428"/>
    </row>
    <row r="3429" spans="4:4">
      <c r="D3429"/>
    </row>
    <row r="3430" spans="4:4">
      <c r="D3430"/>
    </row>
    <row r="3431" spans="4:4">
      <c r="D3431"/>
    </row>
    <row r="3432" spans="4:4">
      <c r="D3432"/>
    </row>
    <row r="3433" spans="4:4">
      <c r="D3433"/>
    </row>
    <row r="3434" spans="4:4">
      <c r="D3434"/>
    </row>
    <row r="3435" spans="4:4">
      <c r="D3435"/>
    </row>
    <row r="3436" spans="4:4">
      <c r="D3436"/>
    </row>
    <row r="3437" spans="4:4">
      <c r="D3437"/>
    </row>
    <row r="3438" spans="4:4">
      <c r="D3438"/>
    </row>
    <row r="3439" spans="4:4">
      <c r="D3439"/>
    </row>
    <row r="3440" spans="4:4">
      <c r="D3440"/>
    </row>
    <row r="3441" spans="4:4">
      <c r="D3441"/>
    </row>
    <row r="3442" spans="4:4">
      <c r="D3442"/>
    </row>
    <row r="3443" spans="4:4">
      <c r="D3443"/>
    </row>
    <row r="3444" spans="4:4">
      <c r="D3444"/>
    </row>
    <row r="3445" spans="4:4">
      <c r="D3445"/>
    </row>
    <row r="3446" spans="4:4">
      <c r="D3446"/>
    </row>
    <row r="3447" spans="4:4">
      <c r="D3447"/>
    </row>
    <row r="3448" spans="4:4">
      <c r="D3448"/>
    </row>
    <row r="3449" spans="4:4">
      <c r="D3449"/>
    </row>
    <row r="3450" spans="4:4">
      <c r="D3450"/>
    </row>
    <row r="3451" spans="4:4">
      <c r="D3451"/>
    </row>
    <row r="3452" spans="4:4">
      <c r="D3452"/>
    </row>
    <row r="3453" spans="4:4">
      <c r="D3453"/>
    </row>
    <row r="3454" spans="4:4">
      <c r="D3454"/>
    </row>
    <row r="3455" spans="4:4">
      <c r="D3455"/>
    </row>
    <row r="3456" spans="4:4">
      <c r="D3456"/>
    </row>
    <row r="3457" spans="4:4">
      <c r="D3457"/>
    </row>
    <row r="3458" spans="4:4">
      <c r="D3458"/>
    </row>
    <row r="3459" spans="4:4">
      <c r="D3459"/>
    </row>
    <row r="3460" spans="4:4">
      <c r="D3460"/>
    </row>
    <row r="3461" spans="4:4">
      <c r="D3461"/>
    </row>
    <row r="3462" spans="4:4">
      <c r="D3462"/>
    </row>
    <row r="3463" spans="4:4">
      <c r="D3463"/>
    </row>
    <row r="3464" spans="4:4">
      <c r="D3464"/>
    </row>
    <row r="3465" spans="4:4">
      <c r="D3465"/>
    </row>
    <row r="3466" spans="4:4">
      <c r="D3466"/>
    </row>
    <row r="3467" spans="4:4">
      <c r="D3467"/>
    </row>
    <row r="3468" spans="4:4">
      <c r="D3468"/>
    </row>
    <row r="3469" spans="4:4">
      <c r="D3469"/>
    </row>
    <row r="3470" spans="4:4">
      <c r="D3470"/>
    </row>
    <row r="3471" spans="4:4">
      <c r="D3471"/>
    </row>
    <row r="3472" spans="4:4">
      <c r="D3472"/>
    </row>
    <row r="3473" spans="4:4">
      <c r="D3473"/>
    </row>
    <row r="3474" spans="4:4">
      <c r="D3474"/>
    </row>
    <row r="3475" spans="4:4">
      <c r="D3475"/>
    </row>
    <row r="3476" spans="4:4">
      <c r="D3476"/>
    </row>
    <row r="3477" spans="4:4">
      <c r="D3477"/>
    </row>
    <row r="3478" spans="4:4">
      <c r="D3478"/>
    </row>
    <row r="3479" spans="4:4">
      <c r="D3479"/>
    </row>
    <row r="3480" spans="4:4">
      <c r="D3480"/>
    </row>
    <row r="3481" spans="4:4">
      <c r="D3481"/>
    </row>
    <row r="3482" spans="4:4">
      <c r="D3482"/>
    </row>
    <row r="3483" spans="4:4">
      <c r="D3483"/>
    </row>
    <row r="3484" spans="4:4">
      <c r="D3484"/>
    </row>
    <row r="3485" spans="4:4">
      <c r="D3485"/>
    </row>
    <row r="3486" spans="4:4">
      <c r="D3486"/>
    </row>
    <row r="3487" spans="4:4">
      <c r="D3487"/>
    </row>
    <row r="3488" spans="4:4">
      <c r="D3488"/>
    </row>
    <row r="3489" spans="4:4">
      <c r="D3489"/>
    </row>
    <row r="3490" spans="4:4">
      <c r="D3490"/>
    </row>
    <row r="3491" spans="4:4">
      <c r="D3491"/>
    </row>
    <row r="3492" spans="4:4">
      <c r="D3492"/>
    </row>
    <row r="3493" spans="4:4">
      <c r="D3493"/>
    </row>
    <row r="3494" spans="4:4">
      <c r="D3494"/>
    </row>
    <row r="3495" spans="4:4">
      <c r="D3495"/>
    </row>
    <row r="3496" spans="4:4">
      <c r="D3496"/>
    </row>
    <row r="3497" spans="4:4">
      <c r="D3497"/>
    </row>
    <row r="3498" spans="4:4">
      <c r="D3498"/>
    </row>
    <row r="3499" spans="4:4">
      <c r="D3499"/>
    </row>
    <row r="3500" spans="4:4">
      <c r="D3500"/>
    </row>
    <row r="3501" spans="4:4">
      <c r="D3501"/>
    </row>
    <row r="3502" spans="4:4">
      <c r="D3502"/>
    </row>
    <row r="3503" spans="4:4">
      <c r="D3503"/>
    </row>
    <row r="3504" spans="4:4">
      <c r="D3504"/>
    </row>
    <row r="3505" spans="4:4">
      <c r="D3505"/>
    </row>
    <row r="3506" spans="4:4">
      <c r="D3506"/>
    </row>
    <row r="3507" spans="4:4">
      <c r="D3507"/>
    </row>
    <row r="3508" spans="4:4">
      <c r="D3508"/>
    </row>
    <row r="3509" spans="4:4">
      <c r="D3509"/>
    </row>
    <row r="3510" spans="4:4">
      <c r="D3510"/>
    </row>
    <row r="3511" spans="4:4">
      <c r="D3511"/>
    </row>
    <row r="3512" spans="4:4">
      <c r="D3512"/>
    </row>
    <row r="3513" spans="4:4">
      <c r="D3513"/>
    </row>
    <row r="3514" spans="4:4">
      <c r="D3514"/>
    </row>
    <row r="3515" spans="4:4">
      <c r="D3515"/>
    </row>
    <row r="3516" spans="4:4">
      <c r="D3516"/>
    </row>
    <row r="3517" spans="4:4">
      <c r="D3517"/>
    </row>
    <row r="3518" spans="4:4">
      <c r="D3518"/>
    </row>
    <row r="3519" spans="4:4">
      <c r="D3519"/>
    </row>
    <row r="3520" spans="4:4">
      <c r="D3520"/>
    </row>
    <row r="3521" spans="4:4">
      <c r="D3521"/>
    </row>
    <row r="3522" spans="4:4">
      <c r="D3522"/>
    </row>
    <row r="3523" spans="4:4">
      <c r="D3523"/>
    </row>
    <row r="3524" spans="4:4">
      <c r="D3524"/>
    </row>
    <row r="3525" spans="4:4">
      <c r="D3525"/>
    </row>
    <row r="3526" spans="4:4">
      <c r="D3526"/>
    </row>
    <row r="3527" spans="4:4">
      <c r="D3527"/>
    </row>
    <row r="3528" spans="4:4">
      <c r="D3528"/>
    </row>
    <row r="3529" spans="4:4">
      <c r="D3529"/>
    </row>
    <row r="3530" spans="4:4">
      <c r="D3530"/>
    </row>
    <row r="3531" spans="4:4">
      <c r="D3531"/>
    </row>
    <row r="3532" spans="4:4">
      <c r="D3532"/>
    </row>
    <row r="3533" spans="4:4">
      <c r="D3533"/>
    </row>
    <row r="3534" spans="4:4">
      <c r="D3534"/>
    </row>
    <row r="3535" spans="4:4">
      <c r="D3535"/>
    </row>
    <row r="3536" spans="4:4">
      <c r="D3536"/>
    </row>
    <row r="3537" spans="4:4">
      <c r="D3537"/>
    </row>
    <row r="3538" spans="4:4">
      <c r="D3538"/>
    </row>
    <row r="3539" spans="4:4">
      <c r="D3539"/>
    </row>
    <row r="3540" spans="4:4">
      <c r="D3540"/>
    </row>
    <row r="3541" spans="4:4">
      <c r="D3541"/>
    </row>
    <row r="3542" spans="4:4">
      <c r="D3542"/>
    </row>
    <row r="3543" spans="4:4">
      <c r="D3543"/>
    </row>
    <row r="3544" spans="4:4">
      <c r="D3544"/>
    </row>
    <row r="3545" spans="4:4">
      <c r="D3545"/>
    </row>
    <row r="3546" spans="4:4">
      <c r="D3546"/>
    </row>
    <row r="3547" spans="4:4">
      <c r="D3547"/>
    </row>
    <row r="3548" spans="4:4">
      <c r="D3548"/>
    </row>
    <row r="3549" spans="4:4">
      <c r="D3549"/>
    </row>
    <row r="3550" spans="4:4">
      <c r="D3550"/>
    </row>
    <row r="3551" spans="4:4">
      <c r="D3551"/>
    </row>
    <row r="3552" spans="4:4">
      <c r="D3552"/>
    </row>
    <row r="3553" spans="4:4">
      <c r="D3553"/>
    </row>
    <row r="3554" spans="4:4">
      <c r="D3554"/>
    </row>
    <row r="3555" spans="4:4">
      <c r="D3555"/>
    </row>
    <row r="3556" spans="4:4">
      <c r="D3556"/>
    </row>
    <row r="3557" spans="4:4">
      <c r="D3557"/>
    </row>
    <row r="3558" spans="4:4">
      <c r="D3558"/>
    </row>
    <row r="3559" spans="4:4">
      <c r="D3559"/>
    </row>
    <row r="3560" spans="4:4">
      <c r="D3560"/>
    </row>
    <row r="3561" spans="4:4">
      <c r="D3561"/>
    </row>
    <row r="3562" spans="4:4">
      <c r="D3562"/>
    </row>
    <row r="3563" spans="4:4">
      <c r="D3563"/>
    </row>
    <row r="3564" spans="4:4">
      <c r="D3564"/>
    </row>
    <row r="3565" spans="4:4">
      <c r="D3565"/>
    </row>
    <row r="3566" spans="4:4">
      <c r="D3566"/>
    </row>
    <row r="3567" spans="4:4">
      <c r="D3567"/>
    </row>
    <row r="3568" spans="4:4">
      <c r="D3568"/>
    </row>
    <row r="3569" spans="4:4">
      <c r="D3569"/>
    </row>
    <row r="3570" spans="4:4">
      <c r="D3570"/>
    </row>
    <row r="3571" spans="4:4">
      <c r="D3571"/>
    </row>
    <row r="3572" spans="4:4">
      <c r="D3572"/>
    </row>
    <row r="3573" spans="4:4">
      <c r="D3573"/>
    </row>
    <row r="3574" spans="4:4">
      <c r="D3574"/>
    </row>
    <row r="3575" spans="4:4">
      <c r="D3575"/>
    </row>
    <row r="3576" spans="4:4">
      <c r="D3576"/>
    </row>
    <row r="3577" spans="4:4">
      <c r="D3577"/>
    </row>
    <row r="3578" spans="4:4">
      <c r="D3578"/>
    </row>
    <row r="3579" spans="4:4">
      <c r="D3579"/>
    </row>
    <row r="3580" spans="4:4">
      <c r="D3580"/>
    </row>
    <row r="3581" spans="4:4">
      <c r="D3581"/>
    </row>
    <row r="3582" spans="4:4">
      <c r="D3582"/>
    </row>
    <row r="3583" spans="4:4">
      <c r="D3583"/>
    </row>
    <row r="3584" spans="4:4">
      <c r="D3584"/>
    </row>
    <row r="3585" spans="4:4">
      <c r="D3585"/>
    </row>
    <row r="3586" spans="4:4">
      <c r="D3586"/>
    </row>
    <row r="3587" spans="4:4">
      <c r="D3587"/>
    </row>
    <row r="3588" spans="4:4">
      <c r="D3588"/>
    </row>
    <row r="3589" spans="4:4">
      <c r="D3589"/>
    </row>
    <row r="3590" spans="4:4">
      <c r="D3590"/>
    </row>
    <row r="3591" spans="4:4">
      <c r="D3591"/>
    </row>
    <row r="3592" spans="4:4">
      <c r="D3592"/>
    </row>
    <row r="3593" spans="4:4">
      <c r="D3593"/>
    </row>
    <row r="3594" spans="4:4">
      <c r="D3594"/>
    </row>
    <row r="3595" spans="4:4">
      <c r="D3595"/>
    </row>
    <row r="3596" spans="4:4">
      <c r="D3596"/>
    </row>
    <row r="3597" spans="4:4">
      <c r="D3597"/>
    </row>
    <row r="3598" spans="4:4">
      <c r="D3598"/>
    </row>
    <row r="3599" spans="4:4">
      <c r="D3599"/>
    </row>
    <row r="3600" spans="4:4">
      <c r="D3600"/>
    </row>
    <row r="3601" spans="4:4">
      <c r="D3601"/>
    </row>
    <row r="3602" spans="4:4">
      <c r="D3602"/>
    </row>
    <row r="3603" spans="4:4">
      <c r="D3603"/>
    </row>
    <row r="3604" spans="4:4">
      <c r="D3604"/>
    </row>
    <row r="3605" spans="4:4">
      <c r="D3605"/>
    </row>
    <row r="3606" spans="4:4">
      <c r="D3606"/>
    </row>
    <row r="3607" spans="4:4">
      <c r="D3607"/>
    </row>
    <row r="3608" spans="4:4">
      <c r="D3608"/>
    </row>
    <row r="3609" spans="4:4">
      <c r="D3609"/>
    </row>
    <row r="3610" spans="4:4">
      <c r="D3610"/>
    </row>
    <row r="3611" spans="4:4">
      <c r="D3611"/>
    </row>
    <row r="3612" spans="4:4">
      <c r="D3612"/>
    </row>
    <row r="3613" spans="4:4">
      <c r="D3613"/>
    </row>
    <row r="3614" spans="4:4">
      <c r="D3614"/>
    </row>
    <row r="3615" spans="4:4">
      <c r="D3615"/>
    </row>
    <row r="3616" spans="4:4">
      <c r="D3616"/>
    </row>
    <row r="3617" spans="4:4">
      <c r="D3617"/>
    </row>
    <row r="3618" spans="4:4">
      <c r="D3618"/>
    </row>
    <row r="3619" spans="4:4">
      <c r="D3619"/>
    </row>
    <row r="3620" spans="4:4">
      <c r="D3620"/>
    </row>
    <row r="3621" spans="4:4">
      <c r="D3621"/>
    </row>
    <row r="3622" spans="4:4">
      <c r="D3622"/>
    </row>
    <row r="3623" spans="4:4">
      <c r="D3623"/>
    </row>
    <row r="3624" spans="4:4">
      <c r="D3624"/>
    </row>
    <row r="3625" spans="4:4">
      <c r="D3625"/>
    </row>
    <row r="3626" spans="4:4">
      <c r="D3626"/>
    </row>
    <row r="3627" spans="4:4">
      <c r="D3627"/>
    </row>
    <row r="3628" spans="4:4">
      <c r="D3628"/>
    </row>
    <row r="3629" spans="4:4">
      <c r="D3629"/>
    </row>
    <row r="3630" spans="4:4">
      <c r="D3630"/>
    </row>
    <row r="3631" spans="4:4">
      <c r="D3631"/>
    </row>
    <row r="3632" spans="4:4">
      <c r="D3632"/>
    </row>
    <row r="3633" spans="4:4">
      <c r="D3633"/>
    </row>
    <row r="3634" spans="4:4">
      <c r="D3634"/>
    </row>
    <row r="3635" spans="4:4">
      <c r="D3635"/>
    </row>
    <row r="3636" spans="4:4">
      <c r="D3636"/>
    </row>
    <row r="3637" spans="4:4">
      <c r="D3637"/>
    </row>
    <row r="3638" spans="4:4">
      <c r="D3638"/>
    </row>
    <row r="3639" spans="4:4">
      <c r="D3639"/>
    </row>
    <row r="3640" spans="4:4">
      <c r="D3640"/>
    </row>
    <row r="3641" spans="4:4">
      <c r="D3641"/>
    </row>
    <row r="3642" spans="4:4">
      <c r="D3642"/>
    </row>
    <row r="3643" spans="4:4">
      <c r="D3643"/>
    </row>
    <row r="3644" spans="4:4">
      <c r="D3644"/>
    </row>
    <row r="3645" spans="4:4">
      <c r="D3645"/>
    </row>
    <row r="3646" spans="4:4">
      <c r="D3646"/>
    </row>
    <row r="3647" spans="4:4">
      <c r="D3647"/>
    </row>
    <row r="3648" spans="4:4">
      <c r="D3648"/>
    </row>
    <row r="3649" spans="4:4">
      <c r="D3649"/>
    </row>
    <row r="3650" spans="4:4">
      <c r="D3650"/>
    </row>
    <row r="3651" spans="4:4">
      <c r="D3651"/>
    </row>
    <row r="3652" spans="4:4">
      <c r="D3652"/>
    </row>
    <row r="3653" spans="4:4">
      <c r="D3653"/>
    </row>
    <row r="3654" spans="4:4">
      <c r="D3654"/>
    </row>
    <row r="3655" spans="4:4">
      <c r="D3655"/>
    </row>
    <row r="3656" spans="4:4">
      <c r="D3656"/>
    </row>
    <row r="3657" spans="4:4">
      <c r="D3657"/>
    </row>
    <row r="3658" spans="4:4">
      <c r="D3658"/>
    </row>
    <row r="3659" spans="4:4">
      <c r="D3659"/>
    </row>
    <row r="3660" spans="4:4">
      <c r="D3660"/>
    </row>
    <row r="3661" spans="4:4">
      <c r="D3661"/>
    </row>
    <row r="3662" spans="4:4">
      <c r="D3662"/>
    </row>
    <row r="3663" spans="4:4">
      <c r="D3663"/>
    </row>
    <row r="3664" spans="4:4">
      <c r="D3664"/>
    </row>
    <row r="3665" spans="4:4">
      <c r="D3665"/>
    </row>
    <row r="3666" spans="4:4">
      <c r="D3666"/>
    </row>
    <row r="3667" spans="4:4">
      <c r="D3667"/>
    </row>
    <row r="3668" spans="4:4">
      <c r="D3668"/>
    </row>
    <row r="3669" spans="4:4">
      <c r="D3669"/>
    </row>
    <row r="3670" spans="4:4">
      <c r="D3670"/>
    </row>
    <row r="3671" spans="4:4">
      <c r="D3671"/>
    </row>
    <row r="3672" spans="4:4">
      <c r="D3672"/>
    </row>
    <row r="3673" spans="4:4">
      <c r="D3673"/>
    </row>
    <row r="3674" spans="4:4">
      <c r="D3674"/>
    </row>
    <row r="3675" spans="4:4">
      <c r="D3675"/>
    </row>
    <row r="3676" spans="4:4">
      <c r="D3676"/>
    </row>
    <row r="3677" spans="4:4">
      <c r="D3677"/>
    </row>
    <row r="3678" spans="4:4">
      <c r="D3678"/>
    </row>
    <row r="3679" spans="4:4">
      <c r="D3679"/>
    </row>
    <row r="3680" spans="4:4">
      <c r="D3680"/>
    </row>
    <row r="3681" spans="4:4">
      <c r="D3681"/>
    </row>
    <row r="3682" spans="4:4">
      <c r="D3682"/>
    </row>
    <row r="3683" spans="4:4">
      <c r="D3683"/>
    </row>
    <row r="3684" spans="4:4">
      <c r="D3684"/>
    </row>
    <row r="3685" spans="4:4">
      <c r="D3685"/>
    </row>
    <row r="3686" spans="4:4">
      <c r="D3686"/>
    </row>
    <row r="3687" spans="4:4">
      <c r="D3687"/>
    </row>
    <row r="3688" spans="4:4">
      <c r="D3688"/>
    </row>
    <row r="3689" spans="4:4">
      <c r="D3689"/>
    </row>
    <row r="3690" spans="4:4">
      <c r="D3690"/>
    </row>
    <row r="3691" spans="4:4">
      <c r="D3691"/>
    </row>
    <row r="3692" spans="4:4">
      <c r="D3692"/>
    </row>
    <row r="3693" spans="4:4">
      <c r="D3693"/>
    </row>
    <row r="3694" spans="4:4">
      <c r="D3694"/>
    </row>
    <row r="3695" spans="4:4">
      <c r="D3695"/>
    </row>
    <row r="3696" spans="4:4">
      <c r="D3696"/>
    </row>
    <row r="3697" spans="4:4">
      <c r="D3697"/>
    </row>
    <row r="3698" spans="4:4">
      <c r="D3698"/>
    </row>
    <row r="3699" spans="4:4">
      <c r="D3699"/>
    </row>
    <row r="3700" spans="4:4">
      <c r="D3700"/>
    </row>
    <row r="3701" spans="4:4">
      <c r="D3701"/>
    </row>
    <row r="3702" spans="4:4">
      <c r="D3702"/>
    </row>
    <row r="3703" spans="4:4">
      <c r="D3703"/>
    </row>
    <row r="3704" spans="4:4">
      <c r="D3704"/>
    </row>
    <row r="3705" spans="4:4">
      <c r="D3705"/>
    </row>
    <row r="3706" spans="4:4">
      <c r="D3706"/>
    </row>
    <row r="3707" spans="4:4">
      <c r="D3707"/>
    </row>
    <row r="3708" spans="4:4">
      <c r="D3708"/>
    </row>
    <row r="3709" spans="4:4">
      <c r="D3709"/>
    </row>
    <row r="3710" spans="4:4">
      <c r="D3710"/>
    </row>
    <row r="3711" spans="4:4">
      <c r="D3711"/>
    </row>
    <row r="3712" spans="4:4">
      <c r="D3712"/>
    </row>
    <row r="3713" spans="4:4">
      <c r="D3713"/>
    </row>
    <row r="3714" spans="4:4">
      <c r="D3714"/>
    </row>
    <row r="3715" spans="4:4">
      <c r="D3715"/>
    </row>
    <row r="3716" spans="4:4">
      <c r="D3716"/>
    </row>
    <row r="3717" spans="4:4">
      <c r="D3717"/>
    </row>
    <row r="3718" spans="4:4">
      <c r="D3718"/>
    </row>
    <row r="3719" spans="4:4">
      <c r="D3719"/>
    </row>
    <row r="3720" spans="4:4">
      <c r="D3720"/>
    </row>
    <row r="3721" spans="4:4">
      <c r="D3721"/>
    </row>
    <row r="3722" spans="4:4">
      <c r="D3722"/>
    </row>
    <row r="3723" spans="4:4">
      <c r="D3723"/>
    </row>
    <row r="3724" spans="4:4">
      <c r="D3724"/>
    </row>
    <row r="3725" spans="4:4">
      <c r="D3725"/>
    </row>
    <row r="3726" spans="4:4">
      <c r="D3726"/>
    </row>
    <row r="3727" spans="4:4">
      <c r="D3727"/>
    </row>
    <row r="3728" spans="4:4">
      <c r="D3728"/>
    </row>
    <row r="3729" spans="4:4">
      <c r="D3729"/>
    </row>
    <row r="3730" spans="4:4">
      <c r="D3730"/>
    </row>
    <row r="3731" spans="4:4">
      <c r="D3731"/>
    </row>
    <row r="3732" spans="4:4">
      <c r="D3732"/>
    </row>
    <row r="3733" spans="4:4">
      <c r="D3733"/>
    </row>
    <row r="3734" spans="4:4">
      <c r="D3734"/>
    </row>
    <row r="3735" spans="4:4">
      <c r="D3735"/>
    </row>
    <row r="3736" spans="4:4">
      <c r="D3736"/>
    </row>
    <row r="3737" spans="4:4">
      <c r="D3737"/>
    </row>
    <row r="3738" spans="4:4">
      <c r="D3738"/>
    </row>
    <row r="3739" spans="4:4">
      <c r="D3739"/>
    </row>
    <row r="3740" spans="4:4">
      <c r="D3740"/>
    </row>
    <row r="3741" spans="4:4">
      <c r="D3741"/>
    </row>
    <row r="3742" spans="4:4">
      <c r="D3742"/>
    </row>
    <row r="3743" spans="4:4">
      <c r="D3743"/>
    </row>
    <row r="3744" spans="4:4">
      <c r="D3744"/>
    </row>
    <row r="3745" spans="4:4">
      <c r="D3745"/>
    </row>
    <row r="3746" spans="4:4">
      <c r="D3746"/>
    </row>
    <row r="3747" spans="4:4">
      <c r="D3747"/>
    </row>
    <row r="3748" spans="4:4">
      <c r="D3748"/>
    </row>
    <row r="3749" spans="4:4">
      <c r="D3749"/>
    </row>
    <row r="3750" spans="4:4">
      <c r="D3750"/>
    </row>
    <row r="3751" spans="4:4">
      <c r="D3751"/>
    </row>
    <row r="3752" spans="4:4">
      <c r="D3752"/>
    </row>
    <row r="3753" spans="4:4">
      <c r="D3753"/>
    </row>
    <row r="3754" spans="4:4">
      <c r="D3754"/>
    </row>
    <row r="3755" spans="4:4">
      <c r="D3755"/>
    </row>
    <row r="3756" spans="4:4">
      <c r="D3756"/>
    </row>
    <row r="3757" spans="4:4">
      <c r="D3757"/>
    </row>
    <row r="3758" spans="4:4">
      <c r="D3758"/>
    </row>
    <row r="3759" spans="4:4">
      <c r="D3759"/>
    </row>
    <row r="3760" spans="4:4">
      <c r="D3760"/>
    </row>
    <row r="3761" spans="4:4">
      <c r="D3761"/>
    </row>
    <row r="3762" spans="4:4">
      <c r="D3762"/>
    </row>
    <row r="3763" spans="4:4">
      <c r="D3763"/>
    </row>
    <row r="3764" spans="4:4">
      <c r="D3764"/>
    </row>
    <row r="3765" spans="4:4">
      <c r="D3765"/>
    </row>
    <row r="3766" spans="4:4">
      <c r="D3766"/>
    </row>
    <row r="3767" spans="4:4">
      <c r="D3767"/>
    </row>
    <row r="3768" spans="4:4">
      <c r="D3768"/>
    </row>
    <row r="3769" spans="4:4">
      <c r="D3769"/>
    </row>
    <row r="3770" spans="4:4">
      <c r="D3770"/>
    </row>
    <row r="3771" spans="4:4">
      <c r="D3771"/>
    </row>
    <row r="3772" spans="4:4">
      <c r="D3772"/>
    </row>
    <row r="3773" spans="4:4">
      <c r="D3773"/>
    </row>
    <row r="3774" spans="4:4">
      <c r="D3774"/>
    </row>
    <row r="3775" spans="4:4">
      <c r="D3775"/>
    </row>
    <row r="3776" spans="4:4">
      <c r="D3776"/>
    </row>
    <row r="3777" spans="4:4">
      <c r="D3777"/>
    </row>
    <row r="3778" spans="4:4">
      <c r="D3778"/>
    </row>
    <row r="3779" spans="4:4">
      <c r="D3779"/>
    </row>
    <row r="3780" spans="4:4">
      <c r="D3780"/>
    </row>
    <row r="3781" spans="4:4">
      <c r="D3781"/>
    </row>
    <row r="3782" spans="4:4">
      <c r="D3782"/>
    </row>
    <row r="3783" spans="4:4">
      <c r="D3783"/>
    </row>
    <row r="3784" spans="4:4">
      <c r="D3784"/>
    </row>
    <row r="3785" spans="4:4">
      <c r="D3785"/>
    </row>
    <row r="3786" spans="4:4">
      <c r="D3786"/>
    </row>
    <row r="3787" spans="4:4">
      <c r="D3787"/>
    </row>
    <row r="3788" spans="4:4">
      <c r="D3788"/>
    </row>
    <row r="3789" spans="4:4">
      <c r="D3789"/>
    </row>
    <row r="3790" spans="4:4">
      <c r="D3790"/>
    </row>
    <row r="3791" spans="4:4">
      <c r="D3791"/>
    </row>
    <row r="3792" spans="4:4">
      <c r="D3792"/>
    </row>
    <row r="3793" spans="4:4">
      <c r="D3793"/>
    </row>
    <row r="3794" spans="4:4">
      <c r="D3794"/>
    </row>
    <row r="3795" spans="4:4">
      <c r="D3795"/>
    </row>
    <row r="3796" spans="4:4">
      <c r="D3796"/>
    </row>
    <row r="3797" spans="4:4">
      <c r="D3797"/>
    </row>
    <row r="3798" spans="4:4">
      <c r="D3798"/>
    </row>
    <row r="3799" spans="4:4">
      <c r="D3799"/>
    </row>
    <row r="3800" spans="4:4">
      <c r="D3800"/>
    </row>
    <row r="3801" spans="4:4">
      <c r="D3801"/>
    </row>
    <row r="3802" spans="4:4">
      <c r="D3802"/>
    </row>
    <row r="3803" spans="4:4">
      <c r="D3803"/>
    </row>
    <row r="3804" spans="4:4">
      <c r="D3804"/>
    </row>
    <row r="3805" spans="4:4">
      <c r="D3805"/>
    </row>
    <row r="3806" spans="4:4">
      <c r="D3806"/>
    </row>
    <row r="3807" spans="4:4">
      <c r="D3807"/>
    </row>
    <row r="3808" spans="4:4">
      <c r="D3808"/>
    </row>
    <row r="3809" spans="4:4">
      <c r="D3809"/>
    </row>
    <row r="3810" spans="4:4">
      <c r="D3810"/>
    </row>
    <row r="3811" spans="4:4">
      <c r="D3811"/>
    </row>
    <row r="3812" spans="4:4">
      <c r="D3812"/>
    </row>
    <row r="3813" spans="4:4">
      <c r="D3813"/>
    </row>
    <row r="3814" spans="4:4">
      <c r="D3814"/>
    </row>
    <row r="3815" spans="4:4">
      <c r="D3815"/>
    </row>
    <row r="3816" spans="4:4">
      <c r="D3816"/>
    </row>
    <row r="3817" spans="4:4">
      <c r="D3817"/>
    </row>
    <row r="3818" spans="4:4">
      <c r="D3818"/>
    </row>
    <row r="3819" spans="4:4">
      <c r="D3819"/>
    </row>
    <row r="3820" spans="4:4">
      <c r="D3820"/>
    </row>
    <row r="3821" spans="4:4">
      <c r="D3821"/>
    </row>
    <row r="3822" spans="4:4">
      <c r="D3822"/>
    </row>
    <row r="3823" spans="4:4">
      <c r="D3823"/>
    </row>
    <row r="3824" spans="4:4">
      <c r="D3824"/>
    </row>
    <row r="3825" spans="4:4">
      <c r="D3825"/>
    </row>
    <row r="3826" spans="4:4">
      <c r="D3826"/>
    </row>
    <row r="3827" spans="4:4">
      <c r="D3827"/>
    </row>
    <row r="3828" spans="4:4">
      <c r="D3828"/>
    </row>
    <row r="3829" spans="4:4">
      <c r="D3829"/>
    </row>
    <row r="3830" spans="4:4">
      <c r="D3830"/>
    </row>
    <row r="3831" spans="4:4">
      <c r="D3831"/>
    </row>
    <row r="3832" spans="4:4">
      <c r="D3832"/>
    </row>
    <row r="3833" spans="4:4">
      <c r="D3833"/>
    </row>
    <row r="3834" spans="4:4">
      <c r="D3834"/>
    </row>
    <row r="3835" spans="4:4">
      <c r="D3835"/>
    </row>
    <row r="3836" spans="4:4">
      <c r="D3836"/>
    </row>
    <row r="3837" spans="4:4">
      <c r="D3837"/>
    </row>
    <row r="3838" spans="4:4">
      <c r="D3838"/>
    </row>
    <row r="3839" spans="4:4">
      <c r="D3839"/>
    </row>
    <row r="3840" spans="4:4">
      <c r="D3840"/>
    </row>
    <row r="3841" spans="4:4">
      <c r="D3841"/>
    </row>
    <row r="3842" spans="4:4">
      <c r="D3842"/>
    </row>
    <row r="3843" spans="4:4">
      <c r="D3843"/>
    </row>
    <row r="3844" spans="4:4">
      <c r="D3844"/>
    </row>
    <row r="3845" spans="4:4">
      <c r="D3845"/>
    </row>
    <row r="3846" spans="4:4">
      <c r="D3846"/>
    </row>
    <row r="3847" spans="4:4">
      <c r="D3847"/>
    </row>
    <row r="3848" spans="4:4">
      <c r="D3848"/>
    </row>
    <row r="3849" spans="4:4">
      <c r="D3849"/>
    </row>
    <row r="3850" spans="4:4">
      <c r="D3850"/>
    </row>
    <row r="3851" spans="4:4">
      <c r="D3851"/>
    </row>
    <row r="3852" spans="4:4">
      <c r="D3852"/>
    </row>
    <row r="3853" spans="4:4">
      <c r="D3853"/>
    </row>
    <row r="3854" spans="4:4">
      <c r="D3854"/>
    </row>
    <row r="3855" spans="4:4">
      <c r="D3855"/>
    </row>
    <row r="3856" spans="4:4">
      <c r="D3856"/>
    </row>
    <row r="3857" spans="4:4">
      <c r="D3857"/>
    </row>
    <row r="3858" spans="4:4">
      <c r="D3858"/>
    </row>
    <row r="3859" spans="4:4">
      <c r="D3859"/>
    </row>
    <row r="3860" spans="4:4">
      <c r="D3860"/>
    </row>
    <row r="3861" spans="4:4">
      <c r="D3861"/>
    </row>
    <row r="3862" spans="4:4">
      <c r="D3862"/>
    </row>
    <row r="3863" spans="4:4">
      <c r="D3863"/>
    </row>
    <row r="3864" spans="4:4">
      <c r="D3864"/>
    </row>
    <row r="3865" spans="4:4">
      <c r="D3865"/>
    </row>
    <row r="3866" spans="4:4">
      <c r="D3866"/>
    </row>
    <row r="3867" spans="4:4">
      <c r="D3867"/>
    </row>
    <row r="3868" spans="4:4">
      <c r="D3868"/>
    </row>
    <row r="3869" spans="4:4">
      <c r="D3869"/>
    </row>
    <row r="3870" spans="4:4">
      <c r="D3870"/>
    </row>
    <row r="3871" spans="4:4">
      <c r="D3871"/>
    </row>
    <row r="3872" spans="4:4">
      <c r="D3872"/>
    </row>
    <row r="3873" spans="4:4">
      <c r="D3873"/>
    </row>
    <row r="3874" spans="4:4">
      <c r="D3874"/>
    </row>
    <row r="3875" spans="4:4">
      <c r="D3875"/>
    </row>
    <row r="3876" spans="4:4">
      <c r="D3876"/>
    </row>
    <row r="3877" spans="4:4">
      <c r="D3877"/>
    </row>
    <row r="3878" spans="4:4">
      <c r="D3878"/>
    </row>
    <row r="3879" spans="4:4">
      <c r="D3879"/>
    </row>
    <row r="3880" spans="4:4">
      <c r="D3880"/>
    </row>
    <row r="3881" spans="4:4">
      <c r="D3881"/>
    </row>
    <row r="3882" spans="4:4">
      <c r="D3882"/>
    </row>
    <row r="3883" spans="4:4">
      <c r="D3883"/>
    </row>
    <row r="3884" spans="4:4">
      <c r="D3884"/>
    </row>
    <row r="3885" spans="4:4">
      <c r="D3885"/>
    </row>
    <row r="3886" spans="4:4">
      <c r="D3886"/>
    </row>
    <row r="3887" spans="4:4">
      <c r="D3887"/>
    </row>
    <row r="3888" spans="4:4">
      <c r="D3888"/>
    </row>
    <row r="3889" spans="4:4">
      <c r="D3889"/>
    </row>
    <row r="3890" spans="4:4">
      <c r="D3890"/>
    </row>
    <row r="3891" spans="4:4">
      <c r="D3891"/>
    </row>
    <row r="3892" spans="4:4">
      <c r="D3892"/>
    </row>
    <row r="3893" spans="4:4">
      <c r="D3893"/>
    </row>
    <row r="3894" spans="4:4">
      <c r="D3894"/>
    </row>
    <row r="3895" spans="4:4">
      <c r="D3895"/>
    </row>
    <row r="3896" spans="4:4">
      <c r="D3896"/>
    </row>
    <row r="3897" spans="4:4">
      <c r="D3897"/>
    </row>
    <row r="3898" spans="4:4">
      <c r="D3898"/>
    </row>
    <row r="3899" spans="4:4">
      <c r="D3899"/>
    </row>
    <row r="3900" spans="4:4">
      <c r="D3900"/>
    </row>
    <row r="3901" spans="4:4">
      <c r="D3901"/>
    </row>
    <row r="3902" spans="4:4">
      <c r="D3902"/>
    </row>
    <row r="3903" spans="4:4">
      <c r="D3903"/>
    </row>
    <row r="3904" spans="4:4">
      <c r="D3904"/>
    </row>
    <row r="3905" spans="4:4">
      <c r="D3905"/>
    </row>
    <row r="3906" spans="4:4">
      <c r="D3906"/>
    </row>
    <row r="3907" spans="4:4">
      <c r="D3907"/>
    </row>
    <row r="3908" spans="4:4">
      <c r="D3908"/>
    </row>
    <row r="3909" spans="4:4">
      <c r="D3909"/>
    </row>
    <row r="3910" spans="4:4">
      <c r="D3910"/>
    </row>
    <row r="3911" spans="4:4">
      <c r="D3911"/>
    </row>
    <row r="3912" spans="4:4">
      <c r="D3912"/>
    </row>
    <row r="3913" spans="4:4">
      <c r="D3913"/>
    </row>
    <row r="3914" spans="4:4">
      <c r="D3914"/>
    </row>
    <row r="3915" spans="4:4">
      <c r="D3915"/>
    </row>
    <row r="3916" spans="4:4">
      <c r="D3916"/>
    </row>
    <row r="3917" spans="4:4">
      <c r="D3917"/>
    </row>
    <row r="3918" spans="4:4">
      <c r="D3918"/>
    </row>
    <row r="3919" spans="4:4">
      <c r="D3919"/>
    </row>
    <row r="3920" spans="4:4">
      <c r="D3920"/>
    </row>
    <row r="3921" spans="4:4">
      <c r="D3921"/>
    </row>
    <row r="3922" spans="4:4">
      <c r="D3922"/>
    </row>
    <row r="3923" spans="4:4">
      <c r="D3923"/>
    </row>
    <row r="3924" spans="4:4">
      <c r="D3924"/>
    </row>
    <row r="3925" spans="4:4">
      <c r="D3925"/>
    </row>
    <row r="3926" spans="4:4">
      <c r="D3926"/>
    </row>
    <row r="3927" spans="4:4">
      <c r="D3927"/>
    </row>
    <row r="3928" spans="4:4">
      <c r="D3928"/>
    </row>
    <row r="3929" spans="4:4">
      <c r="D3929"/>
    </row>
    <row r="3930" spans="4:4">
      <c r="D3930"/>
    </row>
    <row r="3931" spans="4:4">
      <c r="D3931"/>
    </row>
    <row r="3932" spans="4:4">
      <c r="D3932"/>
    </row>
    <row r="3933" spans="4:4">
      <c r="D3933"/>
    </row>
    <row r="3934" spans="4:4">
      <c r="D3934"/>
    </row>
    <row r="3935" spans="4:4">
      <c r="D3935"/>
    </row>
    <row r="3936" spans="4:4">
      <c r="D3936"/>
    </row>
    <row r="3937" spans="4:4">
      <c r="D3937"/>
    </row>
    <row r="3938" spans="4:4">
      <c r="D3938"/>
    </row>
    <row r="3939" spans="4:4">
      <c r="D3939"/>
    </row>
    <row r="3940" spans="4:4">
      <c r="D3940"/>
    </row>
    <row r="3941" spans="4:4">
      <c r="D3941"/>
    </row>
    <row r="3942" spans="4:4">
      <c r="D3942"/>
    </row>
    <row r="3943" spans="4:4">
      <c r="D3943"/>
    </row>
    <row r="3944" spans="4:4">
      <c r="D3944"/>
    </row>
    <row r="3945" spans="4:4">
      <c r="D3945"/>
    </row>
    <row r="3946" spans="4:4">
      <c r="D3946"/>
    </row>
    <row r="3947" spans="4:4">
      <c r="D3947"/>
    </row>
    <row r="3948" spans="4:4">
      <c r="D3948"/>
    </row>
    <row r="3949" spans="4:4">
      <c r="D3949"/>
    </row>
    <row r="3950" spans="4:4">
      <c r="D3950"/>
    </row>
    <row r="3951" spans="4:4">
      <c r="D3951"/>
    </row>
    <row r="3952" spans="4:4">
      <c r="D3952"/>
    </row>
    <row r="3953" spans="4:4">
      <c r="D3953"/>
    </row>
    <row r="3954" spans="4:4">
      <c r="D3954"/>
    </row>
    <row r="3955" spans="4:4">
      <c r="D3955"/>
    </row>
    <row r="3956" spans="4:4">
      <c r="D3956"/>
    </row>
    <row r="3957" spans="4:4">
      <c r="D3957"/>
    </row>
    <row r="3958" spans="4:4">
      <c r="D3958"/>
    </row>
    <row r="3959" spans="4:4">
      <c r="D3959"/>
    </row>
    <row r="3960" spans="4:4">
      <c r="D3960"/>
    </row>
    <row r="3961" spans="4:4">
      <c r="D3961"/>
    </row>
    <row r="3962" spans="4:4">
      <c r="D3962"/>
    </row>
    <row r="3963" spans="4:4">
      <c r="D3963"/>
    </row>
    <row r="3964" spans="4:4">
      <c r="D3964"/>
    </row>
    <row r="3965" spans="4:4">
      <c r="D3965"/>
    </row>
    <row r="3966" spans="4:4">
      <c r="D3966"/>
    </row>
    <row r="3967" spans="4:4">
      <c r="D3967"/>
    </row>
    <row r="3968" spans="4:4">
      <c r="D3968"/>
    </row>
    <row r="3969" spans="4:4">
      <c r="D3969"/>
    </row>
    <row r="3970" spans="4:4">
      <c r="D3970"/>
    </row>
    <row r="3971" spans="4:4">
      <c r="D3971"/>
    </row>
    <row r="3972" spans="4:4">
      <c r="D3972"/>
    </row>
    <row r="3973" spans="4:4">
      <c r="D3973"/>
    </row>
    <row r="3974" spans="4:4">
      <c r="D3974"/>
    </row>
    <row r="3975" spans="4:4">
      <c r="D3975"/>
    </row>
    <row r="3976" spans="4:4">
      <c r="D3976"/>
    </row>
    <row r="3977" spans="4:4">
      <c r="D3977"/>
    </row>
    <row r="3978" spans="4:4">
      <c r="D3978"/>
    </row>
    <row r="3979" spans="4:4">
      <c r="D3979"/>
    </row>
    <row r="3980" spans="4:4">
      <c r="D3980"/>
    </row>
    <row r="3981" spans="4:4">
      <c r="D3981"/>
    </row>
    <row r="3982" spans="4:4">
      <c r="D3982"/>
    </row>
    <row r="3983" spans="4:4">
      <c r="D3983"/>
    </row>
    <row r="3984" spans="4:4">
      <c r="D3984"/>
    </row>
    <row r="3985" spans="4:4">
      <c r="D3985"/>
    </row>
    <row r="3986" spans="4:4">
      <c r="D3986"/>
    </row>
    <row r="3987" spans="4:4">
      <c r="D3987"/>
    </row>
    <row r="3988" spans="4:4">
      <c r="D3988"/>
    </row>
    <row r="3989" spans="4:4">
      <c r="D3989"/>
    </row>
    <row r="3990" spans="4:4">
      <c r="D3990"/>
    </row>
    <row r="3991" spans="4:4">
      <c r="D3991"/>
    </row>
    <row r="3992" spans="4:4">
      <c r="D3992"/>
    </row>
    <row r="3993" spans="4:4">
      <c r="D3993"/>
    </row>
    <row r="3994" spans="4:4">
      <c r="D3994"/>
    </row>
    <row r="3995" spans="4:4">
      <c r="D3995"/>
    </row>
    <row r="3996" spans="4:4">
      <c r="D3996"/>
    </row>
    <row r="3997" spans="4:4">
      <c r="D3997"/>
    </row>
    <row r="3998" spans="4:4">
      <c r="D3998"/>
    </row>
    <row r="3999" spans="4:4">
      <c r="D3999"/>
    </row>
    <row r="4000" spans="4:4">
      <c r="D4000"/>
    </row>
    <row r="4001" spans="4:4">
      <c r="D4001"/>
    </row>
    <row r="4002" spans="4:4">
      <c r="D4002"/>
    </row>
    <row r="4003" spans="4:4">
      <c r="D4003"/>
    </row>
    <row r="4004" spans="4:4">
      <c r="D4004"/>
    </row>
    <row r="4005" spans="4:4">
      <c r="D4005"/>
    </row>
    <row r="4006" spans="4:4">
      <c r="D4006"/>
    </row>
    <row r="4007" spans="4:4">
      <c r="D4007"/>
    </row>
    <row r="4008" spans="4:4">
      <c r="D4008"/>
    </row>
    <row r="4009" spans="4:4">
      <c r="D4009"/>
    </row>
    <row r="4010" spans="4:4">
      <c r="D4010"/>
    </row>
    <row r="4011" spans="4:4">
      <c r="D4011"/>
    </row>
    <row r="4012" spans="4:4">
      <c r="D4012"/>
    </row>
    <row r="4013" spans="4:4">
      <c r="D4013"/>
    </row>
    <row r="4014" spans="4:4">
      <c r="D4014"/>
    </row>
    <row r="4015" spans="4:4">
      <c r="D4015"/>
    </row>
    <row r="4016" spans="4:4">
      <c r="D4016"/>
    </row>
    <row r="4017" spans="4:4">
      <c r="D4017"/>
    </row>
    <row r="4018" spans="4:4">
      <c r="D4018"/>
    </row>
    <row r="4019" spans="4:4">
      <c r="D4019"/>
    </row>
    <row r="4020" spans="4:4">
      <c r="D4020"/>
    </row>
    <row r="4021" spans="4:4">
      <c r="D4021"/>
    </row>
    <row r="4022" spans="4:4">
      <c r="D4022"/>
    </row>
    <row r="4023" spans="4:4">
      <c r="D4023"/>
    </row>
    <row r="4024" spans="4:4">
      <c r="D4024"/>
    </row>
    <row r="4025" spans="4:4">
      <c r="D4025"/>
    </row>
    <row r="4026" spans="4:4">
      <c r="D4026"/>
    </row>
    <row r="4027" spans="4:4">
      <c r="D4027"/>
    </row>
    <row r="4028" spans="4:4">
      <c r="D4028"/>
    </row>
    <row r="4029" spans="4:4">
      <c r="D4029"/>
    </row>
    <row r="4030" spans="4:4">
      <c r="D4030"/>
    </row>
    <row r="4031" spans="4:4">
      <c r="D4031"/>
    </row>
    <row r="4032" spans="4:4">
      <c r="D4032"/>
    </row>
    <row r="4033" spans="4:4">
      <c r="D4033"/>
    </row>
    <row r="4034" spans="4:4">
      <c r="D4034"/>
    </row>
    <row r="4035" spans="4:4">
      <c r="D4035"/>
    </row>
    <row r="4036" spans="4:4">
      <c r="D4036"/>
    </row>
    <row r="4037" spans="4:4">
      <c r="D4037"/>
    </row>
    <row r="4038" spans="4:4">
      <c r="D4038"/>
    </row>
    <row r="4039" spans="4:4">
      <c r="D4039"/>
    </row>
    <row r="4040" spans="4:4">
      <c r="D4040"/>
    </row>
    <row r="4041" spans="4:4">
      <c r="D4041"/>
    </row>
    <row r="4042" spans="4:4">
      <c r="D4042"/>
    </row>
    <row r="4043" spans="4:4">
      <c r="D4043"/>
    </row>
    <row r="4044" spans="4:4">
      <c r="D4044"/>
    </row>
    <row r="4045" spans="4:4">
      <c r="D4045"/>
    </row>
    <row r="4046" spans="4:4">
      <c r="D4046"/>
    </row>
    <row r="4047" spans="4:4">
      <c r="D4047"/>
    </row>
    <row r="4048" spans="4:4">
      <c r="D4048"/>
    </row>
    <row r="4049" spans="4:4">
      <c r="D4049"/>
    </row>
    <row r="4050" spans="4:4">
      <c r="D4050"/>
    </row>
    <row r="4051" spans="4:4">
      <c r="D4051"/>
    </row>
    <row r="4052" spans="4:4">
      <c r="D4052"/>
    </row>
    <row r="4053" spans="4:4">
      <c r="D4053"/>
    </row>
    <row r="4054" spans="4:4">
      <c r="D4054"/>
    </row>
    <row r="4055" spans="4:4">
      <c r="D4055"/>
    </row>
    <row r="4056" spans="4:4">
      <c r="D4056"/>
    </row>
    <row r="4057" spans="4:4">
      <c r="D4057"/>
    </row>
    <row r="4058" spans="4:4">
      <c r="D4058"/>
    </row>
    <row r="4059" spans="4:4">
      <c r="D4059"/>
    </row>
    <row r="4060" spans="4:4">
      <c r="D4060"/>
    </row>
    <row r="4061" spans="4:4">
      <c r="D4061"/>
    </row>
    <row r="4062" spans="4:4">
      <c r="D4062"/>
    </row>
    <row r="4063" spans="4:4">
      <c r="D4063"/>
    </row>
    <row r="4064" spans="4:4">
      <c r="D4064"/>
    </row>
    <row r="4065" spans="4:4">
      <c r="D4065"/>
    </row>
    <row r="4066" spans="4:4">
      <c r="D4066"/>
    </row>
    <row r="4067" spans="4:4">
      <c r="D4067"/>
    </row>
    <row r="4068" spans="4:4">
      <c r="D4068"/>
    </row>
    <row r="4069" spans="4:4">
      <c r="D4069"/>
    </row>
    <row r="4070" spans="4:4">
      <c r="D4070"/>
    </row>
    <row r="4071" spans="4:4">
      <c r="D4071"/>
    </row>
    <row r="4072" spans="4:4">
      <c r="D4072"/>
    </row>
    <row r="4073" spans="4:4">
      <c r="D4073"/>
    </row>
    <row r="4074" spans="4:4">
      <c r="D4074"/>
    </row>
    <row r="4075" spans="4:4">
      <c r="D4075"/>
    </row>
    <row r="4076" spans="4:4">
      <c r="D4076"/>
    </row>
    <row r="4077" spans="4:4">
      <c r="D4077"/>
    </row>
    <row r="4078" spans="4:4">
      <c r="D4078"/>
    </row>
    <row r="4079" spans="4:4">
      <c r="D4079"/>
    </row>
    <row r="4080" spans="4:4">
      <c r="D4080"/>
    </row>
    <row r="4081" spans="4:4">
      <c r="D4081"/>
    </row>
    <row r="4082" spans="4:4">
      <c r="D4082"/>
    </row>
    <row r="4083" spans="4:4">
      <c r="D4083"/>
    </row>
    <row r="4084" spans="4:4">
      <c r="D4084"/>
    </row>
    <row r="4085" spans="4:4">
      <c r="D4085"/>
    </row>
    <row r="4086" spans="4:4">
      <c r="D4086"/>
    </row>
    <row r="4087" spans="4:4">
      <c r="D4087"/>
    </row>
    <row r="4088" spans="4:4">
      <c r="D4088"/>
    </row>
    <row r="4089" spans="4:4">
      <c r="D4089"/>
    </row>
    <row r="4090" spans="4:4">
      <c r="D4090"/>
    </row>
    <row r="4091" spans="4:4">
      <c r="D4091"/>
    </row>
    <row r="4092" spans="4:4">
      <c r="D4092"/>
    </row>
    <row r="4093" spans="4:4">
      <c r="D4093"/>
    </row>
    <row r="4094" spans="4:4">
      <c r="D4094"/>
    </row>
    <row r="4095" spans="4:4">
      <c r="D4095"/>
    </row>
    <row r="4096" spans="4:4">
      <c r="D4096"/>
    </row>
    <row r="4097" spans="4:4">
      <c r="D4097"/>
    </row>
    <row r="4098" spans="4:4">
      <c r="D4098"/>
    </row>
    <row r="4099" spans="4:4">
      <c r="D4099"/>
    </row>
    <row r="4100" spans="4:4">
      <c r="D4100"/>
    </row>
    <row r="4101" spans="4:4">
      <c r="D4101"/>
    </row>
    <row r="4102" spans="4:4">
      <c r="D4102"/>
    </row>
    <row r="4103" spans="4:4">
      <c r="D4103"/>
    </row>
    <row r="4104" spans="4:4">
      <c r="D4104"/>
    </row>
    <row r="4105" spans="4:4">
      <c r="D4105"/>
    </row>
    <row r="4106" spans="4:4">
      <c r="D4106"/>
    </row>
    <row r="4107" spans="4:4">
      <c r="D4107"/>
    </row>
    <row r="4108" spans="4:4">
      <c r="D4108"/>
    </row>
    <row r="4109" spans="4:4">
      <c r="D4109"/>
    </row>
    <row r="4110" spans="4:4">
      <c r="D4110"/>
    </row>
    <row r="4111" spans="4:4">
      <c r="D4111"/>
    </row>
    <row r="4112" spans="4:4">
      <c r="D4112"/>
    </row>
    <row r="4113" spans="4:4">
      <c r="D4113"/>
    </row>
    <row r="4114" spans="4:4">
      <c r="D4114"/>
    </row>
    <row r="4115" spans="4:4">
      <c r="D4115"/>
    </row>
    <row r="4116" spans="4:4">
      <c r="D4116"/>
    </row>
    <row r="4117" spans="4:4">
      <c r="D4117"/>
    </row>
    <row r="4118" spans="4:4">
      <c r="D4118"/>
    </row>
    <row r="4119" spans="4:4">
      <c r="D4119"/>
    </row>
    <row r="4120" spans="4:4">
      <c r="D4120"/>
    </row>
    <row r="4121" spans="4:4">
      <c r="D4121"/>
    </row>
    <row r="4122" spans="4:4">
      <c r="D4122"/>
    </row>
    <row r="4123" spans="4:4">
      <c r="D4123"/>
    </row>
    <row r="4124" spans="4:4">
      <c r="D4124"/>
    </row>
    <row r="4125" spans="4:4">
      <c r="D4125"/>
    </row>
    <row r="4126" spans="4:4">
      <c r="D4126"/>
    </row>
    <row r="4127" spans="4:4">
      <c r="D4127"/>
    </row>
    <row r="4128" spans="4:4">
      <c r="D4128"/>
    </row>
    <row r="4129" spans="4:4">
      <c r="D4129"/>
    </row>
    <row r="4130" spans="4:4">
      <c r="D4130"/>
    </row>
    <row r="4131" spans="4:4">
      <c r="D4131"/>
    </row>
    <row r="4132" spans="4:4">
      <c r="D4132"/>
    </row>
    <row r="4133" spans="4:4">
      <c r="D4133"/>
    </row>
    <row r="4134" spans="4:4">
      <c r="D4134"/>
    </row>
    <row r="4135" spans="4:4">
      <c r="D4135"/>
    </row>
    <row r="4136" spans="4:4">
      <c r="D4136"/>
    </row>
    <row r="4137" spans="4:4">
      <c r="D4137"/>
    </row>
    <row r="4138" spans="4:4">
      <c r="D4138"/>
    </row>
    <row r="4139" spans="4:4">
      <c r="D4139"/>
    </row>
    <row r="4140" spans="4:4">
      <c r="D4140"/>
    </row>
    <row r="4141" spans="4:4">
      <c r="D4141"/>
    </row>
    <row r="4142" spans="4:4">
      <c r="D4142"/>
    </row>
    <row r="4143" spans="4:4">
      <c r="D4143"/>
    </row>
    <row r="4144" spans="4:4">
      <c r="D4144"/>
    </row>
    <row r="4145" spans="4:4">
      <c r="D4145"/>
    </row>
    <row r="4146" spans="4:4">
      <c r="D4146"/>
    </row>
    <row r="4147" spans="4:4">
      <c r="D4147"/>
    </row>
    <row r="4148" spans="4:4">
      <c r="D4148"/>
    </row>
    <row r="4149" spans="4:4">
      <c r="D4149"/>
    </row>
    <row r="4150" spans="4:4">
      <c r="D4150"/>
    </row>
    <row r="4151" spans="4:4">
      <c r="D4151"/>
    </row>
    <row r="4152" spans="4:4">
      <c r="D4152"/>
    </row>
    <row r="4153" spans="4:4">
      <c r="D4153"/>
    </row>
    <row r="4154" spans="4:4">
      <c r="D4154"/>
    </row>
    <row r="4155" spans="4:4">
      <c r="D4155"/>
    </row>
    <row r="4156" spans="4:4">
      <c r="D4156"/>
    </row>
    <row r="4157" spans="4:4">
      <c r="D4157"/>
    </row>
    <row r="4158" spans="4:4">
      <c r="D4158"/>
    </row>
    <row r="4159" spans="4:4">
      <c r="D4159"/>
    </row>
    <row r="4160" spans="4:4">
      <c r="D4160"/>
    </row>
    <row r="4161" spans="4:4">
      <c r="D4161"/>
    </row>
    <row r="4162" spans="4:4">
      <c r="D4162"/>
    </row>
    <row r="4163" spans="4:4">
      <c r="D4163"/>
    </row>
    <row r="4164" spans="4:4">
      <c r="D4164"/>
    </row>
    <row r="4165" spans="4:4">
      <c r="D4165"/>
    </row>
    <row r="4166" spans="4:4">
      <c r="D4166"/>
    </row>
    <row r="4167" spans="4:4">
      <c r="D4167"/>
    </row>
    <row r="4168" spans="4:4">
      <c r="D4168"/>
    </row>
    <row r="4169" spans="4:4">
      <c r="D4169"/>
    </row>
    <row r="4170" spans="4:4">
      <c r="D4170"/>
    </row>
    <row r="4171" spans="4:4">
      <c r="D4171"/>
    </row>
    <row r="4172" spans="4:4">
      <c r="D4172"/>
    </row>
    <row r="4173" spans="4:4">
      <c r="D4173"/>
    </row>
    <row r="4174" spans="4:4">
      <c r="D4174"/>
    </row>
    <row r="4175" spans="4:4">
      <c r="D4175"/>
    </row>
    <row r="4176" spans="4:4">
      <c r="D4176"/>
    </row>
    <row r="4177" spans="4:4">
      <c r="D4177"/>
    </row>
    <row r="4178" spans="4:4">
      <c r="D4178"/>
    </row>
    <row r="4179" spans="4:4">
      <c r="D4179"/>
    </row>
    <row r="4180" spans="4:4">
      <c r="D4180"/>
    </row>
    <row r="4181" spans="4:4">
      <c r="D4181"/>
    </row>
    <row r="4182" spans="4:4">
      <c r="D4182"/>
    </row>
    <row r="4183" spans="4:4">
      <c r="D4183"/>
    </row>
    <row r="4184" spans="4:4">
      <c r="D4184"/>
    </row>
    <row r="4185" spans="4:4">
      <c r="D4185"/>
    </row>
    <row r="4186" spans="4:4">
      <c r="D4186"/>
    </row>
    <row r="4187" spans="4:4">
      <c r="D4187"/>
    </row>
    <row r="4188" spans="4:4">
      <c r="D4188"/>
    </row>
    <row r="4189" spans="4:4">
      <c r="D4189"/>
    </row>
    <row r="4190" spans="4:4">
      <c r="D4190"/>
    </row>
    <row r="4191" spans="4:4">
      <c r="D4191"/>
    </row>
    <row r="4192" spans="4:4">
      <c r="D4192"/>
    </row>
    <row r="4193" spans="4:4">
      <c r="D4193"/>
    </row>
    <row r="4194" spans="4:4">
      <c r="D4194"/>
    </row>
    <row r="4195" spans="4:4">
      <c r="D4195"/>
    </row>
    <row r="4196" spans="4:4">
      <c r="D4196"/>
    </row>
    <row r="4197" spans="4:4">
      <c r="D4197"/>
    </row>
    <row r="4198" spans="4:4">
      <c r="D4198"/>
    </row>
    <row r="4199" spans="4:4">
      <c r="D4199"/>
    </row>
    <row r="4200" spans="4:4">
      <c r="D4200"/>
    </row>
    <row r="4201" spans="4:4">
      <c r="D4201"/>
    </row>
    <row r="4202" spans="4:4">
      <c r="D4202"/>
    </row>
    <row r="4203" spans="4:4">
      <c r="D4203"/>
    </row>
    <row r="4204" spans="4:4">
      <c r="D4204"/>
    </row>
    <row r="4205" spans="4:4">
      <c r="D4205"/>
    </row>
    <row r="4206" spans="4:4">
      <c r="D4206"/>
    </row>
    <row r="4207" spans="4:4">
      <c r="D4207"/>
    </row>
    <row r="4208" spans="4:4">
      <c r="D4208"/>
    </row>
    <row r="4209" spans="4:4">
      <c r="D4209"/>
    </row>
    <row r="4210" spans="4:4">
      <c r="D4210"/>
    </row>
    <row r="4211" spans="4:4">
      <c r="D4211"/>
    </row>
    <row r="4212" spans="4:4">
      <c r="D4212"/>
    </row>
    <row r="4213" spans="4:4">
      <c r="D4213"/>
    </row>
    <row r="4214" spans="4:4">
      <c r="D4214"/>
    </row>
    <row r="4215" spans="4:4">
      <c r="D4215"/>
    </row>
    <row r="4216" spans="4:4">
      <c r="D4216"/>
    </row>
    <row r="4217" spans="4:4">
      <c r="D4217"/>
    </row>
    <row r="4218" spans="4:4">
      <c r="D4218"/>
    </row>
    <row r="4219" spans="4:4">
      <c r="D4219"/>
    </row>
    <row r="4220" spans="4:4">
      <c r="D4220"/>
    </row>
    <row r="4221" spans="4:4">
      <c r="D4221"/>
    </row>
    <row r="4222" spans="4:4">
      <c r="D4222"/>
    </row>
    <row r="4223" spans="4:4">
      <c r="D4223"/>
    </row>
    <row r="4224" spans="4:4">
      <c r="D4224"/>
    </row>
    <row r="4225" spans="4:4">
      <c r="D4225"/>
    </row>
    <row r="4226" spans="4:4">
      <c r="D4226"/>
    </row>
    <row r="4227" spans="4:4">
      <c r="D4227"/>
    </row>
    <row r="4228" spans="4:4">
      <c r="D4228"/>
    </row>
    <row r="4229" spans="4:4">
      <c r="D4229"/>
    </row>
    <row r="4230" spans="4:4">
      <c r="D4230"/>
    </row>
    <row r="4231" spans="4:4">
      <c r="D4231"/>
    </row>
    <row r="4232" spans="4:4">
      <c r="D4232"/>
    </row>
    <row r="4233" spans="4:4">
      <c r="D4233"/>
    </row>
    <row r="4234" spans="4:4">
      <c r="D4234"/>
    </row>
    <row r="4235" spans="4:4">
      <c r="D4235"/>
    </row>
    <row r="4236" spans="4:4">
      <c r="D4236"/>
    </row>
    <row r="4237" spans="4:4">
      <c r="D4237"/>
    </row>
    <row r="4238" spans="4:4">
      <c r="D4238"/>
    </row>
    <row r="4239" spans="4:4">
      <c r="D4239"/>
    </row>
    <row r="4240" spans="4:4">
      <c r="D4240"/>
    </row>
    <row r="4241" spans="4:4">
      <c r="D4241"/>
    </row>
    <row r="4242" spans="4:4">
      <c r="D4242"/>
    </row>
    <row r="4243" spans="4:4">
      <c r="D4243"/>
    </row>
    <row r="4244" spans="4:4">
      <c r="D4244"/>
    </row>
    <row r="4245" spans="4:4">
      <c r="D4245"/>
    </row>
    <row r="4246" spans="4:4">
      <c r="D4246"/>
    </row>
    <row r="4247" spans="4:4">
      <c r="D4247"/>
    </row>
    <row r="4248" spans="4:4">
      <c r="D4248"/>
    </row>
    <row r="4249" spans="4:4">
      <c r="D4249"/>
    </row>
    <row r="4250" spans="4:4">
      <c r="D4250"/>
    </row>
    <row r="4251" spans="4:4">
      <c r="D4251"/>
    </row>
    <row r="4252" spans="4:4">
      <c r="D4252"/>
    </row>
    <row r="4253" spans="4:4">
      <c r="D4253"/>
    </row>
    <row r="4254" spans="4:4">
      <c r="D4254"/>
    </row>
    <row r="4255" spans="4:4">
      <c r="D4255"/>
    </row>
    <row r="4256" spans="4:4">
      <c r="D4256"/>
    </row>
    <row r="4257" spans="4:4">
      <c r="D4257"/>
    </row>
    <row r="4258" spans="4:4">
      <c r="D4258"/>
    </row>
    <row r="4259" spans="4:4">
      <c r="D4259"/>
    </row>
    <row r="4260" spans="4:4">
      <c r="D4260"/>
    </row>
    <row r="4261" spans="4:4">
      <c r="D4261"/>
    </row>
    <row r="4262" spans="4:4">
      <c r="D4262"/>
    </row>
    <row r="4263" spans="4:4">
      <c r="D4263"/>
    </row>
    <row r="4264" spans="4:4">
      <c r="D4264"/>
    </row>
    <row r="4265" spans="4:4">
      <c r="D4265"/>
    </row>
    <row r="4266" spans="4:4">
      <c r="D4266"/>
    </row>
    <row r="4267" spans="4:4">
      <c r="D4267"/>
    </row>
    <row r="4268" spans="4:4">
      <c r="D4268"/>
    </row>
    <row r="4269" spans="4:4">
      <c r="D4269"/>
    </row>
    <row r="4270" spans="4:4">
      <c r="D4270"/>
    </row>
    <row r="4271" spans="4:4">
      <c r="D4271"/>
    </row>
    <row r="4272" spans="4:4">
      <c r="D4272"/>
    </row>
    <row r="4273" spans="4:4">
      <c r="D4273"/>
    </row>
    <row r="4274" spans="4:4">
      <c r="D4274"/>
    </row>
    <row r="4275" spans="4:4">
      <c r="D4275"/>
    </row>
    <row r="4276" spans="4:4">
      <c r="D4276"/>
    </row>
    <row r="4277" spans="4:4">
      <c r="D4277"/>
    </row>
    <row r="4278" spans="4:4">
      <c r="D4278"/>
    </row>
    <row r="4279" spans="4:4">
      <c r="D4279"/>
    </row>
    <row r="4280" spans="4:4">
      <c r="D4280"/>
    </row>
    <row r="4281" spans="4:4">
      <c r="D4281"/>
    </row>
    <row r="4282" spans="4:4">
      <c r="D4282"/>
    </row>
    <row r="4283" spans="4:4">
      <c r="D4283"/>
    </row>
    <row r="4284" spans="4:4">
      <c r="D4284"/>
    </row>
    <row r="4285" spans="4:4">
      <c r="D4285"/>
    </row>
    <row r="4286" spans="4:4">
      <c r="D4286"/>
    </row>
    <row r="4287" spans="4:4">
      <c r="D4287"/>
    </row>
    <row r="4288" spans="4:4">
      <c r="D4288"/>
    </row>
    <row r="4289" spans="4:4">
      <c r="D4289"/>
    </row>
    <row r="4290" spans="4:4">
      <c r="D4290"/>
    </row>
    <row r="4291" spans="4:4">
      <c r="D4291"/>
    </row>
    <row r="4292" spans="4:4">
      <c r="D4292"/>
    </row>
    <row r="4293" spans="4:4">
      <c r="D4293"/>
    </row>
    <row r="4294" spans="4:4">
      <c r="D4294"/>
    </row>
    <row r="4295" spans="4:4">
      <c r="D4295"/>
    </row>
    <row r="4296" spans="4:4">
      <c r="D4296"/>
    </row>
    <row r="4297" spans="4:4">
      <c r="D4297"/>
    </row>
    <row r="4298" spans="4:4">
      <c r="D4298"/>
    </row>
    <row r="4299" spans="4:4">
      <c r="D4299"/>
    </row>
    <row r="4300" spans="4:4">
      <c r="D4300"/>
    </row>
    <row r="4301" spans="4:4">
      <c r="D4301"/>
    </row>
    <row r="4302" spans="4:4">
      <c r="D4302"/>
    </row>
    <row r="4303" spans="4:4">
      <c r="D4303"/>
    </row>
    <row r="4304" spans="4:4">
      <c r="D4304"/>
    </row>
    <row r="4305" spans="4:4">
      <c r="D4305"/>
    </row>
    <row r="4306" spans="4:4">
      <c r="D4306"/>
    </row>
    <row r="4307" spans="4:4">
      <c r="D4307"/>
    </row>
    <row r="4308" spans="4:4">
      <c r="D4308"/>
    </row>
    <row r="4309" spans="4:4">
      <c r="D4309"/>
    </row>
    <row r="4310" spans="4:4">
      <c r="D4310"/>
    </row>
    <row r="4311" spans="4:4">
      <c r="D4311"/>
    </row>
    <row r="4312" spans="4:4">
      <c r="D4312"/>
    </row>
    <row r="4313" spans="4:4">
      <c r="D4313"/>
    </row>
    <row r="4314" spans="4:4">
      <c r="D4314"/>
    </row>
    <row r="4315" spans="4:4">
      <c r="D4315"/>
    </row>
    <row r="4316" spans="4:4">
      <c r="D4316"/>
    </row>
    <row r="4317" spans="4:4">
      <c r="D4317"/>
    </row>
    <row r="4318" spans="4:4">
      <c r="D4318"/>
    </row>
    <row r="4319" spans="4:4">
      <c r="D4319"/>
    </row>
    <row r="4320" spans="4:4">
      <c r="D4320"/>
    </row>
    <row r="4321" spans="4:4">
      <c r="D4321"/>
    </row>
    <row r="4322" spans="4:4">
      <c r="D4322"/>
    </row>
    <row r="4323" spans="4:4">
      <c r="D4323"/>
    </row>
    <row r="4324" spans="4:4">
      <c r="D4324"/>
    </row>
    <row r="4325" spans="4:4">
      <c r="D4325"/>
    </row>
    <row r="4326" spans="4:4">
      <c r="D4326"/>
    </row>
    <row r="4327" spans="4:4">
      <c r="D4327"/>
    </row>
    <row r="4328" spans="4:4">
      <c r="D4328"/>
    </row>
    <row r="4329" spans="4:4">
      <c r="D4329"/>
    </row>
    <row r="4330" spans="4:4">
      <c r="D4330"/>
    </row>
    <row r="4331" spans="4:4">
      <c r="D4331"/>
    </row>
    <row r="4332" spans="4:4">
      <c r="D4332"/>
    </row>
    <row r="4333" spans="4:4">
      <c r="D4333"/>
    </row>
    <row r="4334" spans="4:4">
      <c r="D4334"/>
    </row>
    <row r="4335" spans="4:4">
      <c r="D4335"/>
    </row>
    <row r="4336" spans="4:4">
      <c r="D4336"/>
    </row>
    <row r="4337" spans="4:4">
      <c r="D4337"/>
    </row>
    <row r="4338" spans="4:4">
      <c r="D4338"/>
    </row>
    <row r="4339" spans="4:4">
      <c r="D4339"/>
    </row>
    <row r="4340" spans="4:4">
      <c r="D4340"/>
    </row>
    <row r="4341" spans="4:4">
      <c r="D4341"/>
    </row>
    <row r="4342" spans="4:4">
      <c r="D4342"/>
    </row>
    <row r="4343" spans="4:4">
      <c r="D4343"/>
    </row>
    <row r="4344" spans="4:4">
      <c r="D4344"/>
    </row>
    <row r="4345" spans="4:4">
      <c r="D4345"/>
    </row>
    <row r="4346" spans="4:4">
      <c r="D4346"/>
    </row>
    <row r="4347" spans="4:4">
      <c r="D4347"/>
    </row>
    <row r="4348" spans="4:4">
      <c r="D4348"/>
    </row>
    <row r="4349" spans="4:4">
      <c r="D4349"/>
    </row>
    <row r="4350" spans="4:4">
      <c r="D4350"/>
    </row>
    <row r="4351" spans="4:4">
      <c r="D4351"/>
    </row>
    <row r="4352" spans="4:4">
      <c r="D4352"/>
    </row>
    <row r="4353" spans="4:6">
      <c r="D4353"/>
    </row>
    <row r="4354" spans="4:6">
      <c r="D4354"/>
    </row>
    <row r="4355" spans="4:6">
      <c r="D4355"/>
    </row>
    <row r="4356" spans="4:6">
      <c r="D4356"/>
    </row>
    <row r="4357" spans="4:6">
      <c r="D4357"/>
    </row>
    <row r="4358" spans="4:6">
      <c r="D4358"/>
    </row>
    <row r="4359" spans="4:6">
      <c r="D4359" s="495"/>
      <c r="E4359" s="364"/>
      <c r="F4359" s="365"/>
    </row>
    <row r="4360" spans="4:6">
      <c r="D4360" s="495"/>
      <c r="E4360" s="364"/>
      <c r="F4360" s="365"/>
    </row>
    <row r="4361" spans="4:6">
      <c r="D4361" s="495"/>
      <c r="E4361" s="364"/>
      <c r="F4361" s="365"/>
    </row>
    <row r="4362" spans="4:6">
      <c r="D4362" s="495"/>
      <c r="E4362" s="364"/>
      <c r="F4362" s="365"/>
    </row>
    <row r="4363" spans="4:6">
      <c r="D4363" s="495"/>
      <c r="E4363" s="364"/>
      <c r="F4363" s="365"/>
    </row>
    <row r="4364" spans="4:6">
      <c r="D4364" s="495"/>
      <c r="E4364" s="364"/>
      <c r="F4364" s="365"/>
    </row>
    <row r="4365" spans="4:6">
      <c r="D4365" s="495"/>
      <c r="E4365" s="364"/>
      <c r="F4365" s="365"/>
    </row>
    <row r="4366" spans="4:6">
      <c r="D4366" s="495"/>
      <c r="E4366" s="364"/>
      <c r="F4366" s="365"/>
    </row>
    <row r="4367" spans="4:6">
      <c r="D4367" s="495"/>
      <c r="E4367" s="364"/>
      <c r="F4367" s="365"/>
    </row>
    <row r="4368" spans="4:6">
      <c r="D4368" s="495"/>
      <c r="E4368" s="364"/>
      <c r="F4368" s="365"/>
    </row>
    <row r="4369" spans="4:6">
      <c r="D4369" s="495"/>
      <c r="E4369" s="364"/>
      <c r="F4369" s="365"/>
    </row>
    <row r="4370" spans="4:6">
      <c r="D4370" s="495"/>
      <c r="E4370" s="364"/>
      <c r="F4370" s="365"/>
    </row>
    <row r="4371" spans="4:6">
      <c r="D4371" s="495"/>
      <c r="E4371" s="364"/>
      <c r="F4371" s="365"/>
    </row>
    <row r="4372" spans="4:6">
      <c r="D4372" s="495"/>
      <c r="E4372" s="364"/>
      <c r="F4372" s="365"/>
    </row>
    <row r="4373" spans="4:6">
      <c r="D4373" s="495"/>
      <c r="E4373" s="364"/>
      <c r="F4373" s="365"/>
    </row>
    <row r="4374" spans="4:6">
      <c r="D4374" s="495"/>
      <c r="E4374" s="364"/>
      <c r="F4374" s="365"/>
    </row>
    <row r="4375" spans="4:6">
      <c r="D4375" s="495"/>
      <c r="E4375" s="364"/>
      <c r="F4375" s="365"/>
    </row>
    <row r="4376" spans="4:6">
      <c r="D4376" s="495"/>
      <c r="E4376" s="364"/>
      <c r="F4376" s="365"/>
    </row>
    <row r="4377" spans="4:6">
      <c r="D4377" s="495"/>
      <c r="E4377" s="364"/>
      <c r="F4377" s="365"/>
    </row>
    <row r="4378" spans="4:6">
      <c r="D4378" s="495"/>
      <c r="E4378" s="364"/>
      <c r="F4378" s="365"/>
    </row>
    <row r="4379" spans="4:6">
      <c r="D4379" s="495"/>
      <c r="E4379" s="364"/>
      <c r="F4379" s="365"/>
    </row>
    <row r="4380" spans="4:6">
      <c r="D4380" s="495"/>
      <c r="E4380" s="364"/>
      <c r="F4380" s="365"/>
    </row>
    <row r="4381" spans="4:6">
      <c r="D4381" s="495"/>
      <c r="E4381" s="364"/>
      <c r="F4381" s="365"/>
    </row>
    <row r="4382" spans="4:6">
      <c r="D4382" s="495"/>
      <c r="E4382" s="364"/>
      <c r="F4382" s="365"/>
    </row>
    <row r="4383" spans="4:6">
      <c r="D4383" s="495"/>
      <c r="E4383" s="364"/>
      <c r="F4383" s="365"/>
    </row>
    <row r="4384" spans="4:6">
      <c r="D4384" s="495"/>
      <c r="E4384" s="364"/>
      <c r="F4384" s="365"/>
    </row>
    <row r="4385" spans="4:6">
      <c r="D4385" s="495"/>
      <c r="E4385" s="364"/>
      <c r="F4385" s="365"/>
    </row>
    <row r="4386" spans="4:6">
      <c r="D4386" s="495"/>
      <c r="E4386" s="364"/>
      <c r="F4386" s="365"/>
    </row>
    <row r="4387" spans="4:6">
      <c r="D4387" s="495"/>
      <c r="E4387" s="364"/>
      <c r="F4387" s="365"/>
    </row>
    <row r="4388" spans="4:6">
      <c r="D4388" s="495"/>
      <c r="E4388" s="364"/>
      <c r="F4388" s="365"/>
    </row>
    <row r="4389" spans="4:6">
      <c r="D4389" s="495"/>
      <c r="E4389" s="364"/>
      <c r="F4389" s="365"/>
    </row>
    <row r="4390" spans="4:6">
      <c r="D4390" s="495"/>
      <c r="E4390" s="364"/>
      <c r="F4390" s="365"/>
    </row>
    <row r="4391" spans="4:6">
      <c r="D4391" s="495"/>
      <c r="E4391" s="364"/>
      <c r="F4391" s="365"/>
    </row>
    <row r="4392" spans="4:6">
      <c r="D4392" s="495"/>
      <c r="E4392" s="364"/>
      <c r="F4392" s="365"/>
    </row>
    <row r="4393" spans="4:6">
      <c r="D4393" s="495"/>
      <c r="E4393" s="364"/>
      <c r="F4393" s="365"/>
    </row>
    <row r="4394" spans="4:6">
      <c r="D4394" s="495"/>
      <c r="E4394" s="364"/>
      <c r="F4394" s="365"/>
    </row>
    <row r="4395" spans="4:6">
      <c r="D4395" s="495"/>
      <c r="E4395" s="364"/>
      <c r="F4395" s="365"/>
    </row>
    <row r="4396" spans="4:6">
      <c r="D4396" s="495"/>
      <c r="E4396" s="364"/>
      <c r="F4396" s="365"/>
    </row>
    <row r="4397" spans="4:6">
      <c r="D4397" s="495"/>
      <c r="E4397" s="364"/>
      <c r="F4397" s="365"/>
    </row>
    <row r="4398" spans="4:6">
      <c r="D4398" s="495"/>
      <c r="E4398" s="364"/>
      <c r="F4398" s="365"/>
    </row>
    <row r="4399" spans="4:6">
      <c r="D4399" s="495"/>
      <c r="E4399" s="364"/>
      <c r="F4399" s="365"/>
    </row>
    <row r="4400" spans="4:6">
      <c r="D4400" s="495"/>
      <c r="E4400" s="364"/>
      <c r="F4400" s="365"/>
    </row>
    <row r="4401" spans="4:6">
      <c r="D4401" s="495"/>
      <c r="E4401" s="364"/>
      <c r="F4401" s="365"/>
    </row>
    <row r="4402" spans="4:6">
      <c r="D4402" s="495"/>
      <c r="E4402" s="364"/>
      <c r="F4402" s="365"/>
    </row>
    <row r="4403" spans="4:6">
      <c r="D4403" s="495"/>
      <c r="E4403" s="364"/>
      <c r="F4403" s="365"/>
    </row>
    <row r="4404" spans="4:6">
      <c r="D4404" s="495"/>
      <c r="E4404" s="364"/>
      <c r="F4404" s="365"/>
    </row>
    <row r="4405" spans="4:6">
      <c r="D4405" s="495"/>
      <c r="E4405" s="364"/>
      <c r="F4405" s="365"/>
    </row>
    <row r="4406" spans="4:6">
      <c r="D4406" s="495"/>
      <c r="E4406" s="364"/>
      <c r="F4406" s="365"/>
    </row>
    <row r="4407" spans="4:6">
      <c r="D4407" s="495"/>
      <c r="E4407" s="364"/>
      <c r="F4407" s="365"/>
    </row>
    <row r="4408" spans="4:6">
      <c r="D4408" s="495"/>
      <c r="E4408" s="364"/>
      <c r="F4408" s="365"/>
    </row>
    <row r="4409" spans="4:6">
      <c r="D4409" s="495"/>
      <c r="E4409" s="364"/>
      <c r="F4409" s="365"/>
    </row>
    <row r="4410" spans="4:6">
      <c r="D4410" s="495"/>
      <c r="E4410" s="364"/>
      <c r="F4410" s="365"/>
    </row>
    <row r="4411" spans="4:6">
      <c r="D4411" s="495"/>
      <c r="E4411" s="364"/>
      <c r="F4411" s="365"/>
    </row>
    <row r="4412" spans="4:6">
      <c r="D4412" s="495"/>
      <c r="E4412" s="364"/>
      <c r="F4412" s="365"/>
    </row>
    <row r="4413" spans="4:6">
      <c r="D4413" s="495"/>
      <c r="E4413" s="364"/>
      <c r="F4413" s="365"/>
    </row>
    <row r="4414" spans="4:6">
      <c r="D4414" s="495"/>
      <c r="E4414" s="364"/>
      <c r="F4414" s="365"/>
    </row>
    <row r="4415" spans="4:6">
      <c r="D4415" s="495"/>
      <c r="E4415" s="364"/>
      <c r="F4415" s="365"/>
    </row>
    <row r="4416" spans="4:6">
      <c r="D4416" s="495"/>
      <c r="E4416" s="364"/>
      <c r="F4416" s="365"/>
    </row>
    <row r="4417" spans="4:6">
      <c r="D4417" s="495"/>
      <c r="E4417" s="364"/>
      <c r="F4417" s="365"/>
    </row>
    <row r="4418" spans="4:6">
      <c r="D4418" s="495"/>
      <c r="E4418" s="364"/>
      <c r="F4418" s="365"/>
    </row>
    <row r="4419" spans="4:6">
      <c r="D4419" s="495"/>
      <c r="E4419" s="364"/>
      <c r="F4419" s="365"/>
    </row>
    <row r="4420" spans="4:6">
      <c r="D4420" s="495"/>
      <c r="E4420" s="364"/>
      <c r="F4420" s="365"/>
    </row>
    <row r="4421" spans="4:6">
      <c r="D4421" s="495"/>
      <c r="E4421" s="364"/>
      <c r="F4421" s="365"/>
    </row>
    <row r="4422" spans="4:6">
      <c r="D4422" s="495"/>
      <c r="E4422" s="364"/>
      <c r="F4422" s="365"/>
    </row>
    <row r="4423" spans="4:6">
      <c r="D4423" s="495"/>
      <c r="E4423" s="364"/>
      <c r="F4423" s="365"/>
    </row>
    <row r="4424" spans="4:6">
      <c r="D4424" s="495"/>
      <c r="E4424" s="364"/>
      <c r="F4424" s="365"/>
    </row>
    <row r="4425" spans="4:6">
      <c r="D4425" s="495"/>
      <c r="E4425" s="364"/>
      <c r="F4425" s="365"/>
    </row>
    <row r="4426" spans="4:6">
      <c r="D4426" s="495"/>
      <c r="E4426" s="364"/>
      <c r="F4426" s="365"/>
    </row>
    <row r="4427" spans="4:6">
      <c r="D4427" s="495"/>
      <c r="E4427" s="364"/>
      <c r="F4427" s="365"/>
    </row>
    <row r="4428" spans="4:6">
      <c r="D4428" s="495"/>
      <c r="E4428" s="364"/>
      <c r="F4428" s="365"/>
    </row>
    <row r="4429" spans="4:6">
      <c r="D4429" s="495"/>
      <c r="E4429" s="364"/>
      <c r="F4429" s="365"/>
    </row>
    <row r="4430" spans="4:6">
      <c r="D4430" s="495"/>
      <c r="E4430" s="364"/>
      <c r="F4430" s="365"/>
    </row>
    <row r="4431" spans="4:6">
      <c r="D4431" s="495"/>
      <c r="E4431" s="364"/>
      <c r="F4431" s="365"/>
    </row>
    <row r="4432" spans="4:6">
      <c r="D4432" s="495"/>
      <c r="E4432" s="364"/>
      <c r="F4432" s="365"/>
    </row>
    <row r="4433" spans="4:6">
      <c r="D4433" s="495"/>
      <c r="E4433" s="364"/>
      <c r="F4433" s="365"/>
    </row>
    <row r="4434" spans="4:6">
      <c r="D4434" s="495"/>
      <c r="E4434" s="364"/>
      <c r="F4434" s="365"/>
    </row>
    <row r="4435" spans="4:6">
      <c r="D4435" s="495"/>
      <c r="E4435" s="364"/>
      <c r="F4435" s="365"/>
    </row>
    <row r="4436" spans="4:6">
      <c r="D4436" s="495"/>
      <c r="E4436" s="364"/>
      <c r="F4436" s="365"/>
    </row>
    <row r="4437" spans="4:6">
      <c r="D4437" s="495"/>
      <c r="E4437" s="364"/>
      <c r="F4437" s="365"/>
    </row>
    <row r="4438" spans="4:6">
      <c r="D4438" s="495"/>
      <c r="E4438" s="364"/>
      <c r="F4438" s="365"/>
    </row>
    <row r="4439" spans="4:6">
      <c r="D4439" s="495"/>
      <c r="E4439" s="364"/>
      <c r="F4439" s="365"/>
    </row>
    <row r="4440" spans="4:6">
      <c r="D4440" s="495"/>
      <c r="E4440" s="364"/>
      <c r="F4440" s="365"/>
    </row>
    <row r="4441" spans="4:6">
      <c r="D4441" s="495"/>
      <c r="E4441" s="364"/>
      <c r="F4441" s="365"/>
    </row>
    <row r="4442" spans="4:6">
      <c r="D4442" s="495"/>
      <c r="E4442" s="364"/>
      <c r="F4442" s="365"/>
    </row>
    <row r="4443" spans="4:6">
      <c r="D4443" s="495"/>
      <c r="E4443" s="364"/>
      <c r="F4443" s="365"/>
    </row>
    <row r="4444" spans="4:6">
      <c r="D4444" s="495"/>
      <c r="E4444" s="364"/>
      <c r="F4444" s="365"/>
    </row>
    <row r="4445" spans="4:6">
      <c r="D4445" s="495"/>
      <c r="E4445" s="364"/>
      <c r="F4445" s="365"/>
    </row>
    <row r="4446" spans="4:6">
      <c r="D4446" s="495"/>
      <c r="E4446" s="364"/>
      <c r="F4446" s="365"/>
    </row>
    <row r="4447" spans="4:6">
      <c r="D4447" s="495"/>
      <c r="E4447" s="364"/>
      <c r="F4447" s="365"/>
    </row>
    <row r="4448" spans="4:6">
      <c r="D4448" s="495"/>
      <c r="E4448" s="364"/>
      <c r="F4448" s="365"/>
    </row>
    <row r="4449" spans="4:6">
      <c r="D4449" s="495"/>
      <c r="E4449" s="364"/>
      <c r="F4449" s="365"/>
    </row>
    <row r="4450" spans="4:6">
      <c r="D4450" s="495"/>
      <c r="E4450" s="364"/>
      <c r="F4450" s="365"/>
    </row>
    <row r="4451" spans="4:6">
      <c r="D4451" s="495"/>
      <c r="E4451" s="364"/>
      <c r="F4451" s="365"/>
    </row>
    <row r="4452" spans="4:6">
      <c r="D4452" s="495"/>
      <c r="E4452" s="364"/>
      <c r="F4452" s="365"/>
    </row>
    <row r="4453" spans="4:6">
      <c r="D4453" s="495"/>
      <c r="E4453" s="364"/>
      <c r="F4453" s="365"/>
    </row>
    <row r="4454" spans="4:6">
      <c r="D4454" s="495"/>
      <c r="E4454" s="364"/>
      <c r="F4454" s="365"/>
    </row>
    <row r="4455" spans="4:6">
      <c r="D4455" s="495"/>
      <c r="E4455" s="364"/>
      <c r="F4455" s="365"/>
    </row>
    <row r="4456" spans="4:6">
      <c r="D4456" s="495"/>
      <c r="E4456" s="364"/>
      <c r="F4456" s="365"/>
    </row>
    <row r="4457" spans="4:6">
      <c r="D4457" s="495"/>
      <c r="E4457" s="364"/>
      <c r="F4457" s="365"/>
    </row>
    <row r="4458" spans="4:6">
      <c r="D4458" s="495"/>
      <c r="E4458" s="364"/>
      <c r="F4458" s="365"/>
    </row>
    <row r="4459" spans="4:6">
      <c r="D4459" s="495"/>
      <c r="E4459" s="364"/>
      <c r="F4459" s="365"/>
    </row>
    <row r="4460" spans="4:6">
      <c r="D4460" s="495"/>
      <c r="E4460" s="364"/>
      <c r="F4460" s="365"/>
    </row>
    <row r="4461" spans="4:6">
      <c r="D4461" s="495"/>
      <c r="E4461" s="364"/>
      <c r="F4461" s="365"/>
    </row>
    <row r="4462" spans="4:6">
      <c r="D4462" s="495"/>
      <c r="E4462" s="364"/>
      <c r="F4462" s="365"/>
    </row>
    <row r="4463" spans="4:6">
      <c r="D4463" s="495"/>
      <c r="E4463" s="364"/>
      <c r="F4463" s="365"/>
    </row>
    <row r="4464" spans="4:6">
      <c r="D4464" s="495"/>
      <c r="E4464" s="364"/>
      <c r="F4464" s="365"/>
    </row>
    <row r="4465" spans="4:6">
      <c r="D4465" s="495"/>
      <c r="E4465" s="364"/>
      <c r="F4465" s="365"/>
    </row>
    <row r="4466" spans="4:6">
      <c r="D4466" s="495"/>
      <c r="E4466" s="364"/>
      <c r="F4466" s="365"/>
    </row>
    <row r="4467" spans="4:6">
      <c r="D4467" s="495"/>
      <c r="E4467" s="364"/>
      <c r="F4467" s="365"/>
    </row>
    <row r="4468" spans="4:6">
      <c r="D4468" s="495"/>
      <c r="E4468" s="364"/>
      <c r="F4468" s="365"/>
    </row>
    <row r="4469" spans="4:6">
      <c r="D4469" s="495"/>
      <c r="E4469" s="364"/>
      <c r="F4469" s="365"/>
    </row>
    <row r="4470" spans="4:6">
      <c r="D4470" s="495"/>
      <c r="E4470" s="364"/>
      <c r="F4470" s="365"/>
    </row>
    <row r="4471" spans="4:6">
      <c r="D4471" s="495"/>
      <c r="E4471" s="364"/>
      <c r="F4471" s="365"/>
    </row>
    <row r="4472" spans="4:6">
      <c r="D4472" s="495"/>
      <c r="E4472" s="364"/>
      <c r="F4472" s="365"/>
    </row>
    <row r="4473" spans="4:6">
      <c r="D4473" s="495"/>
      <c r="E4473" s="364"/>
      <c r="F4473" s="365"/>
    </row>
    <row r="4474" spans="4:6">
      <c r="D4474" s="495"/>
      <c r="E4474" s="364"/>
      <c r="F4474" s="365"/>
    </row>
    <row r="4475" spans="4:6">
      <c r="D4475" s="495"/>
      <c r="E4475" s="364"/>
      <c r="F4475" s="365"/>
    </row>
    <row r="4476" spans="4:6">
      <c r="D4476" s="495"/>
      <c r="E4476" s="364"/>
      <c r="F4476" s="365"/>
    </row>
    <row r="4477" spans="4:6">
      <c r="D4477" s="495"/>
      <c r="E4477" s="364"/>
      <c r="F4477" s="365"/>
    </row>
    <row r="4478" spans="4:6">
      <c r="D4478" s="495"/>
      <c r="E4478" s="364"/>
      <c r="F4478" s="365"/>
    </row>
    <row r="4479" spans="4:6">
      <c r="D4479" s="495"/>
      <c r="E4479" s="364"/>
      <c r="F4479" s="365"/>
    </row>
    <row r="4480" spans="4:6">
      <c r="D4480" s="495"/>
      <c r="E4480" s="364"/>
      <c r="F4480" s="365"/>
    </row>
    <row r="4481" spans="4:6">
      <c r="D4481" s="495"/>
      <c r="E4481" s="364"/>
      <c r="F4481" s="365"/>
    </row>
    <row r="4482" spans="4:6">
      <c r="D4482" s="495"/>
      <c r="E4482" s="364"/>
      <c r="F4482" s="365"/>
    </row>
    <row r="4483" spans="4:6">
      <c r="D4483" s="495"/>
      <c r="E4483" s="364"/>
      <c r="F4483" s="365"/>
    </row>
    <row r="4484" spans="4:6">
      <c r="D4484" s="495"/>
      <c r="E4484" s="364"/>
      <c r="F4484" s="365"/>
    </row>
    <row r="4485" spans="4:6">
      <c r="D4485" s="495"/>
      <c r="E4485" s="364"/>
      <c r="F4485" s="365"/>
    </row>
    <row r="4486" spans="4:6">
      <c r="D4486" s="495"/>
      <c r="E4486" s="364"/>
      <c r="F4486" s="365"/>
    </row>
    <row r="4487" spans="4:6">
      <c r="D4487" s="495"/>
      <c r="E4487" s="364"/>
      <c r="F4487" s="365"/>
    </row>
    <row r="4488" spans="4:6">
      <c r="D4488" s="495"/>
      <c r="E4488" s="364"/>
      <c r="F4488" s="365"/>
    </row>
    <row r="4489" spans="4:6">
      <c r="D4489" s="495"/>
      <c r="E4489" s="364"/>
      <c r="F4489" s="365"/>
    </row>
    <row r="4490" spans="4:6">
      <c r="D4490" s="495"/>
      <c r="E4490" s="364"/>
      <c r="F4490" s="365"/>
    </row>
    <row r="4491" spans="4:6">
      <c r="D4491" s="495"/>
      <c r="E4491" s="364"/>
      <c r="F4491" s="365"/>
    </row>
    <row r="4492" spans="4:6">
      <c r="D4492" s="495"/>
      <c r="E4492" s="364"/>
      <c r="F4492" s="365"/>
    </row>
    <row r="4493" spans="4:6">
      <c r="D4493" s="495"/>
      <c r="E4493" s="364"/>
      <c r="F4493" s="365"/>
    </row>
    <row r="4494" spans="4:6">
      <c r="D4494" s="495"/>
      <c r="E4494" s="364"/>
      <c r="F4494" s="365"/>
    </row>
    <row r="4495" spans="4:6">
      <c r="D4495" s="495"/>
      <c r="E4495" s="364"/>
      <c r="F4495" s="365"/>
    </row>
    <row r="4496" spans="4:6">
      <c r="D4496" s="495"/>
      <c r="E4496" s="364"/>
      <c r="F4496" s="365"/>
    </row>
    <row r="4497" spans="4:6">
      <c r="D4497" s="495"/>
      <c r="E4497" s="364"/>
      <c r="F4497" s="365"/>
    </row>
    <row r="4498" spans="4:6">
      <c r="D4498" s="495"/>
      <c r="E4498" s="364"/>
      <c r="F4498" s="365"/>
    </row>
    <row r="4499" spans="4:6">
      <c r="D4499" s="495"/>
      <c r="E4499" s="364"/>
      <c r="F4499" s="365"/>
    </row>
    <row r="4500" spans="4:6">
      <c r="D4500" s="495"/>
      <c r="E4500" s="364"/>
      <c r="F4500" s="365"/>
    </row>
    <row r="4501" spans="4:6">
      <c r="D4501" s="495"/>
      <c r="E4501" s="364"/>
      <c r="F4501" s="365"/>
    </row>
    <row r="4502" spans="4:6">
      <c r="D4502" s="495"/>
      <c r="E4502" s="364"/>
      <c r="F4502" s="365"/>
    </row>
    <row r="4503" spans="4:6">
      <c r="D4503" s="495"/>
      <c r="E4503" s="364"/>
      <c r="F4503" s="365"/>
    </row>
    <row r="4504" spans="4:6">
      <c r="D4504" s="495"/>
      <c r="E4504" s="364"/>
      <c r="F4504" s="365"/>
    </row>
    <row r="4505" spans="4:6">
      <c r="D4505" s="495"/>
      <c r="E4505" s="364"/>
      <c r="F4505" s="365"/>
    </row>
    <row r="4506" spans="4:6">
      <c r="D4506" s="495"/>
      <c r="E4506" s="364"/>
      <c r="F4506" s="365"/>
    </row>
    <row r="4507" spans="4:6">
      <c r="D4507" s="495"/>
      <c r="E4507" s="364"/>
      <c r="F4507" s="365"/>
    </row>
    <row r="4508" spans="4:6">
      <c r="D4508" s="495"/>
      <c r="E4508" s="364"/>
      <c r="F4508" s="365"/>
    </row>
    <row r="4509" spans="4:6">
      <c r="D4509" s="495"/>
      <c r="E4509" s="364"/>
      <c r="F4509" s="365"/>
    </row>
    <row r="4510" spans="4:6">
      <c r="D4510" s="495"/>
      <c r="E4510" s="364"/>
      <c r="F4510" s="365"/>
    </row>
    <row r="4511" spans="4:6">
      <c r="D4511" s="495"/>
      <c r="E4511" s="364"/>
      <c r="F4511" s="365"/>
    </row>
    <row r="4512" spans="4:6">
      <c r="D4512" s="495"/>
      <c r="E4512" s="364"/>
      <c r="F4512" s="365"/>
    </row>
    <row r="4513" spans="4:6">
      <c r="D4513" s="495"/>
      <c r="E4513" s="364"/>
      <c r="F4513" s="365"/>
    </row>
    <row r="4514" spans="4:6">
      <c r="D4514" s="495"/>
      <c r="E4514" s="364"/>
      <c r="F4514" s="365"/>
    </row>
    <row r="4515" spans="4:6">
      <c r="D4515" s="495"/>
      <c r="E4515" s="364"/>
      <c r="F4515" s="365"/>
    </row>
    <row r="4516" spans="4:6">
      <c r="D4516" s="495"/>
      <c r="E4516" s="364"/>
      <c r="F4516" s="365"/>
    </row>
    <row r="4517" spans="4:6">
      <c r="D4517" s="495"/>
      <c r="E4517" s="364"/>
      <c r="F4517" s="365"/>
    </row>
    <row r="4518" spans="4:6">
      <c r="D4518" s="495"/>
      <c r="E4518" s="364"/>
      <c r="F4518" s="365"/>
    </row>
    <row r="4519" spans="4:6">
      <c r="D4519" s="495"/>
      <c r="E4519" s="364"/>
      <c r="F4519" s="365"/>
    </row>
    <row r="4520" spans="4:6">
      <c r="D4520" s="495"/>
      <c r="E4520" s="364"/>
      <c r="F4520" s="365"/>
    </row>
    <row r="4521" spans="4:6">
      <c r="D4521" s="495"/>
      <c r="E4521" s="364"/>
      <c r="F4521" s="365"/>
    </row>
    <row r="4522" spans="4:6">
      <c r="D4522" s="495"/>
      <c r="E4522" s="364"/>
      <c r="F4522" s="365"/>
    </row>
    <row r="4523" spans="4:6">
      <c r="D4523" s="495"/>
      <c r="E4523" s="364"/>
      <c r="F4523" s="365"/>
    </row>
    <row r="4524" spans="4:6">
      <c r="D4524" s="495"/>
      <c r="E4524" s="364"/>
      <c r="F4524" s="365"/>
    </row>
    <row r="4525" spans="4:6">
      <c r="D4525" s="495"/>
      <c r="E4525" s="364"/>
      <c r="F4525" s="365"/>
    </row>
    <row r="4526" spans="4:6">
      <c r="D4526" s="495"/>
      <c r="E4526" s="364"/>
      <c r="F4526" s="365"/>
    </row>
    <row r="4527" spans="4:6">
      <c r="D4527" s="495"/>
      <c r="E4527" s="364"/>
      <c r="F4527" s="365"/>
    </row>
    <row r="4528" spans="4:6">
      <c r="D4528" s="495"/>
      <c r="E4528" s="364"/>
      <c r="F4528" s="365"/>
    </row>
    <row r="4529" spans="4:6">
      <c r="D4529" s="495"/>
      <c r="E4529" s="364"/>
      <c r="F4529" s="365"/>
    </row>
    <row r="4530" spans="4:6">
      <c r="D4530" s="495"/>
      <c r="E4530" s="364"/>
      <c r="F4530" s="365"/>
    </row>
    <row r="4531" spans="4:6">
      <c r="D4531" s="495"/>
      <c r="E4531" s="364"/>
      <c r="F4531" s="365"/>
    </row>
    <row r="4532" spans="4:6">
      <c r="D4532" s="495"/>
      <c r="E4532" s="364"/>
      <c r="F4532" s="365"/>
    </row>
    <row r="4533" spans="4:6">
      <c r="D4533" s="495"/>
      <c r="E4533" s="364"/>
      <c r="F4533" s="365"/>
    </row>
    <row r="4534" spans="4:6">
      <c r="D4534" s="495"/>
      <c r="E4534" s="364"/>
      <c r="F4534" s="365"/>
    </row>
    <row r="4535" spans="4:6">
      <c r="D4535" s="495"/>
      <c r="E4535" s="364"/>
      <c r="F4535" s="365"/>
    </row>
    <row r="4536" spans="4:6">
      <c r="D4536" s="495"/>
      <c r="E4536" s="364"/>
      <c r="F4536" s="365"/>
    </row>
    <row r="4537" spans="4:6">
      <c r="D4537" s="495"/>
      <c r="E4537" s="364"/>
      <c r="F4537" s="365"/>
    </row>
    <row r="4538" spans="4:6">
      <c r="D4538" s="495"/>
      <c r="E4538" s="364"/>
      <c r="F4538" s="365"/>
    </row>
    <row r="4539" spans="4:6">
      <c r="D4539" s="495"/>
      <c r="E4539" s="364"/>
      <c r="F4539" s="365"/>
    </row>
    <row r="4540" spans="4:6">
      <c r="D4540" s="495"/>
      <c r="E4540" s="364"/>
      <c r="F4540" s="365"/>
    </row>
    <row r="4541" spans="4:6">
      <c r="D4541" s="495"/>
      <c r="E4541" s="364"/>
      <c r="F4541" s="365"/>
    </row>
    <row r="4542" spans="4:6">
      <c r="D4542" s="495"/>
      <c r="E4542" s="364"/>
      <c r="F4542" s="365"/>
    </row>
    <row r="4543" spans="4:6">
      <c r="D4543" s="495"/>
      <c r="E4543" s="364"/>
      <c r="F4543" s="365"/>
    </row>
    <row r="4544" spans="4:6">
      <c r="D4544" s="495"/>
      <c r="E4544" s="364"/>
      <c r="F4544" s="365"/>
    </row>
    <row r="4545" spans="4:6">
      <c r="D4545" s="495"/>
      <c r="E4545" s="364"/>
      <c r="F4545" s="365"/>
    </row>
    <row r="4546" spans="4:6">
      <c r="D4546" s="495"/>
      <c r="E4546" s="364"/>
      <c r="F4546" s="365"/>
    </row>
    <row r="4547" spans="4:6">
      <c r="D4547" s="495"/>
      <c r="E4547" s="364"/>
      <c r="F4547" s="365"/>
    </row>
    <row r="4548" spans="4:6">
      <c r="D4548" s="495"/>
      <c r="E4548" s="364"/>
      <c r="F4548" s="365"/>
    </row>
    <row r="4549" spans="4:6">
      <c r="D4549" s="495"/>
      <c r="E4549" s="364"/>
      <c r="F4549" s="365"/>
    </row>
    <row r="4550" spans="4:6">
      <c r="D4550" s="495"/>
      <c r="E4550" s="364"/>
      <c r="F4550" s="365"/>
    </row>
    <row r="4551" spans="4:6">
      <c r="D4551" s="495"/>
      <c r="E4551" s="364"/>
      <c r="F4551" s="365"/>
    </row>
    <row r="4552" spans="4:6">
      <c r="D4552" s="495"/>
      <c r="E4552" s="364"/>
      <c r="F4552" s="365"/>
    </row>
    <row r="4553" spans="4:6">
      <c r="D4553" s="495"/>
      <c r="E4553" s="364"/>
      <c r="F4553" s="365"/>
    </row>
    <row r="4554" spans="4:6">
      <c r="D4554" s="495"/>
      <c r="E4554" s="364"/>
      <c r="F4554" s="365"/>
    </row>
    <row r="4555" spans="4:6">
      <c r="D4555" s="495"/>
      <c r="E4555" s="364"/>
      <c r="F4555" s="365"/>
    </row>
    <row r="4556" spans="4:6">
      <c r="D4556" s="495"/>
      <c r="E4556" s="364"/>
      <c r="F4556" s="365"/>
    </row>
    <row r="4557" spans="4:6">
      <c r="D4557" s="495"/>
      <c r="E4557" s="364"/>
      <c r="F4557" s="365"/>
    </row>
    <row r="4558" spans="4:6">
      <c r="D4558" s="495"/>
      <c r="E4558" s="364"/>
      <c r="F4558" s="365"/>
    </row>
    <row r="4559" spans="4:6">
      <c r="D4559" s="495"/>
      <c r="E4559" s="364"/>
      <c r="F4559" s="365"/>
    </row>
    <row r="4560" spans="4:6">
      <c r="D4560" s="495"/>
      <c r="E4560" s="364"/>
      <c r="F4560" s="365"/>
    </row>
    <row r="4561" spans="4:6">
      <c r="D4561" s="495"/>
      <c r="E4561" s="364"/>
      <c r="F4561" s="365"/>
    </row>
    <row r="4562" spans="4:6">
      <c r="D4562" s="495"/>
      <c r="E4562" s="364"/>
      <c r="F4562" s="365"/>
    </row>
    <row r="4563" spans="4:6">
      <c r="D4563" s="495"/>
      <c r="E4563" s="364"/>
      <c r="F4563" s="365"/>
    </row>
    <row r="4564" spans="4:6">
      <c r="D4564" s="495"/>
      <c r="E4564" s="364"/>
      <c r="F4564" s="365"/>
    </row>
    <row r="4565" spans="4:6">
      <c r="D4565" s="495"/>
      <c r="E4565" s="364"/>
      <c r="F4565" s="365"/>
    </row>
    <row r="4566" spans="4:6">
      <c r="D4566" s="495"/>
      <c r="E4566" s="364"/>
      <c r="F4566" s="365"/>
    </row>
    <row r="4567" spans="4:6">
      <c r="D4567" s="495"/>
      <c r="E4567" s="364"/>
      <c r="F4567" s="365"/>
    </row>
    <row r="4568" spans="4:6">
      <c r="D4568" s="495"/>
      <c r="E4568" s="364"/>
      <c r="F4568" s="365"/>
    </row>
    <row r="4569" spans="4:6">
      <c r="D4569" s="495"/>
      <c r="E4569" s="364"/>
      <c r="F4569" s="365"/>
    </row>
    <row r="4570" spans="4:6">
      <c r="D4570" s="495"/>
      <c r="E4570" s="364"/>
      <c r="F4570" s="365"/>
    </row>
    <row r="4571" spans="4:6">
      <c r="D4571" s="495"/>
      <c r="E4571" s="364"/>
      <c r="F4571" s="365"/>
    </row>
    <row r="4572" spans="4:6">
      <c r="D4572" s="495"/>
      <c r="E4572" s="364"/>
      <c r="F4572" s="365"/>
    </row>
    <row r="4573" spans="4:6">
      <c r="D4573" s="495"/>
      <c r="E4573" s="364"/>
      <c r="F4573" s="365"/>
    </row>
    <row r="4574" spans="4:6">
      <c r="D4574" s="495"/>
      <c r="E4574" s="364"/>
      <c r="F4574" s="365"/>
    </row>
    <row r="4575" spans="4:6">
      <c r="D4575" s="495"/>
      <c r="E4575" s="364"/>
      <c r="F4575" s="365"/>
    </row>
    <row r="4576" spans="4:6">
      <c r="D4576" s="495"/>
      <c r="E4576" s="364"/>
      <c r="F4576" s="365"/>
    </row>
    <row r="4577" spans="4:6">
      <c r="D4577" s="495"/>
      <c r="E4577" s="364"/>
      <c r="F4577" s="365"/>
    </row>
    <row r="4578" spans="4:6">
      <c r="D4578" s="495"/>
      <c r="E4578" s="364"/>
      <c r="F4578" s="365"/>
    </row>
    <row r="4579" spans="4:6">
      <c r="D4579" s="495"/>
      <c r="E4579" s="364"/>
      <c r="F4579" s="365"/>
    </row>
    <row r="4580" spans="4:6">
      <c r="D4580" s="495"/>
      <c r="E4580" s="364"/>
      <c r="F4580" s="365"/>
    </row>
    <row r="4581" spans="4:6">
      <c r="D4581" s="495"/>
      <c r="E4581" s="364"/>
      <c r="F4581" s="365"/>
    </row>
    <row r="4582" spans="4:6">
      <c r="D4582" s="495"/>
      <c r="E4582" s="364"/>
      <c r="F4582" s="365"/>
    </row>
    <row r="4583" spans="4:6">
      <c r="D4583" s="495"/>
      <c r="E4583" s="364"/>
      <c r="F4583" s="365"/>
    </row>
    <row r="4584" spans="4:6">
      <c r="D4584" s="495"/>
      <c r="E4584" s="364"/>
      <c r="F4584" s="365"/>
    </row>
    <row r="4585" spans="4:6">
      <c r="D4585" s="495"/>
      <c r="E4585" s="364"/>
      <c r="F4585" s="365"/>
    </row>
    <row r="4586" spans="4:6">
      <c r="D4586" s="495"/>
      <c r="E4586" s="364"/>
      <c r="F4586" s="365"/>
    </row>
    <row r="4587" spans="4:6">
      <c r="D4587" s="495"/>
      <c r="E4587" s="364"/>
      <c r="F4587" s="365"/>
    </row>
    <row r="4588" spans="4:6">
      <c r="D4588" s="495"/>
      <c r="E4588" s="364"/>
      <c r="F4588" s="365"/>
    </row>
    <row r="4589" spans="4:6">
      <c r="D4589" s="495"/>
      <c r="E4589" s="364"/>
      <c r="F4589" s="365"/>
    </row>
    <row r="4590" spans="4:6">
      <c r="D4590" s="495"/>
      <c r="E4590" s="364"/>
      <c r="F4590" s="365"/>
    </row>
    <row r="4591" spans="4:6">
      <c r="D4591" s="495"/>
      <c r="E4591" s="364"/>
      <c r="F4591" s="365"/>
    </row>
    <row r="4592" spans="4:6">
      <c r="D4592" s="495"/>
      <c r="E4592" s="364"/>
      <c r="F4592" s="365"/>
    </row>
    <row r="4593" spans="4:6">
      <c r="D4593" s="495"/>
      <c r="E4593" s="364"/>
      <c r="F4593" s="365"/>
    </row>
    <row r="4594" spans="4:6">
      <c r="D4594" s="495"/>
      <c r="E4594" s="364"/>
      <c r="F4594" s="365"/>
    </row>
    <row r="4595" spans="4:6">
      <c r="D4595" s="495"/>
      <c r="E4595" s="364"/>
      <c r="F4595" s="365"/>
    </row>
    <row r="4596" spans="4:6">
      <c r="D4596" s="495"/>
      <c r="E4596" s="364"/>
      <c r="F4596" s="365"/>
    </row>
    <row r="4597" spans="4:6">
      <c r="D4597" s="495"/>
      <c r="E4597" s="364"/>
      <c r="F4597" s="365"/>
    </row>
    <row r="4598" spans="4:6">
      <c r="D4598" s="495"/>
      <c r="E4598" s="364"/>
      <c r="F4598" s="365"/>
    </row>
    <row r="4599" spans="4:6">
      <c r="D4599" s="495"/>
      <c r="E4599" s="364"/>
      <c r="F4599" s="365"/>
    </row>
    <row r="4600" spans="4:6">
      <c r="D4600" s="495"/>
      <c r="E4600" s="364"/>
      <c r="F4600" s="365"/>
    </row>
    <row r="4601" spans="4:6">
      <c r="D4601" s="495"/>
      <c r="E4601" s="364"/>
      <c r="F4601" s="365"/>
    </row>
    <row r="4602" spans="4:6">
      <c r="D4602" s="495"/>
      <c r="E4602" s="364"/>
      <c r="F4602" s="365"/>
    </row>
    <row r="4603" spans="4:6">
      <c r="D4603" s="495"/>
      <c r="E4603" s="364"/>
      <c r="F4603" s="365"/>
    </row>
    <row r="4604" spans="4:6">
      <c r="D4604" s="495"/>
      <c r="E4604" s="364"/>
      <c r="F4604" s="365"/>
    </row>
    <row r="4605" spans="4:6">
      <c r="D4605" s="495"/>
      <c r="E4605" s="364"/>
      <c r="F4605" s="365"/>
    </row>
    <row r="4606" spans="4:6">
      <c r="D4606" s="495"/>
      <c r="E4606" s="364"/>
      <c r="F4606" s="365"/>
    </row>
    <row r="4607" spans="4:6">
      <c r="D4607" s="495"/>
      <c r="E4607" s="364"/>
      <c r="F4607" s="365"/>
    </row>
    <row r="4608" spans="4:6">
      <c r="D4608" s="495"/>
      <c r="E4608" s="364"/>
      <c r="F4608" s="365"/>
    </row>
    <row r="4609" spans="4:6">
      <c r="D4609" s="495"/>
      <c r="E4609" s="364"/>
      <c r="F4609" s="365"/>
    </row>
    <row r="4610" spans="4:6">
      <c r="D4610" s="495"/>
      <c r="E4610" s="364"/>
      <c r="F4610" s="365"/>
    </row>
    <row r="4611" spans="4:6">
      <c r="D4611" s="495"/>
      <c r="E4611" s="364"/>
      <c r="F4611" s="365"/>
    </row>
    <row r="4612" spans="4:6">
      <c r="D4612" s="495"/>
      <c r="E4612" s="364"/>
      <c r="F4612" s="365"/>
    </row>
    <row r="4613" spans="4:6">
      <c r="D4613" s="495"/>
      <c r="E4613" s="364"/>
      <c r="F4613" s="365"/>
    </row>
    <row r="4614" spans="4:6">
      <c r="D4614" s="495"/>
      <c r="E4614" s="364"/>
      <c r="F4614" s="365"/>
    </row>
    <row r="4615" spans="4:6">
      <c r="D4615" s="495"/>
      <c r="E4615" s="364"/>
      <c r="F4615" s="365"/>
    </row>
    <row r="4616" spans="4:6">
      <c r="D4616" s="495"/>
      <c r="E4616" s="364"/>
      <c r="F4616" s="365"/>
    </row>
    <row r="4617" spans="4:6">
      <c r="D4617" s="495"/>
      <c r="E4617" s="364"/>
      <c r="F4617" s="365"/>
    </row>
    <row r="4618" spans="4:6">
      <c r="D4618" s="495"/>
      <c r="E4618" s="364"/>
      <c r="F4618" s="365"/>
    </row>
    <row r="4619" spans="4:6">
      <c r="D4619" s="495"/>
      <c r="E4619" s="364"/>
      <c r="F4619" s="365"/>
    </row>
    <row r="4620" spans="4:6">
      <c r="D4620" s="495"/>
      <c r="E4620" s="364"/>
      <c r="F4620" s="365"/>
    </row>
    <row r="4621" spans="4:6">
      <c r="D4621" s="495"/>
      <c r="E4621" s="364"/>
      <c r="F4621" s="365"/>
    </row>
    <row r="4622" spans="4:6">
      <c r="D4622" s="495"/>
      <c r="E4622" s="364"/>
      <c r="F4622" s="365"/>
    </row>
    <row r="4623" spans="4:6">
      <c r="D4623" s="495"/>
      <c r="E4623" s="364"/>
      <c r="F4623" s="365"/>
    </row>
    <row r="4624" spans="4:6">
      <c r="D4624" s="495"/>
      <c r="E4624" s="364"/>
      <c r="F4624" s="365"/>
    </row>
    <row r="4625" spans="4:6">
      <c r="D4625" s="495"/>
      <c r="E4625" s="364"/>
      <c r="F4625" s="365"/>
    </row>
    <row r="4626" spans="4:6">
      <c r="D4626" s="495"/>
      <c r="E4626" s="364"/>
      <c r="F4626" s="365"/>
    </row>
    <row r="4627" spans="4:6">
      <c r="D4627" s="495"/>
      <c r="E4627" s="364"/>
      <c r="F4627" s="365"/>
    </row>
    <row r="4628" spans="4:6">
      <c r="D4628" s="495"/>
      <c r="E4628" s="364"/>
      <c r="F4628" s="365"/>
    </row>
    <row r="4629" spans="4:6">
      <c r="D4629" s="495"/>
      <c r="E4629" s="364"/>
      <c r="F4629" s="365"/>
    </row>
    <row r="4630" spans="4:6">
      <c r="D4630" s="495"/>
      <c r="E4630" s="364"/>
      <c r="F4630" s="365"/>
    </row>
    <row r="4631" spans="4:6">
      <c r="D4631" s="495"/>
      <c r="E4631" s="364"/>
      <c r="F4631" s="365"/>
    </row>
    <row r="4632" spans="4:6">
      <c r="D4632" s="495"/>
      <c r="E4632" s="364"/>
      <c r="F4632" s="365"/>
    </row>
    <row r="4633" spans="4:6">
      <c r="D4633" s="495"/>
      <c r="E4633" s="364"/>
      <c r="F4633" s="365"/>
    </row>
    <row r="4634" spans="4:6">
      <c r="D4634" s="495"/>
      <c r="E4634" s="364"/>
      <c r="F4634" s="365"/>
    </row>
    <row r="4635" spans="4:6">
      <c r="D4635" s="495"/>
      <c r="E4635" s="364"/>
      <c r="F4635" s="365"/>
    </row>
    <row r="4636" spans="4:6">
      <c r="D4636" s="495"/>
      <c r="E4636" s="364"/>
      <c r="F4636" s="365"/>
    </row>
    <row r="4637" spans="4:6">
      <c r="D4637" s="495"/>
      <c r="E4637" s="364"/>
      <c r="F4637" s="365"/>
    </row>
    <row r="4638" spans="4:6">
      <c r="D4638" s="495"/>
      <c r="E4638" s="364"/>
      <c r="F4638" s="365"/>
    </row>
    <row r="4639" spans="4:6">
      <c r="D4639" s="495"/>
      <c r="E4639" s="364"/>
      <c r="F4639" s="365"/>
    </row>
    <row r="4640" spans="4:6">
      <c r="D4640" s="495"/>
      <c r="E4640" s="364"/>
      <c r="F4640" s="365"/>
    </row>
    <row r="4641" spans="4:6">
      <c r="D4641" s="495"/>
      <c r="E4641" s="364"/>
      <c r="F4641" s="365"/>
    </row>
    <row r="4642" spans="4:6">
      <c r="D4642" s="495"/>
      <c r="E4642" s="364"/>
      <c r="F4642" s="365"/>
    </row>
    <row r="4643" spans="4:6">
      <c r="D4643" s="495"/>
      <c r="E4643" s="364"/>
      <c r="F4643" s="365"/>
    </row>
    <row r="4644" spans="4:6">
      <c r="D4644" s="495"/>
      <c r="E4644" s="364"/>
      <c r="F4644" s="365"/>
    </row>
    <row r="4645" spans="4:6">
      <c r="D4645" s="495"/>
      <c r="E4645" s="364"/>
      <c r="F4645" s="365"/>
    </row>
    <row r="4646" spans="4:6">
      <c r="D4646" s="495"/>
      <c r="E4646" s="364"/>
      <c r="F4646" s="365"/>
    </row>
    <row r="4647" spans="4:6">
      <c r="D4647" s="495"/>
      <c r="E4647" s="364"/>
      <c r="F4647" s="365"/>
    </row>
    <row r="4648" spans="4:6">
      <c r="D4648" s="495"/>
      <c r="E4648" s="364"/>
      <c r="F4648" s="365"/>
    </row>
    <row r="4649" spans="4:6">
      <c r="D4649" s="495"/>
      <c r="E4649" s="364"/>
      <c r="F4649" s="365"/>
    </row>
    <row r="4650" spans="4:6">
      <c r="D4650" s="495"/>
      <c r="E4650" s="364"/>
      <c r="F4650" s="365"/>
    </row>
    <row r="4651" spans="4:6">
      <c r="D4651" s="495"/>
      <c r="E4651" s="364"/>
      <c r="F4651" s="365"/>
    </row>
    <row r="4652" spans="4:6">
      <c r="D4652" s="495"/>
      <c r="E4652" s="364"/>
      <c r="F4652" s="365"/>
    </row>
    <row r="4653" spans="4:6">
      <c r="D4653" s="495"/>
      <c r="E4653" s="364"/>
      <c r="F4653" s="365"/>
    </row>
    <row r="4654" spans="4:6">
      <c r="D4654" s="495"/>
      <c r="E4654" s="364"/>
      <c r="F4654" s="365"/>
    </row>
    <row r="4655" spans="4:6">
      <c r="D4655" s="495"/>
      <c r="E4655" s="364"/>
      <c r="F4655" s="365"/>
    </row>
    <row r="4656" spans="4:6">
      <c r="D4656" s="495"/>
      <c r="E4656" s="364"/>
      <c r="F4656" s="365"/>
    </row>
    <row r="4657" spans="4:6">
      <c r="D4657" s="495"/>
      <c r="E4657" s="364"/>
      <c r="F4657" s="365"/>
    </row>
    <row r="4658" spans="4:6">
      <c r="D4658" s="495"/>
      <c r="E4658" s="364"/>
      <c r="F4658" s="365"/>
    </row>
    <row r="4659" spans="4:6">
      <c r="D4659" s="495"/>
      <c r="E4659" s="364"/>
      <c r="F4659" s="365"/>
    </row>
    <row r="4660" spans="4:6">
      <c r="D4660" s="495"/>
      <c r="E4660" s="364"/>
      <c r="F4660" s="365"/>
    </row>
    <row r="4661" spans="4:6">
      <c r="D4661" s="495"/>
      <c r="E4661" s="364"/>
      <c r="F4661" s="365"/>
    </row>
    <row r="4662" spans="4:6">
      <c r="D4662" s="495"/>
      <c r="E4662" s="364"/>
      <c r="F4662" s="365"/>
    </row>
    <row r="4663" spans="4:6">
      <c r="D4663" s="495"/>
      <c r="E4663" s="364"/>
      <c r="F4663" s="365"/>
    </row>
    <row r="4664" spans="4:6">
      <c r="D4664" s="495"/>
      <c r="E4664" s="364"/>
      <c r="F4664" s="365"/>
    </row>
    <row r="4665" spans="4:6">
      <c r="D4665" s="495"/>
      <c r="E4665" s="364"/>
      <c r="F4665" s="365"/>
    </row>
    <row r="4666" spans="4:6">
      <c r="D4666" s="495"/>
      <c r="E4666" s="364"/>
      <c r="F4666" s="365"/>
    </row>
    <row r="4667" spans="4:6">
      <c r="D4667" s="495"/>
      <c r="E4667" s="364"/>
      <c r="F4667" s="365"/>
    </row>
    <row r="4668" spans="4:6">
      <c r="D4668" s="495"/>
      <c r="E4668" s="364"/>
      <c r="F4668" s="365"/>
    </row>
    <row r="4669" spans="4:6">
      <c r="D4669" s="495"/>
      <c r="E4669" s="364"/>
      <c r="F4669" s="365"/>
    </row>
    <row r="4670" spans="4:6">
      <c r="D4670" s="495"/>
      <c r="E4670" s="364"/>
      <c r="F4670" s="365"/>
    </row>
    <row r="4671" spans="4:6">
      <c r="D4671" s="495"/>
      <c r="E4671" s="364"/>
      <c r="F4671" s="365"/>
    </row>
    <row r="4672" spans="4:6">
      <c r="D4672" s="495"/>
      <c r="E4672" s="364"/>
      <c r="F4672" s="365"/>
    </row>
    <row r="4673" spans="4:6">
      <c r="D4673" s="495"/>
      <c r="E4673" s="364"/>
      <c r="F4673" s="365"/>
    </row>
    <row r="4674" spans="4:6">
      <c r="D4674" s="495"/>
      <c r="E4674" s="364"/>
      <c r="F4674" s="365"/>
    </row>
    <row r="4675" spans="4:6">
      <c r="D4675" s="495"/>
      <c r="E4675" s="364"/>
      <c r="F4675" s="365"/>
    </row>
    <row r="4676" spans="4:6">
      <c r="D4676" s="495"/>
      <c r="E4676" s="364"/>
      <c r="F4676" s="365"/>
    </row>
    <row r="4677" spans="4:6">
      <c r="D4677" s="495"/>
      <c r="E4677" s="364"/>
      <c r="F4677" s="365"/>
    </row>
    <row r="4678" spans="4:6">
      <c r="D4678" s="495"/>
      <c r="E4678" s="364"/>
      <c r="F4678" s="365"/>
    </row>
    <row r="4679" spans="4:6">
      <c r="D4679" s="495"/>
      <c r="E4679" s="364"/>
      <c r="F4679" s="365"/>
    </row>
    <row r="4680" spans="4:6">
      <c r="D4680" s="495"/>
      <c r="E4680" s="364"/>
      <c r="F4680" s="365"/>
    </row>
    <row r="4681" spans="4:6">
      <c r="D4681" s="495"/>
      <c r="E4681" s="364"/>
      <c r="F4681" s="365"/>
    </row>
    <row r="4682" spans="4:6">
      <c r="D4682" s="495"/>
      <c r="E4682" s="364"/>
      <c r="F4682" s="365"/>
    </row>
    <row r="4683" spans="4:6">
      <c r="D4683" s="495"/>
      <c r="E4683" s="364"/>
      <c r="F4683" s="365"/>
    </row>
    <row r="4684" spans="4:6">
      <c r="D4684" s="495"/>
      <c r="E4684" s="364"/>
      <c r="F4684" s="365"/>
    </row>
    <row r="4685" spans="4:6">
      <c r="D4685" s="495"/>
      <c r="E4685" s="364"/>
      <c r="F4685" s="365"/>
    </row>
    <row r="4686" spans="4:6">
      <c r="D4686" s="495"/>
      <c r="E4686" s="364"/>
      <c r="F4686" s="365"/>
    </row>
    <row r="4687" spans="4:6">
      <c r="D4687" s="495"/>
      <c r="E4687" s="364"/>
      <c r="F4687" s="365"/>
    </row>
    <row r="4688" spans="4:6">
      <c r="D4688" s="495"/>
      <c r="E4688" s="364"/>
      <c r="F4688" s="365"/>
    </row>
    <row r="4689" spans="4:6">
      <c r="D4689" s="495"/>
      <c r="E4689" s="364"/>
      <c r="F4689" s="365"/>
    </row>
    <row r="4690" spans="4:6">
      <c r="D4690" s="495"/>
      <c r="E4690" s="364"/>
      <c r="F4690" s="365"/>
    </row>
    <row r="4691" spans="4:6">
      <c r="D4691" s="495"/>
      <c r="E4691" s="364"/>
      <c r="F4691" s="365"/>
    </row>
    <row r="4692" spans="4:6">
      <c r="D4692" s="495"/>
      <c r="E4692" s="364"/>
      <c r="F4692" s="365"/>
    </row>
    <row r="4693" spans="4:6">
      <c r="D4693" s="495"/>
      <c r="E4693" s="364"/>
      <c r="F4693" s="365"/>
    </row>
    <row r="4694" spans="4:6">
      <c r="D4694" s="495"/>
      <c r="E4694" s="364"/>
      <c r="F4694" s="365"/>
    </row>
    <row r="4695" spans="4:6">
      <c r="D4695" s="496"/>
      <c r="E4695" s="366"/>
      <c r="F4695" s="365"/>
    </row>
    <row r="4696" spans="4:6">
      <c r="D4696" s="495"/>
      <c r="E4696" s="364"/>
      <c r="F4696" s="365"/>
    </row>
    <row r="4697" spans="4:6">
      <c r="D4697" s="496"/>
      <c r="E4697" s="364"/>
      <c r="F4697" s="365"/>
    </row>
    <row r="4698" spans="4:6">
      <c r="D4698" s="495"/>
      <c r="E4698" s="364"/>
      <c r="F4698" s="365"/>
    </row>
    <row r="4699" spans="4:6">
      <c r="D4699" s="495"/>
      <c r="E4699" s="364"/>
      <c r="F4699" s="365"/>
    </row>
    <row r="4700" spans="4:6">
      <c r="D4700" s="496"/>
      <c r="E4700" s="366"/>
      <c r="F4700" s="365"/>
    </row>
    <row r="4701" spans="4:6">
      <c r="D4701" s="496"/>
      <c r="E4701" s="366"/>
      <c r="F4701" s="365"/>
    </row>
    <row r="4702" spans="4:6">
      <c r="D4702" s="495"/>
      <c r="E4702" s="364"/>
      <c r="F4702" s="365"/>
    </row>
    <row r="4703" spans="4:6">
      <c r="D4703" s="496"/>
      <c r="E4703" s="366"/>
      <c r="F4703" s="365"/>
    </row>
    <row r="4704" spans="4:6">
      <c r="D4704" s="495"/>
      <c r="E4704" s="364"/>
      <c r="F4704" s="365"/>
    </row>
    <row r="4705" spans="4:6">
      <c r="D4705" s="495"/>
      <c r="E4705" s="364"/>
      <c r="F4705" s="365"/>
    </row>
    <row r="4706" spans="4:6">
      <c r="D4706" s="496"/>
      <c r="E4706" s="366"/>
      <c r="F4706" s="365"/>
    </row>
    <row r="4707" spans="4:6">
      <c r="D4707" s="496"/>
      <c r="E4707" s="366"/>
      <c r="F4707" s="365"/>
    </row>
    <row r="4708" spans="4:6">
      <c r="D4708" s="495"/>
      <c r="E4708" s="364"/>
      <c r="F4708" s="365"/>
    </row>
    <row r="4709" spans="4:6">
      <c r="D4709" s="496"/>
      <c r="E4709" s="366"/>
      <c r="F4709" s="365"/>
    </row>
    <row r="4710" spans="4:6">
      <c r="D4710" s="495"/>
      <c r="E4710" s="364"/>
      <c r="F4710" s="365"/>
    </row>
    <row r="4711" spans="4:6">
      <c r="D4711" s="496"/>
      <c r="E4711" s="366"/>
      <c r="F4711" s="365"/>
    </row>
    <row r="4712" spans="4:6">
      <c r="D4712" s="495"/>
      <c r="E4712" s="364"/>
      <c r="F4712" s="365"/>
    </row>
    <row r="4713" spans="4:6">
      <c r="D4713" s="495"/>
      <c r="E4713" s="364"/>
      <c r="F4713" s="365"/>
    </row>
    <row r="4714" spans="4:6">
      <c r="D4714" s="496"/>
      <c r="E4714" s="366"/>
      <c r="F4714" s="365"/>
    </row>
    <row r="4715" spans="4:6">
      <c r="D4715" s="496"/>
      <c r="E4715" s="366"/>
      <c r="F4715" s="365"/>
    </row>
    <row r="4716" spans="4:6">
      <c r="D4716" s="495"/>
      <c r="E4716" s="364"/>
      <c r="F4716" s="365"/>
    </row>
    <row r="4717" spans="4:6">
      <c r="D4717" s="496"/>
      <c r="E4717" s="366"/>
      <c r="F4717" s="365"/>
    </row>
    <row r="4718" spans="4:6">
      <c r="D4718" s="495"/>
      <c r="E4718" s="364"/>
      <c r="F4718" s="365"/>
    </row>
    <row r="4719" spans="4:6">
      <c r="D4719" s="495"/>
      <c r="E4719" s="364"/>
      <c r="F4719" s="365"/>
    </row>
    <row r="4720" spans="4:6">
      <c r="D4720" s="496"/>
      <c r="E4720" s="366"/>
      <c r="F4720" s="365"/>
    </row>
    <row r="4721" spans="4:6">
      <c r="D4721" s="496"/>
      <c r="E4721" s="366"/>
      <c r="F4721" s="365"/>
    </row>
    <row r="4722" spans="4:6">
      <c r="D4722" s="495"/>
      <c r="E4722" s="364"/>
      <c r="F4722" s="365"/>
    </row>
    <row r="4723" spans="4:6">
      <c r="D4723" s="496"/>
      <c r="E4723" s="366"/>
      <c r="F4723" s="365"/>
    </row>
    <row r="4724" spans="4:6">
      <c r="D4724" s="495"/>
      <c r="E4724" s="364"/>
      <c r="F4724" s="365"/>
    </row>
    <row r="4725" spans="4:6">
      <c r="D4725" s="496"/>
      <c r="E4725" s="366"/>
      <c r="F4725" s="365"/>
    </row>
    <row r="4726" spans="4:6">
      <c r="D4726" s="495"/>
      <c r="E4726" s="364"/>
      <c r="F4726" s="365"/>
    </row>
    <row r="4727" spans="4:6">
      <c r="D4727" s="496"/>
      <c r="E4727" s="366"/>
      <c r="F4727" s="365"/>
    </row>
    <row r="4728" spans="4:6">
      <c r="D4728" s="495"/>
      <c r="E4728" s="364"/>
      <c r="F4728" s="365"/>
    </row>
    <row r="4729" spans="4:6">
      <c r="D4729" s="496"/>
      <c r="E4729" s="366"/>
      <c r="F4729" s="365"/>
    </row>
    <row r="4730" spans="4:6">
      <c r="D4730" s="495"/>
      <c r="E4730" s="364"/>
      <c r="F4730" s="365"/>
    </row>
    <row r="4731" spans="4:6">
      <c r="D4731" s="496"/>
      <c r="E4731" s="366"/>
      <c r="F4731" s="365"/>
    </row>
    <row r="4732" spans="4:6">
      <c r="D4732" s="495"/>
      <c r="E4732" s="364"/>
      <c r="F4732" s="365"/>
    </row>
    <row r="4733" spans="4:6">
      <c r="D4733" s="496"/>
      <c r="E4733" s="366"/>
      <c r="F4733" s="365"/>
    </row>
    <row r="4734" spans="4:6">
      <c r="D4734" s="495"/>
      <c r="E4734" s="364"/>
      <c r="F4734" s="365"/>
    </row>
    <row r="4735" spans="4:6">
      <c r="D4735" s="495"/>
      <c r="E4735" s="364"/>
      <c r="F4735" s="365"/>
    </row>
    <row r="4736" spans="4:6">
      <c r="D4736" s="495"/>
      <c r="E4736" s="364"/>
      <c r="F4736" s="365"/>
    </row>
    <row r="4737" spans="4:6">
      <c r="D4737" s="496"/>
      <c r="E4737" s="366"/>
      <c r="F4737" s="365"/>
    </row>
    <row r="4738" spans="4:6">
      <c r="D4738" s="496"/>
      <c r="E4738" s="366"/>
      <c r="F4738" s="365"/>
    </row>
    <row r="4739" spans="4:6">
      <c r="D4739" s="496"/>
      <c r="E4739" s="366"/>
      <c r="F4739" s="365"/>
    </row>
    <row r="4740" spans="4:6">
      <c r="D4740" s="495"/>
      <c r="E4740" s="364"/>
      <c r="F4740" s="365"/>
    </row>
    <row r="4741" spans="4:6">
      <c r="D4741" s="495"/>
      <c r="E4741" s="364"/>
      <c r="F4741" s="365"/>
    </row>
    <row r="4742" spans="4:6">
      <c r="D4742" s="496"/>
      <c r="E4742" s="366"/>
      <c r="F4742" s="365"/>
    </row>
    <row r="4743" spans="4:6">
      <c r="D4743" s="496"/>
      <c r="E4743" s="366"/>
      <c r="F4743" s="365"/>
    </row>
    <row r="4744" spans="4:6">
      <c r="D4744" s="495"/>
      <c r="E4744" s="364"/>
      <c r="F4744" s="365"/>
    </row>
    <row r="4745" spans="4:6">
      <c r="D4745" s="496"/>
      <c r="E4745" s="366"/>
      <c r="F4745" s="365"/>
    </row>
    <row r="4746" spans="4:6">
      <c r="D4746" s="495"/>
      <c r="E4746" s="364"/>
      <c r="F4746" s="365"/>
    </row>
    <row r="4747" spans="4:6">
      <c r="D4747" s="497"/>
      <c r="E4747" s="367"/>
      <c r="F4747" s="365"/>
    </row>
    <row r="4748" spans="4:6">
      <c r="D4748" s="497"/>
      <c r="E4748" s="367"/>
      <c r="F4748" s="365"/>
    </row>
    <row r="4749" spans="4:6">
      <c r="D4749" s="497"/>
      <c r="E4749" s="367"/>
      <c r="F4749" s="365"/>
    </row>
    <row r="4750" spans="4:6">
      <c r="D4750" s="497"/>
      <c r="E4750" s="367"/>
      <c r="F4750" s="365"/>
    </row>
    <row r="4751" spans="4:6">
      <c r="D4751" s="497"/>
      <c r="E4751" s="367"/>
      <c r="F4751" s="365"/>
    </row>
    <row r="4752" spans="4:6">
      <c r="D4752" s="497"/>
      <c r="E4752" s="367"/>
      <c r="F4752" s="365"/>
    </row>
    <row r="4753" spans="4:6">
      <c r="D4753" s="498"/>
      <c r="E4753" s="199"/>
      <c r="F4753" s="365"/>
    </row>
    <row r="4754" spans="4:6">
      <c r="D4754" s="498"/>
      <c r="E4754" s="199"/>
      <c r="F4754" s="365"/>
    </row>
    <row r="4755" spans="4:6">
      <c r="D4755" s="498"/>
      <c r="E4755" s="199"/>
      <c r="F4755" s="365"/>
    </row>
    <row r="4756" spans="4:6">
      <c r="D4756" s="498"/>
      <c r="E4756" s="199"/>
      <c r="F4756" s="365"/>
    </row>
    <row r="4757" spans="4:6">
      <c r="D4757" s="498"/>
      <c r="E4757" s="199"/>
      <c r="F4757" s="365"/>
    </row>
    <row r="4758" spans="4:6">
      <c r="D4758" s="498"/>
      <c r="E4758" s="199"/>
      <c r="F4758" s="365"/>
    </row>
    <row r="4759" spans="4:6">
      <c r="D4759" s="498"/>
      <c r="E4759" s="199"/>
      <c r="F4759" s="365"/>
    </row>
    <row r="4760" spans="4:6">
      <c r="D4760" s="498"/>
      <c r="E4760" s="199"/>
      <c r="F4760" s="365"/>
    </row>
    <row r="4761" spans="4:6">
      <c r="D4761" s="498"/>
      <c r="E4761" s="199"/>
      <c r="F4761" s="365"/>
    </row>
    <row r="4762" spans="4:6">
      <c r="D4762" s="498"/>
      <c r="E4762" s="199"/>
      <c r="F4762" s="365"/>
    </row>
    <row r="4763" spans="4:6">
      <c r="D4763" s="498"/>
      <c r="E4763" s="199"/>
      <c r="F4763" s="365"/>
    </row>
    <row r="4764" spans="4:6">
      <c r="D4764" s="498"/>
      <c r="E4764" s="199"/>
      <c r="F4764" s="365"/>
    </row>
    <row r="4765" spans="4:6">
      <c r="D4765" s="498"/>
      <c r="E4765" s="199"/>
      <c r="F4765" s="365"/>
    </row>
    <row r="4766" spans="4:6">
      <c r="D4766" s="498"/>
      <c r="E4766" s="199"/>
      <c r="F4766" s="365"/>
    </row>
    <row r="4767" spans="4:6">
      <c r="D4767" s="498"/>
      <c r="E4767" s="199"/>
      <c r="F4767" s="365"/>
    </row>
    <row r="4768" spans="4:6">
      <c r="D4768" s="498"/>
      <c r="E4768" s="199"/>
      <c r="F4768" s="365"/>
    </row>
    <row r="4769" spans="4:6">
      <c r="D4769" s="498"/>
      <c r="E4769" s="199"/>
      <c r="F4769" s="365"/>
    </row>
    <row r="4770" spans="4:6">
      <c r="D4770" s="498"/>
      <c r="E4770" s="199"/>
      <c r="F4770" s="365"/>
    </row>
    <row r="4771" spans="4:6">
      <c r="D4771" s="498"/>
      <c r="E4771" s="199"/>
      <c r="F4771" s="365"/>
    </row>
    <row r="4772" spans="4:6">
      <c r="D4772" s="498"/>
      <c r="E4772" s="199"/>
      <c r="F4772" s="365"/>
    </row>
    <row r="4773" spans="4:6">
      <c r="D4773" s="498"/>
      <c r="E4773" s="199"/>
      <c r="F4773" s="365"/>
    </row>
    <row r="4774" spans="4:6">
      <c r="D4774" s="498"/>
      <c r="E4774" s="199"/>
      <c r="F4774" s="365"/>
    </row>
    <row r="4775" spans="4:6">
      <c r="D4775" s="498"/>
      <c r="E4775" s="199"/>
      <c r="F4775" s="365"/>
    </row>
    <row r="4776" spans="4:6">
      <c r="D4776" s="498"/>
      <c r="E4776" s="199"/>
      <c r="F4776" s="365"/>
    </row>
    <row r="4777" spans="4:6">
      <c r="D4777" s="498"/>
      <c r="E4777" s="199"/>
      <c r="F4777" s="365"/>
    </row>
    <row r="4778" spans="4:6">
      <c r="D4778" s="498"/>
      <c r="E4778" s="199"/>
      <c r="F4778" s="365"/>
    </row>
    <row r="4779" spans="4:6">
      <c r="D4779" s="498"/>
      <c r="E4779" s="199"/>
      <c r="F4779" s="365"/>
    </row>
    <row r="4780" spans="4:6">
      <c r="D4780" s="498"/>
      <c r="E4780" s="199"/>
      <c r="F4780" s="365"/>
    </row>
    <row r="4781" spans="4:6">
      <c r="D4781" s="498"/>
      <c r="E4781" s="368"/>
      <c r="F4781" s="365"/>
    </row>
    <row r="4782" spans="4:6">
      <c r="D4782" s="499"/>
      <c r="E4782" s="369"/>
      <c r="F4782" s="365"/>
    </row>
    <row r="4783" spans="4:6">
      <c r="D4783" s="498"/>
      <c r="E4783" s="366"/>
      <c r="F4783" s="365"/>
    </row>
    <row r="4784" spans="4:6">
      <c r="D4784" s="498"/>
      <c r="E4784" s="366"/>
      <c r="F4784" s="365"/>
    </row>
    <row r="4785" spans="4:6">
      <c r="D4785" s="498"/>
      <c r="E4785" s="366"/>
      <c r="F4785" s="365"/>
    </row>
    <row r="4786" spans="4:6">
      <c r="D4786" s="498"/>
      <c r="E4786" s="366"/>
      <c r="F4786" s="365"/>
    </row>
    <row r="4787" spans="4:6">
      <c r="D4787" s="498"/>
      <c r="E4787" s="366"/>
      <c r="F4787" s="365"/>
    </row>
    <row r="4788" spans="4:6">
      <c r="D4788" s="498"/>
      <c r="E4788" s="366"/>
      <c r="F4788" s="365"/>
    </row>
    <row r="4789" spans="4:6">
      <c r="D4789" s="498"/>
      <c r="E4789" s="366"/>
      <c r="F4789" s="365"/>
    </row>
    <row r="4790" spans="4:6">
      <c r="D4790" s="498"/>
      <c r="E4790" s="366"/>
      <c r="F4790" s="365"/>
    </row>
    <row r="4791" spans="4:6">
      <c r="D4791" s="498"/>
      <c r="E4791" s="366"/>
      <c r="F4791" s="365"/>
    </row>
    <row r="4792" spans="4:6">
      <c r="D4792" s="498"/>
      <c r="E4792" s="366"/>
      <c r="F4792" s="365"/>
    </row>
    <row r="4793" spans="4:6">
      <c r="D4793" s="498"/>
      <c r="E4793" s="366"/>
      <c r="F4793" s="365"/>
    </row>
    <row r="4794" spans="4:6">
      <c r="D4794" s="498"/>
      <c r="E4794" s="366"/>
      <c r="F4794" s="365"/>
    </row>
    <row r="4795" spans="4:6">
      <c r="D4795" s="498"/>
      <c r="E4795" s="366"/>
      <c r="F4795" s="365"/>
    </row>
    <row r="4796" spans="4:6">
      <c r="D4796" s="498"/>
      <c r="E4796" s="366"/>
      <c r="F4796" s="365"/>
    </row>
    <row r="4797" spans="4:6">
      <c r="D4797" s="498"/>
      <c r="E4797" s="366"/>
      <c r="F4797" s="365"/>
    </row>
  </sheetData>
  <sheetProtection password="D2A1" sheet="1" selectLockedCells="1" selectUnlockedCells="1"/>
  <phoneticPr fontId="7"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8"/>
  <dimension ref="A1:M48"/>
  <sheetViews>
    <sheetView topLeftCell="D1" workbookViewId="0">
      <selection activeCell="M14" sqref="M14"/>
    </sheetView>
  </sheetViews>
  <sheetFormatPr defaultRowHeight="12.75"/>
  <cols>
    <col min="2" max="2" width="18.42578125" customWidth="1"/>
    <col min="3" max="3" width="13.85546875" customWidth="1"/>
    <col min="4" max="4" width="10.28515625" bestFit="1" customWidth="1"/>
    <col min="5" max="5" width="39.140625" customWidth="1"/>
    <col min="6" max="6" width="12.5703125" customWidth="1"/>
    <col min="7" max="7" width="12.140625" customWidth="1"/>
    <col min="8" max="8" width="11.7109375" customWidth="1"/>
  </cols>
  <sheetData>
    <row r="1" spans="1:13" ht="38.25">
      <c r="A1" s="273" t="s">
        <v>4327</v>
      </c>
      <c r="B1" s="853" t="s">
        <v>4328</v>
      </c>
      <c r="C1" t="s">
        <v>154</v>
      </c>
      <c r="D1">
        <f>NDK!B52</f>
        <v>1114</v>
      </c>
      <c r="F1" s="2240" t="s">
        <v>5438</v>
      </c>
      <c r="G1" s="2808"/>
      <c r="H1" s="528" t="s">
        <v>249</v>
      </c>
      <c r="J1" t="s">
        <v>5082</v>
      </c>
      <c r="L1" s="2244" t="s">
        <v>5084</v>
      </c>
      <c r="M1">
        <f>KÉRDÉSEK!$C$429</f>
        <v>1</v>
      </c>
    </row>
    <row r="2" spans="1:13">
      <c r="A2" s="77">
        <v>1000</v>
      </c>
      <c r="B2" s="77" t="s">
        <v>401</v>
      </c>
      <c r="C2" t="s">
        <v>4330</v>
      </c>
      <c r="F2" s="2809" t="s">
        <v>247</v>
      </c>
      <c r="G2" s="2810" t="s">
        <v>248</v>
      </c>
      <c r="H2">
        <f>D1</f>
        <v>1114</v>
      </c>
      <c r="J2" t="s">
        <v>5083</v>
      </c>
    </row>
    <row r="3" spans="1:13">
      <c r="A3" s="77">
        <v>1999</v>
      </c>
      <c r="B3" s="77" t="s">
        <v>401</v>
      </c>
      <c r="C3" s="467" t="s">
        <v>4329</v>
      </c>
      <c r="D3" s="467">
        <f>IF(OR(VLOOKUP($D$1,$A$2:$B$40,1)=$D$1,AND($D$1&gt;999,$D$1&lt;2000)),1,0)</f>
        <v>1</v>
      </c>
      <c r="E3" s="106" t="s">
        <v>2451</v>
      </c>
      <c r="F3" s="3277">
        <v>86160</v>
      </c>
      <c r="G3" s="3278">
        <v>66240</v>
      </c>
      <c r="H3" s="2246">
        <f>IF($D$3=1,$F3,$G3)</f>
        <v>86160</v>
      </c>
      <c r="I3" s="2246"/>
      <c r="J3" s="2246">
        <f>$H3*$M$1</f>
        <v>86160</v>
      </c>
    </row>
    <row r="4" spans="1:13" ht="38.25">
      <c r="A4" s="851">
        <v>2000</v>
      </c>
      <c r="B4" s="852" t="s">
        <v>2819</v>
      </c>
      <c r="E4" s="111" t="s">
        <v>201</v>
      </c>
      <c r="F4" s="3277"/>
      <c r="G4" s="3278"/>
      <c r="H4" s="2246"/>
      <c r="I4" s="2246"/>
      <c r="J4" s="2246">
        <f t="shared" ref="J4:J48" si="0">$H4*$M$1</f>
        <v>0</v>
      </c>
    </row>
    <row r="5" spans="1:13">
      <c r="A5" s="851">
        <v>2011</v>
      </c>
      <c r="B5" s="852" t="s">
        <v>2821</v>
      </c>
      <c r="E5" s="106" t="s">
        <v>2452</v>
      </c>
      <c r="F5" s="3277">
        <v>111120</v>
      </c>
      <c r="G5" s="3278">
        <v>78960</v>
      </c>
      <c r="H5" s="2246">
        <f>IF($D$3=1,$F5,$G5)</f>
        <v>111120</v>
      </c>
      <c r="I5" s="2246"/>
      <c r="J5" s="2246">
        <f t="shared" si="0"/>
        <v>111120</v>
      </c>
    </row>
    <row r="6" spans="1:13" ht="25.5">
      <c r="A6" s="851">
        <v>2013</v>
      </c>
      <c r="B6" s="852" t="s">
        <v>3125</v>
      </c>
      <c r="E6" s="110" t="s">
        <v>3319</v>
      </c>
      <c r="F6" s="3277">
        <v>127440</v>
      </c>
      <c r="G6" s="3278">
        <v>96240</v>
      </c>
      <c r="H6" s="2246">
        <f>IF($D$3=1,$F6,$G6)</f>
        <v>127440</v>
      </c>
      <c r="I6" s="2246"/>
      <c r="J6" s="2246">
        <f t="shared" si="0"/>
        <v>127440</v>
      </c>
    </row>
    <row r="7" spans="1:13">
      <c r="A7" s="851">
        <v>2014</v>
      </c>
      <c r="B7" s="852" t="s">
        <v>2823</v>
      </c>
      <c r="E7" s="111" t="s">
        <v>1491</v>
      </c>
      <c r="F7" s="3277"/>
      <c r="G7" s="3278"/>
      <c r="H7" s="2246"/>
      <c r="I7" s="2246"/>
      <c r="J7" s="2246">
        <f t="shared" si="0"/>
        <v>0</v>
      </c>
    </row>
    <row r="8" spans="1:13">
      <c r="A8" s="851">
        <v>2030</v>
      </c>
      <c r="B8" s="852" t="s">
        <v>2835</v>
      </c>
      <c r="E8" s="111" t="s">
        <v>3826</v>
      </c>
      <c r="F8" s="3277"/>
      <c r="G8" s="3278"/>
      <c r="H8" s="2246"/>
      <c r="I8" s="2246"/>
      <c r="J8" s="2246">
        <f t="shared" si="0"/>
        <v>0</v>
      </c>
    </row>
    <row r="9" spans="1:13" ht="25.5">
      <c r="A9" s="851">
        <v>2035</v>
      </c>
      <c r="B9" s="852" t="s">
        <v>2835</v>
      </c>
      <c r="E9" s="110" t="s">
        <v>3320</v>
      </c>
      <c r="F9" s="3277">
        <v>148320</v>
      </c>
      <c r="G9" s="3278">
        <v>113280</v>
      </c>
      <c r="H9" s="2246">
        <f>IF($D$3=1,$F9,$G9)</f>
        <v>148320</v>
      </c>
      <c r="I9" s="2246"/>
      <c r="J9" s="2246">
        <f t="shared" si="0"/>
        <v>148320</v>
      </c>
    </row>
    <row r="10" spans="1:13">
      <c r="A10" s="851">
        <v>2036</v>
      </c>
      <c r="B10" s="852" t="s">
        <v>2399</v>
      </c>
      <c r="E10" s="111" t="s">
        <v>1493</v>
      </c>
      <c r="F10" s="3277"/>
      <c r="G10" s="3278"/>
      <c r="H10" s="2246"/>
      <c r="I10" s="2246"/>
      <c r="J10" s="2246">
        <f t="shared" si="0"/>
        <v>0</v>
      </c>
    </row>
    <row r="11" spans="1:13">
      <c r="A11" s="851">
        <v>2040</v>
      </c>
      <c r="B11" s="852" t="s">
        <v>2840</v>
      </c>
      <c r="E11" s="111" t="s">
        <v>160</v>
      </c>
      <c r="F11" s="3277"/>
      <c r="G11" s="3278"/>
      <c r="H11" s="2246"/>
      <c r="I11" s="2246"/>
      <c r="J11" s="2246">
        <f t="shared" si="0"/>
        <v>0</v>
      </c>
    </row>
    <row r="12" spans="1:13">
      <c r="A12" s="851">
        <v>2042</v>
      </c>
      <c r="B12" s="852" t="s">
        <v>2840</v>
      </c>
      <c r="E12" s="114" t="s">
        <v>2453</v>
      </c>
      <c r="F12" s="3277">
        <v>168480</v>
      </c>
      <c r="G12" s="3278">
        <v>126240</v>
      </c>
      <c r="H12" s="2246">
        <f>IF($D$3=1,$F12,$G12)</f>
        <v>168480</v>
      </c>
      <c r="I12" s="2246"/>
      <c r="J12" s="2246">
        <f t="shared" si="0"/>
        <v>168480</v>
      </c>
    </row>
    <row r="13" spans="1:13">
      <c r="A13" s="851">
        <v>2045</v>
      </c>
      <c r="B13" s="852" t="s">
        <v>2385</v>
      </c>
      <c r="E13" s="111" t="s">
        <v>161</v>
      </c>
      <c r="F13" s="3277"/>
      <c r="G13" s="3278"/>
      <c r="H13" s="2246"/>
      <c r="I13" s="2246"/>
      <c r="J13" s="2246">
        <f t="shared" si="0"/>
        <v>0</v>
      </c>
    </row>
    <row r="14" spans="1:13">
      <c r="A14" s="851">
        <v>2049</v>
      </c>
      <c r="B14" s="852" t="s">
        <v>2842</v>
      </c>
      <c r="E14" s="111" t="s">
        <v>162</v>
      </c>
      <c r="F14" s="3277"/>
      <c r="G14" s="3278"/>
      <c r="H14" s="2246"/>
      <c r="I14" s="2246"/>
      <c r="J14" s="2246">
        <f t="shared" si="0"/>
        <v>0</v>
      </c>
    </row>
    <row r="15" spans="1:13">
      <c r="A15" s="851">
        <v>2083</v>
      </c>
      <c r="B15" s="852" t="s">
        <v>3987</v>
      </c>
      <c r="E15" s="114" t="s">
        <v>2454</v>
      </c>
      <c r="F15" s="3277">
        <v>168480</v>
      </c>
      <c r="G15" s="3278">
        <v>126240</v>
      </c>
      <c r="H15" s="2246">
        <f>IF($D$3=1,$F15,$G15)</f>
        <v>168480</v>
      </c>
      <c r="I15" s="2246"/>
      <c r="J15" s="2246">
        <f t="shared" si="0"/>
        <v>168480</v>
      </c>
    </row>
    <row r="16" spans="1:13">
      <c r="A16" s="851">
        <v>2084</v>
      </c>
      <c r="B16" s="852" t="s">
        <v>3988</v>
      </c>
      <c r="E16" s="114" t="s">
        <v>2455</v>
      </c>
      <c r="F16" s="3076"/>
      <c r="G16" s="3077"/>
      <c r="H16" s="2246"/>
      <c r="I16" s="2246"/>
      <c r="J16" s="2246">
        <f t="shared" si="0"/>
        <v>0</v>
      </c>
    </row>
    <row r="17" spans="1:11">
      <c r="A17" s="851">
        <v>2085</v>
      </c>
      <c r="B17" s="852" t="s">
        <v>3989</v>
      </c>
      <c r="E17" s="114" t="s">
        <v>2438</v>
      </c>
      <c r="F17" s="3277">
        <v>228960</v>
      </c>
      <c r="G17" s="3278">
        <v>159600</v>
      </c>
      <c r="H17" s="2246">
        <f>IF($D$3=1,$F17,$G17)</f>
        <v>228960</v>
      </c>
      <c r="I17" s="2246"/>
      <c r="J17" s="2246">
        <f t="shared" si="0"/>
        <v>228960</v>
      </c>
    </row>
    <row r="18" spans="1:11" ht="25.5">
      <c r="A18" s="851">
        <v>2090</v>
      </c>
      <c r="B18" s="852" t="s">
        <v>3992</v>
      </c>
      <c r="E18" s="491" t="s">
        <v>2439</v>
      </c>
      <c r="F18" s="3277"/>
      <c r="G18" s="3278"/>
      <c r="H18" s="2246"/>
      <c r="I18" s="2246"/>
      <c r="J18" s="2246">
        <f t="shared" si="0"/>
        <v>0</v>
      </c>
    </row>
    <row r="19" spans="1:11">
      <c r="A19" s="851">
        <v>2092</v>
      </c>
      <c r="B19" s="852" t="s">
        <v>3994</v>
      </c>
      <c r="E19" s="492" t="s">
        <v>4937</v>
      </c>
      <c r="F19" s="3277"/>
      <c r="G19" s="3278"/>
      <c r="H19" s="2246"/>
      <c r="I19" s="2246"/>
      <c r="J19" s="2246">
        <f t="shared" si="0"/>
        <v>0</v>
      </c>
    </row>
    <row r="20" spans="1:11">
      <c r="A20" s="851">
        <v>2094</v>
      </c>
      <c r="B20" s="852" t="s">
        <v>1087</v>
      </c>
      <c r="E20" s="114" t="s">
        <v>2456</v>
      </c>
      <c r="F20" s="3277">
        <v>473760</v>
      </c>
      <c r="G20" s="3278">
        <v>305280</v>
      </c>
      <c r="H20" s="2246">
        <f>IF($D$3=1,$F20,$G20)</f>
        <v>473760</v>
      </c>
      <c r="I20" s="2246"/>
      <c r="J20" s="2246">
        <f t="shared" si="0"/>
        <v>473760</v>
      </c>
    </row>
    <row r="21" spans="1:11" ht="25.5">
      <c r="A21" s="851">
        <v>2096</v>
      </c>
      <c r="B21" s="852" t="s">
        <v>3998</v>
      </c>
      <c r="E21" s="258" t="s">
        <v>1863</v>
      </c>
      <c r="F21" s="3277"/>
      <c r="G21" s="3278"/>
      <c r="H21" s="2246"/>
      <c r="I21" s="2246"/>
      <c r="J21" s="2246">
        <f t="shared" si="0"/>
        <v>0</v>
      </c>
    </row>
    <row r="22" spans="1:11">
      <c r="A22" s="851">
        <v>2097</v>
      </c>
      <c r="B22" s="852" t="s">
        <v>3999</v>
      </c>
      <c r="E22" s="458" t="s">
        <v>2440</v>
      </c>
      <c r="F22" s="3277"/>
      <c r="G22" s="3278"/>
      <c r="H22" s="2246"/>
      <c r="I22" s="2246"/>
      <c r="J22" s="2246">
        <f t="shared" si="0"/>
        <v>0</v>
      </c>
    </row>
    <row r="23" spans="1:11">
      <c r="A23" s="851">
        <v>2111</v>
      </c>
      <c r="B23" s="852" t="s">
        <v>4003</v>
      </c>
      <c r="E23" s="106" t="s">
        <v>4134</v>
      </c>
      <c r="F23" s="3277">
        <v>866880</v>
      </c>
      <c r="G23" s="3278">
        <v>693600</v>
      </c>
      <c r="H23" s="2246">
        <f>IF($D$3=1,$F23,$G23)</f>
        <v>866880</v>
      </c>
      <c r="I23" s="2246"/>
      <c r="J23" s="2246">
        <f t="shared" si="0"/>
        <v>866880</v>
      </c>
    </row>
    <row r="24" spans="1:11">
      <c r="A24" s="851">
        <v>2119</v>
      </c>
      <c r="B24" s="852" t="s">
        <v>4011</v>
      </c>
      <c r="E24" s="106" t="s">
        <v>2459</v>
      </c>
      <c r="F24" s="3076"/>
      <c r="G24" s="3077"/>
      <c r="H24" s="2246"/>
      <c r="I24" s="2246"/>
      <c r="J24" s="2246">
        <f t="shared" si="0"/>
        <v>0</v>
      </c>
    </row>
    <row r="25" spans="1:11">
      <c r="A25" s="851">
        <v>2120</v>
      </c>
      <c r="B25" s="852" t="s">
        <v>4012</v>
      </c>
      <c r="E25" s="114" t="s">
        <v>1494</v>
      </c>
      <c r="F25" s="3277">
        <v>7200</v>
      </c>
      <c r="G25" s="3277">
        <v>7200</v>
      </c>
      <c r="H25" s="2246">
        <f>IF($D$3=1,$F25,$G25)</f>
        <v>7200</v>
      </c>
      <c r="I25" s="2246"/>
      <c r="J25" s="2246">
        <f t="shared" si="0"/>
        <v>7200</v>
      </c>
      <c r="K25" s="2425"/>
    </row>
    <row r="26" spans="1:11">
      <c r="A26" s="851">
        <v>2141</v>
      </c>
      <c r="B26" s="852" t="s">
        <v>4018</v>
      </c>
      <c r="E26" s="114" t="s">
        <v>3072</v>
      </c>
      <c r="F26" s="3277">
        <v>10800</v>
      </c>
      <c r="G26" s="3277">
        <v>10800</v>
      </c>
      <c r="H26" s="2246">
        <f>IF($D$3=1,$F26,$G26)</f>
        <v>10800</v>
      </c>
      <c r="I26" s="2246"/>
      <c r="J26" s="2246">
        <f t="shared" si="0"/>
        <v>10800</v>
      </c>
      <c r="K26" s="2425"/>
    </row>
    <row r="27" spans="1:11">
      <c r="A27" s="851">
        <v>2142</v>
      </c>
      <c r="B27" s="852" t="s">
        <v>4019</v>
      </c>
      <c r="E27" s="257" t="s">
        <v>1862</v>
      </c>
      <c r="F27" s="3277"/>
      <c r="G27" s="3277"/>
      <c r="H27" s="2246"/>
      <c r="I27" s="2246"/>
      <c r="J27" s="2246">
        <f t="shared" si="0"/>
        <v>0</v>
      </c>
    </row>
    <row r="28" spans="1:11">
      <c r="A28" s="851">
        <v>2143</v>
      </c>
      <c r="B28" s="852" t="s">
        <v>1093</v>
      </c>
      <c r="E28" s="114" t="s">
        <v>3071</v>
      </c>
      <c r="F28" s="3277">
        <v>25680</v>
      </c>
      <c r="G28" s="3277">
        <v>25680</v>
      </c>
      <c r="H28" s="2246">
        <f>IF($D$3=1,$F28,$G28)</f>
        <v>25680</v>
      </c>
      <c r="I28" s="2246"/>
      <c r="J28" s="2246">
        <f t="shared" si="0"/>
        <v>25680</v>
      </c>
    </row>
    <row r="29" spans="1:11">
      <c r="A29" s="851">
        <v>2144</v>
      </c>
      <c r="B29" s="852" t="s">
        <v>1094</v>
      </c>
      <c r="E29" s="114" t="s">
        <v>3073</v>
      </c>
      <c r="F29" s="3076"/>
      <c r="G29" s="3077"/>
      <c r="H29" s="2246"/>
      <c r="I29" s="2246"/>
      <c r="J29" s="2246">
        <f t="shared" si="0"/>
        <v>0</v>
      </c>
    </row>
    <row r="30" spans="1:11">
      <c r="A30" s="851">
        <v>2145</v>
      </c>
      <c r="B30" s="852" t="s">
        <v>1094</v>
      </c>
      <c r="E30" s="114" t="s">
        <v>491</v>
      </c>
      <c r="F30" s="3277">
        <v>3780000</v>
      </c>
      <c r="G30" s="3277">
        <v>3780000</v>
      </c>
      <c r="H30" s="2246">
        <f t="shared" ref="H30:H36" si="1">IF($D$3=1,$F30,$G30)</f>
        <v>3780000</v>
      </c>
      <c r="I30" s="2246"/>
      <c r="J30" s="2246">
        <f t="shared" si="0"/>
        <v>3780000</v>
      </c>
    </row>
    <row r="31" spans="1:11">
      <c r="A31" s="851">
        <v>2146</v>
      </c>
      <c r="B31" s="852" t="s">
        <v>4023</v>
      </c>
      <c r="E31" s="114" t="s">
        <v>492</v>
      </c>
      <c r="F31" s="3277">
        <v>3780000</v>
      </c>
      <c r="G31" s="3277">
        <v>3780000</v>
      </c>
      <c r="H31" s="2246">
        <f t="shared" si="1"/>
        <v>3780000</v>
      </c>
      <c r="I31" s="2246"/>
      <c r="J31" s="2246">
        <f t="shared" si="0"/>
        <v>3780000</v>
      </c>
    </row>
    <row r="32" spans="1:11">
      <c r="A32" s="851">
        <v>2151</v>
      </c>
      <c r="B32" s="852" t="s">
        <v>1096</v>
      </c>
      <c r="E32" s="114" t="s">
        <v>1179</v>
      </c>
      <c r="F32" s="3277">
        <v>32400</v>
      </c>
      <c r="G32" s="3277">
        <v>32400</v>
      </c>
      <c r="H32" s="2246">
        <f t="shared" si="1"/>
        <v>32400</v>
      </c>
      <c r="I32" s="2246"/>
      <c r="J32" s="2246">
        <f t="shared" si="0"/>
        <v>32400</v>
      </c>
    </row>
    <row r="33" spans="1:10">
      <c r="A33" s="851">
        <v>2220</v>
      </c>
      <c r="B33" s="852" t="s">
        <v>4056</v>
      </c>
      <c r="E33" s="114" t="s">
        <v>3074</v>
      </c>
      <c r="F33" s="3277">
        <v>16560</v>
      </c>
      <c r="G33" s="3278">
        <v>12960</v>
      </c>
      <c r="H33" s="2246">
        <f t="shared" si="1"/>
        <v>16560</v>
      </c>
      <c r="I33" s="2246"/>
      <c r="J33" s="2246">
        <f t="shared" si="0"/>
        <v>16560</v>
      </c>
    </row>
    <row r="34" spans="1:10">
      <c r="A34" s="851">
        <v>2225</v>
      </c>
      <c r="B34" s="852" t="s">
        <v>4057</v>
      </c>
      <c r="E34" s="114" t="s">
        <v>1234</v>
      </c>
      <c r="F34" s="3277">
        <v>22320</v>
      </c>
      <c r="G34" s="3278">
        <v>17040</v>
      </c>
      <c r="H34" s="2246">
        <f t="shared" si="1"/>
        <v>22320</v>
      </c>
      <c r="I34" s="2246"/>
      <c r="J34" s="2246">
        <f t="shared" si="0"/>
        <v>22320</v>
      </c>
    </row>
    <row r="35" spans="1:10">
      <c r="A35" s="851">
        <v>2233</v>
      </c>
      <c r="B35" s="852" t="s">
        <v>4059</v>
      </c>
      <c r="E35" s="114" t="s">
        <v>1235</v>
      </c>
      <c r="F35" s="3277">
        <v>29760</v>
      </c>
      <c r="G35" s="3278">
        <v>23520</v>
      </c>
      <c r="H35" s="2246">
        <f t="shared" si="1"/>
        <v>29760</v>
      </c>
      <c r="I35" s="2246"/>
      <c r="J35" s="2246">
        <f t="shared" si="0"/>
        <v>29760</v>
      </c>
    </row>
    <row r="36" spans="1:10">
      <c r="A36" s="851">
        <v>2310</v>
      </c>
      <c r="B36" s="852" t="s">
        <v>270</v>
      </c>
      <c r="E36" s="114" t="s">
        <v>1236</v>
      </c>
      <c r="F36" s="3277">
        <v>89040</v>
      </c>
      <c r="G36" s="3278">
        <v>59280</v>
      </c>
      <c r="H36" s="2246">
        <f t="shared" si="1"/>
        <v>89040</v>
      </c>
      <c r="I36" s="2246"/>
      <c r="J36" s="2246">
        <f t="shared" si="0"/>
        <v>89040</v>
      </c>
    </row>
    <row r="37" spans="1:10">
      <c r="A37" s="851">
        <v>2314</v>
      </c>
      <c r="B37" s="852" t="s">
        <v>440</v>
      </c>
      <c r="E37" s="258" t="s">
        <v>2710</v>
      </c>
      <c r="F37" s="3076"/>
      <c r="G37" s="3077"/>
      <c r="H37" s="2246"/>
      <c r="I37" s="2246"/>
      <c r="J37" s="2246">
        <f t="shared" si="0"/>
        <v>0</v>
      </c>
    </row>
    <row r="38" spans="1:10">
      <c r="A38" s="851">
        <v>2330</v>
      </c>
      <c r="B38" s="852" t="s">
        <v>448</v>
      </c>
      <c r="E38" s="114" t="s">
        <v>1237</v>
      </c>
      <c r="F38" s="3076"/>
      <c r="G38" s="3076"/>
      <c r="H38" s="2246"/>
      <c r="I38" s="2246"/>
      <c r="J38" s="2246">
        <f t="shared" si="0"/>
        <v>0</v>
      </c>
    </row>
    <row r="39" spans="1:10">
      <c r="A39" s="851">
        <v>2360</v>
      </c>
      <c r="B39" s="852" t="s">
        <v>271</v>
      </c>
      <c r="E39" s="114" t="s">
        <v>1238</v>
      </c>
      <c r="F39" s="3277">
        <v>17040</v>
      </c>
      <c r="G39" s="3278">
        <v>12000</v>
      </c>
      <c r="H39" s="2246">
        <f t="shared" ref="H39:H46" si="2">IF($D$3=1,$F39,$G39)</f>
        <v>17040</v>
      </c>
      <c r="I39" s="2246"/>
      <c r="J39" s="2246">
        <f t="shared" si="0"/>
        <v>17040</v>
      </c>
    </row>
    <row r="40" spans="1:10">
      <c r="A40" s="851">
        <v>2461</v>
      </c>
      <c r="B40" s="852" t="s">
        <v>3041</v>
      </c>
      <c r="E40" s="115" t="s">
        <v>497</v>
      </c>
      <c r="F40" s="3277">
        <v>39360</v>
      </c>
      <c r="G40" s="3278">
        <v>39360</v>
      </c>
      <c r="H40" s="2246">
        <f t="shared" si="2"/>
        <v>39360</v>
      </c>
      <c r="I40" s="2246"/>
      <c r="J40" s="2246">
        <f t="shared" si="0"/>
        <v>39360</v>
      </c>
    </row>
    <row r="41" spans="1:10">
      <c r="E41" s="106" t="s">
        <v>493</v>
      </c>
      <c r="F41" s="3277">
        <v>26400</v>
      </c>
      <c r="G41" s="3277">
        <v>26400</v>
      </c>
      <c r="H41" s="2246">
        <f t="shared" si="2"/>
        <v>26400</v>
      </c>
      <c r="I41" s="2246"/>
      <c r="J41" s="2246">
        <f t="shared" si="0"/>
        <v>26400</v>
      </c>
    </row>
    <row r="42" spans="1:10">
      <c r="E42" s="106" t="s">
        <v>494</v>
      </c>
      <c r="F42" s="3277">
        <v>26400</v>
      </c>
      <c r="G42" s="3277">
        <v>26400</v>
      </c>
      <c r="H42" s="2246">
        <f t="shared" si="2"/>
        <v>26400</v>
      </c>
      <c r="I42" s="2246"/>
      <c r="J42" s="2246">
        <f t="shared" si="0"/>
        <v>26400</v>
      </c>
    </row>
    <row r="43" spans="1:10">
      <c r="E43" s="114" t="s">
        <v>1178</v>
      </c>
      <c r="F43" s="3277">
        <v>180480</v>
      </c>
      <c r="G43" s="3277">
        <v>141600</v>
      </c>
      <c r="H43" s="2246">
        <f t="shared" si="2"/>
        <v>180480</v>
      </c>
      <c r="I43" s="2246"/>
      <c r="J43" s="2246">
        <f t="shared" si="0"/>
        <v>180480</v>
      </c>
    </row>
    <row r="44" spans="1:10">
      <c r="E44" s="114" t="s">
        <v>1239</v>
      </c>
      <c r="F44" s="3277">
        <v>1386000</v>
      </c>
      <c r="G44" s="3277">
        <v>1386000</v>
      </c>
      <c r="H44" s="2246">
        <f t="shared" si="2"/>
        <v>1386000</v>
      </c>
      <c r="I44" s="2246"/>
      <c r="J44" s="2246">
        <f t="shared" si="0"/>
        <v>1386000</v>
      </c>
    </row>
    <row r="45" spans="1:10">
      <c r="E45" s="114" t="s">
        <v>1240</v>
      </c>
      <c r="F45" s="3277">
        <v>1386000</v>
      </c>
      <c r="G45" s="3277">
        <v>1386000</v>
      </c>
      <c r="H45" s="2246">
        <f t="shared" si="2"/>
        <v>1386000</v>
      </c>
      <c r="I45" s="2246"/>
      <c r="J45" s="2246">
        <f t="shared" si="0"/>
        <v>1386000</v>
      </c>
    </row>
    <row r="46" spans="1:10">
      <c r="E46" s="114" t="s">
        <v>4873</v>
      </c>
      <c r="F46" s="3277">
        <v>1386000</v>
      </c>
      <c r="G46" s="3277">
        <v>1386000</v>
      </c>
      <c r="H46" s="2246">
        <f t="shared" si="2"/>
        <v>1386000</v>
      </c>
      <c r="I46" s="2246"/>
      <c r="J46" s="2246">
        <f t="shared" si="0"/>
        <v>1386000</v>
      </c>
    </row>
    <row r="47" spans="1:10">
      <c r="E47" s="114" t="s">
        <v>490</v>
      </c>
      <c r="F47" s="3076"/>
      <c r="G47" s="3277"/>
      <c r="H47" s="2246"/>
      <c r="I47" s="2246"/>
      <c r="J47" s="2246">
        <f t="shared" si="0"/>
        <v>0</v>
      </c>
    </row>
    <row r="48" spans="1:10">
      <c r="E48" s="114" t="s">
        <v>4874</v>
      </c>
      <c r="F48" s="3277">
        <v>1386000</v>
      </c>
      <c r="G48" s="3277">
        <v>1386000</v>
      </c>
      <c r="H48" s="2246">
        <f>IF($D$3=1,$F48,$G48)</f>
        <v>1386000</v>
      </c>
      <c r="I48" s="2246"/>
      <c r="J48" s="2246">
        <f t="shared" si="0"/>
        <v>1386000</v>
      </c>
    </row>
  </sheetData>
  <sheetProtection password="D2A1" sheet="1" objects="1" scenarios="1"/>
  <phoneticPr fontId="7"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3447"/>
  <sheetViews>
    <sheetView topLeftCell="V22" zoomScale="87" zoomScaleNormal="87" workbookViewId="0">
      <selection activeCell="AD3" sqref="AD3"/>
    </sheetView>
  </sheetViews>
  <sheetFormatPr defaultRowHeight="12.75"/>
  <cols>
    <col min="1" max="1" width="16.42578125" style="1090" customWidth="1"/>
    <col min="2" max="2" width="18.28515625" style="1091" customWidth="1"/>
    <col min="3" max="3" width="22.5703125" style="2583" customWidth="1"/>
    <col min="4" max="4" width="39.5703125" customWidth="1"/>
    <col min="5" max="5" width="13.5703125" customWidth="1"/>
    <col min="6" max="6" width="13.28515625" customWidth="1"/>
    <col min="7" max="7" width="5.42578125" customWidth="1"/>
    <col min="8" max="8" width="7.42578125" customWidth="1"/>
    <col min="9" max="9" width="7.28515625" customWidth="1"/>
    <col min="10" max="10" width="7.5703125" customWidth="1"/>
    <col min="11" max="11" width="13.85546875" customWidth="1"/>
    <col min="12" max="12" width="7.42578125" customWidth="1"/>
    <col min="13" max="13" width="7.140625" customWidth="1"/>
    <col min="14" max="14" width="20.7109375" customWidth="1"/>
    <col min="15" max="15" width="19.5703125" customWidth="1"/>
    <col min="16" max="16" width="20.140625" customWidth="1"/>
    <col min="17" max="17" width="18.42578125" customWidth="1"/>
    <col min="18" max="18" width="18.7109375" customWidth="1"/>
    <col min="19" max="20" width="14.7109375" customWidth="1"/>
    <col min="21" max="21" width="18.28515625" customWidth="1"/>
    <col min="22" max="22" width="14.28515625" customWidth="1"/>
    <col min="23" max="24" width="12.28515625" customWidth="1"/>
    <col min="25" max="27" width="18.28515625" customWidth="1"/>
    <col min="29" max="29" width="12.140625" customWidth="1"/>
    <col min="30" max="30" width="25.5703125" customWidth="1"/>
    <col min="31" max="31" width="2" customWidth="1"/>
    <col min="32" max="32" width="21.7109375" customWidth="1"/>
    <col min="33" max="33" width="21.28515625" customWidth="1"/>
    <col min="34" max="34" width="18.7109375" customWidth="1"/>
    <col min="35" max="35" width="18" customWidth="1"/>
    <col min="37" max="37" width="28.42578125" customWidth="1"/>
    <col min="38" max="38" width="18" customWidth="1"/>
    <col min="40" max="40" width="28.140625" customWidth="1"/>
    <col min="41" max="41" width="19.5703125" customWidth="1"/>
    <col min="42" max="42" width="19" customWidth="1"/>
    <col min="44" max="44" width="17.5703125" customWidth="1"/>
    <col min="45" max="45" width="15.42578125" customWidth="1"/>
    <col min="46" max="46" width="19.85546875" customWidth="1"/>
    <col min="47" max="47" width="18.7109375" customWidth="1"/>
    <col min="48" max="48" width="19.85546875" customWidth="1"/>
    <col min="49" max="49" width="19.28515625" customWidth="1"/>
    <col min="50" max="50" width="19" customWidth="1"/>
    <col min="51" max="51" width="19.28515625" customWidth="1"/>
    <col min="53" max="53" width="27.42578125" customWidth="1"/>
    <col min="56" max="56" width="7.28515625" customWidth="1"/>
  </cols>
  <sheetData>
    <row r="1" spans="1:56" ht="27" thickTop="1" thickBot="1">
      <c r="A1" s="1090" t="s">
        <v>154</v>
      </c>
      <c r="B1" s="1091">
        <f>NDK!$B$52</f>
        <v>1114</v>
      </c>
      <c r="C1" s="2583" t="s">
        <v>5123</v>
      </c>
      <c r="D1">
        <f>VLOOKUP(B1,A3:C3059,1)</f>
        <v>1114</v>
      </c>
      <c r="E1" t="s">
        <v>5234</v>
      </c>
      <c r="F1" t="b">
        <f>IF(D1=B1,TRUE,FALSE)</f>
        <v>1</v>
      </c>
      <c r="H1" t="s">
        <v>4868</v>
      </c>
      <c r="L1" s="2576">
        <v>2021</v>
      </c>
      <c r="R1" s="1108" t="s">
        <v>3406</v>
      </c>
      <c r="S1" s="1109" t="str">
        <f>KÉRDÉSEK!C50</f>
        <v>Tev 2</v>
      </c>
      <c r="T1" s="1628"/>
      <c r="AK1" s="799" t="s">
        <v>4135</v>
      </c>
      <c r="AL1" s="1170" t="s">
        <v>3559</v>
      </c>
      <c r="AM1" s="1171">
        <f>KÉRDÉSEK!C15</f>
        <v>0</v>
      </c>
    </row>
    <row r="2" spans="1:56" ht="56.25" customHeight="1">
      <c r="A2" s="1103" t="s">
        <v>4363</v>
      </c>
      <c r="B2" s="1102">
        <f>IF(F1=TRUE,VLOOKUP(B1,A3:C3059,3),1)</f>
        <v>1</v>
      </c>
      <c r="C2" s="2583" t="s">
        <v>2528</v>
      </c>
      <c r="D2" s="3125" t="s">
        <v>4991</v>
      </c>
      <c r="E2" s="2576" t="s">
        <v>5438</v>
      </c>
      <c r="H2" s="1104" t="s">
        <v>4358</v>
      </c>
      <c r="I2" s="1104" t="s">
        <v>4359</v>
      </c>
      <c r="J2" s="1104" t="s">
        <v>4360</v>
      </c>
      <c r="K2" s="1101" t="s">
        <v>4361</v>
      </c>
      <c r="L2" s="3347" t="s">
        <v>5479</v>
      </c>
      <c r="M2" s="3347" t="s">
        <v>5480</v>
      </c>
      <c r="N2" s="3347" t="s">
        <v>5481</v>
      </c>
      <c r="O2" s="3347" t="s">
        <v>5482</v>
      </c>
      <c r="P2" s="3347" t="s">
        <v>5483</v>
      </c>
      <c r="Q2" s="1105" t="s">
        <v>4362</v>
      </c>
      <c r="R2" s="3367" t="s">
        <v>147</v>
      </c>
      <c r="S2" s="1110" t="s">
        <v>3558</v>
      </c>
      <c r="T2" s="3368" t="s">
        <v>2707</v>
      </c>
      <c r="U2" s="3371" t="s">
        <v>3407</v>
      </c>
      <c r="V2" s="3371" t="s">
        <v>5511</v>
      </c>
      <c r="W2" s="3371" t="s">
        <v>5514</v>
      </c>
      <c r="X2" s="3371" t="s">
        <v>5515</v>
      </c>
      <c r="Y2" s="3371" t="s">
        <v>5516</v>
      </c>
      <c r="Z2" s="3371" t="s">
        <v>5519</v>
      </c>
      <c r="AA2" s="3388" t="s">
        <v>5520</v>
      </c>
      <c r="AB2" s="1112" t="s">
        <v>3408</v>
      </c>
      <c r="AC2" s="1112" t="s">
        <v>5524</v>
      </c>
      <c r="AD2" s="1113"/>
      <c r="AE2" s="1125"/>
      <c r="AF2" s="1127"/>
      <c r="AG2" s="1157" t="s">
        <v>3414</v>
      </c>
      <c r="AH2" t="s">
        <v>3111</v>
      </c>
      <c r="AI2" s="2271" t="s">
        <v>3415</v>
      </c>
      <c r="AK2" s="527"/>
      <c r="AL2" s="1158" t="s">
        <v>4345</v>
      </c>
      <c r="AN2" s="1113"/>
      <c r="AO2" s="3120" t="s">
        <v>5008</v>
      </c>
      <c r="AP2" s="2270" t="s">
        <v>5007</v>
      </c>
      <c r="AR2" s="3128" t="s">
        <v>5347</v>
      </c>
      <c r="AS2" s="2244"/>
      <c r="AT2" s="2272" t="s">
        <v>5013</v>
      </c>
      <c r="AU2" s="2273">
        <f>KÉRDÉSEK!C15</f>
        <v>0</v>
      </c>
      <c r="BD2" s="1101" t="s">
        <v>4361</v>
      </c>
    </row>
    <row r="3" spans="1:56" ht="51.75" customHeight="1">
      <c r="A3">
        <v>1011</v>
      </c>
      <c r="B3"/>
      <c r="C3">
        <v>1</v>
      </c>
      <c r="E3" t="s">
        <v>2529</v>
      </c>
      <c r="F3" t="s">
        <v>2530</v>
      </c>
      <c r="K3" s="3365" t="s">
        <v>5510</v>
      </c>
      <c r="Q3" s="1106"/>
      <c r="R3" s="1106"/>
      <c r="S3" s="1111"/>
      <c r="T3" s="3369"/>
      <c r="U3" s="3351"/>
      <c r="V3" s="3351"/>
      <c r="W3" s="3351"/>
      <c r="X3" s="3351"/>
      <c r="Y3" s="3351"/>
      <c r="Z3" s="3351"/>
      <c r="AA3" s="3389">
        <f>KÉRDÉSEK!D30</f>
        <v>1</v>
      </c>
      <c r="AB3" s="1106"/>
      <c r="AC3" s="1106"/>
      <c r="AD3" s="1106"/>
      <c r="AF3" s="3372" t="s">
        <v>5513</v>
      </c>
      <c r="AN3" s="1106"/>
      <c r="AR3" s="2243" t="s">
        <v>5009</v>
      </c>
      <c r="AS3" s="2243" t="s">
        <v>5010</v>
      </c>
      <c r="AT3" s="2245" t="s">
        <v>249</v>
      </c>
      <c r="AU3" s="2245" t="s">
        <v>5014</v>
      </c>
      <c r="AV3" s="2245" t="s">
        <v>5015</v>
      </c>
      <c r="AW3" s="3133" t="s">
        <v>5016</v>
      </c>
      <c r="AX3" s="2245" t="s">
        <v>5017</v>
      </c>
      <c r="AY3" s="2244"/>
      <c r="AZ3" s="2244"/>
      <c r="BD3" t="s">
        <v>2530</v>
      </c>
    </row>
    <row r="4" spans="1:56" ht="13.5" thickBot="1">
      <c r="A4">
        <v>1012</v>
      </c>
      <c r="B4"/>
      <c r="C4">
        <v>1</v>
      </c>
      <c r="D4" s="106" t="s">
        <v>2451</v>
      </c>
      <c r="E4" s="2493">
        <v>55764</v>
      </c>
      <c r="F4" s="2493">
        <v>37176</v>
      </c>
      <c r="G4" s="2493">
        <v>100</v>
      </c>
      <c r="H4" s="3111">
        <v>0.65</v>
      </c>
      <c r="I4" s="3111">
        <v>0.76</v>
      </c>
      <c r="J4" s="3111">
        <v>0.87</v>
      </c>
      <c r="K4" s="3111">
        <v>0.49</v>
      </c>
      <c r="L4" s="2546">
        <v>2.5</v>
      </c>
      <c r="M4" s="2546">
        <v>3</v>
      </c>
      <c r="N4" s="2546">
        <v>2</v>
      </c>
      <c r="O4" s="2546">
        <v>3</v>
      </c>
      <c r="P4" s="2546">
        <v>4</v>
      </c>
      <c r="Q4" s="3351">
        <f>IF($B$2&gt;5,$F4,$E4)</f>
        <v>55764</v>
      </c>
      <c r="R4" s="1106">
        <f>IF($B$2=0,$BD4,$K4)</f>
        <v>0.49</v>
      </c>
      <c r="S4" s="3366">
        <f>IF($P$62=$Q$63,1,VLOOKUP(100,$G4:$P4,$N$64,FALSE))</f>
        <v>0.76</v>
      </c>
      <c r="T4" s="3369">
        <f>IF(KÉRDÉSEK!$C$28&gt;1,GROUPAMA!$AF$4,GROUPAMA!$S4)</f>
        <v>0.76</v>
      </c>
      <c r="U4" s="3351">
        <f>$Q4*$S4</f>
        <v>42380.639999999999</v>
      </c>
      <c r="V4" s="3351">
        <f>$U4*$AF$17</f>
        <v>44499.671999999999</v>
      </c>
      <c r="W4" s="3351">
        <f>12*ROUNDDOWN($V4/12,0)</f>
        <v>44496</v>
      </c>
      <c r="X4" s="3351">
        <v>12516</v>
      </c>
      <c r="Y4" s="3351">
        <f>MAX($W4,$X4)</f>
        <v>44496</v>
      </c>
      <c r="Z4" s="3351">
        <f>$Y4</f>
        <v>44496</v>
      </c>
      <c r="AA4" s="3390"/>
      <c r="AB4" s="1106">
        <f>NDK!$B4</f>
        <v>0</v>
      </c>
      <c r="AC4" s="1106">
        <f>$Z4*$AB4</f>
        <v>0</v>
      </c>
      <c r="AD4" s="1114" t="s">
        <v>2451</v>
      </c>
      <c r="AE4" s="441"/>
      <c r="AF4" s="3373">
        <f>KÉRDÉSEK!$C$28</f>
        <v>1</v>
      </c>
      <c r="AG4">
        <f>$U4*$AF$17</f>
        <v>44499.671999999999</v>
      </c>
      <c r="AH4" s="1482">
        <f>ROUNDDOWN($AG4/12,0)*12</f>
        <v>44496</v>
      </c>
      <c r="AI4">
        <f>$AP4*$AB4</f>
        <v>0</v>
      </c>
      <c r="AL4">
        <f>$AX4*$AB4</f>
        <v>0</v>
      </c>
      <c r="AN4" s="1114" t="s">
        <v>2451</v>
      </c>
      <c r="AO4" s="3121">
        <v>11688</v>
      </c>
      <c r="AP4" s="2246">
        <f>MAX($AH4,$AO4)</f>
        <v>44496</v>
      </c>
      <c r="AR4" s="3122">
        <v>29700</v>
      </c>
      <c r="AS4" s="3122">
        <v>19800</v>
      </c>
      <c r="AT4">
        <f t="shared" ref="AT4:AT49" si="0">IF($B$2=0,$AS4,$AR4)</f>
        <v>29700</v>
      </c>
      <c r="AU4">
        <f>$AT4*$AU$2</f>
        <v>0</v>
      </c>
      <c r="AV4">
        <f>ROUNDDOWN($AU4/12,0)*12</f>
        <v>0</v>
      </c>
      <c r="AW4" s="3075">
        <v>10920</v>
      </c>
      <c r="AX4">
        <f>MAX($AW4,$AV4)</f>
        <v>10920</v>
      </c>
      <c r="BA4" s="1114" t="s">
        <v>2451</v>
      </c>
      <c r="BD4" s="3111">
        <v>0.49</v>
      </c>
    </row>
    <row r="5" spans="1:56" ht="38.25">
      <c r="A5">
        <v>1013</v>
      </c>
      <c r="B5"/>
      <c r="C5">
        <v>1</v>
      </c>
      <c r="D5" s="111" t="s">
        <v>201</v>
      </c>
      <c r="E5" s="2588"/>
      <c r="F5" s="2588"/>
      <c r="G5" s="2588"/>
      <c r="H5" s="3127"/>
      <c r="I5" s="2845"/>
      <c r="J5" s="2845"/>
      <c r="K5" s="2845"/>
      <c r="L5" s="2588"/>
      <c r="M5" s="2588"/>
      <c r="N5" s="2588"/>
      <c r="O5" s="2588"/>
      <c r="P5" s="2588"/>
      <c r="Q5" s="3351"/>
      <c r="R5" s="1106"/>
      <c r="S5" s="1111"/>
      <c r="T5" s="3369"/>
      <c r="U5" s="3351"/>
      <c r="V5" s="3351"/>
      <c r="W5" s="3351"/>
      <c r="X5" s="3351"/>
      <c r="Y5" s="3351"/>
      <c r="Z5" s="3351"/>
      <c r="AA5" s="3388" t="s">
        <v>5521</v>
      </c>
      <c r="AB5" s="1106"/>
      <c r="AC5" s="1106"/>
      <c r="AD5" s="1115"/>
      <c r="AE5" s="441"/>
      <c r="AF5" s="1482" t="s">
        <v>2703</v>
      </c>
      <c r="AH5" s="1482">
        <f t="shared" ref="AH5:AH49" si="1">ROUNDDOWN($AG5/12,0)*12</f>
        <v>0</v>
      </c>
      <c r="AI5" s="2246">
        <f t="shared" ref="AI5:AI49" si="2">$AP5*$AB5</f>
        <v>0</v>
      </c>
      <c r="AL5">
        <f t="shared" ref="AL5:AL49" si="3">$AX5*$AB5</f>
        <v>0</v>
      </c>
      <c r="AN5" s="1115"/>
      <c r="AO5" s="2791"/>
      <c r="AP5" s="2246">
        <f t="shared" ref="AP5:AP49" si="4">MAX($AH5,$AO5)</f>
        <v>0</v>
      </c>
      <c r="AR5" s="2246"/>
      <c r="AS5" s="3122"/>
      <c r="AT5">
        <f t="shared" si="0"/>
        <v>0</v>
      </c>
      <c r="AU5">
        <f t="shared" ref="AU5:AU49" si="5">$AT5*$AU$2</f>
        <v>0</v>
      </c>
      <c r="AV5">
        <f t="shared" ref="AV5:AV49" si="6">ROUNDDOWN($AU5/12,0)*12</f>
        <v>0</v>
      </c>
      <c r="AW5" s="3075"/>
      <c r="AX5">
        <f t="shared" ref="AX5:AX49" si="7">MAX($AW5,$AV5)</f>
        <v>0</v>
      </c>
      <c r="BA5" s="1115"/>
      <c r="BD5" s="2845"/>
    </row>
    <row r="6" spans="1:56" ht="13.5" thickBot="1">
      <c r="A6">
        <v>1014</v>
      </c>
      <c r="B6"/>
      <c r="C6">
        <v>1</v>
      </c>
      <c r="D6" s="106" t="s">
        <v>2452</v>
      </c>
      <c r="E6" s="2493">
        <v>74364</v>
      </c>
      <c r="F6" s="2493">
        <v>49572</v>
      </c>
      <c r="G6" s="2493">
        <v>100</v>
      </c>
      <c r="H6" s="3111">
        <v>0.65</v>
      </c>
      <c r="I6" s="3111">
        <v>0.76</v>
      </c>
      <c r="J6" s="3111">
        <v>0.87</v>
      </c>
      <c r="K6" s="3111">
        <v>0.49</v>
      </c>
      <c r="L6" s="2546">
        <v>2.5</v>
      </c>
      <c r="M6" s="2546">
        <v>3</v>
      </c>
      <c r="N6" s="2546">
        <v>2</v>
      </c>
      <c r="O6" s="2546">
        <v>3</v>
      </c>
      <c r="P6" s="2546">
        <v>4</v>
      </c>
      <c r="Q6" s="3351">
        <f>IF($B$2&gt;5,$F6,$E6)</f>
        <v>74364</v>
      </c>
      <c r="R6" s="1106">
        <f>IF($B$2=0,$BD6,$K6)</f>
        <v>0.49</v>
      </c>
      <c r="S6" s="3366">
        <f>IF($P$62=$Q$63,1,VLOOKUP(100,$G6:$P6,$N$64,FALSE))</f>
        <v>0.76</v>
      </c>
      <c r="T6" s="3369">
        <f>IF(KÉRDÉSEK!$C$28&gt;1,GROUPAMA!$AF$4,GROUPAMA!$S6)</f>
        <v>0.76</v>
      </c>
      <c r="U6" s="3351">
        <f>$Q6*$S6</f>
        <v>56516.639999999999</v>
      </c>
      <c r="V6" s="3351">
        <f>$U6*$AF$17</f>
        <v>59342.472000000002</v>
      </c>
      <c r="W6" s="3351">
        <f>12*ROUNDDOWN($V6/12,0)</f>
        <v>59340</v>
      </c>
      <c r="X6" s="3351">
        <v>21432</v>
      </c>
      <c r="Y6" s="3351">
        <f>MAX($W6,$X6)</f>
        <v>59340</v>
      </c>
      <c r="Z6" s="3351">
        <f>$Y6</f>
        <v>59340</v>
      </c>
      <c r="AA6" s="3389">
        <f>KÉRDÉSEK!D31</f>
        <v>1</v>
      </c>
      <c r="AB6" s="1106">
        <f>NDK!$B6</f>
        <v>0</v>
      </c>
      <c r="AC6" s="1106">
        <f>$Z6*$AB6</f>
        <v>0</v>
      </c>
      <c r="AD6" s="1114" t="s">
        <v>2452</v>
      </c>
      <c r="AE6" s="441"/>
      <c r="AF6" s="1627">
        <f>KÉRDÉSEK!$D$53</f>
        <v>0</v>
      </c>
      <c r="AG6">
        <f>$U6*$AF$17</f>
        <v>59342.472000000002</v>
      </c>
      <c r="AH6" s="1482">
        <f t="shared" si="1"/>
        <v>59340</v>
      </c>
      <c r="AI6" s="2246">
        <f t="shared" si="2"/>
        <v>0</v>
      </c>
      <c r="AL6">
        <f t="shared" si="3"/>
        <v>0</v>
      </c>
      <c r="AN6" s="1114" t="s">
        <v>2452</v>
      </c>
      <c r="AO6" s="3121">
        <v>20028</v>
      </c>
      <c r="AP6" s="2246">
        <f t="shared" si="4"/>
        <v>59340</v>
      </c>
      <c r="AR6" s="3122">
        <v>39600</v>
      </c>
      <c r="AS6" s="3122">
        <v>26400</v>
      </c>
      <c r="AT6">
        <f t="shared" si="0"/>
        <v>39600</v>
      </c>
      <c r="AU6">
        <f t="shared" si="5"/>
        <v>0</v>
      </c>
      <c r="AV6">
        <f t="shared" si="6"/>
        <v>0</v>
      </c>
      <c r="AW6" s="3075">
        <v>14244</v>
      </c>
      <c r="AX6">
        <f t="shared" si="7"/>
        <v>14244</v>
      </c>
      <c r="BA6" s="1114" t="s">
        <v>2452</v>
      </c>
      <c r="BD6" s="3111">
        <v>0.49</v>
      </c>
    </row>
    <row r="7" spans="1:56" ht="38.25">
      <c r="A7">
        <v>1015</v>
      </c>
      <c r="B7"/>
      <c r="C7">
        <v>1</v>
      </c>
      <c r="D7" s="110" t="s">
        <v>3319</v>
      </c>
      <c r="E7" s="2493">
        <v>105348</v>
      </c>
      <c r="F7" s="2493">
        <v>70224</v>
      </c>
      <c r="G7" s="2493">
        <v>100</v>
      </c>
      <c r="H7" s="3111">
        <v>0.65</v>
      </c>
      <c r="I7" s="3111">
        <v>0.76</v>
      </c>
      <c r="J7" s="3111">
        <v>0.87</v>
      </c>
      <c r="K7" s="3111">
        <v>0.49</v>
      </c>
      <c r="L7" s="2546">
        <v>2.5</v>
      </c>
      <c r="M7" s="2546">
        <v>3</v>
      </c>
      <c r="N7" s="2546">
        <v>2</v>
      </c>
      <c r="O7" s="2546">
        <v>3</v>
      </c>
      <c r="P7" s="2546">
        <v>4</v>
      </c>
      <c r="Q7" s="3351">
        <f>IF($B$2&gt;5,$F7,$E7)</f>
        <v>105348</v>
      </c>
      <c r="R7" s="1106">
        <f>IF($B$2=0,$BD7,$K7)</f>
        <v>0.49</v>
      </c>
      <c r="S7" s="3366">
        <f>IF($P$62=$Q$63,1,VLOOKUP(100,$G7:$P7,$N$64,FALSE))</f>
        <v>0.76</v>
      </c>
      <c r="T7" s="3369">
        <f>IF(KÉRDÉSEK!$C$28&gt;1,GROUPAMA!$AF$4,GROUPAMA!$S7)</f>
        <v>0.76</v>
      </c>
      <c r="U7" s="3351">
        <f>$Q7*$S7</f>
        <v>80064.479999999996</v>
      </c>
      <c r="V7" s="3351">
        <f>$U7*$AF$17</f>
        <v>84067.703999999998</v>
      </c>
      <c r="W7" s="3351">
        <f>12*ROUNDDOWN($V7/12,0)</f>
        <v>84060</v>
      </c>
      <c r="X7" s="3351">
        <v>26808</v>
      </c>
      <c r="Y7" s="3351">
        <f>MAX($W7,$X7)</f>
        <v>84060</v>
      </c>
      <c r="Z7" s="3351">
        <f>$Y7</f>
        <v>84060</v>
      </c>
      <c r="AA7" s="3388" t="s">
        <v>5522</v>
      </c>
      <c r="AB7" s="1106">
        <f>NDK!$B7</f>
        <v>0</v>
      </c>
      <c r="AC7" s="1106">
        <f>$Z7*$AB7</f>
        <v>0</v>
      </c>
      <c r="AD7" s="1116" t="s">
        <v>3319</v>
      </c>
      <c r="AE7" s="441"/>
      <c r="AF7" s="3374" t="s">
        <v>3411</v>
      </c>
      <c r="AG7">
        <f>$U7*$AF$17</f>
        <v>84067.703999999998</v>
      </c>
      <c r="AH7" s="1482">
        <f t="shared" si="1"/>
        <v>84060</v>
      </c>
      <c r="AI7" s="2246">
        <f t="shared" si="2"/>
        <v>0</v>
      </c>
      <c r="AL7">
        <f t="shared" si="3"/>
        <v>0</v>
      </c>
      <c r="AN7" s="1116" t="s">
        <v>3319</v>
      </c>
      <c r="AO7" s="3121">
        <v>25044</v>
      </c>
      <c r="AP7" s="2246">
        <f t="shared" si="4"/>
        <v>84060</v>
      </c>
      <c r="AR7" s="3122">
        <v>56100</v>
      </c>
      <c r="AS7" s="3122">
        <v>37392</v>
      </c>
      <c r="AT7">
        <f t="shared" si="0"/>
        <v>56100</v>
      </c>
      <c r="AU7">
        <f t="shared" si="5"/>
        <v>0</v>
      </c>
      <c r="AV7">
        <f t="shared" si="6"/>
        <v>0</v>
      </c>
      <c r="AW7" s="3075">
        <v>18720</v>
      </c>
      <c r="AX7">
        <f t="shared" si="7"/>
        <v>18720</v>
      </c>
      <c r="BA7" s="1116" t="s">
        <v>3319</v>
      </c>
      <c r="BD7" s="3111">
        <v>0.49</v>
      </c>
    </row>
    <row r="8" spans="1:56">
      <c r="A8">
        <v>1016</v>
      </c>
      <c r="B8"/>
      <c r="C8">
        <v>1</v>
      </c>
      <c r="D8" s="111" t="s">
        <v>1491</v>
      </c>
      <c r="E8" s="2588"/>
      <c r="F8" s="2588"/>
      <c r="G8" s="2588"/>
      <c r="H8" s="3127"/>
      <c r="I8" s="2845"/>
      <c r="J8" s="2845"/>
      <c r="K8" s="2845"/>
      <c r="L8" s="2588"/>
      <c r="M8" s="2588"/>
      <c r="N8" s="2588"/>
      <c r="O8" s="2588"/>
      <c r="P8" s="2588"/>
      <c r="Q8" s="3351"/>
      <c r="R8" s="1106"/>
      <c r="S8" s="1106"/>
      <c r="T8" s="3370"/>
      <c r="U8" s="3351"/>
      <c r="V8" s="3351"/>
      <c r="W8" s="3351"/>
      <c r="X8" s="3351"/>
      <c r="Y8" s="3351"/>
      <c r="Z8" s="3351"/>
      <c r="AA8" s="3389">
        <f>KÉRDÉSEK!D32</f>
        <v>1</v>
      </c>
      <c r="AB8" s="1106"/>
      <c r="AC8" s="1106"/>
      <c r="AD8" s="1115"/>
      <c r="AE8" s="441"/>
      <c r="AF8" s="3375">
        <f>KÉRDÉSEK!$D$54</f>
        <v>1</v>
      </c>
      <c r="AH8" s="1482">
        <f t="shared" si="1"/>
        <v>0</v>
      </c>
      <c r="AI8" s="2246">
        <f t="shared" si="2"/>
        <v>0</v>
      </c>
      <c r="AL8">
        <f t="shared" si="3"/>
        <v>0</v>
      </c>
      <c r="AN8" s="1115"/>
      <c r="AO8" s="2791"/>
      <c r="AP8" s="2246">
        <f t="shared" si="4"/>
        <v>0</v>
      </c>
      <c r="AR8" s="3122"/>
      <c r="AS8" s="3122"/>
      <c r="AT8">
        <f t="shared" si="0"/>
        <v>0</v>
      </c>
      <c r="AU8">
        <f t="shared" si="5"/>
        <v>0</v>
      </c>
      <c r="AV8">
        <f t="shared" si="6"/>
        <v>0</v>
      </c>
      <c r="AW8" s="3075"/>
      <c r="AX8">
        <f t="shared" si="7"/>
        <v>0</v>
      </c>
      <c r="BA8" s="1115"/>
      <c r="BD8" s="2845"/>
    </row>
    <row r="9" spans="1:56" ht="13.5" thickBot="1">
      <c r="A9">
        <v>1021</v>
      </c>
      <c r="B9"/>
      <c r="C9">
        <v>1</v>
      </c>
      <c r="D9" s="111" t="s">
        <v>3826</v>
      </c>
      <c r="E9" s="2588"/>
      <c r="F9" s="2588"/>
      <c r="G9" s="2588"/>
      <c r="H9" s="3127"/>
      <c r="I9" s="2845"/>
      <c r="J9" s="2845"/>
      <c r="K9" s="2845"/>
      <c r="L9" s="2588"/>
      <c r="M9" s="2588"/>
      <c r="N9" s="2588"/>
      <c r="O9" s="2588"/>
      <c r="P9" s="2588"/>
      <c r="Q9" s="3351"/>
      <c r="R9" s="1106"/>
      <c r="S9" s="1106"/>
      <c r="T9" s="3370"/>
      <c r="U9" s="3351"/>
      <c r="V9" s="3351"/>
      <c r="W9" s="3351"/>
      <c r="X9" s="3351"/>
      <c r="Y9" s="3351"/>
      <c r="Z9" s="3351"/>
      <c r="AA9" s="3390"/>
      <c r="AB9" s="1106"/>
      <c r="AC9" s="1106"/>
      <c r="AD9" s="1115"/>
      <c r="AE9" s="441"/>
      <c r="AF9" s="1482" t="s">
        <v>2700</v>
      </c>
      <c r="AH9" s="1482">
        <f t="shared" si="1"/>
        <v>0</v>
      </c>
      <c r="AI9" s="2246">
        <f t="shared" si="2"/>
        <v>0</v>
      </c>
      <c r="AL9">
        <f t="shared" si="3"/>
        <v>0</v>
      </c>
      <c r="AN9" s="1115"/>
      <c r="AO9" s="2791"/>
      <c r="AP9" s="2246">
        <f t="shared" si="4"/>
        <v>0</v>
      </c>
      <c r="AR9" s="3122"/>
      <c r="AS9" s="3122"/>
      <c r="AT9">
        <f t="shared" si="0"/>
        <v>0</v>
      </c>
      <c r="AU9">
        <f t="shared" si="5"/>
        <v>0</v>
      </c>
      <c r="AV9">
        <f t="shared" si="6"/>
        <v>0</v>
      </c>
      <c r="AW9" s="3075"/>
      <c r="AX9">
        <f t="shared" si="7"/>
        <v>0</v>
      </c>
      <c r="BA9" s="1115"/>
      <c r="BD9" s="2845"/>
    </row>
    <row r="10" spans="1:56" ht="38.25">
      <c r="A10">
        <v>1022</v>
      </c>
      <c r="B10"/>
      <c r="C10">
        <v>1</v>
      </c>
      <c r="D10" s="110" t="s">
        <v>3320</v>
      </c>
      <c r="E10" s="2493">
        <v>123948</v>
      </c>
      <c r="F10" s="2493">
        <v>82632</v>
      </c>
      <c r="G10" s="2493">
        <v>100</v>
      </c>
      <c r="H10" s="3111">
        <v>0.65</v>
      </c>
      <c r="I10" s="3111">
        <v>0.76</v>
      </c>
      <c r="J10" s="3111">
        <v>0.87</v>
      </c>
      <c r="K10" s="3111">
        <v>0.49</v>
      </c>
      <c r="L10" s="2546">
        <v>2.5</v>
      </c>
      <c r="M10" s="2546">
        <v>3</v>
      </c>
      <c r="N10" s="2546">
        <v>2</v>
      </c>
      <c r="O10" s="2546">
        <v>3</v>
      </c>
      <c r="P10" s="2546">
        <v>4</v>
      </c>
      <c r="Q10" s="3351">
        <f>IF($B$2&gt;5,$F10,$E10)</f>
        <v>123948</v>
      </c>
      <c r="R10" s="1106">
        <f>IF($B$2=0,$BD10,$K10)</f>
        <v>0.49</v>
      </c>
      <c r="S10" s="3366">
        <f>IF($P$62=$Q$63,1,VLOOKUP(100,$G10:$P10,$N$64,FALSE))</f>
        <v>0.76</v>
      </c>
      <c r="T10" s="3369">
        <f>IF(KÉRDÉSEK!$C$28&gt;1,GROUPAMA!$AF$4,GROUPAMA!$S10)</f>
        <v>0.76</v>
      </c>
      <c r="U10" s="3351">
        <f>$Q10*$S10</f>
        <v>94200.48</v>
      </c>
      <c r="V10" s="3351">
        <f>$U10*$AF$17</f>
        <v>98910.504000000001</v>
      </c>
      <c r="W10" s="3351">
        <f>12*ROUNDDOWN($V10/12,0)</f>
        <v>98904</v>
      </c>
      <c r="X10" s="3351">
        <v>35724</v>
      </c>
      <c r="Y10" s="3351">
        <f>MAX($W10,$X10)</f>
        <v>98904</v>
      </c>
      <c r="Z10" s="3351">
        <f>$Y10</f>
        <v>98904</v>
      </c>
      <c r="AA10" s="3388" t="s">
        <v>5523</v>
      </c>
      <c r="AB10" s="1106">
        <f>NDK!$B10</f>
        <v>0</v>
      </c>
      <c r="AC10" s="1106">
        <f>$Z10*$AB10</f>
        <v>0</v>
      </c>
      <c r="AD10" s="1116" t="s">
        <v>3320</v>
      </c>
      <c r="AE10" s="441"/>
      <c r="AF10" s="1627">
        <f>IF(AND($AB$50&gt;=5,$AB$50&lt;=39),-0.1,IF(AND($AB$50&gt;=40,$AB$50&lt;=99),0,IF(AND(AB50&gt;=100,AB50&lt;=199),0.1,0.2)))</f>
        <v>0.2</v>
      </c>
      <c r="AG10">
        <f>$U10*$AF$17</f>
        <v>98910.504000000001</v>
      </c>
      <c r="AH10" s="1482">
        <f t="shared" si="1"/>
        <v>98904</v>
      </c>
      <c r="AI10" s="2246">
        <f t="shared" si="2"/>
        <v>0</v>
      </c>
      <c r="AL10">
        <f t="shared" si="3"/>
        <v>0</v>
      </c>
      <c r="AN10" s="1116" t="s">
        <v>3320</v>
      </c>
      <c r="AO10" s="3121">
        <v>33384</v>
      </c>
      <c r="AP10" s="2246">
        <f t="shared" si="4"/>
        <v>98904</v>
      </c>
      <c r="AR10" s="3122">
        <v>66000</v>
      </c>
      <c r="AS10" s="3122">
        <v>43992</v>
      </c>
      <c r="AT10">
        <f t="shared" si="0"/>
        <v>66000</v>
      </c>
      <c r="AU10">
        <f t="shared" si="5"/>
        <v>0</v>
      </c>
      <c r="AV10">
        <f t="shared" si="6"/>
        <v>0</v>
      </c>
      <c r="AW10" s="3075">
        <v>23400</v>
      </c>
      <c r="AX10">
        <f t="shared" si="7"/>
        <v>23400</v>
      </c>
      <c r="BA10" s="1116" t="s">
        <v>3320</v>
      </c>
      <c r="BD10" s="3111">
        <v>0.49</v>
      </c>
    </row>
    <row r="11" spans="1:56">
      <c r="A11">
        <v>1023</v>
      </c>
      <c r="B11"/>
      <c r="C11">
        <v>1</v>
      </c>
      <c r="D11" s="111" t="s">
        <v>1493</v>
      </c>
      <c r="E11" s="2588"/>
      <c r="F11" s="2588"/>
      <c r="G11" s="2588"/>
      <c r="H11" s="3127"/>
      <c r="I11" s="2845"/>
      <c r="J11" s="2845"/>
      <c r="K11" s="2845"/>
      <c r="L11" s="2588"/>
      <c r="M11" s="2588"/>
      <c r="N11" s="2588"/>
      <c r="O11" s="2588"/>
      <c r="P11" s="2588"/>
      <c r="Q11" s="3351"/>
      <c r="R11" s="1106"/>
      <c r="S11" s="1106"/>
      <c r="T11" s="3370"/>
      <c r="U11" s="3351"/>
      <c r="V11" s="3351"/>
      <c r="W11" s="3351"/>
      <c r="X11" s="3351"/>
      <c r="Y11" s="3351"/>
      <c r="Z11" s="3351"/>
      <c r="AA11" s="3389">
        <f>KÉRDÉSEK!D33</f>
        <v>1</v>
      </c>
      <c r="AB11" s="1106"/>
      <c r="AC11" s="1106"/>
      <c r="AD11" s="1115"/>
      <c r="AE11" s="441"/>
      <c r="AF11" s="1482" t="s">
        <v>2701</v>
      </c>
      <c r="AH11" s="1482">
        <f t="shared" si="1"/>
        <v>0</v>
      </c>
      <c r="AI11" s="2246">
        <f t="shared" si="2"/>
        <v>0</v>
      </c>
      <c r="AL11">
        <f t="shared" si="3"/>
        <v>0</v>
      </c>
      <c r="AN11" s="1115"/>
      <c r="AO11" s="3122"/>
      <c r="AP11" s="2246">
        <f t="shared" si="4"/>
        <v>0</v>
      </c>
      <c r="AR11" s="3122"/>
      <c r="AS11" s="3122"/>
      <c r="AT11">
        <f t="shared" si="0"/>
        <v>0</v>
      </c>
      <c r="AU11">
        <f t="shared" si="5"/>
        <v>0</v>
      </c>
      <c r="AV11">
        <f t="shared" si="6"/>
        <v>0</v>
      </c>
      <c r="AW11" s="3075"/>
      <c r="AX11">
        <f t="shared" si="7"/>
        <v>0</v>
      </c>
      <c r="BA11" s="1115"/>
      <c r="BD11" s="2845"/>
    </row>
    <row r="12" spans="1:56">
      <c r="A12">
        <v>1024</v>
      </c>
      <c r="B12"/>
      <c r="C12">
        <v>1</v>
      </c>
      <c r="D12" s="111" t="s">
        <v>160</v>
      </c>
      <c r="E12" s="2588"/>
      <c r="F12" s="2588"/>
      <c r="G12" s="2588"/>
      <c r="H12" s="3127"/>
      <c r="I12" s="2845"/>
      <c r="J12" s="2845"/>
      <c r="K12" s="2845"/>
      <c r="L12" s="2588"/>
      <c r="M12" s="2588"/>
      <c r="N12" s="2588"/>
      <c r="O12" s="2588"/>
      <c r="P12" s="2588"/>
      <c r="Q12" s="3351"/>
      <c r="R12" s="1106"/>
      <c r="S12" s="1106"/>
      <c r="T12" s="3370"/>
      <c r="U12" s="3351"/>
      <c r="V12" s="3351"/>
      <c r="W12" s="3351"/>
      <c r="X12" s="3351"/>
      <c r="Y12" s="3351"/>
      <c r="Z12" s="3351"/>
      <c r="AA12" s="3351"/>
      <c r="AB12" s="1106"/>
      <c r="AC12" s="1106"/>
      <c r="AD12" s="1115"/>
      <c r="AE12" s="441"/>
      <c r="AF12" s="1482">
        <f>KÉRDÉSEK!$C$40</f>
        <v>-0.05</v>
      </c>
      <c r="AH12" s="1482">
        <f t="shared" si="1"/>
        <v>0</v>
      </c>
      <c r="AI12" s="2246">
        <f t="shared" si="2"/>
        <v>0</v>
      </c>
      <c r="AL12">
        <f t="shared" si="3"/>
        <v>0</v>
      </c>
      <c r="AN12" s="1115"/>
      <c r="AO12" s="3122"/>
      <c r="AP12" s="2246">
        <f t="shared" si="4"/>
        <v>0</v>
      </c>
      <c r="AR12" s="3122"/>
      <c r="AS12" s="3122"/>
      <c r="AT12">
        <f t="shared" si="0"/>
        <v>0</v>
      </c>
      <c r="AU12">
        <f t="shared" si="5"/>
        <v>0</v>
      </c>
      <c r="AV12">
        <f t="shared" si="6"/>
        <v>0</v>
      </c>
      <c r="AW12" s="3075"/>
      <c r="AX12">
        <f t="shared" si="7"/>
        <v>0</v>
      </c>
      <c r="BA12" s="1115"/>
      <c r="BD12" s="2845"/>
    </row>
    <row r="13" spans="1:56">
      <c r="A13">
        <v>1025</v>
      </c>
      <c r="B13"/>
      <c r="C13">
        <v>1</v>
      </c>
      <c r="D13" s="114" t="s">
        <v>2453</v>
      </c>
      <c r="E13" s="2493">
        <v>130140</v>
      </c>
      <c r="F13" s="2493">
        <v>86760</v>
      </c>
      <c r="G13" s="2493">
        <v>100</v>
      </c>
      <c r="H13" s="3111">
        <v>0.65</v>
      </c>
      <c r="I13" s="3111">
        <v>0.76</v>
      </c>
      <c r="J13" s="3111">
        <v>0.87</v>
      </c>
      <c r="K13" s="3111">
        <v>0.49</v>
      </c>
      <c r="L13" s="2546">
        <v>2.5</v>
      </c>
      <c r="M13" s="2546">
        <v>3</v>
      </c>
      <c r="N13" s="2546">
        <v>2</v>
      </c>
      <c r="O13" s="2546">
        <v>3</v>
      </c>
      <c r="P13" s="2546">
        <v>4</v>
      </c>
      <c r="Q13" s="3351">
        <f>IF($B$2&gt;5,$F13,$E13)</f>
        <v>130140</v>
      </c>
      <c r="R13" s="1106">
        <f>IF($B$2=0,$BD13,$K13)</f>
        <v>0.49</v>
      </c>
      <c r="S13" s="3366">
        <f>IF($P$62=$Q$63,1,VLOOKUP(100,$G13:$P13,$N$64,FALSE))</f>
        <v>0.76</v>
      </c>
      <c r="T13" s="3369">
        <f>IF(KÉRDÉSEK!$C$28&gt;1,GROUPAMA!$AF$4,GROUPAMA!$S13)</f>
        <v>0.76</v>
      </c>
      <c r="U13" s="3351">
        <f>$Q13*$S13</f>
        <v>98906.4</v>
      </c>
      <c r="V13" s="3351">
        <f>$U13*$AF$17</f>
        <v>103851.72</v>
      </c>
      <c r="W13" s="3351">
        <f>12*ROUNDDOWN($V13/12,0)</f>
        <v>103848</v>
      </c>
      <c r="X13" s="3351">
        <v>44664</v>
      </c>
      <c r="Y13" s="3351">
        <f>MAX($W13,$X13)</f>
        <v>103848</v>
      </c>
      <c r="Z13" s="3351">
        <f>$Y13</f>
        <v>103848</v>
      </c>
      <c r="AA13" s="3351"/>
      <c r="AB13" s="1106">
        <f>NDK!$B13</f>
        <v>0</v>
      </c>
      <c r="AC13" s="1106">
        <f>$Z13*$AB13</f>
        <v>0</v>
      </c>
      <c r="AD13" s="1117" t="s">
        <v>2453</v>
      </c>
      <c r="AE13" s="441"/>
      <c r="AF13" s="1482" t="s">
        <v>2704</v>
      </c>
      <c r="AG13">
        <f>$U13*$AF$17</f>
        <v>103851.72</v>
      </c>
      <c r="AH13" s="1482">
        <f t="shared" si="1"/>
        <v>103848</v>
      </c>
      <c r="AI13" s="2246">
        <f t="shared" si="2"/>
        <v>0</v>
      </c>
      <c r="AL13">
        <f t="shared" si="3"/>
        <v>0</v>
      </c>
      <c r="AN13" s="1117" t="s">
        <v>2453</v>
      </c>
      <c r="AO13" s="3121">
        <v>41736</v>
      </c>
      <c r="AP13" s="2246">
        <f t="shared" si="4"/>
        <v>103848</v>
      </c>
      <c r="AR13" s="3122">
        <v>69300</v>
      </c>
      <c r="AS13" s="3122">
        <v>46200</v>
      </c>
      <c r="AT13">
        <f t="shared" si="0"/>
        <v>69300</v>
      </c>
      <c r="AU13">
        <f t="shared" si="5"/>
        <v>0</v>
      </c>
      <c r="AV13">
        <f t="shared" si="6"/>
        <v>0</v>
      </c>
      <c r="AW13" s="3075">
        <v>31200</v>
      </c>
      <c r="AX13">
        <f t="shared" si="7"/>
        <v>31200</v>
      </c>
      <c r="BA13" s="1117" t="s">
        <v>2453</v>
      </c>
      <c r="BD13" s="3111">
        <v>0.49</v>
      </c>
    </row>
    <row r="14" spans="1:56">
      <c r="A14">
        <v>1026</v>
      </c>
      <c r="B14"/>
      <c r="C14">
        <v>1</v>
      </c>
      <c r="D14" s="111" t="s">
        <v>161</v>
      </c>
      <c r="E14" s="2588"/>
      <c r="F14" s="2588"/>
      <c r="G14" s="2588"/>
      <c r="H14" s="3127"/>
      <c r="I14" s="2845"/>
      <c r="J14" s="2845"/>
      <c r="K14" s="2845"/>
      <c r="L14" s="2588"/>
      <c r="M14" s="2588"/>
      <c r="N14" s="2588"/>
      <c r="O14" s="2588"/>
      <c r="P14" s="2588"/>
      <c r="Q14" s="3351"/>
      <c r="R14" s="1106"/>
      <c r="S14" s="1106"/>
      <c r="T14" s="3370"/>
      <c r="U14" s="3351"/>
      <c r="V14" s="3351"/>
      <c r="W14" s="3351"/>
      <c r="X14" s="3351"/>
      <c r="Y14" s="3351"/>
      <c r="Z14" s="3351"/>
      <c r="AA14" s="3351"/>
      <c r="AB14" s="1106"/>
      <c r="AC14" s="1106"/>
      <c r="AD14" s="1115"/>
      <c r="AE14" s="441"/>
      <c r="AF14" s="1482">
        <f>KÉRDÉSEK!$D$55</f>
        <v>-0.1</v>
      </c>
      <c r="AH14" s="1482">
        <f t="shared" si="1"/>
        <v>0</v>
      </c>
      <c r="AI14" s="2246">
        <f t="shared" si="2"/>
        <v>0</v>
      </c>
      <c r="AL14">
        <f t="shared" si="3"/>
        <v>0</v>
      </c>
      <c r="AN14" s="1115"/>
      <c r="AO14" s="3122"/>
      <c r="AP14" s="2246">
        <f t="shared" si="4"/>
        <v>0</v>
      </c>
      <c r="AR14" s="3122"/>
      <c r="AS14" s="3122"/>
      <c r="AT14">
        <f t="shared" si="0"/>
        <v>0</v>
      </c>
      <c r="AU14">
        <f t="shared" si="5"/>
        <v>0</v>
      </c>
      <c r="AV14">
        <f t="shared" si="6"/>
        <v>0</v>
      </c>
      <c r="AW14" s="3075"/>
      <c r="AX14">
        <f t="shared" si="7"/>
        <v>0</v>
      </c>
      <c r="BA14" s="1115"/>
      <c r="BD14" s="2845"/>
    </row>
    <row r="15" spans="1:56">
      <c r="A15">
        <v>1027</v>
      </c>
      <c r="B15"/>
      <c r="C15">
        <v>1</v>
      </c>
      <c r="D15" s="111" t="s">
        <v>162</v>
      </c>
      <c r="E15" s="2588"/>
      <c r="F15" s="2588"/>
      <c r="G15" s="2588"/>
      <c r="H15" s="3127"/>
      <c r="I15" s="2845"/>
      <c r="J15" s="2845"/>
      <c r="K15" s="2845"/>
      <c r="L15" s="2588"/>
      <c r="M15" s="2588"/>
      <c r="N15" s="2588"/>
      <c r="O15" s="2588"/>
      <c r="P15" s="2588"/>
      <c r="Q15" s="3351"/>
      <c r="R15" s="1106"/>
      <c r="S15" s="1106"/>
      <c r="T15" s="3370"/>
      <c r="U15" s="3351"/>
      <c r="V15" s="3351"/>
      <c r="W15" s="3351"/>
      <c r="X15" s="3351"/>
      <c r="Y15" s="3351"/>
      <c r="Z15" s="3351"/>
      <c r="AA15" s="3351"/>
      <c r="AB15" s="1106"/>
      <c r="AC15" s="1106"/>
      <c r="AD15" s="1115"/>
      <c r="AE15" s="441"/>
      <c r="AH15" s="1482">
        <f t="shared" si="1"/>
        <v>0</v>
      </c>
      <c r="AI15" s="2246">
        <f t="shared" si="2"/>
        <v>0</v>
      </c>
      <c r="AL15">
        <f t="shared" si="3"/>
        <v>0</v>
      </c>
      <c r="AN15" s="1115"/>
      <c r="AO15" s="3122"/>
      <c r="AP15" s="2246">
        <f t="shared" si="4"/>
        <v>0</v>
      </c>
      <c r="AR15" s="3122"/>
      <c r="AS15" s="3122"/>
      <c r="AT15">
        <f t="shared" si="0"/>
        <v>0</v>
      </c>
      <c r="AU15">
        <f t="shared" si="5"/>
        <v>0</v>
      </c>
      <c r="AV15">
        <f t="shared" si="6"/>
        <v>0</v>
      </c>
      <c r="AW15" s="3075"/>
      <c r="AX15">
        <f t="shared" si="7"/>
        <v>0</v>
      </c>
      <c r="BA15" s="1115"/>
      <c r="BD15" s="2845"/>
    </row>
    <row r="16" spans="1:56">
      <c r="A16">
        <v>1028</v>
      </c>
      <c r="B16"/>
      <c r="C16">
        <v>1</v>
      </c>
      <c r="D16" s="114" t="s">
        <v>2454</v>
      </c>
      <c r="E16" s="2493">
        <v>141216</v>
      </c>
      <c r="F16" s="2493">
        <v>133848</v>
      </c>
      <c r="G16" s="2493">
        <v>100</v>
      </c>
      <c r="H16" s="3111">
        <v>0.65</v>
      </c>
      <c r="I16" s="3111">
        <v>0.76</v>
      </c>
      <c r="J16" s="3111">
        <v>0.87</v>
      </c>
      <c r="K16" s="3111">
        <v>0.49</v>
      </c>
      <c r="L16" s="2546">
        <v>2.5</v>
      </c>
      <c r="M16" s="2546">
        <v>3</v>
      </c>
      <c r="N16" s="2546">
        <v>2</v>
      </c>
      <c r="O16" s="2546">
        <v>3</v>
      </c>
      <c r="P16" s="2546">
        <v>4</v>
      </c>
      <c r="Q16" s="3351">
        <f>IF($B$2&gt;5,$F16,$E16)</f>
        <v>141216</v>
      </c>
      <c r="R16" s="1106">
        <f>IF($B$2=0,$BD16,$K16)</f>
        <v>0.49</v>
      </c>
      <c r="S16" s="3366">
        <f>IF($P$62=$Q$63,1,VLOOKUP(100,$G16:$P16,$N$64,FALSE))</f>
        <v>0.76</v>
      </c>
      <c r="T16" s="3369">
        <f>IF(KÉRDÉSEK!$C$28&gt;1,GROUPAMA!$AF$4,GROUPAMA!$S16)</f>
        <v>0.76</v>
      </c>
      <c r="U16" s="3351">
        <f>$Q16*$S16</f>
        <v>107324.16</v>
      </c>
      <c r="V16" s="3351">
        <f>$U16*$AF$17</f>
        <v>112690.368</v>
      </c>
      <c r="W16" s="3351">
        <f>12*ROUNDDOWN($V16/12,0)</f>
        <v>112680</v>
      </c>
      <c r="X16" s="3351">
        <v>80388</v>
      </c>
      <c r="Y16" s="3351">
        <f>MAX($W16,$X16)</f>
        <v>112680</v>
      </c>
      <c r="Z16" s="3351">
        <f>$Y16</f>
        <v>112680</v>
      </c>
      <c r="AA16" s="3351"/>
      <c r="AB16" s="1106">
        <f>NDK!$B16</f>
        <v>0</v>
      </c>
      <c r="AC16" s="1106">
        <f>$Z16*$AB16</f>
        <v>0</v>
      </c>
      <c r="AD16" s="1117" t="s">
        <v>2454</v>
      </c>
      <c r="AE16" s="441"/>
      <c r="AF16" s="2546" t="s">
        <v>2706</v>
      </c>
      <c r="AG16">
        <f>$U16*$AF$17</f>
        <v>112690.368</v>
      </c>
      <c r="AH16" s="1482">
        <f t="shared" si="1"/>
        <v>112680</v>
      </c>
      <c r="AI16" s="2246">
        <f t="shared" si="2"/>
        <v>0</v>
      </c>
      <c r="AL16">
        <f t="shared" si="3"/>
        <v>0</v>
      </c>
      <c r="AN16" s="1117" t="s">
        <v>2454</v>
      </c>
      <c r="AO16" s="3121">
        <v>75120</v>
      </c>
      <c r="AP16" s="2246">
        <f t="shared" si="4"/>
        <v>112680</v>
      </c>
      <c r="AR16" s="3122">
        <v>75192</v>
      </c>
      <c r="AS16" s="3122">
        <v>52800</v>
      </c>
      <c r="AT16">
        <f t="shared" si="0"/>
        <v>75192</v>
      </c>
      <c r="AU16">
        <f t="shared" si="5"/>
        <v>0</v>
      </c>
      <c r="AV16">
        <f t="shared" si="6"/>
        <v>0</v>
      </c>
      <c r="AW16" s="3075">
        <v>39000</v>
      </c>
      <c r="AX16">
        <f t="shared" si="7"/>
        <v>39000</v>
      </c>
      <c r="BA16" s="1117" t="s">
        <v>2454</v>
      </c>
      <c r="BD16" s="3111">
        <v>0.49</v>
      </c>
    </row>
    <row r="17" spans="1:56">
      <c r="A17">
        <v>1029</v>
      </c>
      <c r="B17"/>
      <c r="C17">
        <v>1</v>
      </c>
      <c r="D17" s="114" t="s">
        <v>2455</v>
      </c>
      <c r="E17" s="2586"/>
      <c r="F17" s="2586"/>
      <c r="G17" s="2586"/>
      <c r="H17" s="2845"/>
      <c r="I17" s="2845"/>
      <c r="J17" s="2845"/>
      <c r="K17" s="2843"/>
      <c r="L17" s="2588"/>
      <c r="M17" s="2588"/>
      <c r="N17" s="2588"/>
      <c r="O17" s="2588"/>
      <c r="P17" s="2588"/>
      <c r="Q17" s="3351"/>
      <c r="R17" s="1106"/>
      <c r="S17" s="1106"/>
      <c r="T17" s="3370"/>
      <c r="U17" s="3351"/>
      <c r="V17" s="3351"/>
      <c r="W17" s="3351"/>
      <c r="X17" s="3351"/>
      <c r="Y17" s="3351"/>
      <c r="Z17" s="3351"/>
      <c r="AA17" s="3351"/>
      <c r="AB17" s="1106"/>
      <c r="AC17" s="1106"/>
      <c r="AD17" s="1117" t="s">
        <v>2455</v>
      </c>
      <c r="AE17" s="441"/>
      <c r="AF17" s="2546">
        <f>AF10+AF12+AF6+AF14+1</f>
        <v>1.05</v>
      </c>
      <c r="AH17" s="1482">
        <f t="shared" si="1"/>
        <v>0</v>
      </c>
      <c r="AI17" s="2246">
        <f t="shared" si="2"/>
        <v>0</v>
      </c>
      <c r="AL17">
        <f t="shared" si="3"/>
        <v>0</v>
      </c>
      <c r="AN17" s="1117" t="s">
        <v>2455</v>
      </c>
      <c r="AO17" s="2246"/>
      <c r="AP17" s="2246">
        <f t="shared" si="4"/>
        <v>0</v>
      </c>
      <c r="AR17" s="2246"/>
      <c r="AS17" s="2246"/>
      <c r="AT17">
        <f t="shared" si="0"/>
        <v>0</v>
      </c>
      <c r="AU17">
        <f t="shared" si="5"/>
        <v>0</v>
      </c>
      <c r="AV17">
        <f t="shared" si="6"/>
        <v>0</v>
      </c>
      <c r="AX17">
        <f t="shared" si="7"/>
        <v>0</v>
      </c>
      <c r="BA17" s="1117" t="s">
        <v>2455</v>
      </c>
      <c r="BD17" s="2843"/>
    </row>
    <row r="18" spans="1:56">
      <c r="A18">
        <v>1031</v>
      </c>
      <c r="B18"/>
      <c r="C18">
        <v>2</v>
      </c>
      <c r="D18" s="114" t="s">
        <v>2438</v>
      </c>
      <c r="E18" s="2493">
        <v>141216</v>
      </c>
      <c r="F18" s="2493">
        <v>133848</v>
      </c>
      <c r="G18" s="2493">
        <v>100</v>
      </c>
      <c r="H18" s="3111">
        <v>0.46</v>
      </c>
      <c r="I18" s="3111">
        <v>0.54</v>
      </c>
      <c r="J18" s="3111">
        <v>0.87</v>
      </c>
      <c r="K18" s="3111">
        <v>0.43</v>
      </c>
      <c r="L18" s="2546">
        <v>2.5</v>
      </c>
      <c r="M18" s="2546">
        <v>3</v>
      </c>
      <c r="N18" s="2546">
        <v>2</v>
      </c>
      <c r="O18" s="2546">
        <v>3</v>
      </c>
      <c r="P18" s="2546">
        <v>4</v>
      </c>
      <c r="Q18" s="3351">
        <f>IF($B$2&gt;5,$F18,$E18)</f>
        <v>141216</v>
      </c>
      <c r="R18" s="1106">
        <f>IF($B$2=0,$BD18,$K18)</f>
        <v>0.43</v>
      </c>
      <c r="S18" s="3366">
        <f>IF($P$62=$Q$63,1,VLOOKUP(100,$G18:$P18,$N$64,FALSE))</f>
        <v>0.54</v>
      </c>
      <c r="T18" s="3369">
        <f>IF(KÉRDÉSEK!$C$28&gt;1,GROUPAMA!$AF$4,GROUPAMA!$S18)</f>
        <v>0.54</v>
      </c>
      <c r="U18" s="3351">
        <f>$Q18*$S18</f>
        <v>76256.639999999999</v>
      </c>
      <c r="V18" s="3351">
        <f>$U18*$AF$17</f>
        <v>80069.472000000009</v>
      </c>
      <c r="W18" s="3351">
        <f>12*ROUNDDOWN($V18/12,0)</f>
        <v>80064</v>
      </c>
      <c r="X18" s="3351">
        <v>35724</v>
      </c>
      <c r="Y18" s="3351">
        <f>MAX($W18,$X18)</f>
        <v>80064</v>
      </c>
      <c r="Z18" s="3351">
        <f>$Y18*$AA$3</f>
        <v>80064</v>
      </c>
      <c r="AA18" s="3351"/>
      <c r="AB18" s="1106">
        <f>NDK!$B18</f>
        <v>0</v>
      </c>
      <c r="AC18" s="1106">
        <f>$Z18*$AB18</f>
        <v>0</v>
      </c>
      <c r="AD18" s="1117" t="s">
        <v>2438</v>
      </c>
      <c r="AE18" s="441"/>
      <c r="AG18">
        <f>$U18*$AF$17</f>
        <v>80069.472000000009</v>
      </c>
      <c r="AH18" s="1482">
        <f t="shared" si="1"/>
        <v>80064</v>
      </c>
      <c r="AI18" s="2246">
        <f t="shared" si="2"/>
        <v>0</v>
      </c>
      <c r="AL18">
        <f t="shared" si="3"/>
        <v>0</v>
      </c>
      <c r="AN18" s="1117" t="s">
        <v>2438</v>
      </c>
      <c r="AO18" s="3121">
        <v>33384</v>
      </c>
      <c r="AP18" s="2246">
        <f t="shared" si="4"/>
        <v>80064</v>
      </c>
      <c r="AR18" s="3122">
        <v>75192</v>
      </c>
      <c r="AS18" s="3122">
        <v>57192</v>
      </c>
      <c r="AT18">
        <f t="shared" si="0"/>
        <v>75192</v>
      </c>
      <c r="AU18">
        <f t="shared" si="5"/>
        <v>0</v>
      </c>
      <c r="AV18">
        <f t="shared" si="6"/>
        <v>0</v>
      </c>
      <c r="AW18" s="3075">
        <v>24696</v>
      </c>
      <c r="AX18">
        <f t="shared" si="7"/>
        <v>24696</v>
      </c>
      <c r="BA18" s="1117" t="s">
        <v>2438</v>
      </c>
      <c r="BD18" s="3111">
        <v>0.43</v>
      </c>
    </row>
    <row r="19" spans="1:56" ht="25.5">
      <c r="A19">
        <v>1032</v>
      </c>
      <c r="B19"/>
      <c r="C19">
        <v>2</v>
      </c>
      <c r="D19" s="491" t="s">
        <v>2439</v>
      </c>
      <c r="E19" s="2588"/>
      <c r="F19" s="2588"/>
      <c r="G19" s="2588"/>
      <c r="H19" s="2845"/>
      <c r="I19" s="2845"/>
      <c r="J19" s="2845"/>
      <c r="K19" s="2845"/>
      <c r="L19" s="2588"/>
      <c r="M19" s="2588"/>
      <c r="N19" s="2588"/>
      <c r="O19" s="2588"/>
      <c r="P19" s="2588"/>
      <c r="Q19" s="3351"/>
      <c r="R19" s="1106"/>
      <c r="S19" s="1106"/>
      <c r="T19" s="3370"/>
      <c r="U19" s="3351"/>
      <c r="V19" s="3351"/>
      <c r="W19" s="3351"/>
      <c r="X19" s="3351"/>
      <c r="Y19" s="3351"/>
      <c r="Z19" s="3351"/>
      <c r="AA19" s="3351"/>
      <c r="AB19" s="1106"/>
      <c r="AC19" s="1106"/>
      <c r="AD19" s="1118"/>
      <c r="AE19" s="441"/>
      <c r="AH19" s="1482">
        <f t="shared" si="1"/>
        <v>0</v>
      </c>
      <c r="AI19" s="2246">
        <f t="shared" si="2"/>
        <v>0</v>
      </c>
      <c r="AL19">
        <f t="shared" si="3"/>
        <v>0</v>
      </c>
      <c r="AN19" s="1118"/>
      <c r="AO19" s="3122"/>
      <c r="AP19" s="2246">
        <f t="shared" si="4"/>
        <v>0</v>
      </c>
      <c r="AR19" s="3122"/>
      <c r="AS19" s="3122"/>
      <c r="AT19">
        <f t="shared" si="0"/>
        <v>0</v>
      </c>
      <c r="AU19">
        <f t="shared" si="5"/>
        <v>0</v>
      </c>
      <c r="AV19">
        <f t="shared" si="6"/>
        <v>0</v>
      </c>
      <c r="AW19" s="3075"/>
      <c r="AX19">
        <f t="shared" si="7"/>
        <v>0</v>
      </c>
      <c r="BA19" s="1118"/>
      <c r="BD19" s="2845"/>
    </row>
    <row r="20" spans="1:56">
      <c r="A20">
        <v>1033</v>
      </c>
      <c r="B20"/>
      <c r="C20">
        <v>2</v>
      </c>
      <c r="D20" s="492" t="s">
        <v>4937</v>
      </c>
      <c r="E20" s="2588"/>
      <c r="F20" s="2588"/>
      <c r="G20" s="2588"/>
      <c r="H20" s="2845"/>
      <c r="I20" s="2845"/>
      <c r="J20" s="2845"/>
      <c r="K20" s="2845"/>
      <c r="L20" s="2588"/>
      <c r="M20" s="2588"/>
      <c r="N20" s="2588"/>
      <c r="O20" s="2588"/>
      <c r="P20" s="2588"/>
      <c r="Q20" s="3351"/>
      <c r="R20" s="1106"/>
      <c r="S20" s="1106"/>
      <c r="T20" s="3370"/>
      <c r="U20" s="3351"/>
      <c r="V20" s="3351"/>
      <c r="W20" s="3351"/>
      <c r="X20" s="3351"/>
      <c r="Y20" s="3351"/>
      <c r="Z20" s="3351"/>
      <c r="AA20" s="3351"/>
      <c r="AB20" s="1106"/>
      <c r="AC20" s="1106"/>
      <c r="AD20" s="1119"/>
      <c r="AE20" s="441"/>
      <c r="AH20" s="1482">
        <f t="shared" si="1"/>
        <v>0</v>
      </c>
      <c r="AI20" s="2246">
        <f t="shared" si="2"/>
        <v>0</v>
      </c>
      <c r="AL20">
        <f t="shared" si="3"/>
        <v>0</v>
      </c>
      <c r="AN20" s="1119"/>
      <c r="AO20" s="3122"/>
      <c r="AP20" s="2246">
        <f t="shared" si="4"/>
        <v>0</v>
      </c>
      <c r="AR20" s="3122"/>
      <c r="AS20" s="3122"/>
      <c r="AT20">
        <f t="shared" si="0"/>
        <v>0</v>
      </c>
      <c r="AU20">
        <f t="shared" si="5"/>
        <v>0</v>
      </c>
      <c r="AV20">
        <f t="shared" si="6"/>
        <v>0</v>
      </c>
      <c r="AW20" s="3075"/>
      <c r="AX20">
        <f t="shared" si="7"/>
        <v>0</v>
      </c>
      <c r="BA20" s="1119"/>
      <c r="BD20" s="2845"/>
    </row>
    <row r="21" spans="1:56">
      <c r="A21">
        <v>1034</v>
      </c>
      <c r="B21"/>
      <c r="C21">
        <v>2</v>
      </c>
      <c r="D21" s="114" t="s">
        <v>2456</v>
      </c>
      <c r="E21" s="2493">
        <v>733872</v>
      </c>
      <c r="F21" s="2493">
        <v>612540</v>
      </c>
      <c r="G21" s="2493">
        <v>100</v>
      </c>
      <c r="H21" s="3111">
        <v>0.46</v>
      </c>
      <c r="I21" s="3111">
        <v>0.54</v>
      </c>
      <c r="J21" s="3111">
        <v>0.87</v>
      </c>
      <c r="K21" s="3111">
        <v>0.43</v>
      </c>
      <c r="L21" s="2546">
        <v>2.5</v>
      </c>
      <c r="M21" s="2546">
        <v>3</v>
      </c>
      <c r="N21" s="2546">
        <v>2</v>
      </c>
      <c r="O21" s="2546">
        <v>3</v>
      </c>
      <c r="P21" s="2546">
        <v>4</v>
      </c>
      <c r="Q21" s="3351">
        <f>IF($B$2&gt;5,$F21,$E21)</f>
        <v>733872</v>
      </c>
      <c r="R21" s="1106">
        <f>IF($B$2=0,$BD21,$K21)</f>
        <v>0.43</v>
      </c>
      <c r="S21" s="3366">
        <f>IF($P$62=$Q$63,1,VLOOKUP(100,$G21:$P21,$N$64,FALSE))</f>
        <v>0.54</v>
      </c>
      <c r="T21" s="3369">
        <f>IF(KÉRDÉSEK!$C$28&gt;1,GROUPAMA!$AF$4,GROUPAMA!$S21)</f>
        <v>0.54</v>
      </c>
      <c r="U21" s="3351">
        <f>$Q21*$S21</f>
        <v>396290.88</v>
      </c>
      <c r="V21" s="3351">
        <f>$U21*$AF$17</f>
        <v>416105.424</v>
      </c>
      <c r="W21" s="3351">
        <f>12*ROUNDDOWN($V21/12,0)</f>
        <v>416100</v>
      </c>
      <c r="X21" s="3351">
        <v>204132</v>
      </c>
      <c r="Y21" s="3351">
        <f>MAX($W21,$X21)</f>
        <v>416100</v>
      </c>
      <c r="Z21" s="3351">
        <f>$Y21*$AA$3</f>
        <v>416100</v>
      </c>
      <c r="AA21" s="3351"/>
      <c r="AB21" s="1106">
        <f>NDK!$B21</f>
        <v>0</v>
      </c>
      <c r="AC21" s="1106">
        <f>$Z21*$AB21</f>
        <v>0</v>
      </c>
      <c r="AD21" s="1117" t="s">
        <v>2456</v>
      </c>
      <c r="AE21" s="441"/>
      <c r="AG21">
        <f>$U21*$AF$17</f>
        <v>416105.424</v>
      </c>
      <c r="AH21" s="1482">
        <f t="shared" si="1"/>
        <v>416100</v>
      </c>
      <c r="AI21" s="2246">
        <f t="shared" si="2"/>
        <v>0</v>
      </c>
      <c r="AL21">
        <f t="shared" si="3"/>
        <v>0</v>
      </c>
      <c r="AN21" s="1117" t="s">
        <v>2456</v>
      </c>
      <c r="AO21" s="3121">
        <v>190776</v>
      </c>
      <c r="AP21" s="2246">
        <f t="shared" si="4"/>
        <v>416100</v>
      </c>
      <c r="AR21" s="3122">
        <v>480000</v>
      </c>
      <c r="AS21" s="3122">
        <v>396000</v>
      </c>
      <c r="AT21">
        <f t="shared" si="0"/>
        <v>480000</v>
      </c>
      <c r="AU21">
        <f t="shared" si="5"/>
        <v>0</v>
      </c>
      <c r="AV21">
        <f t="shared" si="6"/>
        <v>0</v>
      </c>
      <c r="AW21" s="3075">
        <v>124800</v>
      </c>
      <c r="AX21">
        <f t="shared" si="7"/>
        <v>124800</v>
      </c>
      <c r="BA21" s="1117" t="s">
        <v>2456</v>
      </c>
      <c r="BD21" s="3111">
        <v>0.43</v>
      </c>
    </row>
    <row r="22" spans="1:56" ht="25.5">
      <c r="A22">
        <v>1035</v>
      </c>
      <c r="B22"/>
      <c r="C22">
        <v>2</v>
      </c>
      <c r="D22" s="258" t="s">
        <v>1863</v>
      </c>
      <c r="E22" s="2576"/>
      <c r="F22" s="2576"/>
      <c r="G22" s="2576"/>
      <c r="H22" s="2845"/>
      <c r="I22" s="2845"/>
      <c r="J22" s="2845"/>
      <c r="K22" s="2845"/>
      <c r="L22" s="2588"/>
      <c r="M22" s="2588"/>
      <c r="N22" s="2588"/>
      <c r="O22" s="2588"/>
      <c r="P22" s="2588"/>
      <c r="Q22" s="3351"/>
      <c r="R22" s="1106"/>
      <c r="S22" s="1106"/>
      <c r="T22" s="3370"/>
      <c r="U22" s="3351"/>
      <c r="V22" s="3351"/>
      <c r="W22" s="3351"/>
      <c r="X22" s="3351"/>
      <c r="Y22" s="3351"/>
      <c r="Z22" s="3351"/>
      <c r="AA22" s="3351"/>
      <c r="AB22" s="1106"/>
      <c r="AC22" s="1106"/>
      <c r="AD22" s="1120"/>
      <c r="AE22" s="441"/>
      <c r="AH22" s="1482">
        <f t="shared" si="1"/>
        <v>0</v>
      </c>
      <c r="AI22" s="2246">
        <f t="shared" si="2"/>
        <v>0</v>
      </c>
      <c r="AL22">
        <f t="shared" si="3"/>
        <v>0</v>
      </c>
      <c r="AN22" s="1120"/>
      <c r="AO22" s="3122"/>
      <c r="AP22" s="2246">
        <f t="shared" si="4"/>
        <v>0</v>
      </c>
      <c r="AR22" s="3122"/>
      <c r="AS22" s="3122"/>
      <c r="AT22">
        <f t="shared" si="0"/>
        <v>0</v>
      </c>
      <c r="AU22">
        <f t="shared" si="5"/>
        <v>0</v>
      </c>
      <c r="AV22">
        <f t="shared" si="6"/>
        <v>0</v>
      </c>
      <c r="AW22" s="3075"/>
      <c r="AX22">
        <f t="shared" si="7"/>
        <v>0</v>
      </c>
      <c r="BA22" s="1120"/>
      <c r="BD22" s="2845"/>
    </row>
    <row r="23" spans="1:56">
      <c r="A23">
        <v>1036</v>
      </c>
      <c r="B23"/>
      <c r="C23">
        <v>2</v>
      </c>
      <c r="D23" s="458" t="s">
        <v>2440</v>
      </c>
      <c r="E23" s="2576"/>
      <c r="F23" s="2576"/>
      <c r="G23" s="2576"/>
      <c r="H23" s="2845"/>
      <c r="I23" s="2845"/>
      <c r="J23" s="2845"/>
      <c r="K23" s="2845"/>
      <c r="L23" s="2588"/>
      <c r="M23" s="2588"/>
      <c r="N23" s="2588"/>
      <c r="O23" s="2588"/>
      <c r="P23" s="2588"/>
      <c r="Q23" s="3351"/>
      <c r="R23" s="1106"/>
      <c r="S23" s="1106"/>
      <c r="T23" s="3370"/>
      <c r="U23" s="3351"/>
      <c r="V23" s="3351"/>
      <c r="W23" s="3351"/>
      <c r="X23" s="3351"/>
      <c r="Y23" s="3351"/>
      <c r="Z23" s="3351"/>
      <c r="AA23" s="3351"/>
      <c r="AB23" s="1106"/>
      <c r="AC23" s="1106"/>
      <c r="AD23" s="1121"/>
      <c r="AE23" s="441"/>
      <c r="AH23" s="1482">
        <f t="shared" si="1"/>
        <v>0</v>
      </c>
      <c r="AI23" s="2246">
        <f t="shared" si="2"/>
        <v>0</v>
      </c>
      <c r="AL23">
        <f t="shared" si="3"/>
        <v>0</v>
      </c>
      <c r="AN23" s="1121"/>
      <c r="AO23" s="3122"/>
      <c r="AP23" s="2246">
        <f t="shared" si="4"/>
        <v>0</v>
      </c>
      <c r="AR23" s="3122"/>
      <c r="AS23" s="3122"/>
      <c r="AT23">
        <f t="shared" si="0"/>
        <v>0</v>
      </c>
      <c r="AU23">
        <f t="shared" si="5"/>
        <v>0</v>
      </c>
      <c r="AV23">
        <f t="shared" si="6"/>
        <v>0</v>
      </c>
      <c r="AW23" s="3075"/>
      <c r="AX23">
        <f t="shared" si="7"/>
        <v>0</v>
      </c>
      <c r="BA23" s="1121"/>
      <c r="BD23" s="2845"/>
    </row>
    <row r="24" spans="1:56">
      <c r="A24">
        <v>1037</v>
      </c>
      <c r="B24"/>
      <c r="C24">
        <v>2</v>
      </c>
      <c r="D24" s="106" t="s">
        <v>4134</v>
      </c>
      <c r="E24" s="2493">
        <v>907212</v>
      </c>
      <c r="F24" s="2493">
        <v>746880</v>
      </c>
      <c r="G24" s="2493">
        <v>100</v>
      </c>
      <c r="H24" s="3111">
        <v>0.46</v>
      </c>
      <c r="I24" s="3111">
        <v>0.54</v>
      </c>
      <c r="J24" s="3111">
        <v>0.87</v>
      </c>
      <c r="K24" s="3111">
        <v>0.43</v>
      </c>
      <c r="L24" s="2546">
        <v>2.5</v>
      </c>
      <c r="M24" s="2546">
        <v>3</v>
      </c>
      <c r="N24" s="2546">
        <v>2</v>
      </c>
      <c r="O24" s="2546">
        <v>3</v>
      </c>
      <c r="P24" s="2546">
        <v>4</v>
      </c>
      <c r="Q24" s="3351">
        <f>IF($B$2&gt;5,$F24,$E24)</f>
        <v>907212</v>
      </c>
      <c r="R24" s="1106">
        <f>IF($B$2=0,$BD24,$K24)</f>
        <v>0.43</v>
      </c>
      <c r="S24" s="3366">
        <f>IF($P$62=$Q$63,1,VLOOKUP(100,$G24:$P24,$N$64,FALSE))</f>
        <v>0.54</v>
      </c>
      <c r="T24" s="3369">
        <f>IF(KÉRDÉSEK!$C$28&gt;1,GROUPAMA!$AF$4,GROUPAMA!$S24)</f>
        <v>0.54</v>
      </c>
      <c r="U24" s="3351">
        <f>$Q24*$S24</f>
        <v>489894.48000000004</v>
      </c>
      <c r="V24" s="3351">
        <f>$U24*$AF$17</f>
        <v>514389.20400000009</v>
      </c>
      <c r="W24" s="3351">
        <f>12*ROUNDDOWN($V24/12,0)</f>
        <v>514380</v>
      </c>
      <c r="X24" s="3351">
        <v>286572</v>
      </c>
      <c r="Y24" s="3351">
        <f>MAX($W24,$X24)</f>
        <v>514380</v>
      </c>
      <c r="Z24" s="3351">
        <f>$Y24*$AA$3</f>
        <v>514380</v>
      </c>
      <c r="AA24" s="3351"/>
      <c r="AB24" s="1106">
        <f>NDK!$B24</f>
        <v>0</v>
      </c>
      <c r="AC24" s="1106">
        <f>$Z24*$AB24</f>
        <v>0</v>
      </c>
      <c r="AD24" s="1114" t="s">
        <v>4134</v>
      </c>
      <c r="AE24" s="441"/>
      <c r="AG24">
        <f>$U24*$AF$17</f>
        <v>514389.20400000009</v>
      </c>
      <c r="AH24" s="1482">
        <f t="shared" si="1"/>
        <v>514380</v>
      </c>
      <c r="AI24" s="2246">
        <f t="shared" si="2"/>
        <v>0</v>
      </c>
      <c r="AL24">
        <f t="shared" si="3"/>
        <v>0</v>
      </c>
      <c r="AN24" s="1114" t="s">
        <v>4134</v>
      </c>
      <c r="AO24" s="3121">
        <v>267816</v>
      </c>
      <c r="AP24" s="2246">
        <f t="shared" si="4"/>
        <v>514380</v>
      </c>
      <c r="AR24" s="3122">
        <v>600000</v>
      </c>
      <c r="AS24" s="3122">
        <v>489000</v>
      </c>
      <c r="AT24">
        <f t="shared" si="0"/>
        <v>600000</v>
      </c>
      <c r="AU24">
        <f t="shared" si="5"/>
        <v>0</v>
      </c>
      <c r="AV24">
        <f t="shared" si="6"/>
        <v>0</v>
      </c>
      <c r="AW24" s="3075">
        <v>192300</v>
      </c>
      <c r="AX24">
        <f t="shared" si="7"/>
        <v>192300</v>
      </c>
      <c r="BA24" s="1114" t="s">
        <v>4134</v>
      </c>
      <c r="BD24" s="3111">
        <v>0.43</v>
      </c>
    </row>
    <row r="25" spans="1:56">
      <c r="A25">
        <v>1038</v>
      </c>
      <c r="B25"/>
      <c r="C25">
        <v>2</v>
      </c>
      <c r="D25" s="106" t="s">
        <v>2459</v>
      </c>
      <c r="L25" s="2576"/>
      <c r="M25" s="2576"/>
      <c r="N25" s="2576"/>
      <c r="O25" s="2576"/>
      <c r="P25" s="2576"/>
      <c r="Q25" s="3351"/>
      <c r="R25" s="1106"/>
      <c r="S25" s="1106"/>
      <c r="T25" s="3370"/>
      <c r="U25" s="3351"/>
      <c r="V25" s="3351"/>
      <c r="W25" s="3351"/>
      <c r="X25" s="3351"/>
      <c r="Y25" s="3351"/>
      <c r="Z25" s="3351"/>
      <c r="AA25" s="3351"/>
      <c r="AB25" s="1106"/>
      <c r="AC25" s="1106"/>
      <c r="AD25" s="1114" t="s">
        <v>2459</v>
      </c>
      <c r="AE25" s="441"/>
      <c r="AH25" s="1482">
        <f t="shared" si="1"/>
        <v>0</v>
      </c>
      <c r="AI25" s="2246">
        <f t="shared" si="2"/>
        <v>0</v>
      </c>
      <c r="AL25">
        <f t="shared" si="3"/>
        <v>0</v>
      </c>
      <c r="AN25" s="1114" t="s">
        <v>2459</v>
      </c>
      <c r="AO25" s="2246"/>
      <c r="AP25" s="2246">
        <f t="shared" si="4"/>
        <v>0</v>
      </c>
      <c r="AR25" s="2246"/>
      <c r="AS25" s="2246"/>
      <c r="AT25">
        <f t="shared" si="0"/>
        <v>0</v>
      </c>
      <c r="AU25">
        <f t="shared" si="5"/>
        <v>0</v>
      </c>
      <c r="AV25">
        <f t="shared" si="6"/>
        <v>0</v>
      </c>
      <c r="AX25">
        <f t="shared" si="7"/>
        <v>0</v>
      </c>
      <c r="BA25" s="1114" t="s">
        <v>2459</v>
      </c>
    </row>
    <row r="26" spans="1:56">
      <c r="A26">
        <v>1039</v>
      </c>
      <c r="B26"/>
      <c r="C26">
        <v>2</v>
      </c>
      <c r="D26" s="106" t="s">
        <v>5232</v>
      </c>
      <c r="E26" s="2725">
        <f>AF67</f>
        <v>18036</v>
      </c>
      <c r="F26" s="2725">
        <f>AF67</f>
        <v>18036</v>
      </c>
      <c r="G26" s="2493">
        <v>100</v>
      </c>
      <c r="H26" s="2844">
        <v>0.78</v>
      </c>
      <c r="I26" s="2844">
        <v>0.91</v>
      </c>
      <c r="J26" s="2844">
        <v>0.91</v>
      </c>
      <c r="K26" s="2844">
        <v>0.65</v>
      </c>
      <c r="L26" s="2546">
        <v>1</v>
      </c>
      <c r="M26" s="2546">
        <v>1</v>
      </c>
      <c r="N26" s="2546">
        <v>2</v>
      </c>
      <c r="O26" s="2546">
        <v>2</v>
      </c>
      <c r="P26" s="2546">
        <v>4</v>
      </c>
      <c r="Q26" s="3351">
        <f>IF($B$2&gt;5,$F26,$E26)</f>
        <v>18036</v>
      </c>
      <c r="R26" s="1106">
        <f>IF($B$2=0,$BD26,$K26)</f>
        <v>0.65</v>
      </c>
      <c r="S26" s="3366">
        <f>IF($P$62=$Q$63,1,VLOOKUP(100,$G26:$P26,$N$64,FALSE))</f>
        <v>0.91</v>
      </c>
      <c r="T26" s="3369">
        <f>IF(KÉRDÉSEK!$C$28&gt;1,GROUPAMA!$AF$4,GROUPAMA!$S26)</f>
        <v>0.91</v>
      </c>
      <c r="U26" s="3351">
        <f>$Q26*$S26</f>
        <v>16412.760000000002</v>
      </c>
      <c r="V26" s="3351">
        <f>$U26*$AF$17</f>
        <v>17233.398000000005</v>
      </c>
      <c r="W26" s="3351">
        <f>12*ROUNDDOWN($V26/12,0)</f>
        <v>17232</v>
      </c>
      <c r="X26" s="3376">
        <f>AG67</f>
        <v>6264</v>
      </c>
      <c r="Y26" s="3351">
        <f>MAX($W26,$X26)</f>
        <v>17232</v>
      </c>
      <c r="Z26" s="3351">
        <f>$Y26*$AA$11</f>
        <v>17232</v>
      </c>
      <c r="AA26" s="3351"/>
      <c r="AB26" s="1106">
        <f>NDK!$B26</f>
        <v>0</v>
      </c>
      <c r="AC26" s="1106">
        <f>$Z26*$AB26</f>
        <v>0</v>
      </c>
      <c r="AD26" s="1117" t="s">
        <v>1494</v>
      </c>
      <c r="AE26" s="441"/>
      <c r="AG26">
        <f>$U26*$AF$17</f>
        <v>17233.398000000005</v>
      </c>
      <c r="AH26" s="1482">
        <f t="shared" si="1"/>
        <v>17232</v>
      </c>
      <c r="AI26" s="2246">
        <f t="shared" si="2"/>
        <v>0</v>
      </c>
      <c r="AL26">
        <f t="shared" si="3"/>
        <v>0</v>
      </c>
      <c r="AN26" s="2268" t="s">
        <v>5004</v>
      </c>
      <c r="AO26" s="2269">
        <f>$AG$67</f>
        <v>6264</v>
      </c>
      <c r="AP26" s="2246">
        <f t="shared" si="4"/>
        <v>17232</v>
      </c>
      <c r="AR26" s="2269">
        <f>$AF$76</f>
        <v>9600</v>
      </c>
      <c r="AS26" s="2269">
        <f>$AF$76</f>
        <v>9600</v>
      </c>
      <c r="AT26">
        <f t="shared" si="0"/>
        <v>9600</v>
      </c>
      <c r="AU26">
        <f t="shared" si="5"/>
        <v>0</v>
      </c>
      <c r="AV26">
        <f t="shared" si="6"/>
        <v>0</v>
      </c>
      <c r="AW26" s="2269">
        <f>$AG$76</f>
        <v>2736</v>
      </c>
      <c r="AX26">
        <f t="shared" si="7"/>
        <v>2736</v>
      </c>
      <c r="BA26" s="2268" t="s">
        <v>5004</v>
      </c>
      <c r="BD26" s="2844">
        <v>0.65</v>
      </c>
    </row>
    <row r="27" spans="1:56">
      <c r="A27">
        <v>1041</v>
      </c>
      <c r="B27"/>
      <c r="C27">
        <v>1</v>
      </c>
      <c r="D27" s="106" t="s">
        <v>5233</v>
      </c>
      <c r="E27" s="2725">
        <f>AF68</f>
        <v>18036</v>
      </c>
      <c r="F27" s="2725">
        <f>AF68</f>
        <v>18036</v>
      </c>
      <c r="G27" s="2493">
        <v>100</v>
      </c>
      <c r="H27" s="2844">
        <v>0.78</v>
      </c>
      <c r="I27" s="2844">
        <v>0.91</v>
      </c>
      <c r="J27" s="2844">
        <v>0.91</v>
      </c>
      <c r="K27" s="2844">
        <v>0.65</v>
      </c>
      <c r="L27" s="2546">
        <v>1</v>
      </c>
      <c r="M27" s="2546">
        <v>1</v>
      </c>
      <c r="N27" s="2546">
        <v>2</v>
      </c>
      <c r="O27" s="2546">
        <v>2</v>
      </c>
      <c r="P27" s="2546">
        <v>4</v>
      </c>
      <c r="Q27" s="3351">
        <f>IF($B$2&gt;5,$F27,$E27)</f>
        <v>18036</v>
      </c>
      <c r="R27" s="1106">
        <f>IF($B$2=0,$BD27,$K27)</f>
        <v>0.65</v>
      </c>
      <c r="S27" s="3366">
        <f>IF($P$62=$Q$63,1,VLOOKUP(100,$G27:$P27,$N$64,FALSE))</f>
        <v>0.91</v>
      </c>
      <c r="T27" s="3369">
        <f>IF(KÉRDÉSEK!$C$28&gt;1,GROUPAMA!$AF$4,GROUPAMA!$S27)</f>
        <v>0.91</v>
      </c>
      <c r="U27" s="3351">
        <f>$Q27*$S27</f>
        <v>16412.760000000002</v>
      </c>
      <c r="V27" s="3351">
        <f>$U27*$AF$17</f>
        <v>17233.398000000005</v>
      </c>
      <c r="W27" s="3351">
        <f>12*ROUNDDOWN($V27/12,0)</f>
        <v>17232</v>
      </c>
      <c r="X27" s="3376">
        <f>AG68</f>
        <v>6264</v>
      </c>
      <c r="Y27" s="3351">
        <f>MAX($W27,$X27)</f>
        <v>17232</v>
      </c>
      <c r="Z27" s="3351">
        <f>$Y27*$AA$11</f>
        <v>17232</v>
      </c>
      <c r="AA27" s="3351"/>
      <c r="AB27" s="1106">
        <f>NDK!$B27</f>
        <v>0</v>
      </c>
      <c r="AC27" s="1106">
        <f>$Z27*$AB27</f>
        <v>0</v>
      </c>
      <c r="AD27" s="1117" t="s">
        <v>3072</v>
      </c>
      <c r="AE27" s="441"/>
      <c r="AG27">
        <f>$U27*$AF$17</f>
        <v>17233.398000000005</v>
      </c>
      <c r="AH27" s="1482">
        <f t="shared" si="1"/>
        <v>17232</v>
      </c>
      <c r="AI27" s="2246">
        <f t="shared" si="2"/>
        <v>0</v>
      </c>
      <c r="AL27">
        <f t="shared" si="3"/>
        <v>0</v>
      </c>
      <c r="AN27" s="2268" t="s">
        <v>5005</v>
      </c>
      <c r="AO27" s="2269">
        <f>$AG$68</f>
        <v>6264</v>
      </c>
      <c r="AP27" s="2246">
        <f t="shared" si="4"/>
        <v>17232</v>
      </c>
      <c r="AR27" s="2269">
        <f>$AF$77</f>
        <v>9600</v>
      </c>
      <c r="AS27" s="2269">
        <f>$AF$77</f>
        <v>9600</v>
      </c>
      <c r="AT27">
        <f t="shared" si="0"/>
        <v>9600</v>
      </c>
      <c r="AU27">
        <f t="shared" si="5"/>
        <v>0</v>
      </c>
      <c r="AV27">
        <f t="shared" si="6"/>
        <v>0</v>
      </c>
      <c r="AW27" s="2269">
        <f>$AG$77</f>
        <v>2736</v>
      </c>
      <c r="AX27">
        <f t="shared" si="7"/>
        <v>2736</v>
      </c>
      <c r="BA27" s="2268" t="s">
        <v>5005</v>
      </c>
      <c r="BD27" s="2844">
        <v>0.65</v>
      </c>
    </row>
    <row r="28" spans="1:56">
      <c r="A28">
        <v>1042</v>
      </c>
      <c r="B28"/>
      <c r="C28">
        <v>1</v>
      </c>
      <c r="D28" s="257" t="s">
        <v>1862</v>
      </c>
      <c r="E28" s="2576"/>
      <c r="F28" s="2576"/>
      <c r="G28" s="2576"/>
      <c r="L28" s="2576"/>
      <c r="M28" s="2576"/>
      <c r="N28" s="2576"/>
      <c r="O28" s="2576"/>
      <c r="P28" s="2576"/>
      <c r="Q28" s="3351"/>
      <c r="R28" s="1106"/>
      <c r="S28" s="1106"/>
      <c r="T28" s="3370"/>
      <c r="U28" s="3351"/>
      <c r="V28" s="3351"/>
      <c r="W28" s="3351"/>
      <c r="X28" s="3377"/>
      <c r="Y28" s="3351"/>
      <c r="Z28" s="3351"/>
      <c r="AA28" s="3351"/>
      <c r="AB28" s="1106"/>
      <c r="AC28" s="1106"/>
      <c r="AD28" s="1122"/>
      <c r="AE28" s="441"/>
      <c r="AH28" s="1482">
        <f t="shared" si="1"/>
        <v>0</v>
      </c>
      <c r="AI28" s="2246">
        <f t="shared" si="2"/>
        <v>0</v>
      </c>
      <c r="AL28">
        <f t="shared" si="3"/>
        <v>0</v>
      </c>
      <c r="AN28" s="1122"/>
      <c r="AO28" s="2246"/>
      <c r="AP28" s="2246">
        <f t="shared" si="4"/>
        <v>0</v>
      </c>
      <c r="AR28" s="2246"/>
      <c r="AS28" s="2246"/>
      <c r="AT28">
        <f t="shared" si="0"/>
        <v>0</v>
      </c>
      <c r="AU28">
        <f t="shared" si="5"/>
        <v>0</v>
      </c>
      <c r="AV28">
        <f t="shared" si="6"/>
        <v>0</v>
      </c>
      <c r="AX28">
        <f t="shared" si="7"/>
        <v>0</v>
      </c>
      <c r="BA28" s="1122"/>
    </row>
    <row r="29" spans="1:56">
      <c r="A29">
        <v>1043</v>
      </c>
      <c r="B29"/>
      <c r="C29">
        <v>1</v>
      </c>
      <c r="D29" s="106" t="s">
        <v>5231</v>
      </c>
      <c r="E29" s="2725">
        <f>AF69</f>
        <v>18036</v>
      </c>
      <c r="F29" s="2725">
        <f>AF69</f>
        <v>18036</v>
      </c>
      <c r="G29" s="2493">
        <v>100</v>
      </c>
      <c r="H29" s="2844">
        <v>0.78</v>
      </c>
      <c r="I29" s="2844">
        <v>0.91</v>
      </c>
      <c r="J29" s="2844">
        <v>0.91</v>
      </c>
      <c r="K29" s="2844">
        <v>0.65</v>
      </c>
      <c r="L29" s="2546">
        <v>1</v>
      </c>
      <c r="M29" s="2546">
        <v>1</v>
      </c>
      <c r="N29" s="2546">
        <v>2</v>
      </c>
      <c r="O29" s="2546">
        <v>2</v>
      </c>
      <c r="P29" s="2546">
        <v>4</v>
      </c>
      <c r="Q29" s="3351">
        <f>IF($B$2&gt;5,$F29,$E29)</f>
        <v>18036</v>
      </c>
      <c r="R29" s="1106">
        <f>IF($B$2=0,$BD29,$K29)</f>
        <v>0.65</v>
      </c>
      <c r="S29" s="3366">
        <f>IF($P$62=$Q$63,1,VLOOKUP(100,$G29:$P29,$N$64,FALSE))</f>
        <v>0.91</v>
      </c>
      <c r="T29" s="3369">
        <f>IF(KÉRDÉSEK!$C$28&gt;1,GROUPAMA!$AF$4,GROUPAMA!$S29)</f>
        <v>0.91</v>
      </c>
      <c r="U29" s="3351">
        <f>$Q29*$S29</f>
        <v>16412.760000000002</v>
      </c>
      <c r="V29" s="3351">
        <f>$U29*$AF$17</f>
        <v>17233.398000000005</v>
      </c>
      <c r="W29" s="3351">
        <f>12*ROUNDDOWN($V29/12,0)</f>
        <v>17232</v>
      </c>
      <c r="X29" s="3376">
        <f>AG69</f>
        <v>6264</v>
      </c>
      <c r="Y29" s="3351">
        <f>MAX($W29,$X29)</f>
        <v>17232</v>
      </c>
      <c r="Z29" s="3351">
        <f>$Y29*$AA$11</f>
        <v>17232</v>
      </c>
      <c r="AA29" s="3351"/>
      <c r="AB29" s="1106">
        <f>NDK!$B29</f>
        <v>0</v>
      </c>
      <c r="AC29" s="1106">
        <f>$Z29*$AB29</f>
        <v>0</v>
      </c>
      <c r="AD29" s="1117" t="s">
        <v>3071</v>
      </c>
      <c r="AE29" s="441"/>
      <c r="AG29">
        <f>$U29*$AF$17</f>
        <v>17233.398000000005</v>
      </c>
      <c r="AH29" s="1482">
        <f t="shared" si="1"/>
        <v>17232</v>
      </c>
      <c r="AI29" s="2246">
        <f t="shared" si="2"/>
        <v>0</v>
      </c>
      <c r="AL29">
        <f t="shared" si="3"/>
        <v>0</v>
      </c>
      <c r="AN29" s="2268" t="s">
        <v>5006</v>
      </c>
      <c r="AO29" s="2269">
        <f>$AG$69</f>
        <v>6264</v>
      </c>
      <c r="AP29" s="2246">
        <f t="shared" si="4"/>
        <v>17232</v>
      </c>
      <c r="AR29" s="2269">
        <f>$AF$78</f>
        <v>9600</v>
      </c>
      <c r="AS29" s="2269">
        <f>$AF$78</f>
        <v>9600</v>
      </c>
      <c r="AT29">
        <f t="shared" si="0"/>
        <v>9600</v>
      </c>
      <c r="AU29">
        <f t="shared" si="5"/>
        <v>0</v>
      </c>
      <c r="AV29">
        <f t="shared" si="6"/>
        <v>0</v>
      </c>
      <c r="AW29" s="2269">
        <f>$AG$78</f>
        <v>2736</v>
      </c>
      <c r="AX29">
        <f t="shared" si="7"/>
        <v>2736</v>
      </c>
      <c r="BA29" s="2268" t="s">
        <v>5006</v>
      </c>
      <c r="BD29" s="2844">
        <v>0.65</v>
      </c>
    </row>
    <row r="30" spans="1:56">
      <c r="A30">
        <v>1044</v>
      </c>
      <c r="B30"/>
      <c r="C30">
        <v>1</v>
      </c>
      <c r="D30" s="114" t="s">
        <v>3073</v>
      </c>
      <c r="L30" s="2576"/>
      <c r="M30" s="2576"/>
      <c r="N30" s="2576"/>
      <c r="O30" s="2576"/>
      <c r="P30" s="2576"/>
      <c r="Q30" s="3351"/>
      <c r="R30" s="1106"/>
      <c r="S30" s="1106"/>
      <c r="T30" s="3370"/>
      <c r="U30" s="3351"/>
      <c r="V30" s="3351"/>
      <c r="W30" s="3351"/>
      <c r="X30" s="3351"/>
      <c r="Y30" s="3351"/>
      <c r="Z30" s="3351"/>
      <c r="AA30" s="3351"/>
      <c r="AB30" s="1106"/>
      <c r="AC30" s="1106"/>
      <c r="AD30" s="1117" t="s">
        <v>3073</v>
      </c>
      <c r="AE30" s="441"/>
      <c r="AH30" s="1482">
        <f t="shared" si="1"/>
        <v>0</v>
      </c>
      <c r="AI30" s="2246">
        <f t="shared" si="2"/>
        <v>0</v>
      </c>
      <c r="AL30">
        <f t="shared" si="3"/>
        <v>0</v>
      </c>
      <c r="AN30" s="1117" t="s">
        <v>3073</v>
      </c>
      <c r="AO30" s="2246"/>
      <c r="AP30" s="2246">
        <f t="shared" si="4"/>
        <v>0</v>
      </c>
      <c r="AR30" s="2246"/>
      <c r="AS30" s="2246"/>
      <c r="AT30">
        <f t="shared" si="0"/>
        <v>0</v>
      </c>
      <c r="AU30">
        <f t="shared" si="5"/>
        <v>0</v>
      </c>
      <c r="AV30">
        <f t="shared" si="6"/>
        <v>0</v>
      </c>
      <c r="AX30">
        <f t="shared" si="7"/>
        <v>0</v>
      </c>
      <c r="BA30" s="1117" t="s">
        <v>3073</v>
      </c>
    </row>
    <row r="31" spans="1:56">
      <c r="A31">
        <v>1045</v>
      </c>
      <c r="B31"/>
      <c r="C31">
        <v>1</v>
      </c>
      <c r="D31" s="114" t="s">
        <v>491</v>
      </c>
      <c r="E31" s="2493">
        <v>2400000</v>
      </c>
      <c r="F31" s="2493">
        <v>2400000</v>
      </c>
      <c r="G31" s="2493">
        <v>100</v>
      </c>
      <c r="H31" s="2844">
        <v>0.52</v>
      </c>
      <c r="I31" s="2844">
        <v>0.65</v>
      </c>
      <c r="J31" s="2844">
        <v>0.78</v>
      </c>
      <c r="K31" s="2844">
        <v>0.59</v>
      </c>
      <c r="L31" s="2546">
        <v>2.5</v>
      </c>
      <c r="M31" s="2546">
        <v>3</v>
      </c>
      <c r="N31" s="2546">
        <v>2</v>
      </c>
      <c r="O31" s="2546">
        <v>3</v>
      </c>
      <c r="P31" s="2546">
        <v>4</v>
      </c>
      <c r="Q31" s="3351">
        <f t="shared" ref="Q31:Q37" si="8">IF($B$2&gt;5,$F31,$E31)</f>
        <v>2400000</v>
      </c>
      <c r="R31" s="1106">
        <f t="shared" ref="R31:R37" si="9">IF($B$2=0,$BD31,$K31)</f>
        <v>0.59</v>
      </c>
      <c r="S31" s="3366">
        <f t="shared" ref="S31:S37" si="10">IF($P$62=$Q$63,1,VLOOKUP(100,$G31:$P31,$N$64,FALSE))</f>
        <v>0.65</v>
      </c>
      <c r="T31" s="3369">
        <f>IF(KÉRDÉSEK!$C$28&gt;1,GROUPAMA!$AF$4,GROUPAMA!$S31)</f>
        <v>0.65</v>
      </c>
      <c r="U31" s="3351">
        <f t="shared" ref="U31:U37" si="11">$Q31*$S31</f>
        <v>1560000</v>
      </c>
      <c r="V31" s="3351">
        <f t="shared" ref="V31:V37" si="12">$U31*$AF$17</f>
        <v>1638000</v>
      </c>
      <c r="W31" s="3351">
        <f t="shared" ref="W31:W37" si="13">12*ROUNDDOWN($V31/12,0)</f>
        <v>1638000</v>
      </c>
      <c r="X31" s="3351">
        <v>1248000</v>
      </c>
      <c r="Y31" s="3351">
        <f t="shared" ref="Y31:Y37" si="14">MAX($W31,$X31)</f>
        <v>1638000</v>
      </c>
      <c r="Z31" s="3351">
        <f>$Y31*$AA$8</f>
        <v>1638000</v>
      </c>
      <c r="AA31" s="3351"/>
      <c r="AB31" s="1106">
        <f>NDK!$B31</f>
        <v>0</v>
      </c>
      <c r="AC31" s="1106">
        <f t="shared" ref="AC31:AC37" si="15">$Z31*$AB31</f>
        <v>0</v>
      </c>
      <c r="AD31" s="1117" t="s">
        <v>491</v>
      </c>
      <c r="AE31" s="441"/>
      <c r="AG31">
        <f t="shared" ref="AG31:AG37" si="16">$U31*$AF$17</f>
        <v>1638000</v>
      </c>
      <c r="AH31" s="1482">
        <f t="shared" si="1"/>
        <v>1638000</v>
      </c>
      <c r="AI31" s="2246">
        <f t="shared" si="2"/>
        <v>0</v>
      </c>
      <c r="AL31">
        <f t="shared" si="3"/>
        <v>0</v>
      </c>
      <c r="AN31" s="1117" t="s">
        <v>491</v>
      </c>
      <c r="AO31" s="3121">
        <v>3884424</v>
      </c>
      <c r="AP31" s="2246">
        <f t="shared" si="4"/>
        <v>3884424</v>
      </c>
      <c r="AR31" s="3122">
        <v>1410000</v>
      </c>
      <c r="AS31" s="3122">
        <v>1410000</v>
      </c>
      <c r="AT31">
        <f t="shared" si="0"/>
        <v>1410000</v>
      </c>
      <c r="AU31">
        <f t="shared" si="5"/>
        <v>0</v>
      </c>
      <c r="AV31">
        <f t="shared" si="6"/>
        <v>0</v>
      </c>
      <c r="AW31" s="3075">
        <v>302424</v>
      </c>
      <c r="AX31">
        <f t="shared" si="7"/>
        <v>302424</v>
      </c>
      <c r="BA31" s="1117" t="s">
        <v>491</v>
      </c>
      <c r="BD31" s="2844">
        <v>0.59</v>
      </c>
    </row>
    <row r="32" spans="1:56">
      <c r="A32">
        <v>1046</v>
      </c>
      <c r="B32"/>
      <c r="C32">
        <v>1</v>
      </c>
      <c r="D32" s="114" t="s">
        <v>492</v>
      </c>
      <c r="E32" s="2493">
        <v>2400000</v>
      </c>
      <c r="F32" s="2493">
        <v>2400000</v>
      </c>
      <c r="G32" s="2493">
        <v>100</v>
      </c>
      <c r="H32" s="2844">
        <v>0.52</v>
      </c>
      <c r="I32" s="2844">
        <v>0.65</v>
      </c>
      <c r="J32" s="2844">
        <v>0.78</v>
      </c>
      <c r="K32" s="2844">
        <v>0.59</v>
      </c>
      <c r="L32" s="2546">
        <v>2.5</v>
      </c>
      <c r="M32" s="2546">
        <v>3</v>
      </c>
      <c r="N32" s="2546">
        <v>2</v>
      </c>
      <c r="O32" s="2546">
        <v>3</v>
      </c>
      <c r="P32" s="2546">
        <v>4</v>
      </c>
      <c r="Q32" s="3351">
        <f t="shared" si="8"/>
        <v>2400000</v>
      </c>
      <c r="R32" s="1106">
        <f t="shared" si="9"/>
        <v>0.59</v>
      </c>
      <c r="S32" s="3366">
        <f t="shared" si="10"/>
        <v>0.65</v>
      </c>
      <c r="T32" s="3369">
        <f>IF(KÉRDÉSEK!$C$28&gt;1,GROUPAMA!$AF$4,GROUPAMA!$S32)</f>
        <v>0.65</v>
      </c>
      <c r="U32" s="3351">
        <f t="shared" si="11"/>
        <v>1560000</v>
      </c>
      <c r="V32" s="3351">
        <f t="shared" si="12"/>
        <v>1638000</v>
      </c>
      <c r="W32" s="3351">
        <f t="shared" si="13"/>
        <v>1638000</v>
      </c>
      <c r="X32" s="3351">
        <v>1248000</v>
      </c>
      <c r="Y32" s="3351">
        <f t="shared" si="14"/>
        <v>1638000</v>
      </c>
      <c r="Z32" s="3351">
        <f>$Y32*$AA$8</f>
        <v>1638000</v>
      </c>
      <c r="AA32" s="3351"/>
      <c r="AB32" s="1106">
        <f>NDK!$B32</f>
        <v>0</v>
      </c>
      <c r="AC32" s="1106">
        <f t="shared" si="15"/>
        <v>0</v>
      </c>
      <c r="AD32" s="1117" t="s">
        <v>492</v>
      </c>
      <c r="AE32" s="441"/>
      <c r="AG32">
        <f t="shared" si="16"/>
        <v>1638000</v>
      </c>
      <c r="AH32" s="1482">
        <f t="shared" si="1"/>
        <v>1638000</v>
      </c>
      <c r="AI32" s="2246">
        <f t="shared" si="2"/>
        <v>0</v>
      </c>
      <c r="AL32">
        <f t="shared" si="3"/>
        <v>0</v>
      </c>
      <c r="AN32" s="1117" t="s">
        <v>492</v>
      </c>
      <c r="AO32" s="3121">
        <v>3884424</v>
      </c>
      <c r="AP32" s="2246">
        <f t="shared" si="4"/>
        <v>3884424</v>
      </c>
      <c r="AR32" s="3122">
        <v>1410000</v>
      </c>
      <c r="AS32" s="3122">
        <v>1410000</v>
      </c>
      <c r="AT32">
        <f t="shared" si="0"/>
        <v>1410000</v>
      </c>
      <c r="AU32">
        <f t="shared" si="5"/>
        <v>0</v>
      </c>
      <c r="AV32">
        <f t="shared" si="6"/>
        <v>0</v>
      </c>
      <c r="AW32" s="3075">
        <v>302424</v>
      </c>
      <c r="AX32">
        <f t="shared" si="7"/>
        <v>302424</v>
      </c>
      <c r="BA32" s="1117" t="s">
        <v>492</v>
      </c>
      <c r="BD32" s="2844">
        <v>0.59</v>
      </c>
    </row>
    <row r="33" spans="1:56">
      <c r="A33">
        <v>1047</v>
      </c>
      <c r="B33"/>
      <c r="C33">
        <v>1</v>
      </c>
      <c r="D33" s="114" t="s">
        <v>1179</v>
      </c>
      <c r="E33" s="2493">
        <v>33384</v>
      </c>
      <c r="F33" s="2493">
        <v>33384</v>
      </c>
      <c r="G33" s="2493">
        <v>100</v>
      </c>
      <c r="H33" s="2844">
        <v>0.78</v>
      </c>
      <c r="I33" s="2844">
        <v>0.91</v>
      </c>
      <c r="J33" s="2844">
        <v>0.91</v>
      </c>
      <c r="K33" s="2844">
        <v>0.65</v>
      </c>
      <c r="L33" s="2546">
        <v>2.5</v>
      </c>
      <c r="M33" s="2546">
        <v>3</v>
      </c>
      <c r="N33" s="2546">
        <v>1</v>
      </c>
      <c r="O33" s="2546">
        <v>3</v>
      </c>
      <c r="P33" s="2546">
        <v>4</v>
      </c>
      <c r="Q33" s="3351">
        <f t="shared" si="8"/>
        <v>33384</v>
      </c>
      <c r="R33" s="1106">
        <f t="shared" si="9"/>
        <v>0.65</v>
      </c>
      <c r="S33" s="3366">
        <f t="shared" si="10"/>
        <v>0.91</v>
      </c>
      <c r="T33" s="3369">
        <f>IF(KÉRDÉSEK!$C$28&gt;1,GROUPAMA!$AF$4,GROUPAMA!$S33)</f>
        <v>0.91</v>
      </c>
      <c r="U33" s="3351">
        <f t="shared" si="11"/>
        <v>30379.440000000002</v>
      </c>
      <c r="V33" s="3351">
        <f t="shared" si="12"/>
        <v>31898.412000000004</v>
      </c>
      <c r="W33" s="3351">
        <f t="shared" si="13"/>
        <v>31896</v>
      </c>
      <c r="X33" s="3351">
        <v>14292</v>
      </c>
      <c r="Y33" s="3351">
        <f t="shared" si="14"/>
        <v>31896</v>
      </c>
      <c r="Z33" s="3351">
        <f>$Y33</f>
        <v>31896</v>
      </c>
      <c r="AA33" s="3351"/>
      <c r="AB33" s="1106">
        <f>NDK!$B33</f>
        <v>0</v>
      </c>
      <c r="AC33" s="1106">
        <f t="shared" si="15"/>
        <v>0</v>
      </c>
      <c r="AD33" s="1117" t="s">
        <v>1179</v>
      </c>
      <c r="AE33" s="441"/>
      <c r="AG33">
        <f t="shared" si="16"/>
        <v>31898.412000000004</v>
      </c>
      <c r="AH33" s="1482">
        <f t="shared" si="1"/>
        <v>31896</v>
      </c>
      <c r="AI33" s="2246">
        <f t="shared" si="2"/>
        <v>0</v>
      </c>
      <c r="AL33">
        <f t="shared" si="3"/>
        <v>0</v>
      </c>
      <c r="AN33" s="1117" t="s">
        <v>1179</v>
      </c>
      <c r="AO33" s="3121">
        <v>13356</v>
      </c>
      <c r="AP33" s="2246">
        <f t="shared" si="4"/>
        <v>31896</v>
      </c>
      <c r="AR33" s="3122">
        <v>17040</v>
      </c>
      <c r="AS33" s="3122">
        <v>17040</v>
      </c>
      <c r="AT33">
        <f t="shared" si="0"/>
        <v>17040</v>
      </c>
      <c r="AU33">
        <f t="shared" si="5"/>
        <v>0</v>
      </c>
      <c r="AV33">
        <f t="shared" si="6"/>
        <v>0</v>
      </c>
      <c r="AW33" s="3075">
        <v>7800</v>
      </c>
      <c r="AX33">
        <f t="shared" si="7"/>
        <v>7800</v>
      </c>
      <c r="BA33" s="1117" t="s">
        <v>1179</v>
      </c>
      <c r="BD33" s="2844">
        <v>0.65</v>
      </c>
    </row>
    <row r="34" spans="1:56">
      <c r="A34">
        <v>1048</v>
      </c>
      <c r="B34"/>
      <c r="C34">
        <v>1</v>
      </c>
      <c r="D34" s="114" t="s">
        <v>3074</v>
      </c>
      <c r="E34" s="2493">
        <v>19836</v>
      </c>
      <c r="F34" s="2493">
        <v>19836</v>
      </c>
      <c r="G34" s="2493">
        <v>100</v>
      </c>
      <c r="H34" s="2844">
        <v>0.78</v>
      </c>
      <c r="I34" s="2844">
        <v>1.3</v>
      </c>
      <c r="J34" s="2844">
        <v>1.04</v>
      </c>
      <c r="K34" s="2844">
        <v>0.78</v>
      </c>
      <c r="L34" s="2546">
        <v>1</v>
      </c>
      <c r="M34" s="2546">
        <v>3</v>
      </c>
      <c r="N34" s="2546">
        <v>2</v>
      </c>
      <c r="O34" s="2546">
        <v>3</v>
      </c>
      <c r="P34" s="2546">
        <v>4</v>
      </c>
      <c r="Q34" s="3351">
        <f t="shared" si="8"/>
        <v>19836</v>
      </c>
      <c r="R34" s="1106">
        <f t="shared" si="9"/>
        <v>0.78</v>
      </c>
      <c r="S34" s="3366">
        <f t="shared" si="10"/>
        <v>1.3</v>
      </c>
      <c r="T34" s="3369">
        <f>IF(KÉRDÉSEK!$C$28&gt;1,GROUPAMA!$AF$4,GROUPAMA!$S34)</f>
        <v>1.3</v>
      </c>
      <c r="U34" s="3351">
        <f t="shared" si="11"/>
        <v>25786.799999999999</v>
      </c>
      <c r="V34" s="3351">
        <f t="shared" si="12"/>
        <v>27076.14</v>
      </c>
      <c r="W34" s="3351">
        <f t="shared" si="13"/>
        <v>27072</v>
      </c>
      <c r="X34" s="3351">
        <v>10728</v>
      </c>
      <c r="Y34" s="3351">
        <f t="shared" si="14"/>
        <v>27072</v>
      </c>
      <c r="Z34" s="3351">
        <f>$Y34</f>
        <v>27072</v>
      </c>
      <c r="AA34" s="3351"/>
      <c r="AB34" s="1106">
        <f>NDK!$B34</f>
        <v>0</v>
      </c>
      <c r="AC34" s="1106">
        <f t="shared" si="15"/>
        <v>0</v>
      </c>
      <c r="AD34" s="1117" t="s">
        <v>3074</v>
      </c>
      <c r="AE34" s="441"/>
      <c r="AG34">
        <f t="shared" si="16"/>
        <v>27076.14</v>
      </c>
      <c r="AH34" s="1482">
        <f t="shared" si="1"/>
        <v>27072</v>
      </c>
      <c r="AI34" s="2246">
        <f t="shared" si="2"/>
        <v>0</v>
      </c>
      <c r="AL34">
        <f t="shared" si="3"/>
        <v>0</v>
      </c>
      <c r="AN34" s="1117" t="s">
        <v>3074</v>
      </c>
      <c r="AO34" s="3121">
        <v>10020</v>
      </c>
      <c r="AP34" s="2246">
        <f t="shared" si="4"/>
        <v>27072</v>
      </c>
      <c r="AR34" s="3122">
        <v>13200</v>
      </c>
      <c r="AS34" s="3122">
        <v>13200</v>
      </c>
      <c r="AT34">
        <f t="shared" si="0"/>
        <v>13200</v>
      </c>
      <c r="AU34">
        <f t="shared" si="5"/>
        <v>0</v>
      </c>
      <c r="AV34">
        <f t="shared" si="6"/>
        <v>0</v>
      </c>
      <c r="AW34" s="3075">
        <v>4680</v>
      </c>
      <c r="AX34">
        <f t="shared" si="7"/>
        <v>4680</v>
      </c>
      <c r="BA34" s="1117" t="s">
        <v>3074</v>
      </c>
      <c r="BD34" s="2844">
        <v>0.78</v>
      </c>
    </row>
    <row r="35" spans="1:56">
      <c r="A35">
        <v>1051</v>
      </c>
      <c r="B35"/>
      <c r="C35">
        <v>2</v>
      </c>
      <c r="D35" s="114" t="s">
        <v>1234</v>
      </c>
      <c r="E35" s="2493">
        <v>26412</v>
      </c>
      <c r="F35" s="2493">
        <v>26412</v>
      </c>
      <c r="G35" s="2493">
        <v>100</v>
      </c>
      <c r="H35" s="2844">
        <v>0.78</v>
      </c>
      <c r="I35" s="2844">
        <v>1.3</v>
      </c>
      <c r="J35" s="2844">
        <v>1.04</v>
      </c>
      <c r="K35" s="2844">
        <v>0.78</v>
      </c>
      <c r="L35" s="2546">
        <v>1</v>
      </c>
      <c r="M35" s="2546">
        <v>3</v>
      </c>
      <c r="N35" s="2546">
        <v>2</v>
      </c>
      <c r="O35" s="2546">
        <v>3</v>
      </c>
      <c r="P35" s="2546">
        <v>4</v>
      </c>
      <c r="Q35" s="3351">
        <f t="shared" si="8"/>
        <v>26412</v>
      </c>
      <c r="R35" s="1106">
        <f t="shared" si="9"/>
        <v>0.78</v>
      </c>
      <c r="S35" s="3366">
        <f t="shared" si="10"/>
        <v>1.3</v>
      </c>
      <c r="T35" s="3369">
        <f>IF(KÉRDÉSEK!$C$28&gt;1,GROUPAMA!$AF$4,GROUPAMA!$S35)</f>
        <v>1.3</v>
      </c>
      <c r="U35" s="3351">
        <f t="shared" si="11"/>
        <v>34335.599999999999</v>
      </c>
      <c r="V35" s="3351">
        <f t="shared" si="12"/>
        <v>36052.379999999997</v>
      </c>
      <c r="W35" s="3351">
        <f t="shared" si="13"/>
        <v>36048</v>
      </c>
      <c r="X35" s="3351">
        <v>14292</v>
      </c>
      <c r="Y35" s="3351">
        <f t="shared" si="14"/>
        <v>36048</v>
      </c>
      <c r="Z35" s="3351">
        <f>$Y35</f>
        <v>36048</v>
      </c>
      <c r="AA35" s="3351"/>
      <c r="AB35" s="1106">
        <f>NDK!$B35</f>
        <v>0</v>
      </c>
      <c r="AC35" s="1106">
        <f t="shared" si="15"/>
        <v>0</v>
      </c>
      <c r="AD35" s="1117" t="s">
        <v>1234</v>
      </c>
      <c r="AE35" s="441"/>
      <c r="AG35">
        <f t="shared" si="16"/>
        <v>36052.379999999997</v>
      </c>
      <c r="AH35" s="1482">
        <f t="shared" si="1"/>
        <v>36048</v>
      </c>
      <c r="AI35" s="2246">
        <f t="shared" si="2"/>
        <v>0</v>
      </c>
      <c r="AL35">
        <f t="shared" si="3"/>
        <v>0</v>
      </c>
      <c r="AN35" s="1117" t="s">
        <v>1234</v>
      </c>
      <c r="AO35" s="3121">
        <v>13356</v>
      </c>
      <c r="AP35" s="2246">
        <f t="shared" si="4"/>
        <v>36048</v>
      </c>
      <c r="AR35" s="3122">
        <v>17592</v>
      </c>
      <c r="AS35" s="3122">
        <v>17592</v>
      </c>
      <c r="AT35">
        <f t="shared" si="0"/>
        <v>17592</v>
      </c>
      <c r="AU35">
        <f t="shared" si="5"/>
        <v>0</v>
      </c>
      <c r="AV35">
        <f t="shared" si="6"/>
        <v>0</v>
      </c>
      <c r="AW35" s="3075">
        <v>5460</v>
      </c>
      <c r="AX35">
        <f t="shared" si="7"/>
        <v>5460</v>
      </c>
      <c r="BA35" s="1117" t="s">
        <v>1234</v>
      </c>
      <c r="BD35" s="2844">
        <v>0.78</v>
      </c>
    </row>
    <row r="36" spans="1:56">
      <c r="A36">
        <v>1052</v>
      </c>
      <c r="B36"/>
      <c r="C36">
        <v>2</v>
      </c>
      <c r="D36" s="114" t="s">
        <v>1235</v>
      </c>
      <c r="E36" s="2493">
        <v>41304</v>
      </c>
      <c r="F36" s="2493">
        <v>41304</v>
      </c>
      <c r="G36" s="2493">
        <v>100</v>
      </c>
      <c r="H36" s="2844">
        <v>0.78</v>
      </c>
      <c r="I36" s="2844">
        <v>1.3</v>
      </c>
      <c r="J36" s="2844">
        <v>1.04</v>
      </c>
      <c r="K36" s="2844">
        <v>0.78</v>
      </c>
      <c r="L36" s="2546">
        <v>1</v>
      </c>
      <c r="M36" s="2546">
        <v>3</v>
      </c>
      <c r="N36" s="2546">
        <v>2</v>
      </c>
      <c r="O36" s="2546">
        <v>3</v>
      </c>
      <c r="P36" s="2546">
        <v>4</v>
      </c>
      <c r="Q36" s="3351">
        <f t="shared" si="8"/>
        <v>41304</v>
      </c>
      <c r="R36" s="1106">
        <f t="shared" si="9"/>
        <v>0.78</v>
      </c>
      <c r="S36" s="3366">
        <f t="shared" si="10"/>
        <v>1.3</v>
      </c>
      <c r="T36" s="3369">
        <f>IF(KÉRDÉSEK!$C$28&gt;1,GROUPAMA!$AF$4,GROUPAMA!$S36)</f>
        <v>1.3</v>
      </c>
      <c r="U36" s="3351">
        <f t="shared" si="11"/>
        <v>53695.200000000004</v>
      </c>
      <c r="V36" s="3351">
        <f t="shared" si="12"/>
        <v>56379.960000000006</v>
      </c>
      <c r="W36" s="3351">
        <f t="shared" si="13"/>
        <v>56376</v>
      </c>
      <c r="X36" s="3351">
        <v>22332</v>
      </c>
      <c r="Y36" s="3351">
        <f t="shared" si="14"/>
        <v>56376</v>
      </c>
      <c r="Z36" s="3351">
        <f>$Y36</f>
        <v>56376</v>
      </c>
      <c r="AA36" s="3351"/>
      <c r="AB36" s="1106">
        <f>NDK!$B36</f>
        <v>0</v>
      </c>
      <c r="AC36" s="1106">
        <f t="shared" si="15"/>
        <v>0</v>
      </c>
      <c r="AD36" s="1117" t="s">
        <v>1235</v>
      </c>
      <c r="AE36" s="441"/>
      <c r="AG36">
        <f t="shared" si="16"/>
        <v>56379.960000000006</v>
      </c>
      <c r="AH36" s="1482">
        <f t="shared" si="1"/>
        <v>56376</v>
      </c>
      <c r="AI36" s="2246">
        <f t="shared" si="2"/>
        <v>0</v>
      </c>
      <c r="AL36">
        <f t="shared" si="3"/>
        <v>0</v>
      </c>
      <c r="AN36" s="1117" t="s">
        <v>1235</v>
      </c>
      <c r="AO36" s="3121">
        <v>20868</v>
      </c>
      <c r="AP36" s="2246">
        <f t="shared" si="4"/>
        <v>56376</v>
      </c>
      <c r="AR36" s="3122">
        <v>27492</v>
      </c>
      <c r="AS36" s="3122">
        <v>27492</v>
      </c>
      <c r="AT36">
        <f t="shared" si="0"/>
        <v>27492</v>
      </c>
      <c r="AU36">
        <f t="shared" si="5"/>
        <v>0</v>
      </c>
      <c r="AV36">
        <f t="shared" si="6"/>
        <v>0</v>
      </c>
      <c r="AW36" s="3075">
        <v>10920</v>
      </c>
      <c r="AX36">
        <f t="shared" si="7"/>
        <v>10920</v>
      </c>
      <c r="BA36" s="1117" t="s">
        <v>1235</v>
      </c>
      <c r="BD36" s="2844">
        <v>0.78</v>
      </c>
    </row>
    <row r="37" spans="1:56">
      <c r="A37">
        <v>1053</v>
      </c>
      <c r="B37"/>
      <c r="C37">
        <v>2</v>
      </c>
      <c r="D37" s="114" t="s">
        <v>1236</v>
      </c>
      <c r="E37" s="2493">
        <v>82608</v>
      </c>
      <c r="F37" s="2493">
        <v>82608</v>
      </c>
      <c r="G37" s="2493">
        <v>100</v>
      </c>
      <c r="H37" s="2844">
        <v>0.78</v>
      </c>
      <c r="I37" s="2844">
        <v>1.3</v>
      </c>
      <c r="J37" s="2844">
        <v>1.04</v>
      </c>
      <c r="K37" s="2844">
        <v>0.78</v>
      </c>
      <c r="L37" s="2546">
        <v>1</v>
      </c>
      <c r="M37" s="2546">
        <v>3</v>
      </c>
      <c r="N37" s="2546">
        <v>2</v>
      </c>
      <c r="O37" s="2546">
        <v>3</v>
      </c>
      <c r="P37" s="2546">
        <v>4</v>
      </c>
      <c r="Q37" s="3351">
        <f t="shared" si="8"/>
        <v>82608</v>
      </c>
      <c r="R37" s="1106">
        <f t="shared" si="9"/>
        <v>0.78</v>
      </c>
      <c r="S37" s="3366">
        <f t="shared" si="10"/>
        <v>1.3</v>
      </c>
      <c r="T37" s="3369">
        <f>IF(KÉRDÉSEK!$C$28&gt;1,GROUPAMA!$AF$4,GROUPAMA!$S37)</f>
        <v>1.3</v>
      </c>
      <c r="U37" s="3351">
        <f t="shared" si="11"/>
        <v>107390.40000000001</v>
      </c>
      <c r="V37" s="3351">
        <f t="shared" si="12"/>
        <v>112759.92000000001</v>
      </c>
      <c r="W37" s="3351">
        <f t="shared" si="13"/>
        <v>112752</v>
      </c>
      <c r="X37" s="3351">
        <v>44664</v>
      </c>
      <c r="Y37" s="3351">
        <f t="shared" si="14"/>
        <v>112752</v>
      </c>
      <c r="Z37" s="3351">
        <f>$Y37</f>
        <v>112752</v>
      </c>
      <c r="AA37" s="3351"/>
      <c r="AB37" s="1106">
        <f>NDK!$B37</f>
        <v>0</v>
      </c>
      <c r="AC37" s="1106">
        <f t="shared" si="15"/>
        <v>0</v>
      </c>
      <c r="AD37" s="1117" t="s">
        <v>1236</v>
      </c>
      <c r="AE37" s="441"/>
      <c r="AG37">
        <f t="shared" si="16"/>
        <v>112759.92000000001</v>
      </c>
      <c r="AH37" s="1482">
        <f t="shared" si="1"/>
        <v>112752</v>
      </c>
      <c r="AI37" s="2246">
        <f t="shared" si="2"/>
        <v>0</v>
      </c>
      <c r="AL37">
        <f t="shared" si="3"/>
        <v>0</v>
      </c>
      <c r="AN37" s="1117" t="s">
        <v>1236</v>
      </c>
      <c r="AO37" s="3121">
        <v>41736</v>
      </c>
      <c r="AP37" s="2246">
        <f t="shared" si="4"/>
        <v>112752</v>
      </c>
      <c r="AR37" s="3122">
        <v>54984</v>
      </c>
      <c r="AS37" s="3122">
        <v>54984</v>
      </c>
      <c r="AT37">
        <f t="shared" si="0"/>
        <v>54984</v>
      </c>
      <c r="AU37">
        <f t="shared" si="5"/>
        <v>0</v>
      </c>
      <c r="AV37">
        <f t="shared" si="6"/>
        <v>0</v>
      </c>
      <c r="AW37" s="3075">
        <v>15600</v>
      </c>
      <c r="AX37">
        <f t="shared" si="7"/>
        <v>15600</v>
      </c>
      <c r="BA37" s="1117" t="s">
        <v>1236</v>
      </c>
      <c r="BD37" s="2844">
        <v>0.78</v>
      </c>
    </row>
    <row r="38" spans="1:56">
      <c r="A38">
        <v>1054</v>
      </c>
      <c r="B38"/>
      <c r="C38">
        <v>2</v>
      </c>
      <c r="D38" s="258" t="s">
        <v>2710</v>
      </c>
      <c r="L38" s="2576"/>
      <c r="M38" s="2576"/>
      <c r="N38" s="2576"/>
      <c r="O38" s="2576"/>
      <c r="P38" s="2576"/>
      <c r="Q38" s="3351"/>
      <c r="R38" s="1106"/>
      <c r="S38" s="1106"/>
      <c r="T38" s="3370"/>
      <c r="U38" s="3351"/>
      <c r="V38" s="3351"/>
      <c r="W38" s="3351"/>
      <c r="X38" s="3351"/>
      <c r="Y38" s="3351"/>
      <c r="Z38" s="3351"/>
      <c r="AA38" s="3351"/>
      <c r="AB38" s="1106"/>
      <c r="AC38" s="1106"/>
      <c r="AD38" s="1120"/>
      <c r="AE38" s="441"/>
      <c r="AH38" s="1482">
        <f t="shared" si="1"/>
        <v>0</v>
      </c>
      <c r="AI38" s="2246">
        <f t="shared" si="2"/>
        <v>0</v>
      </c>
      <c r="AL38">
        <f t="shared" si="3"/>
        <v>0</v>
      </c>
      <c r="AN38" s="1120"/>
      <c r="AO38" s="2246"/>
      <c r="AP38" s="2246">
        <f t="shared" si="4"/>
        <v>0</v>
      </c>
      <c r="AR38" s="2246"/>
      <c r="AS38" s="2246"/>
      <c r="AT38">
        <f t="shared" si="0"/>
        <v>0</v>
      </c>
      <c r="AU38">
        <f t="shared" si="5"/>
        <v>0</v>
      </c>
      <c r="AV38">
        <f t="shared" si="6"/>
        <v>0</v>
      </c>
      <c r="AX38">
        <f t="shared" si="7"/>
        <v>0</v>
      </c>
      <c r="BA38" s="1120"/>
    </row>
    <row r="39" spans="1:56">
      <c r="A39">
        <v>1055</v>
      </c>
      <c r="B39"/>
      <c r="C39">
        <v>2</v>
      </c>
      <c r="D39" s="114" t="s">
        <v>1237</v>
      </c>
      <c r="L39" s="2576"/>
      <c r="M39" s="2576"/>
      <c r="N39" s="2576"/>
      <c r="O39" s="2576"/>
      <c r="P39" s="2576"/>
      <c r="Q39" s="3351"/>
      <c r="R39" s="1106"/>
      <c r="S39" s="1106"/>
      <c r="T39" s="3370"/>
      <c r="U39" s="3351"/>
      <c r="V39" s="3351"/>
      <c r="W39" s="3351"/>
      <c r="X39" s="3351"/>
      <c r="Y39" s="3351"/>
      <c r="Z39" s="3351"/>
      <c r="AA39" s="3351"/>
      <c r="AB39" s="1106"/>
      <c r="AC39" s="1106"/>
      <c r="AD39" s="1117" t="s">
        <v>1237</v>
      </c>
      <c r="AE39" s="441"/>
      <c r="AH39" s="1482">
        <f t="shared" si="1"/>
        <v>0</v>
      </c>
      <c r="AI39" s="2246">
        <f t="shared" si="2"/>
        <v>0</v>
      </c>
      <c r="AL39">
        <f t="shared" si="3"/>
        <v>0</v>
      </c>
      <c r="AN39" s="1117" t="s">
        <v>1237</v>
      </c>
      <c r="AO39" s="2246"/>
      <c r="AP39" s="2246">
        <f t="shared" si="4"/>
        <v>0</v>
      </c>
      <c r="AR39" s="2246"/>
      <c r="AS39" s="2246"/>
      <c r="AT39">
        <f t="shared" si="0"/>
        <v>0</v>
      </c>
      <c r="AU39">
        <f t="shared" si="5"/>
        <v>0</v>
      </c>
      <c r="AV39">
        <f t="shared" si="6"/>
        <v>0</v>
      </c>
      <c r="AX39">
        <f t="shared" si="7"/>
        <v>0</v>
      </c>
      <c r="BA39" s="1117" t="s">
        <v>1237</v>
      </c>
    </row>
    <row r="40" spans="1:56">
      <c r="A40">
        <v>1056</v>
      </c>
      <c r="B40"/>
      <c r="C40">
        <v>2</v>
      </c>
      <c r="D40" s="114" t="s">
        <v>1238</v>
      </c>
      <c r="E40" s="2493">
        <v>12258</v>
      </c>
      <c r="F40" s="2493">
        <v>12258</v>
      </c>
      <c r="G40" s="2493">
        <v>100</v>
      </c>
      <c r="H40" s="2844">
        <v>0.78</v>
      </c>
      <c r="I40" s="2844">
        <v>1.3</v>
      </c>
      <c r="J40" s="2844">
        <v>1.04</v>
      </c>
      <c r="K40" s="2844">
        <v>0.78</v>
      </c>
      <c r="L40" s="2546">
        <v>1</v>
      </c>
      <c r="M40" s="2546">
        <v>3</v>
      </c>
      <c r="N40" s="2546">
        <v>2</v>
      </c>
      <c r="O40" s="2546">
        <v>3</v>
      </c>
      <c r="P40" s="2546">
        <v>4</v>
      </c>
      <c r="Q40" s="3351">
        <f>IF($B$2&gt;5,$F40,$E40)</f>
        <v>12258</v>
      </c>
      <c r="R40" s="1106">
        <f t="shared" ref="R40:R47" si="17">IF($B$2=0,$BD40,$K40)</f>
        <v>0.78</v>
      </c>
      <c r="S40" s="3366">
        <f>IF($P$62=$Q$63,1,VLOOKUP(100,$G40:$P40,$N$64,FALSE))</f>
        <v>1.3</v>
      </c>
      <c r="T40" s="3369">
        <f>IF(KÉRDÉSEK!$C$28&gt;1,GROUPAMA!$AF$4,GROUPAMA!$S40)</f>
        <v>1.3</v>
      </c>
      <c r="U40" s="3351">
        <f>$Q40*$S40</f>
        <v>15935.4</v>
      </c>
      <c r="V40" s="3351">
        <f>$U40*$AF$17</f>
        <v>16732.170000000002</v>
      </c>
      <c r="W40" s="3351">
        <f t="shared" ref="W40:W47" si="18">12*ROUNDDOWN($V40/12,0)</f>
        <v>16728</v>
      </c>
      <c r="X40" s="3351">
        <v>4920</v>
      </c>
      <c r="Y40" s="3351">
        <f>MAX($W40,$X40)</f>
        <v>16728</v>
      </c>
      <c r="Z40" s="3351">
        <f>$Y40</f>
        <v>16728</v>
      </c>
      <c r="AA40" s="3351"/>
      <c r="AB40" s="1106">
        <f>NDK!$B40</f>
        <v>0</v>
      </c>
      <c r="AC40" s="1106">
        <f>$Z40*$AB40</f>
        <v>0</v>
      </c>
      <c r="AD40" s="1117" t="s">
        <v>1238</v>
      </c>
      <c r="AE40" s="441"/>
      <c r="AG40">
        <f t="shared" ref="AG40:AG47" si="19">$U40*$AF$17</f>
        <v>16732.170000000002</v>
      </c>
      <c r="AH40" s="1482">
        <f t="shared" si="1"/>
        <v>16728</v>
      </c>
      <c r="AI40" s="2246">
        <f t="shared" si="2"/>
        <v>0</v>
      </c>
      <c r="AL40">
        <f t="shared" si="3"/>
        <v>0</v>
      </c>
      <c r="AN40" s="1117" t="s">
        <v>1238</v>
      </c>
      <c r="AO40" s="3121">
        <v>4596</v>
      </c>
      <c r="AP40" s="2246">
        <f t="shared" si="4"/>
        <v>16728</v>
      </c>
      <c r="AR40" s="3122">
        <v>9000</v>
      </c>
      <c r="AS40" s="3122">
        <v>9000</v>
      </c>
      <c r="AT40">
        <f t="shared" si="0"/>
        <v>9000</v>
      </c>
      <c r="AU40">
        <f t="shared" si="5"/>
        <v>0</v>
      </c>
      <c r="AV40">
        <f t="shared" si="6"/>
        <v>0</v>
      </c>
      <c r="AW40" s="3075">
        <v>3120</v>
      </c>
      <c r="AX40">
        <f t="shared" si="7"/>
        <v>3120</v>
      </c>
      <c r="BA40" s="1117" t="s">
        <v>1238</v>
      </c>
      <c r="BD40" s="2844">
        <v>0.78</v>
      </c>
    </row>
    <row r="41" spans="1:56" ht="25.5">
      <c r="A41">
        <v>1061</v>
      </c>
      <c r="B41"/>
      <c r="C41">
        <v>2</v>
      </c>
      <c r="D41" s="115" t="s">
        <v>2532</v>
      </c>
      <c r="E41" s="2493">
        <v>66768</v>
      </c>
      <c r="F41" s="2493">
        <v>66768</v>
      </c>
      <c r="G41" s="2493">
        <v>100</v>
      </c>
      <c r="H41" s="2844">
        <v>0.78</v>
      </c>
      <c r="I41" s="2844">
        <v>1.3</v>
      </c>
      <c r="J41" s="2844">
        <v>1.04</v>
      </c>
      <c r="K41" s="2844">
        <v>0.78</v>
      </c>
      <c r="L41" s="2546">
        <v>1</v>
      </c>
      <c r="M41" s="2546">
        <v>3</v>
      </c>
      <c r="N41" s="2546">
        <v>2</v>
      </c>
      <c r="O41" s="2546">
        <v>3</v>
      </c>
      <c r="P41" s="2546">
        <v>4</v>
      </c>
      <c r="Q41" s="3351">
        <f t="shared" ref="Q41:Q47" si="20">IF($B$2&gt;5,$F41,$E41)</f>
        <v>66768</v>
      </c>
      <c r="R41" s="1106">
        <f t="shared" si="17"/>
        <v>0.78</v>
      </c>
      <c r="S41" s="3366">
        <f t="shared" ref="S41:S47" si="21">IF($P$62=$Q$63,1,VLOOKUP(100,$G41:$P41,$N$64,FALSE))</f>
        <v>1.3</v>
      </c>
      <c r="T41" s="3369">
        <f>IF(KÉRDÉSEK!$C$28&gt;1,GROUPAMA!$AF$4,GROUPAMA!$S41)</f>
        <v>1.3</v>
      </c>
      <c r="U41" s="3351">
        <f t="shared" ref="U41:U47" si="22">$Q41*$S41</f>
        <v>86798.400000000009</v>
      </c>
      <c r="V41" s="3351">
        <f t="shared" ref="V41:V47" si="23">$U41*$AF$17</f>
        <v>91138.32</v>
      </c>
      <c r="W41" s="3351">
        <f t="shared" si="18"/>
        <v>91128</v>
      </c>
      <c r="X41" s="3351">
        <v>35724</v>
      </c>
      <c r="Y41" s="3351">
        <f t="shared" ref="Y41:Y47" si="24">MAX($W41,$X41)</f>
        <v>91128</v>
      </c>
      <c r="Z41" s="3351">
        <f>$Y41</f>
        <v>91128</v>
      </c>
      <c r="AA41" s="3351"/>
      <c r="AB41" s="1106">
        <f>NDK!$B41</f>
        <v>0</v>
      </c>
      <c r="AC41" s="1106">
        <f t="shared" ref="AC41:AC47" si="25">$Z41*$AB41</f>
        <v>0</v>
      </c>
      <c r="AD41" s="1123" t="s">
        <v>2532</v>
      </c>
      <c r="AE41" s="441"/>
      <c r="AG41">
        <f t="shared" si="19"/>
        <v>91138.32</v>
      </c>
      <c r="AH41" s="1482">
        <f t="shared" si="1"/>
        <v>91128</v>
      </c>
      <c r="AI41" s="2246">
        <f t="shared" si="2"/>
        <v>0</v>
      </c>
      <c r="AL41">
        <f t="shared" si="3"/>
        <v>0</v>
      </c>
      <c r="AN41" s="1123" t="s">
        <v>2532</v>
      </c>
      <c r="AO41" s="3121">
        <v>33384</v>
      </c>
      <c r="AP41" s="2246">
        <f t="shared" si="4"/>
        <v>91128</v>
      </c>
      <c r="AR41" s="3122">
        <v>48000</v>
      </c>
      <c r="AS41" s="3122">
        <v>48000</v>
      </c>
      <c r="AT41">
        <f t="shared" si="0"/>
        <v>48000</v>
      </c>
      <c r="AU41">
        <f t="shared" si="5"/>
        <v>0</v>
      </c>
      <c r="AV41">
        <f t="shared" si="6"/>
        <v>0</v>
      </c>
      <c r="AW41" s="3075">
        <v>36000</v>
      </c>
      <c r="AX41">
        <f t="shared" si="7"/>
        <v>36000</v>
      </c>
      <c r="BA41" s="1123" t="s">
        <v>2532</v>
      </c>
      <c r="BD41" s="2844">
        <v>0.78</v>
      </c>
    </row>
    <row r="42" spans="1:56">
      <c r="A42">
        <v>1062</v>
      </c>
      <c r="B42"/>
      <c r="C42">
        <v>2</v>
      </c>
      <c r="D42" s="106" t="s">
        <v>493</v>
      </c>
      <c r="E42" s="2493">
        <v>29220</v>
      </c>
      <c r="F42" s="2493">
        <v>29220</v>
      </c>
      <c r="G42" s="2493">
        <v>100</v>
      </c>
      <c r="H42" s="2844">
        <v>0.78</v>
      </c>
      <c r="I42" s="2844">
        <v>0.91</v>
      </c>
      <c r="J42" s="2844">
        <v>0.91</v>
      </c>
      <c r="K42" s="2844">
        <v>0.65</v>
      </c>
      <c r="L42" s="2546">
        <v>2.5</v>
      </c>
      <c r="M42" s="2546">
        <v>3</v>
      </c>
      <c r="N42" s="2546">
        <v>1</v>
      </c>
      <c r="O42" s="2546">
        <v>3</v>
      </c>
      <c r="P42" s="2546">
        <v>4</v>
      </c>
      <c r="Q42" s="3351">
        <f t="shared" si="20"/>
        <v>29220</v>
      </c>
      <c r="R42" s="1106">
        <f t="shared" si="17"/>
        <v>0.65</v>
      </c>
      <c r="S42" s="3366">
        <f t="shared" si="21"/>
        <v>0.91</v>
      </c>
      <c r="T42" s="3369">
        <f>IF(KÉRDÉSEK!$C$28&gt;1,GROUPAMA!$AF$4,GROUPAMA!$S42)</f>
        <v>0.91</v>
      </c>
      <c r="U42" s="3351">
        <f t="shared" si="22"/>
        <v>26590.2</v>
      </c>
      <c r="V42" s="3351">
        <f t="shared" si="23"/>
        <v>27919.710000000003</v>
      </c>
      <c r="W42" s="3351">
        <f t="shared" si="18"/>
        <v>27912</v>
      </c>
      <c r="X42" s="3351">
        <v>14292</v>
      </c>
      <c r="Y42" s="3351">
        <f t="shared" si="24"/>
        <v>27912</v>
      </c>
      <c r="Z42" s="3351">
        <f>$Y42</f>
        <v>27912</v>
      </c>
      <c r="AA42" s="3351"/>
      <c r="AB42" s="1106">
        <f>NDK!$B42</f>
        <v>0</v>
      </c>
      <c r="AC42" s="1106">
        <f t="shared" si="25"/>
        <v>0</v>
      </c>
      <c r="AD42" s="1114" t="s">
        <v>493</v>
      </c>
      <c r="AE42" s="441"/>
      <c r="AG42">
        <f t="shared" si="19"/>
        <v>27919.710000000003</v>
      </c>
      <c r="AH42" s="1482">
        <f t="shared" si="1"/>
        <v>27912</v>
      </c>
      <c r="AI42" s="2246">
        <f t="shared" si="2"/>
        <v>0</v>
      </c>
      <c r="AL42">
        <f t="shared" si="3"/>
        <v>0</v>
      </c>
      <c r="AN42" s="1114" t="s">
        <v>493</v>
      </c>
      <c r="AO42" s="3121">
        <v>13356</v>
      </c>
      <c r="AP42" s="2246">
        <f t="shared" si="4"/>
        <v>27912</v>
      </c>
      <c r="AR42" s="3122">
        <v>16500</v>
      </c>
      <c r="AS42" s="3122">
        <v>16500</v>
      </c>
      <c r="AT42">
        <f t="shared" si="0"/>
        <v>16500</v>
      </c>
      <c r="AU42">
        <f t="shared" si="5"/>
        <v>0</v>
      </c>
      <c r="AV42">
        <f t="shared" si="6"/>
        <v>0</v>
      </c>
      <c r="AW42" s="3075">
        <v>7800</v>
      </c>
      <c r="AX42">
        <f t="shared" si="7"/>
        <v>7800</v>
      </c>
      <c r="BA42" s="1114" t="s">
        <v>493</v>
      </c>
      <c r="BD42" s="2844">
        <v>0.65</v>
      </c>
    </row>
    <row r="43" spans="1:56">
      <c r="A43">
        <v>1063</v>
      </c>
      <c r="B43"/>
      <c r="C43">
        <v>2</v>
      </c>
      <c r="D43" s="106" t="s">
        <v>494</v>
      </c>
      <c r="E43" s="2493">
        <v>19836</v>
      </c>
      <c r="F43" s="2493">
        <v>19836</v>
      </c>
      <c r="G43" s="2493">
        <v>100</v>
      </c>
      <c r="H43" s="2844">
        <v>0.78</v>
      </c>
      <c r="I43" s="2844">
        <v>0.91</v>
      </c>
      <c r="J43" s="2844">
        <v>0.91</v>
      </c>
      <c r="K43" s="2844">
        <v>0.65</v>
      </c>
      <c r="L43" s="2546">
        <v>2.5</v>
      </c>
      <c r="M43" s="2546">
        <v>3</v>
      </c>
      <c r="N43" s="2546">
        <v>1</v>
      </c>
      <c r="O43" s="2546">
        <v>3</v>
      </c>
      <c r="P43" s="2546">
        <v>4</v>
      </c>
      <c r="Q43" s="3351">
        <f t="shared" si="20"/>
        <v>19836</v>
      </c>
      <c r="R43" s="1106">
        <f t="shared" si="17"/>
        <v>0.65</v>
      </c>
      <c r="S43" s="3366">
        <f t="shared" si="21"/>
        <v>0.91</v>
      </c>
      <c r="T43" s="3369">
        <f>IF(KÉRDÉSEK!$C$28&gt;1,GROUPAMA!$AF$4,GROUPAMA!$S43)</f>
        <v>0.91</v>
      </c>
      <c r="U43" s="3351">
        <f t="shared" si="22"/>
        <v>18050.760000000002</v>
      </c>
      <c r="V43" s="3351">
        <f t="shared" si="23"/>
        <v>18953.298000000003</v>
      </c>
      <c r="W43" s="3351">
        <f t="shared" si="18"/>
        <v>18948</v>
      </c>
      <c r="X43" s="3351">
        <v>8040</v>
      </c>
      <c r="Y43" s="3351">
        <f t="shared" si="24"/>
        <v>18948</v>
      </c>
      <c r="Z43" s="3351">
        <f>$Y43</f>
        <v>18948</v>
      </c>
      <c r="AA43" s="3351"/>
      <c r="AB43" s="1106">
        <f>NDK!$B43</f>
        <v>0</v>
      </c>
      <c r="AC43" s="1106">
        <f t="shared" si="25"/>
        <v>0</v>
      </c>
      <c r="AD43" s="1114" t="s">
        <v>494</v>
      </c>
      <c r="AE43" s="441"/>
      <c r="AG43">
        <f t="shared" si="19"/>
        <v>18953.298000000003</v>
      </c>
      <c r="AH43" s="1482">
        <f t="shared" si="1"/>
        <v>18948</v>
      </c>
      <c r="AI43" s="2246">
        <f t="shared" si="2"/>
        <v>0</v>
      </c>
      <c r="AL43">
        <f t="shared" si="3"/>
        <v>0</v>
      </c>
      <c r="AN43" s="1114" t="s">
        <v>494</v>
      </c>
      <c r="AO43" s="3121">
        <v>7512</v>
      </c>
      <c r="AP43" s="2246">
        <f t="shared" si="4"/>
        <v>18948</v>
      </c>
      <c r="AR43" s="3122">
        <v>13200</v>
      </c>
      <c r="AS43" s="3122">
        <v>13200</v>
      </c>
      <c r="AT43">
        <f t="shared" si="0"/>
        <v>13200</v>
      </c>
      <c r="AU43">
        <f t="shared" si="5"/>
        <v>0</v>
      </c>
      <c r="AV43">
        <f t="shared" si="6"/>
        <v>0</v>
      </c>
      <c r="AW43" s="3075">
        <v>7800</v>
      </c>
      <c r="AX43">
        <f t="shared" si="7"/>
        <v>7800</v>
      </c>
      <c r="BA43" s="1114" t="s">
        <v>494</v>
      </c>
      <c r="BD43" s="2844">
        <v>0.65</v>
      </c>
    </row>
    <row r="44" spans="1:56">
      <c r="A44">
        <v>1064</v>
      </c>
      <c r="B44"/>
      <c r="C44">
        <v>2</v>
      </c>
      <c r="D44" s="114" t="s">
        <v>1178</v>
      </c>
      <c r="E44" s="2493">
        <v>378360</v>
      </c>
      <c r="F44" s="2493">
        <v>378360</v>
      </c>
      <c r="G44" s="2493">
        <v>100</v>
      </c>
      <c r="H44" s="2844">
        <v>0.65</v>
      </c>
      <c r="I44" s="2844">
        <v>0.91</v>
      </c>
      <c r="J44" s="2844">
        <v>0.91</v>
      </c>
      <c r="K44" s="2844">
        <v>0.91</v>
      </c>
      <c r="L44" s="2546">
        <v>2.5</v>
      </c>
      <c r="M44" s="2546">
        <v>3</v>
      </c>
      <c r="N44" s="2546">
        <v>2</v>
      </c>
      <c r="O44" s="2546">
        <v>3</v>
      </c>
      <c r="P44" s="2546">
        <v>4</v>
      </c>
      <c r="Q44" s="3351">
        <f t="shared" si="20"/>
        <v>378360</v>
      </c>
      <c r="R44" s="1106">
        <f t="shared" si="17"/>
        <v>0.91</v>
      </c>
      <c r="S44" s="3366">
        <f t="shared" si="21"/>
        <v>0.91</v>
      </c>
      <c r="T44" s="3369">
        <f>IF(KÉRDÉSEK!$C$28&gt;1,GROUPAMA!$AF$4,GROUPAMA!$S44)</f>
        <v>0.91</v>
      </c>
      <c r="U44" s="3351">
        <f t="shared" si="22"/>
        <v>344307.60000000003</v>
      </c>
      <c r="V44" s="3351">
        <f t="shared" si="23"/>
        <v>361522.98000000004</v>
      </c>
      <c r="W44" s="3351">
        <f t="shared" si="18"/>
        <v>361512</v>
      </c>
      <c r="X44" s="3351">
        <v>202980</v>
      </c>
      <c r="Y44" s="3351">
        <f t="shared" si="24"/>
        <v>361512</v>
      </c>
      <c r="Z44" s="3351">
        <f>$Y44*$AA$6</f>
        <v>361512</v>
      </c>
      <c r="AA44" s="3351"/>
      <c r="AB44" s="1106">
        <f>NDK!$B44</f>
        <v>0</v>
      </c>
      <c r="AC44" s="1106">
        <f t="shared" si="25"/>
        <v>0</v>
      </c>
      <c r="AD44" s="1117" t="s">
        <v>1178</v>
      </c>
      <c r="AE44" s="441"/>
      <c r="AG44">
        <f t="shared" si="19"/>
        <v>361522.98000000004</v>
      </c>
      <c r="AH44" s="1482">
        <f t="shared" si="1"/>
        <v>361512</v>
      </c>
      <c r="AI44" s="2246">
        <f t="shared" si="2"/>
        <v>0</v>
      </c>
      <c r="AL44">
        <f t="shared" si="3"/>
        <v>0</v>
      </c>
      <c r="AN44" s="1117" t="s">
        <v>1178</v>
      </c>
      <c r="AO44" s="3121">
        <v>189696</v>
      </c>
      <c r="AP44" s="2246">
        <f t="shared" si="4"/>
        <v>361512</v>
      </c>
      <c r="AR44" s="3122">
        <v>299376</v>
      </c>
      <c r="AS44" s="3122">
        <v>299376</v>
      </c>
      <c r="AT44">
        <f t="shared" si="0"/>
        <v>299376</v>
      </c>
      <c r="AU44">
        <f t="shared" si="5"/>
        <v>0</v>
      </c>
      <c r="AV44">
        <f t="shared" si="6"/>
        <v>0</v>
      </c>
      <c r="AW44" s="3075">
        <v>124800</v>
      </c>
      <c r="AX44">
        <f t="shared" si="7"/>
        <v>124800</v>
      </c>
      <c r="BA44" s="1117" t="s">
        <v>1178</v>
      </c>
      <c r="BD44" s="2844">
        <v>0.91</v>
      </c>
    </row>
    <row r="45" spans="1:56">
      <c r="A45">
        <v>1065</v>
      </c>
      <c r="B45"/>
      <c r="C45">
        <v>2</v>
      </c>
      <c r="D45" s="114" t="s">
        <v>1239</v>
      </c>
      <c r="E45" s="2493">
        <v>706356</v>
      </c>
      <c r="F45" s="2493">
        <v>706356</v>
      </c>
      <c r="G45" s="2493">
        <v>100</v>
      </c>
      <c r="H45" s="2844">
        <v>0.65</v>
      </c>
      <c r="I45" s="2844">
        <v>0.91</v>
      </c>
      <c r="J45" s="2844">
        <v>0.91</v>
      </c>
      <c r="K45" s="2844">
        <v>0.91</v>
      </c>
      <c r="L45" s="2546">
        <v>2.5</v>
      </c>
      <c r="M45" s="2546">
        <v>3</v>
      </c>
      <c r="N45" s="2546">
        <v>2</v>
      </c>
      <c r="O45" s="2546">
        <v>3</v>
      </c>
      <c r="P45" s="2546">
        <v>4</v>
      </c>
      <c r="Q45" s="3351">
        <f t="shared" si="20"/>
        <v>706356</v>
      </c>
      <c r="R45" s="1106">
        <f t="shared" si="17"/>
        <v>0.91</v>
      </c>
      <c r="S45" s="3366">
        <f t="shared" si="21"/>
        <v>0.91</v>
      </c>
      <c r="T45" s="3369">
        <f>IF(KÉRDÉSEK!$C$28&gt;1,GROUPAMA!$AF$4,GROUPAMA!$S45)</f>
        <v>0.91</v>
      </c>
      <c r="U45" s="3351">
        <f t="shared" si="22"/>
        <v>642783.96000000008</v>
      </c>
      <c r="V45" s="3351">
        <f t="shared" si="23"/>
        <v>674923.15800000005</v>
      </c>
      <c r="W45" s="3351">
        <f t="shared" si="18"/>
        <v>674916</v>
      </c>
      <c r="X45" s="3351">
        <v>378168</v>
      </c>
      <c r="Y45" s="3351">
        <f t="shared" si="24"/>
        <v>674916</v>
      </c>
      <c r="Z45" s="3351">
        <f>$Y45*$AA$6</f>
        <v>674916</v>
      </c>
      <c r="AA45" s="3351"/>
      <c r="AB45" s="1106">
        <f>NDK!$B45</f>
        <v>0</v>
      </c>
      <c r="AC45" s="1106">
        <f t="shared" si="25"/>
        <v>0</v>
      </c>
      <c r="AD45" s="1117" t="s">
        <v>1239</v>
      </c>
      <c r="AE45" s="441"/>
      <c r="AG45">
        <f t="shared" si="19"/>
        <v>674923.15800000005</v>
      </c>
      <c r="AH45" s="1482">
        <f t="shared" si="1"/>
        <v>674916</v>
      </c>
      <c r="AI45" s="2246">
        <f t="shared" si="2"/>
        <v>0</v>
      </c>
      <c r="AL45">
        <f t="shared" si="3"/>
        <v>0</v>
      </c>
      <c r="AN45" s="1117" t="s">
        <v>1239</v>
      </c>
      <c r="AO45" s="3121">
        <v>353424</v>
      </c>
      <c r="AP45" s="2246">
        <f t="shared" si="4"/>
        <v>674916</v>
      </c>
      <c r="AR45" s="3122">
        <v>583200</v>
      </c>
      <c r="AS45" s="3122">
        <v>583200</v>
      </c>
      <c r="AT45">
        <f t="shared" si="0"/>
        <v>583200</v>
      </c>
      <c r="AU45">
        <f t="shared" si="5"/>
        <v>0</v>
      </c>
      <c r="AV45">
        <f t="shared" si="6"/>
        <v>0</v>
      </c>
      <c r="AW45" s="3075">
        <v>226296</v>
      </c>
      <c r="AX45">
        <f t="shared" si="7"/>
        <v>226296</v>
      </c>
      <c r="BA45" s="1117" t="s">
        <v>1239</v>
      </c>
      <c r="BD45" s="2844">
        <v>0.91</v>
      </c>
    </row>
    <row r="46" spans="1:56">
      <c r="A46">
        <v>1066</v>
      </c>
      <c r="B46"/>
      <c r="C46">
        <v>2</v>
      </c>
      <c r="D46" s="114" t="s">
        <v>1240</v>
      </c>
      <c r="E46" s="2493">
        <v>1419132</v>
      </c>
      <c r="F46" s="2493">
        <v>1419132</v>
      </c>
      <c r="G46" s="2493">
        <v>100</v>
      </c>
      <c r="H46" s="2844">
        <v>0.65</v>
      </c>
      <c r="I46" s="2844">
        <v>0.91</v>
      </c>
      <c r="J46" s="2844">
        <v>0.91</v>
      </c>
      <c r="K46" s="2844">
        <v>0.91</v>
      </c>
      <c r="L46" s="2546">
        <v>2.5</v>
      </c>
      <c r="M46" s="2546">
        <v>3</v>
      </c>
      <c r="N46" s="2546">
        <v>2</v>
      </c>
      <c r="O46" s="2546">
        <v>3</v>
      </c>
      <c r="P46" s="2546">
        <v>4</v>
      </c>
      <c r="Q46" s="3351">
        <f t="shared" si="20"/>
        <v>1419132</v>
      </c>
      <c r="R46" s="1106">
        <f t="shared" si="17"/>
        <v>0.91</v>
      </c>
      <c r="S46" s="3366">
        <f t="shared" si="21"/>
        <v>0.91</v>
      </c>
      <c r="T46" s="3369">
        <f>IF(KÉRDÉSEK!$C$28&gt;1,GROUPAMA!$AF$4,GROUPAMA!$S46)</f>
        <v>0.91</v>
      </c>
      <c r="U46" s="3351">
        <f t="shared" si="22"/>
        <v>1291410.1200000001</v>
      </c>
      <c r="V46" s="3351">
        <f t="shared" si="23"/>
        <v>1355980.6260000002</v>
      </c>
      <c r="W46" s="3351">
        <f t="shared" si="18"/>
        <v>1355976</v>
      </c>
      <c r="X46" s="3351">
        <v>652944</v>
      </c>
      <c r="Y46" s="3351">
        <f t="shared" si="24"/>
        <v>1355976</v>
      </c>
      <c r="Z46" s="3351">
        <f>$Y46*$AA$6</f>
        <v>1355976</v>
      </c>
      <c r="AA46" s="3351"/>
      <c r="AB46" s="1106">
        <f>NDK!$B46</f>
        <v>0</v>
      </c>
      <c r="AC46" s="1106">
        <f t="shared" si="25"/>
        <v>0</v>
      </c>
      <c r="AD46" s="1117" t="s">
        <v>1240</v>
      </c>
      <c r="AE46" s="441"/>
      <c r="AG46">
        <f t="shared" si="19"/>
        <v>1355980.6260000002</v>
      </c>
      <c r="AH46" s="1482">
        <f t="shared" si="1"/>
        <v>1355976</v>
      </c>
      <c r="AI46" s="2246">
        <f t="shared" si="2"/>
        <v>0</v>
      </c>
      <c r="AL46">
        <f t="shared" si="3"/>
        <v>0</v>
      </c>
      <c r="AN46" s="1117" t="s">
        <v>1240</v>
      </c>
      <c r="AO46" s="3121">
        <v>610224</v>
      </c>
      <c r="AP46" s="2246">
        <f t="shared" si="4"/>
        <v>1355976</v>
      </c>
      <c r="AR46" s="3122">
        <v>1200000</v>
      </c>
      <c r="AS46" s="3122">
        <v>1200000</v>
      </c>
      <c r="AT46">
        <f t="shared" si="0"/>
        <v>1200000</v>
      </c>
      <c r="AU46">
        <f t="shared" si="5"/>
        <v>0</v>
      </c>
      <c r="AV46">
        <f t="shared" si="6"/>
        <v>0</v>
      </c>
      <c r="AW46" s="3075">
        <v>450300</v>
      </c>
      <c r="AX46">
        <f t="shared" si="7"/>
        <v>450300</v>
      </c>
      <c r="BA46" s="1117" t="s">
        <v>1240</v>
      </c>
      <c r="BD46" s="2844">
        <v>0.91</v>
      </c>
    </row>
    <row r="47" spans="1:56">
      <c r="A47">
        <v>1067</v>
      </c>
      <c r="B47"/>
      <c r="C47">
        <v>2</v>
      </c>
      <c r="D47" s="114" t="s">
        <v>4873</v>
      </c>
      <c r="E47" s="2493">
        <v>2989408</v>
      </c>
      <c r="F47" s="2493">
        <v>2989408</v>
      </c>
      <c r="G47" s="2493">
        <v>100</v>
      </c>
      <c r="H47" s="2844">
        <v>0.65</v>
      </c>
      <c r="I47" s="2844">
        <v>0.91</v>
      </c>
      <c r="J47" s="2844">
        <v>0.91</v>
      </c>
      <c r="K47" s="2844">
        <v>0.91</v>
      </c>
      <c r="L47" s="2546">
        <v>2.5</v>
      </c>
      <c r="M47" s="2546">
        <v>3</v>
      </c>
      <c r="N47" s="2546">
        <v>2</v>
      </c>
      <c r="O47" s="2546">
        <v>3</v>
      </c>
      <c r="P47" s="2546">
        <v>4</v>
      </c>
      <c r="Q47" s="3351">
        <f t="shared" si="20"/>
        <v>2989408</v>
      </c>
      <c r="R47" s="1106">
        <f t="shared" si="17"/>
        <v>0.91</v>
      </c>
      <c r="S47" s="3366">
        <f t="shared" si="21"/>
        <v>0.91</v>
      </c>
      <c r="T47" s="3369">
        <f>IF(KÉRDÉSEK!$C$28&gt;1,GROUPAMA!$AF$4,GROUPAMA!$S47)</f>
        <v>0.91</v>
      </c>
      <c r="U47" s="3351">
        <f t="shared" si="22"/>
        <v>2720361.2800000003</v>
      </c>
      <c r="V47" s="3351">
        <f t="shared" si="23"/>
        <v>2856379.3440000005</v>
      </c>
      <c r="W47" s="3351">
        <f t="shared" si="18"/>
        <v>2856372</v>
      </c>
      <c r="X47" s="3351">
        <v>1943112</v>
      </c>
      <c r="Y47" s="3351">
        <f t="shared" si="24"/>
        <v>2856372</v>
      </c>
      <c r="Z47" s="3351">
        <f>$Y47*$AA$6</f>
        <v>2856372</v>
      </c>
      <c r="AA47" s="3351"/>
      <c r="AB47" s="1106">
        <f>NDK!$B47</f>
        <v>0</v>
      </c>
      <c r="AC47" s="1106">
        <f t="shared" si="25"/>
        <v>0</v>
      </c>
      <c r="AD47" s="1117" t="s">
        <v>4873</v>
      </c>
      <c r="AE47" s="441"/>
      <c r="AG47">
        <f t="shared" si="19"/>
        <v>2856379.3440000005</v>
      </c>
      <c r="AH47" s="1482">
        <f t="shared" si="1"/>
        <v>2856372</v>
      </c>
      <c r="AI47" s="2246">
        <f t="shared" si="2"/>
        <v>0</v>
      </c>
      <c r="AL47">
        <f t="shared" si="3"/>
        <v>0</v>
      </c>
      <c r="AN47" s="1117" t="s">
        <v>4873</v>
      </c>
      <c r="AO47" s="3121">
        <v>1059624</v>
      </c>
      <c r="AP47" s="2246">
        <f t="shared" si="4"/>
        <v>2856372</v>
      </c>
      <c r="AR47" s="3122">
        <v>2400000</v>
      </c>
      <c r="AS47" s="3122">
        <v>2400000</v>
      </c>
      <c r="AT47">
        <f t="shared" si="0"/>
        <v>2400000</v>
      </c>
      <c r="AU47">
        <f t="shared" si="5"/>
        <v>0</v>
      </c>
      <c r="AV47">
        <f t="shared" si="6"/>
        <v>0</v>
      </c>
      <c r="AW47" s="3075">
        <v>870300</v>
      </c>
      <c r="AX47">
        <f t="shared" si="7"/>
        <v>870300</v>
      </c>
      <c r="BA47" s="1117" t="s">
        <v>4873</v>
      </c>
      <c r="BD47" s="2844">
        <v>0.91</v>
      </c>
    </row>
    <row r="48" spans="1:56">
      <c r="A48">
        <v>1068</v>
      </c>
      <c r="B48"/>
      <c r="C48">
        <v>2</v>
      </c>
      <c r="D48" s="114" t="s">
        <v>490</v>
      </c>
      <c r="L48" s="2576"/>
      <c r="M48" s="2576"/>
      <c r="N48" s="2576"/>
      <c r="O48" s="2576"/>
      <c r="P48" s="2576"/>
      <c r="Q48" s="3351"/>
      <c r="R48" s="1106"/>
      <c r="S48" s="1106"/>
      <c r="T48" s="3370"/>
      <c r="U48" s="3351"/>
      <c r="V48" s="3351"/>
      <c r="W48" s="3351"/>
      <c r="X48" s="3351"/>
      <c r="Y48" s="3351"/>
      <c r="Z48" s="3351"/>
      <c r="AA48" s="3351"/>
      <c r="AB48" s="1106"/>
      <c r="AC48" s="1106"/>
      <c r="AD48" s="1117" t="s">
        <v>490</v>
      </c>
      <c r="AE48" s="441"/>
      <c r="AH48" s="1482">
        <f t="shared" si="1"/>
        <v>0</v>
      </c>
      <c r="AI48" s="2246">
        <f t="shared" si="2"/>
        <v>0</v>
      </c>
      <c r="AL48">
        <f t="shared" si="3"/>
        <v>0</v>
      </c>
      <c r="AN48" s="1117" t="s">
        <v>490</v>
      </c>
      <c r="AO48" s="2246"/>
      <c r="AP48" s="2246">
        <f t="shared" si="4"/>
        <v>0</v>
      </c>
      <c r="AR48" s="2246"/>
      <c r="AS48" s="2246"/>
      <c r="AT48">
        <f t="shared" si="0"/>
        <v>0</v>
      </c>
      <c r="AU48">
        <f t="shared" si="5"/>
        <v>0</v>
      </c>
      <c r="AV48">
        <f t="shared" si="6"/>
        <v>0</v>
      </c>
      <c r="AX48">
        <f t="shared" si="7"/>
        <v>0</v>
      </c>
      <c r="BA48" s="1117" t="s">
        <v>490</v>
      </c>
    </row>
    <row r="49" spans="1:56" ht="13.5" thickBot="1">
      <c r="A49">
        <v>1071</v>
      </c>
      <c r="B49"/>
      <c r="C49">
        <v>1</v>
      </c>
      <c r="D49" s="114" t="s">
        <v>4874</v>
      </c>
      <c r="E49" s="2493">
        <v>2020044</v>
      </c>
      <c r="F49" s="2493">
        <v>2020044</v>
      </c>
      <c r="G49" s="2493">
        <v>100</v>
      </c>
      <c r="H49" s="2844">
        <v>0.78</v>
      </c>
      <c r="I49" s="2844">
        <v>0.91</v>
      </c>
      <c r="J49" s="2844">
        <v>0.91</v>
      </c>
      <c r="K49" s="2844">
        <v>0.65</v>
      </c>
      <c r="L49" s="2546">
        <v>1</v>
      </c>
      <c r="M49" s="2546">
        <v>3</v>
      </c>
      <c r="N49" s="2546">
        <v>1</v>
      </c>
      <c r="O49" s="2546">
        <v>3</v>
      </c>
      <c r="P49" s="2546">
        <v>4</v>
      </c>
      <c r="Q49" s="3351">
        <f>IF($B$2&gt;5,$F49,$E49)</f>
        <v>2020044</v>
      </c>
      <c r="R49" s="1107">
        <f>IF($B$2=0,$BD49,$K49)</f>
        <v>0.65</v>
      </c>
      <c r="S49" s="3366">
        <f>IF($P$62=$Q$63,1,VLOOKUP(100,$G49:$P49,$N$64,FALSE))</f>
        <v>0.91</v>
      </c>
      <c r="T49" s="3369">
        <f>IF(KÉRDÉSEK!$C$28&gt;1,GROUPAMA!$AF$4,GROUPAMA!$S49)</f>
        <v>0.91</v>
      </c>
      <c r="U49" s="3351">
        <f>$Q49*$S49</f>
        <v>1838240.04</v>
      </c>
      <c r="V49" s="3351">
        <f>$U49*$AF$17</f>
        <v>1930152.0420000001</v>
      </c>
      <c r="W49" s="3351">
        <f>12*ROUNDDOWN($V49/12,0)</f>
        <v>1930152</v>
      </c>
      <c r="X49" s="3351">
        <v>1019280</v>
      </c>
      <c r="Y49" s="3351">
        <f>MAX($W49,$X49)</f>
        <v>1930152</v>
      </c>
      <c r="Z49" s="3351">
        <f>$Y49</f>
        <v>1930152</v>
      </c>
      <c r="AA49" s="3351"/>
      <c r="AB49" s="1107">
        <f>NDK!$B49</f>
        <v>0</v>
      </c>
      <c r="AC49" s="1106">
        <f>$Z49*$AB49</f>
        <v>0</v>
      </c>
      <c r="AD49" s="1124" t="s">
        <v>4874</v>
      </c>
      <c r="AE49" s="441"/>
      <c r="AG49">
        <f>$U49*$AF$17</f>
        <v>1930152.0420000001</v>
      </c>
      <c r="AH49" s="1482">
        <f t="shared" si="1"/>
        <v>1930152</v>
      </c>
      <c r="AI49" s="2246">
        <f t="shared" si="2"/>
        <v>0</v>
      </c>
      <c r="AL49">
        <f t="shared" si="3"/>
        <v>0</v>
      </c>
      <c r="AN49" s="1124" t="s">
        <v>4874</v>
      </c>
      <c r="AO49" s="3121">
        <v>952596</v>
      </c>
      <c r="AP49" s="2246">
        <f t="shared" si="4"/>
        <v>1930152</v>
      </c>
      <c r="AR49" s="3122">
        <v>1719996</v>
      </c>
      <c r="AS49" s="3122">
        <v>1719996</v>
      </c>
      <c r="AT49">
        <f t="shared" si="0"/>
        <v>1719996</v>
      </c>
      <c r="AU49">
        <f t="shared" si="5"/>
        <v>0</v>
      </c>
      <c r="AV49">
        <f t="shared" si="6"/>
        <v>0</v>
      </c>
      <c r="AW49" s="3075">
        <v>859992</v>
      </c>
      <c r="AX49">
        <f t="shared" si="7"/>
        <v>859992</v>
      </c>
      <c r="BA49" s="1124" t="s">
        <v>4874</v>
      </c>
      <c r="BD49" s="2844">
        <v>0.65</v>
      </c>
    </row>
    <row r="50" spans="1:56" ht="22.5" customHeight="1" thickTop="1" thickBot="1">
      <c r="A50">
        <v>1072</v>
      </c>
      <c r="B50"/>
      <c r="C50">
        <v>1</v>
      </c>
      <c r="AB50">
        <f>SUM(AB4:AB49)</f>
        <v>0</v>
      </c>
      <c r="AD50" s="1126"/>
      <c r="AE50" s="1127"/>
      <c r="AH50" s="3394" t="s">
        <v>5526</v>
      </c>
      <c r="AI50" s="3395">
        <f>SUM(AI4:AI49)</f>
        <v>0</v>
      </c>
      <c r="AK50" s="1159" t="s">
        <v>4346</v>
      </c>
      <c r="AL50" s="1160">
        <f>SUM(AL4:AL49)</f>
        <v>0</v>
      </c>
      <c r="AN50" s="1126"/>
      <c r="AO50" s="2246"/>
      <c r="AR50" s="2246"/>
      <c r="AS50" s="2246"/>
      <c r="BA50" s="1126"/>
    </row>
    <row r="51" spans="1:56" ht="27" thickTop="1">
      <c r="A51">
        <v>1073</v>
      </c>
      <c r="B51"/>
      <c r="C51">
        <v>1</v>
      </c>
      <c r="N51" s="3362" t="s">
        <v>5508</v>
      </c>
      <c r="P51" s="3361" t="s">
        <v>5505</v>
      </c>
      <c r="Z51" s="3392" t="s">
        <v>5525</v>
      </c>
      <c r="AA51" s="3391"/>
      <c r="AB51" s="3391"/>
      <c r="AC51" s="3393">
        <f>SUM(AC4:AC50)</f>
        <v>0</v>
      </c>
    </row>
    <row r="52" spans="1:56" ht="38.25">
      <c r="A52">
        <v>1074</v>
      </c>
      <c r="B52"/>
      <c r="C52">
        <v>1</v>
      </c>
      <c r="N52" s="3363" t="str">
        <f>VLOOKUP(Q62,N53:O61,2,FALSE)</f>
        <v>Tev 2</v>
      </c>
      <c r="O52" s="908" t="s">
        <v>5507</v>
      </c>
      <c r="P52" s="3359" t="s">
        <v>5504</v>
      </c>
      <c r="Q52" s="3360" t="s">
        <v>5497</v>
      </c>
      <c r="R52" s="3358" t="s">
        <v>5494</v>
      </c>
      <c r="S52" s="2243" t="s">
        <v>5493</v>
      </c>
      <c r="T52" s="270" t="s">
        <v>2691</v>
      </c>
      <c r="U52" s="270"/>
      <c r="V52" s="270"/>
      <c r="W52" s="270"/>
      <c r="X52" s="270"/>
      <c r="Y52" s="270"/>
      <c r="Z52" s="270"/>
      <c r="AA52" s="270"/>
      <c r="AB52" s="270"/>
      <c r="AC52" s="270"/>
      <c r="AD52" s="270"/>
      <c r="AE52" s="270"/>
      <c r="AF52" s="270"/>
      <c r="AG52" s="270"/>
      <c r="AH52" s="270"/>
      <c r="AI52" s="270"/>
    </row>
    <row r="53" spans="1:56">
      <c r="A53">
        <v>1075</v>
      </c>
      <c r="B53"/>
      <c r="C53">
        <v>1</v>
      </c>
      <c r="N53" t="b">
        <f>P53</f>
        <v>0</v>
      </c>
      <c r="O53" s="1622" t="s">
        <v>2687</v>
      </c>
      <c r="P53" s="2588" t="b">
        <f>IF($AF$60=$Q$63,$Q53,$Q$63)</f>
        <v>0</v>
      </c>
      <c r="Q53" s="2576" t="b">
        <f>IF($AF$59=$Q$63,$R53,$Q$63)</f>
        <v>0</v>
      </c>
      <c r="R53" t="b">
        <f>IF($AF$61=$Q$62,$Q$63,$S53)</f>
        <v>0</v>
      </c>
      <c r="S53" s="1623" t="b">
        <f>OR(AND(NDK!$B$51&gt;=100,NDK!$B$51&lt;=399),AND(NDK!$B$51&gt;=3500,NDK!$B$51&lt;=3799))</f>
        <v>0</v>
      </c>
      <c r="T53" s="270"/>
      <c r="U53" s="270"/>
      <c r="V53" s="270"/>
      <c r="W53" s="270"/>
      <c r="X53" s="270"/>
      <c r="Y53" s="270"/>
      <c r="Z53" s="270"/>
      <c r="AA53" s="270"/>
      <c r="AB53" s="270"/>
      <c r="AC53" s="270"/>
      <c r="AD53" s="270"/>
      <c r="AE53" s="270"/>
      <c r="AF53" s="270"/>
      <c r="AG53" s="270"/>
      <c r="AH53" s="270"/>
      <c r="AI53" s="270"/>
    </row>
    <row r="54" spans="1:56">
      <c r="A54">
        <v>1076</v>
      </c>
      <c r="B54"/>
      <c r="C54">
        <v>1</v>
      </c>
      <c r="N54" t="b">
        <f t="shared" ref="N54:N61" si="26">P54</f>
        <v>1</v>
      </c>
      <c r="O54" s="1622" t="s">
        <v>2688</v>
      </c>
      <c r="P54" s="2588" t="b">
        <f t="shared" ref="P54:P59" si="27">IF($AF$60=$Q$63,$Q54,$Q$63)</f>
        <v>1</v>
      </c>
      <c r="Q54" s="2576" t="b">
        <f t="shared" ref="Q54:Q60" si="28">IF($AF$59=$Q$63,$R54,$Q$63)</f>
        <v>1</v>
      </c>
      <c r="R54" t="b">
        <f t="shared" ref="R54:R60" si="29">IF($AF$61=$Q$62,$Q$63,$S54)</f>
        <v>1</v>
      </c>
      <c r="S54" s="1623" t="b">
        <f>OR(T54)</f>
        <v>1</v>
      </c>
      <c r="T54" s="270" t="b">
        <f>OR(AND(NDK!$B$51&gt;=7100,NDK!$B$51&lt;=7299),AND(NDK!$B$51&gt;=7400,NDK!$B$51&lt;=7499),AND(NDK!$B$51&gt;=8500,NDK!$B$51&lt;=8599),AND(NDK!$B$51&gt;=9000,NDK!$B$51&lt;=9199),AND(NDK!$B$51&gt;=9400,NDK!$B$51&lt;=9599))</f>
        <v>1</v>
      </c>
      <c r="U54" s="270"/>
      <c r="V54" s="270"/>
      <c r="W54" s="270"/>
      <c r="X54" s="270"/>
      <c r="Y54" s="270"/>
      <c r="Z54" s="270"/>
      <c r="AA54" s="270"/>
      <c r="AB54" s="3356" t="s">
        <v>5489</v>
      </c>
      <c r="AC54" s="3356"/>
      <c r="AD54" s="270"/>
      <c r="AE54" s="270"/>
      <c r="AF54" s="270" t="b">
        <f>KÉRDÉSEK!C46</f>
        <v>0</v>
      </c>
      <c r="AG54" s="2587"/>
      <c r="AH54" s="270"/>
      <c r="AI54" s="270"/>
    </row>
    <row r="55" spans="1:56">
      <c r="A55">
        <v>1077</v>
      </c>
      <c r="B55"/>
      <c r="C55">
        <v>1</v>
      </c>
      <c r="N55" t="b">
        <f t="shared" si="26"/>
        <v>0</v>
      </c>
      <c r="O55" s="1622" t="s">
        <v>2689</v>
      </c>
      <c r="P55" s="2588" t="b">
        <f t="shared" si="27"/>
        <v>0</v>
      </c>
      <c r="Q55" s="2576" t="b">
        <f t="shared" si="28"/>
        <v>0</v>
      </c>
      <c r="R55" t="b">
        <f t="shared" si="29"/>
        <v>0</v>
      </c>
      <c r="S55" s="1623" t="b">
        <f>OR(AND(NDK!$B$51&gt;=1000,NDK!$B$51&lt;=1099),AND(NDK!$B$51&gt;=1300,NDK!$B$51&lt;=1799),AND(NDK!$B$51&gt;=2300,NDK!$B$51&lt;=2599),AND(NDK!$B$51&gt;=2700,NDK!$B$51&lt;=2899),AND(NDK!$B$51&gt;=3800,NDK!$B$51&lt;=3999),AND(NDK!$B$51&gt;=4100,NDK!$B$51&lt;=4299),AND(NDK!$B$51&gt;=8100,NDK!$B$51&lt;=8199))</f>
        <v>0</v>
      </c>
      <c r="T55" s="270"/>
      <c r="U55" s="270"/>
      <c r="V55" s="270"/>
      <c r="W55" s="270"/>
      <c r="X55" s="270"/>
      <c r="Y55" s="270"/>
      <c r="Z55" s="270"/>
      <c r="AA55" s="270"/>
      <c r="AB55" s="270"/>
      <c r="AC55" s="270"/>
      <c r="AD55" s="270"/>
      <c r="AE55" s="270"/>
      <c r="AF55" s="270"/>
      <c r="AG55" s="270"/>
      <c r="AH55" s="2587" t="s">
        <v>5124</v>
      </c>
      <c r="AI55" s="270"/>
    </row>
    <row r="56" spans="1:56">
      <c r="A56">
        <v>1078</v>
      </c>
      <c r="B56"/>
      <c r="C56">
        <v>1</v>
      </c>
      <c r="N56" t="b">
        <f t="shared" si="26"/>
        <v>0</v>
      </c>
      <c r="O56" s="1622" t="s">
        <v>2690</v>
      </c>
      <c r="P56" s="2588" t="b">
        <f t="shared" si="27"/>
        <v>0</v>
      </c>
      <c r="Q56" s="2576" t="b">
        <f t="shared" si="28"/>
        <v>0</v>
      </c>
      <c r="R56" t="b">
        <f t="shared" si="29"/>
        <v>0</v>
      </c>
      <c r="S56" s="1623" t="b">
        <f>IF(AF58=Q63,OR(T56,AF56,AH56),Q63)</f>
        <v>0</v>
      </c>
      <c r="T56" s="270" t="b">
        <f>OR(AND(NDK!$B$51&gt;=8400,NDK!$B$51&lt;=8424),AND(NDK!$B$51&gt;=8426,NDK!$B$51&lt;=8499))</f>
        <v>0</v>
      </c>
      <c r="U56" s="270"/>
      <c r="V56" s="270"/>
      <c r="W56" s="270"/>
      <c r="X56" s="270"/>
      <c r="Y56" s="270"/>
      <c r="Z56" s="270"/>
      <c r="AA56" s="270"/>
      <c r="AB56" s="270" t="s">
        <v>2693</v>
      </c>
      <c r="AC56" s="270"/>
      <c r="AD56" s="270"/>
      <c r="AE56" s="270"/>
      <c r="AF56" s="270" t="b">
        <f>KÉRDÉSEK!C47</f>
        <v>0</v>
      </c>
      <c r="AG56" s="2587" t="s">
        <v>2695</v>
      </c>
      <c r="AH56" s="2587" t="b">
        <f>KÉRDÉSEK!C49</f>
        <v>0</v>
      </c>
      <c r="AI56" s="270"/>
    </row>
    <row r="57" spans="1:56" ht="15">
      <c r="A57">
        <v>1081</v>
      </c>
      <c r="B57"/>
      <c r="C57">
        <v>2</v>
      </c>
      <c r="N57" t="b">
        <f t="shared" si="26"/>
        <v>0</v>
      </c>
      <c r="O57" s="1622" t="s">
        <v>5484</v>
      </c>
      <c r="P57" s="2588" t="b">
        <f t="shared" si="27"/>
        <v>0</v>
      </c>
      <c r="Q57" s="2576" t="b">
        <f t="shared" si="28"/>
        <v>0</v>
      </c>
      <c r="R57" t="b">
        <f t="shared" si="29"/>
        <v>0</v>
      </c>
      <c r="S57" t="b">
        <f>OR(T57,AF54,IF(AF58=Q63,Q63,OR(T56,AF56,AH56,)))</f>
        <v>0</v>
      </c>
      <c r="T57" s="3357" t="b">
        <f>OR(AND(NDK!$B$51&gt;=8690,NDK!$B$51&lt;=8690),AND(NDK!$B$51&gt;=8425,NDK!$B$51&lt;=8425),
AND(NDK!$B$51&gt;=5223,NDK!$B$51&lt;=5223))</f>
        <v>0</v>
      </c>
    </row>
    <row r="58" spans="1:56">
      <c r="A58">
        <v>1082</v>
      </c>
      <c r="B58"/>
      <c r="C58">
        <v>2</v>
      </c>
      <c r="N58" t="b">
        <f t="shared" si="26"/>
        <v>0</v>
      </c>
      <c r="O58" s="1622" t="s">
        <v>5485</v>
      </c>
      <c r="P58" s="2588" t="b">
        <f t="shared" si="27"/>
        <v>0</v>
      </c>
      <c r="Q58" s="2576" t="b">
        <f t="shared" si="28"/>
        <v>0</v>
      </c>
      <c r="R58" t="b">
        <f t="shared" si="29"/>
        <v>0</v>
      </c>
      <c r="S58" t="b">
        <f>OR(AND(NDK!$B$51&gt;=4930,NDK!$B$51&lt;=4939))</f>
        <v>0</v>
      </c>
      <c r="U58" s="2576" t="s">
        <v>5500</v>
      </c>
      <c r="V58" s="2576"/>
      <c r="W58" s="2576"/>
      <c r="X58" s="2576"/>
      <c r="Y58" s="2576"/>
      <c r="Z58" s="2576"/>
      <c r="AA58" s="2576"/>
      <c r="AB58" s="2576"/>
      <c r="AC58" s="2576"/>
      <c r="AD58" s="2576"/>
      <c r="AE58" s="2576"/>
      <c r="AF58" s="2576" t="b">
        <f>KÉRDÉSEK!C22</f>
        <v>0</v>
      </c>
    </row>
    <row r="59" spans="1:56">
      <c r="A59">
        <v>1083</v>
      </c>
      <c r="B59"/>
      <c r="C59">
        <v>2</v>
      </c>
      <c r="N59" t="b">
        <f t="shared" si="26"/>
        <v>0</v>
      </c>
      <c r="O59" s="1622" t="s">
        <v>5486</v>
      </c>
      <c r="P59" s="2588" t="b">
        <f t="shared" si="27"/>
        <v>0</v>
      </c>
      <c r="Q59" s="2576" t="b">
        <f t="shared" si="28"/>
        <v>0</v>
      </c>
      <c r="R59" t="b">
        <f t="shared" si="29"/>
        <v>0</v>
      </c>
      <c r="S59" t="b">
        <f>OR(AND(NDK!$B$51&gt;=4941,NDK!$B$51&lt;=4941),AND(NDK!$B$51&gt;=5229,NDK!$B$51&lt;=5229),AND(NDK!$B$51&gt;=5300,NDK!$B$51&lt;=5399))</f>
        <v>0</v>
      </c>
      <c r="AB59" s="2576" t="s">
        <v>5498</v>
      </c>
      <c r="AC59" s="2576"/>
      <c r="AD59" s="2576"/>
      <c r="AE59" s="2576"/>
      <c r="AF59" s="2576" t="b">
        <f>KÉRDÉSEK!C20</f>
        <v>0</v>
      </c>
    </row>
    <row r="60" spans="1:56">
      <c r="A60">
        <v>1084</v>
      </c>
      <c r="B60"/>
      <c r="C60">
        <v>2</v>
      </c>
      <c r="N60" t="b">
        <f t="shared" si="26"/>
        <v>0</v>
      </c>
      <c r="O60" s="1622" t="s">
        <v>5487</v>
      </c>
      <c r="P60" s="2588" t="b">
        <f>IF(AF61=Q63,IF(AF60=Q63,Q60,Q62),Q63)</f>
        <v>0</v>
      </c>
      <c r="Q60" s="2576" t="b">
        <f t="shared" si="28"/>
        <v>0</v>
      </c>
      <c r="R60" t="b">
        <f t="shared" si="29"/>
        <v>0</v>
      </c>
      <c r="S60" t="b">
        <f>OR(AND(NDK!$B$51&gt;=7700,NDK!$B$51&lt;=7799),AND(NDK!$B$51&gt;=6491,NDK!$B$51&lt;=6491),AND(NDK!$B$51&gt;=4500,NDK!$B$51&lt;=4599))</f>
        <v>0</v>
      </c>
      <c r="AB60" s="2576" t="s">
        <v>5503</v>
      </c>
      <c r="AC60" s="2576"/>
      <c r="AF60" s="2576" t="b">
        <f>KÉRDÉSEK!C21</f>
        <v>0</v>
      </c>
    </row>
    <row r="61" spans="1:56">
      <c r="A61">
        <v>1085</v>
      </c>
      <c r="B61"/>
      <c r="C61">
        <v>2</v>
      </c>
      <c r="N61" t="b">
        <f t="shared" si="26"/>
        <v>0</v>
      </c>
      <c r="O61" s="1622" t="s">
        <v>5488</v>
      </c>
      <c r="P61" s="2588" t="b">
        <f>Q61</f>
        <v>0</v>
      </c>
      <c r="Q61" s="2576" t="b">
        <f>IF(AF59=Q62,Q62,R61)</f>
        <v>0</v>
      </c>
      <c r="R61" t="b">
        <f>AF61</f>
        <v>0</v>
      </c>
      <c r="S61" t="b">
        <f>AF61</f>
        <v>0</v>
      </c>
      <c r="AB61" s="2576" t="s">
        <v>5492</v>
      </c>
      <c r="AC61" s="2576"/>
      <c r="AD61" s="2576"/>
      <c r="AE61" s="2576"/>
      <c r="AF61" s="2576" t="b">
        <f>KÉRDÉSEK!C18</f>
        <v>0</v>
      </c>
    </row>
    <row r="62" spans="1:56">
      <c r="A62">
        <v>1086</v>
      </c>
      <c r="B62"/>
      <c r="C62">
        <v>2</v>
      </c>
      <c r="O62" s="3364" t="s">
        <v>5506</v>
      </c>
      <c r="P62" s="2554" t="b">
        <f>OR(P53:P61)</f>
        <v>1</v>
      </c>
      <c r="Q62" t="b">
        <v>1</v>
      </c>
    </row>
    <row r="63" spans="1:56">
      <c r="A63">
        <v>1087</v>
      </c>
      <c r="B63"/>
      <c r="C63">
        <v>2</v>
      </c>
      <c r="N63" s="2553" t="s">
        <v>5509</v>
      </c>
      <c r="Q63" t="b">
        <v>0</v>
      </c>
    </row>
    <row r="64" spans="1:56">
      <c r="A64">
        <v>1088</v>
      </c>
      <c r="B64"/>
      <c r="C64">
        <v>2</v>
      </c>
      <c r="N64" s="2554">
        <f>IF(N52=O53,2,IF(N52=O54,3,IF(N52=O55,4,IF(N52=O56,5,IF(N52=O57,6,IF(N52=O58,7,IF(N52=O59,8,IF(N52=O60,9,10))))))))</f>
        <v>3</v>
      </c>
    </row>
    <row r="65" spans="1:56" ht="13.5" thickBot="1">
      <c r="A65">
        <v>1089</v>
      </c>
      <c r="B65"/>
      <c r="C65">
        <v>2</v>
      </c>
      <c r="D65" s="2244"/>
      <c r="E65" s="2244"/>
      <c r="F65" s="2244"/>
      <c r="G65" s="2244"/>
      <c r="H65" s="2244"/>
      <c r="I65" s="2244"/>
      <c r="J65" s="2244"/>
      <c r="K65" s="2244"/>
      <c r="L65" s="2244"/>
      <c r="M65" s="2244"/>
      <c r="N65" s="2244"/>
      <c r="O65" s="2244"/>
      <c r="P65" s="2244"/>
      <c r="Q65" s="3348">
        <v>2021</v>
      </c>
      <c r="BD65" s="2244"/>
    </row>
    <row r="66" spans="1:56" ht="90.75" thickTop="1">
      <c r="A66">
        <v>1091</v>
      </c>
      <c r="B66"/>
      <c r="C66">
        <v>2</v>
      </c>
      <c r="Q66" s="3123" t="s">
        <v>5011</v>
      </c>
      <c r="R66" s="3124" t="s">
        <v>4992</v>
      </c>
      <c r="S66" s="3124" t="s">
        <v>4993</v>
      </c>
      <c r="T66" s="3124" t="s">
        <v>5003</v>
      </c>
      <c r="U66" s="3124" t="s">
        <v>5002</v>
      </c>
      <c r="V66" s="3124"/>
      <c r="W66" s="3124"/>
      <c r="X66" s="3124"/>
      <c r="Y66" s="3124"/>
      <c r="Z66" s="3124"/>
      <c r="AA66" s="3124"/>
      <c r="AB66" s="2250"/>
      <c r="AC66" s="2250"/>
      <c r="AD66" s="2250"/>
      <c r="AE66" s="2250"/>
      <c r="AF66" s="2251" t="s">
        <v>4997</v>
      </c>
      <c r="AG66" s="2264" t="s">
        <v>5001</v>
      </c>
    </row>
    <row r="67" spans="1:56">
      <c r="A67">
        <v>1092</v>
      </c>
      <c r="B67"/>
      <c r="C67">
        <v>2</v>
      </c>
      <c r="Q67" s="2252" t="s">
        <v>1494</v>
      </c>
      <c r="R67" s="3349">
        <v>18036</v>
      </c>
      <c r="S67" s="3349">
        <v>22248</v>
      </c>
      <c r="T67" s="3350">
        <v>6264</v>
      </c>
      <c r="U67" s="3350">
        <v>8040</v>
      </c>
      <c r="V67" s="3350"/>
      <c r="W67" s="3350"/>
      <c r="X67" s="3350"/>
      <c r="Y67" s="3350"/>
      <c r="Z67" s="3350"/>
      <c r="AA67" s="3350"/>
      <c r="AB67" s="2254"/>
      <c r="AC67" s="2254"/>
      <c r="AD67" s="2254"/>
      <c r="AE67" s="2254"/>
      <c r="AF67" s="2263">
        <f>IF($R$71=$S$71,$R$67,$S$67)</f>
        <v>18036</v>
      </c>
      <c r="AG67" s="2265">
        <f>IF($R$71,$T$67,$U$67)</f>
        <v>6264</v>
      </c>
    </row>
    <row r="68" spans="1:56">
      <c r="A68">
        <v>1093</v>
      </c>
      <c r="B68"/>
      <c r="C68">
        <v>2</v>
      </c>
      <c r="Q68" s="2252" t="s">
        <v>3072</v>
      </c>
      <c r="R68" s="3349">
        <v>18036</v>
      </c>
      <c r="S68" s="3349">
        <v>72000</v>
      </c>
      <c r="T68" s="3350">
        <v>6264</v>
      </c>
      <c r="U68" s="3350">
        <v>56160</v>
      </c>
      <c r="V68" s="3350"/>
      <c r="W68" s="3350"/>
      <c r="X68" s="3350"/>
      <c r="Y68" s="3350"/>
      <c r="Z68" s="3350"/>
      <c r="AA68" s="3350"/>
      <c r="AB68" s="2254"/>
      <c r="AC68" s="2254"/>
      <c r="AD68" s="2254"/>
      <c r="AE68" s="2254"/>
      <c r="AF68" s="2263">
        <f>IF($R$72=$S$71,$R$68,$S$68)</f>
        <v>18036</v>
      </c>
      <c r="AG68" s="2265">
        <f>IF($R$72=$S$71,$T$68,$U$68)</f>
        <v>6264</v>
      </c>
    </row>
    <row r="69" spans="1:56">
      <c r="A69">
        <v>1094</v>
      </c>
      <c r="B69"/>
      <c r="C69">
        <v>2</v>
      </c>
      <c r="Q69" s="2252" t="s">
        <v>3071</v>
      </c>
      <c r="R69" s="3349">
        <v>18036</v>
      </c>
      <c r="S69" s="3349">
        <v>255996</v>
      </c>
      <c r="T69" s="3350">
        <v>6264</v>
      </c>
      <c r="U69" s="3350">
        <v>199668</v>
      </c>
      <c r="V69" s="3350"/>
      <c r="W69" s="3350"/>
      <c r="X69" s="3350"/>
      <c r="Y69" s="3350"/>
      <c r="Z69" s="3350"/>
      <c r="AA69" s="3350"/>
      <c r="AB69" s="2254"/>
      <c r="AC69" s="2254"/>
      <c r="AD69" s="2254"/>
      <c r="AE69" s="2254"/>
      <c r="AF69" s="2263">
        <f>IF($R$73=$S$71,$R$69,$S$69)</f>
        <v>18036</v>
      </c>
      <c r="AG69" s="2265">
        <f>IF($R$73=$S$71,$T$69,$U$69)</f>
        <v>6264</v>
      </c>
    </row>
    <row r="70" spans="1:56">
      <c r="A70">
        <v>1095</v>
      </c>
      <c r="B70"/>
      <c r="C70">
        <v>2</v>
      </c>
      <c r="Q70" s="2256"/>
      <c r="R70" s="2254"/>
      <c r="S70" s="2254"/>
      <c r="T70" s="2254"/>
      <c r="U70" s="2254"/>
      <c r="V70" s="2254"/>
      <c r="W70" s="2254"/>
      <c r="X70" s="2254"/>
      <c r="Y70" s="2254"/>
      <c r="Z70" s="2254"/>
      <c r="AA70" s="2254"/>
      <c r="AB70" s="2254"/>
      <c r="AC70" s="2254"/>
      <c r="AD70" s="2254"/>
      <c r="AE70" s="2254"/>
      <c r="AF70" s="2255"/>
      <c r="AG70" s="2266"/>
    </row>
    <row r="71" spans="1:56">
      <c r="A71">
        <v>1096</v>
      </c>
      <c r="B71"/>
      <c r="C71">
        <v>2</v>
      </c>
      <c r="Q71" s="2257" t="s">
        <v>4994</v>
      </c>
      <c r="R71" s="2254" t="b">
        <f>KÉRDÉSEK!C34</f>
        <v>1</v>
      </c>
      <c r="S71" s="2258" t="b">
        <v>1</v>
      </c>
      <c r="T71" s="2254"/>
      <c r="U71" s="2254"/>
      <c r="V71" s="2254"/>
      <c r="W71" s="2254"/>
      <c r="X71" s="2254"/>
      <c r="Y71" s="2254"/>
      <c r="Z71" s="2254"/>
      <c r="AA71" s="2254"/>
      <c r="AB71" s="2254"/>
      <c r="AC71" s="2254"/>
      <c r="AD71" s="2254"/>
      <c r="AE71" s="2254"/>
      <c r="AF71" s="2255"/>
      <c r="AG71" s="2266"/>
    </row>
    <row r="72" spans="1:56">
      <c r="A72">
        <v>1097</v>
      </c>
      <c r="B72"/>
      <c r="C72">
        <v>2</v>
      </c>
      <c r="Q72" s="2257" t="s">
        <v>4995</v>
      </c>
      <c r="R72" s="2254" t="b">
        <f>KÉRDÉSEK!C35</f>
        <v>1</v>
      </c>
      <c r="S72" s="2258" t="b">
        <v>0</v>
      </c>
      <c r="T72" s="2254"/>
      <c r="U72" s="2254"/>
      <c r="V72" s="2254"/>
      <c r="W72" s="2254"/>
      <c r="X72" s="2254"/>
      <c r="Y72" s="2254"/>
      <c r="Z72" s="2254"/>
      <c r="AA72" s="2254"/>
      <c r="AB72" s="2254"/>
      <c r="AC72" s="2254"/>
      <c r="AD72" s="2254"/>
      <c r="AE72" s="2254"/>
      <c r="AF72" s="2255"/>
      <c r="AG72" s="2266"/>
    </row>
    <row r="73" spans="1:56" ht="13.5" thickBot="1">
      <c r="A73">
        <v>1098</v>
      </c>
      <c r="B73"/>
      <c r="C73">
        <v>2</v>
      </c>
      <c r="Q73" s="2259" t="s">
        <v>4996</v>
      </c>
      <c r="R73" s="2260" t="b">
        <f>KÉRDÉSEK!C36</f>
        <v>1</v>
      </c>
      <c r="S73" s="2260"/>
      <c r="T73" s="2260"/>
      <c r="U73" s="2260"/>
      <c r="V73" s="2260"/>
      <c r="W73" s="2260"/>
      <c r="X73" s="2260"/>
      <c r="Y73" s="2260"/>
      <c r="Z73" s="2260"/>
      <c r="AA73" s="2260"/>
      <c r="AB73" s="2260"/>
      <c r="AC73" s="2260"/>
      <c r="AD73" s="2260"/>
      <c r="AE73" s="2260"/>
      <c r="AF73" s="2261"/>
      <c r="AG73" s="2267"/>
    </row>
    <row r="74" spans="1:56" ht="14.25" thickTop="1" thickBot="1">
      <c r="A74">
        <v>1101</v>
      </c>
      <c r="B74"/>
      <c r="C74">
        <v>1</v>
      </c>
    </row>
    <row r="75" spans="1:56" ht="72.75" thickTop="1">
      <c r="A75">
        <v>1102</v>
      </c>
      <c r="B75"/>
      <c r="C75">
        <v>1</v>
      </c>
      <c r="Q75" s="3129" t="s">
        <v>5012</v>
      </c>
      <c r="R75" s="3130" t="s">
        <v>4992</v>
      </c>
      <c r="S75" s="3130" t="s">
        <v>4993</v>
      </c>
      <c r="T75" s="3130" t="s">
        <v>5003</v>
      </c>
      <c r="U75" s="3130" t="s">
        <v>5002</v>
      </c>
      <c r="V75" s="3130"/>
      <c r="W75" s="3130"/>
      <c r="X75" s="3130"/>
      <c r="Y75" s="3130"/>
      <c r="Z75" s="3130"/>
      <c r="AA75" s="3130"/>
      <c r="AB75" s="2846"/>
      <c r="AC75" s="2846"/>
      <c r="AD75" s="2846"/>
      <c r="AE75" s="2846"/>
      <c r="AF75" s="2847" t="s">
        <v>4997</v>
      </c>
      <c r="AG75" s="2787" t="s">
        <v>5001</v>
      </c>
    </row>
    <row r="76" spans="1:56">
      <c r="A76">
        <v>1103</v>
      </c>
      <c r="B76"/>
      <c r="C76">
        <v>1</v>
      </c>
      <c r="Q76" s="2848" t="s">
        <v>1494</v>
      </c>
      <c r="R76" s="3131">
        <v>9600</v>
      </c>
      <c r="S76" s="3131">
        <v>8400</v>
      </c>
      <c r="T76" s="3132">
        <v>2736</v>
      </c>
      <c r="U76" s="3132">
        <v>2532</v>
      </c>
      <c r="V76" s="3132"/>
      <c r="W76" s="3132"/>
      <c r="X76" s="3132"/>
      <c r="Y76" s="3132"/>
      <c r="Z76" s="3132"/>
      <c r="AA76" s="3132"/>
      <c r="AB76" s="2849"/>
      <c r="AC76" s="2849"/>
      <c r="AD76" s="2849"/>
      <c r="AE76" s="2849"/>
      <c r="AF76" s="2850">
        <f>IF($R$80=$S$80,$R$76,$S$76)</f>
        <v>9600</v>
      </c>
      <c r="AG76" s="2788">
        <f>IF($R$80=$S$80,$T$76,$U$76)</f>
        <v>2736</v>
      </c>
    </row>
    <row r="77" spans="1:56">
      <c r="A77">
        <v>1104</v>
      </c>
      <c r="B77"/>
      <c r="C77">
        <v>1</v>
      </c>
      <c r="Q77" s="2848" t="s">
        <v>3072</v>
      </c>
      <c r="R77" s="3131">
        <v>9600</v>
      </c>
      <c r="S77" s="3131">
        <v>36000</v>
      </c>
      <c r="T77" s="3132">
        <v>2736</v>
      </c>
      <c r="U77" s="3132">
        <v>15600</v>
      </c>
      <c r="V77" s="3132"/>
      <c r="W77" s="3132"/>
      <c r="X77" s="3132"/>
      <c r="Y77" s="3132"/>
      <c r="Z77" s="3132"/>
      <c r="AA77" s="3132"/>
      <c r="AB77" s="2849"/>
      <c r="AC77" s="2849"/>
      <c r="AD77" s="2849"/>
      <c r="AE77" s="2849"/>
      <c r="AF77" s="2850">
        <f>IF($R$81=$S$80,$R$77,$S$77)</f>
        <v>9600</v>
      </c>
      <c r="AG77" s="2788">
        <f>IF($R$81=$S$80,$T$77,$U$77)</f>
        <v>2736</v>
      </c>
    </row>
    <row r="78" spans="1:56">
      <c r="A78">
        <v>1105</v>
      </c>
      <c r="B78"/>
      <c r="C78">
        <v>1</v>
      </c>
      <c r="Q78" s="2848" t="s">
        <v>3071</v>
      </c>
      <c r="R78" s="3131">
        <v>9600</v>
      </c>
      <c r="S78" s="3131">
        <v>255996</v>
      </c>
      <c r="T78" s="3132">
        <v>2736</v>
      </c>
      <c r="U78" s="3132">
        <v>42900</v>
      </c>
      <c r="V78" s="3132"/>
      <c r="W78" s="3132"/>
      <c r="X78" s="3132"/>
      <c r="Y78" s="3132"/>
      <c r="Z78" s="3132"/>
      <c r="AA78" s="3132"/>
      <c r="AB78" s="2849"/>
      <c r="AC78" s="2849"/>
      <c r="AD78" s="2849"/>
      <c r="AE78" s="2849"/>
      <c r="AF78" s="2850">
        <f>IF($R$82=$S$80,$R$78,$S$78)</f>
        <v>9600</v>
      </c>
      <c r="AG78" s="2788">
        <f>IF($R$82=$S$80,$T$78,$U$78)</f>
        <v>2736</v>
      </c>
    </row>
    <row r="79" spans="1:56">
      <c r="A79">
        <v>1106</v>
      </c>
      <c r="B79"/>
      <c r="C79">
        <v>1</v>
      </c>
      <c r="Q79" s="2851"/>
      <c r="R79" s="2849"/>
      <c r="S79" s="2849"/>
      <c r="T79" s="2849"/>
      <c r="U79" s="2849"/>
      <c r="V79" s="2849"/>
      <c r="W79" s="2849"/>
      <c r="X79" s="2849"/>
      <c r="Y79" s="2849"/>
      <c r="Z79" s="2849"/>
      <c r="AA79" s="2849"/>
      <c r="AB79" s="2849"/>
      <c r="AC79" s="2849"/>
      <c r="AD79" s="2849"/>
      <c r="AE79" s="2849"/>
      <c r="AF79" s="2852"/>
      <c r="AG79" s="2789"/>
    </row>
    <row r="80" spans="1:56">
      <c r="A80">
        <v>1107</v>
      </c>
      <c r="B80"/>
      <c r="C80">
        <v>1</v>
      </c>
      <c r="Q80" s="2848" t="s">
        <v>4994</v>
      </c>
      <c r="R80" s="2849" t="b">
        <f>$R$71</f>
        <v>1</v>
      </c>
      <c r="S80" s="2849" t="b">
        <v>1</v>
      </c>
      <c r="T80" s="2849"/>
      <c r="U80" s="2849"/>
      <c r="V80" s="2849"/>
      <c r="W80" s="2849"/>
      <c r="X80" s="2849"/>
      <c r="Y80" s="2849"/>
      <c r="Z80" s="2849"/>
      <c r="AA80" s="2849"/>
      <c r="AB80" s="2849"/>
      <c r="AC80" s="2849"/>
      <c r="AD80" s="2849"/>
      <c r="AE80" s="2849"/>
      <c r="AF80" s="2852"/>
      <c r="AG80" s="2789"/>
    </row>
    <row r="81" spans="1:33">
      <c r="A81">
        <v>1108</v>
      </c>
      <c r="B81"/>
      <c r="C81">
        <v>1</v>
      </c>
      <c r="Q81" s="2848" t="s">
        <v>4995</v>
      </c>
      <c r="R81" s="2849" t="b">
        <f>$R$72</f>
        <v>1</v>
      </c>
      <c r="S81" s="2849" t="b">
        <v>0</v>
      </c>
      <c r="T81" s="2849"/>
      <c r="U81" s="2849"/>
      <c r="V81" s="2849"/>
      <c r="W81" s="2849"/>
      <c r="X81" s="2849"/>
      <c r="Y81" s="2849"/>
      <c r="Z81" s="2849"/>
      <c r="AA81" s="2849"/>
      <c r="AB81" s="2849"/>
      <c r="AC81" s="2849"/>
      <c r="AD81" s="2849"/>
      <c r="AE81" s="2849"/>
      <c r="AF81" s="2852"/>
      <c r="AG81" s="2789"/>
    </row>
    <row r="82" spans="1:33" ht="13.5" thickBot="1">
      <c r="A82">
        <v>1111</v>
      </c>
      <c r="B82"/>
      <c r="C82">
        <v>1</v>
      </c>
      <c r="Q82" s="2853" t="s">
        <v>4996</v>
      </c>
      <c r="R82" s="2854" t="b">
        <f>$R$73</f>
        <v>1</v>
      </c>
      <c r="S82" s="2854"/>
      <c r="T82" s="2854"/>
      <c r="U82" s="2854"/>
      <c r="V82" s="2854"/>
      <c r="W82" s="2854"/>
      <c r="X82" s="2854"/>
      <c r="Y82" s="2854"/>
      <c r="Z82" s="2854"/>
      <c r="AA82" s="2854"/>
      <c r="AB82" s="2854"/>
      <c r="AC82" s="2854"/>
      <c r="AD82" s="2854"/>
      <c r="AE82" s="2854"/>
      <c r="AF82" s="2855"/>
      <c r="AG82" s="2790"/>
    </row>
    <row r="83" spans="1:33" ht="13.5" thickTop="1">
      <c r="A83">
        <v>1112</v>
      </c>
      <c r="B83"/>
      <c r="C83">
        <v>1</v>
      </c>
    </row>
    <row r="84" spans="1:33">
      <c r="A84">
        <v>1113</v>
      </c>
      <c r="B84"/>
      <c r="C84">
        <v>1</v>
      </c>
    </row>
    <row r="85" spans="1:33">
      <c r="A85">
        <v>1114</v>
      </c>
      <c r="B85"/>
      <c r="C85">
        <v>1</v>
      </c>
    </row>
    <row r="86" spans="1:33">
      <c r="A86">
        <v>1115</v>
      </c>
      <c r="B86"/>
      <c r="C86">
        <v>1</v>
      </c>
    </row>
    <row r="87" spans="1:33">
      <c r="A87">
        <v>1116</v>
      </c>
      <c r="B87"/>
      <c r="C87">
        <v>1</v>
      </c>
    </row>
    <row r="88" spans="1:33">
      <c r="A88">
        <v>1117</v>
      </c>
      <c r="B88"/>
      <c r="C88">
        <v>1</v>
      </c>
    </row>
    <row r="89" spans="1:33">
      <c r="A89">
        <v>1118</v>
      </c>
      <c r="B89"/>
      <c r="C89">
        <v>1</v>
      </c>
    </row>
    <row r="90" spans="1:33">
      <c r="A90">
        <v>1119</v>
      </c>
      <c r="B90"/>
      <c r="C90">
        <v>1</v>
      </c>
    </row>
    <row r="91" spans="1:33">
      <c r="A91">
        <v>1121</v>
      </c>
      <c r="B91"/>
      <c r="C91">
        <v>2</v>
      </c>
    </row>
    <row r="92" spans="1:33">
      <c r="A92">
        <v>1122</v>
      </c>
      <c r="B92"/>
      <c r="C92">
        <v>2</v>
      </c>
    </row>
    <row r="93" spans="1:33">
      <c r="A93">
        <v>1123</v>
      </c>
      <c r="B93"/>
      <c r="C93">
        <v>2</v>
      </c>
    </row>
    <row r="94" spans="1:33">
      <c r="A94">
        <v>1124</v>
      </c>
      <c r="B94"/>
      <c r="C94">
        <v>2</v>
      </c>
    </row>
    <row r="95" spans="1:33">
      <c r="A95">
        <v>1125</v>
      </c>
      <c r="B95"/>
      <c r="C95">
        <v>2</v>
      </c>
    </row>
    <row r="96" spans="1:33">
      <c r="A96">
        <v>1126</v>
      </c>
      <c r="B96"/>
      <c r="C96">
        <v>2</v>
      </c>
    </row>
    <row r="97" spans="1:3">
      <c r="A97">
        <v>1129</v>
      </c>
      <c r="B97"/>
      <c r="C97">
        <v>2</v>
      </c>
    </row>
    <row r="98" spans="1:3">
      <c r="A98">
        <v>1131</v>
      </c>
      <c r="B98"/>
      <c r="C98">
        <v>1</v>
      </c>
    </row>
    <row r="99" spans="1:3">
      <c r="A99">
        <v>1132</v>
      </c>
      <c r="B99"/>
      <c r="C99">
        <v>1</v>
      </c>
    </row>
    <row r="100" spans="1:3">
      <c r="A100">
        <v>1133</v>
      </c>
      <c r="B100"/>
      <c r="C100">
        <v>1</v>
      </c>
    </row>
    <row r="101" spans="1:3">
      <c r="A101">
        <v>1134</v>
      </c>
      <c r="B101"/>
      <c r="C101">
        <v>1</v>
      </c>
    </row>
    <row r="102" spans="1:3">
      <c r="A102">
        <v>1135</v>
      </c>
      <c r="B102"/>
      <c r="C102">
        <v>1</v>
      </c>
    </row>
    <row r="103" spans="1:3">
      <c r="A103">
        <v>1136</v>
      </c>
      <c r="B103"/>
      <c r="C103">
        <v>1</v>
      </c>
    </row>
    <row r="104" spans="1:3">
      <c r="A104">
        <v>1137</v>
      </c>
      <c r="B104"/>
      <c r="C104">
        <v>1</v>
      </c>
    </row>
    <row r="105" spans="1:3">
      <c r="A105">
        <v>1138</v>
      </c>
      <c r="B105"/>
      <c r="C105">
        <v>1</v>
      </c>
    </row>
    <row r="106" spans="1:3">
      <c r="A106">
        <v>1139</v>
      </c>
      <c r="B106"/>
      <c r="C106">
        <v>1</v>
      </c>
    </row>
    <row r="107" spans="1:3">
      <c r="A107">
        <v>1141</v>
      </c>
      <c r="B107"/>
      <c r="C107">
        <v>2</v>
      </c>
    </row>
    <row r="108" spans="1:3">
      <c r="A108">
        <v>1142</v>
      </c>
      <c r="B108"/>
      <c r="C108">
        <v>2</v>
      </c>
    </row>
    <row r="109" spans="1:3">
      <c r="A109">
        <v>1143</v>
      </c>
      <c r="B109"/>
      <c r="C109">
        <v>2</v>
      </c>
    </row>
    <row r="110" spans="1:3">
      <c r="A110">
        <v>1144</v>
      </c>
      <c r="B110"/>
      <c r="C110">
        <v>2</v>
      </c>
    </row>
    <row r="111" spans="1:3">
      <c r="A111">
        <v>1145</v>
      </c>
      <c r="B111"/>
      <c r="C111">
        <v>2</v>
      </c>
    </row>
    <row r="112" spans="1:3">
      <c r="A112">
        <v>1146</v>
      </c>
      <c r="B112"/>
      <c r="C112">
        <v>2</v>
      </c>
    </row>
    <row r="113" spans="1:3">
      <c r="A113">
        <v>1147</v>
      </c>
      <c r="B113"/>
      <c r="C113">
        <v>2</v>
      </c>
    </row>
    <row r="114" spans="1:3">
      <c r="A114">
        <v>1148</v>
      </c>
      <c r="B114"/>
      <c r="C114">
        <v>2</v>
      </c>
    </row>
    <row r="115" spans="1:3">
      <c r="A115">
        <v>1149</v>
      </c>
      <c r="B115"/>
      <c r="C115">
        <v>2</v>
      </c>
    </row>
    <row r="116" spans="1:3">
      <c r="A116">
        <v>1151</v>
      </c>
      <c r="B116"/>
      <c r="C116">
        <v>2</v>
      </c>
    </row>
    <row r="117" spans="1:3">
      <c r="A117">
        <v>1152</v>
      </c>
      <c r="B117"/>
      <c r="C117">
        <v>2</v>
      </c>
    </row>
    <row r="118" spans="1:3">
      <c r="A118">
        <v>1153</v>
      </c>
      <c r="B118"/>
      <c r="C118">
        <v>2</v>
      </c>
    </row>
    <row r="119" spans="1:3">
      <c r="A119">
        <v>1154</v>
      </c>
      <c r="B119"/>
      <c r="C119">
        <v>2</v>
      </c>
    </row>
    <row r="120" spans="1:3">
      <c r="A120">
        <v>1155</v>
      </c>
      <c r="B120"/>
      <c r="C120">
        <v>2</v>
      </c>
    </row>
    <row r="121" spans="1:3">
      <c r="A121">
        <v>1156</v>
      </c>
      <c r="B121"/>
      <c r="C121">
        <v>2</v>
      </c>
    </row>
    <row r="122" spans="1:3">
      <c r="A122">
        <v>1157</v>
      </c>
      <c r="B122"/>
      <c r="C122">
        <v>2</v>
      </c>
    </row>
    <row r="123" spans="1:3">
      <c r="A123">
        <v>1158</v>
      </c>
      <c r="B123"/>
      <c r="C123">
        <v>2</v>
      </c>
    </row>
    <row r="124" spans="1:3">
      <c r="A124">
        <v>1161</v>
      </c>
      <c r="B124"/>
      <c r="C124">
        <v>1</v>
      </c>
    </row>
    <row r="125" spans="1:3">
      <c r="A125">
        <v>1162</v>
      </c>
      <c r="B125"/>
      <c r="C125">
        <v>1</v>
      </c>
    </row>
    <row r="126" spans="1:3">
      <c r="A126">
        <v>1163</v>
      </c>
      <c r="B126"/>
      <c r="C126">
        <v>1</v>
      </c>
    </row>
    <row r="127" spans="1:3">
      <c r="A127">
        <v>1164</v>
      </c>
      <c r="B127"/>
      <c r="C127">
        <v>1</v>
      </c>
    </row>
    <row r="128" spans="1:3">
      <c r="A128">
        <v>1165</v>
      </c>
      <c r="B128"/>
      <c r="C128">
        <v>1</v>
      </c>
    </row>
    <row r="129" spans="1:3">
      <c r="A129">
        <v>1171</v>
      </c>
      <c r="B129"/>
      <c r="C129">
        <v>1</v>
      </c>
    </row>
    <row r="130" spans="1:3">
      <c r="A130">
        <v>1172</v>
      </c>
      <c r="B130"/>
      <c r="C130">
        <v>1</v>
      </c>
    </row>
    <row r="131" spans="1:3">
      <c r="A131">
        <v>1173</v>
      </c>
      <c r="B131"/>
      <c r="C131">
        <v>1</v>
      </c>
    </row>
    <row r="132" spans="1:3">
      <c r="A132">
        <v>1174</v>
      </c>
      <c r="B132"/>
      <c r="C132">
        <v>1</v>
      </c>
    </row>
    <row r="133" spans="1:3">
      <c r="A133">
        <v>1181</v>
      </c>
      <c r="B133"/>
      <c r="C133">
        <v>1</v>
      </c>
    </row>
    <row r="134" spans="1:3">
      <c r="A134">
        <v>1182</v>
      </c>
      <c r="B134"/>
      <c r="C134">
        <v>1</v>
      </c>
    </row>
    <row r="135" spans="1:3">
      <c r="A135">
        <v>1183</v>
      </c>
      <c r="B135"/>
      <c r="C135">
        <v>1</v>
      </c>
    </row>
    <row r="136" spans="1:3">
      <c r="A136">
        <v>1184</v>
      </c>
      <c r="B136"/>
      <c r="C136">
        <v>1</v>
      </c>
    </row>
    <row r="137" spans="1:3">
      <c r="A137">
        <v>1185</v>
      </c>
      <c r="B137"/>
      <c r="C137">
        <v>1</v>
      </c>
    </row>
    <row r="138" spans="1:3">
      <c r="A138">
        <v>1186</v>
      </c>
      <c r="B138"/>
      <c r="C138">
        <v>1</v>
      </c>
    </row>
    <row r="139" spans="1:3">
      <c r="A139">
        <v>1188</v>
      </c>
      <c r="B139"/>
      <c r="C139">
        <v>1</v>
      </c>
    </row>
    <row r="140" spans="1:3">
      <c r="A140">
        <v>1191</v>
      </c>
      <c r="B140"/>
      <c r="C140">
        <v>2</v>
      </c>
    </row>
    <row r="141" spans="1:3">
      <c r="A141">
        <v>1192</v>
      </c>
      <c r="B141"/>
      <c r="C141">
        <v>2</v>
      </c>
    </row>
    <row r="142" spans="1:3">
      <c r="A142">
        <v>1193</v>
      </c>
      <c r="B142"/>
      <c r="C142">
        <v>2</v>
      </c>
    </row>
    <row r="143" spans="1:3">
      <c r="A143">
        <v>1194</v>
      </c>
      <c r="B143"/>
      <c r="C143">
        <v>2</v>
      </c>
    </row>
    <row r="144" spans="1:3">
      <c r="A144">
        <v>1195</v>
      </c>
      <c r="B144"/>
      <c r="C144">
        <v>2</v>
      </c>
    </row>
    <row r="145" spans="1:3">
      <c r="A145">
        <v>1196</v>
      </c>
      <c r="B145"/>
      <c r="C145">
        <v>2</v>
      </c>
    </row>
    <row r="146" spans="1:3">
      <c r="A146">
        <v>1201</v>
      </c>
      <c r="B146"/>
      <c r="C146">
        <v>2</v>
      </c>
    </row>
    <row r="147" spans="1:3">
      <c r="A147">
        <v>1202</v>
      </c>
      <c r="B147"/>
      <c r="C147">
        <v>2</v>
      </c>
    </row>
    <row r="148" spans="1:3">
      <c r="A148">
        <v>1203</v>
      </c>
      <c r="B148"/>
      <c r="C148">
        <v>2</v>
      </c>
    </row>
    <row r="149" spans="1:3">
      <c r="A149">
        <v>1204</v>
      </c>
      <c r="B149"/>
      <c r="C149">
        <v>2</v>
      </c>
    </row>
    <row r="150" spans="1:3">
      <c r="A150">
        <v>1205</v>
      </c>
      <c r="B150"/>
      <c r="C150">
        <v>2</v>
      </c>
    </row>
    <row r="151" spans="1:3">
      <c r="A151">
        <v>1211</v>
      </c>
      <c r="B151"/>
      <c r="C151">
        <v>1</v>
      </c>
    </row>
    <row r="152" spans="1:3">
      <c r="A152">
        <v>1212</v>
      </c>
      <c r="B152"/>
      <c r="C152">
        <v>1</v>
      </c>
    </row>
    <row r="153" spans="1:3">
      <c r="A153">
        <v>1213</v>
      </c>
      <c r="B153"/>
      <c r="C153">
        <v>1</v>
      </c>
    </row>
    <row r="154" spans="1:3">
      <c r="A154">
        <v>1214</v>
      </c>
      <c r="B154"/>
      <c r="C154">
        <v>1</v>
      </c>
    </row>
    <row r="155" spans="1:3">
      <c r="A155">
        <v>1215</v>
      </c>
      <c r="B155"/>
      <c r="C155">
        <v>1</v>
      </c>
    </row>
    <row r="156" spans="1:3">
      <c r="A156">
        <v>1221</v>
      </c>
      <c r="B156"/>
      <c r="C156">
        <v>1</v>
      </c>
    </row>
    <row r="157" spans="1:3">
      <c r="A157">
        <v>1222</v>
      </c>
      <c r="B157"/>
      <c r="C157">
        <v>1</v>
      </c>
    </row>
    <row r="158" spans="1:3">
      <c r="A158">
        <v>1223</v>
      </c>
      <c r="B158"/>
      <c r="C158">
        <v>1</v>
      </c>
    </row>
    <row r="159" spans="1:3">
      <c r="A159">
        <v>1224</v>
      </c>
      <c r="B159"/>
      <c r="C159">
        <v>1</v>
      </c>
    </row>
    <row r="160" spans="1:3">
      <c r="A160">
        <v>1225</v>
      </c>
      <c r="B160"/>
      <c r="C160">
        <v>1</v>
      </c>
    </row>
    <row r="161" spans="1:3">
      <c r="A161">
        <v>1237</v>
      </c>
      <c r="B161"/>
      <c r="C161">
        <v>1</v>
      </c>
    </row>
    <row r="162" spans="1:3">
      <c r="A162">
        <v>1238</v>
      </c>
      <c r="B162"/>
      <c r="C162">
        <v>1</v>
      </c>
    </row>
    <row r="163" spans="1:3">
      <c r="A163">
        <v>1239</v>
      </c>
      <c r="B163"/>
      <c r="C163">
        <v>1</v>
      </c>
    </row>
    <row r="164" spans="1:3">
      <c r="A164">
        <v>2000</v>
      </c>
      <c r="B164"/>
      <c r="C164">
        <v>3</v>
      </c>
    </row>
    <row r="165" spans="1:3">
      <c r="A165">
        <v>2009</v>
      </c>
      <c r="B165"/>
      <c r="C165">
        <v>5</v>
      </c>
    </row>
    <row r="166" spans="1:3">
      <c r="A166">
        <v>2011</v>
      </c>
      <c r="B166"/>
      <c r="C166">
        <v>3</v>
      </c>
    </row>
    <row r="167" spans="1:3">
      <c r="A167">
        <v>2013</v>
      </c>
      <c r="B167"/>
      <c r="C167">
        <v>3</v>
      </c>
    </row>
    <row r="168" spans="1:3">
      <c r="A168">
        <v>2014</v>
      </c>
      <c r="B168"/>
      <c r="C168">
        <v>3</v>
      </c>
    </row>
    <row r="169" spans="1:3">
      <c r="A169">
        <v>2015</v>
      </c>
      <c r="B169"/>
      <c r="C169">
        <v>5</v>
      </c>
    </row>
    <row r="170" spans="1:3">
      <c r="A170">
        <v>2016</v>
      </c>
      <c r="B170"/>
      <c r="C170">
        <v>3</v>
      </c>
    </row>
    <row r="171" spans="1:3">
      <c r="A171">
        <v>2017</v>
      </c>
      <c r="B171"/>
      <c r="C171">
        <v>5</v>
      </c>
    </row>
    <row r="172" spans="1:3">
      <c r="A172">
        <v>2021</v>
      </c>
      <c r="B172"/>
      <c r="C172">
        <v>4</v>
      </c>
    </row>
    <row r="173" spans="1:3">
      <c r="A173">
        <v>2022</v>
      </c>
      <c r="B173"/>
      <c r="C173">
        <v>4</v>
      </c>
    </row>
    <row r="174" spans="1:3">
      <c r="A174">
        <v>2023</v>
      </c>
      <c r="B174"/>
      <c r="C174">
        <v>5</v>
      </c>
    </row>
    <row r="175" spans="1:3">
      <c r="A175">
        <v>2024</v>
      </c>
      <c r="B175"/>
      <c r="C175">
        <v>5</v>
      </c>
    </row>
    <row r="176" spans="1:3">
      <c r="A176">
        <v>2025</v>
      </c>
      <c r="B176"/>
      <c r="C176">
        <v>5</v>
      </c>
    </row>
    <row r="177" spans="1:3">
      <c r="A177">
        <v>2026</v>
      </c>
      <c r="B177"/>
      <c r="C177">
        <v>5</v>
      </c>
    </row>
    <row r="178" spans="1:3">
      <c r="A178">
        <v>2027</v>
      </c>
      <c r="B178"/>
      <c r="C178">
        <v>10</v>
      </c>
    </row>
    <row r="179" spans="1:3">
      <c r="A179">
        <v>2028</v>
      </c>
      <c r="B179"/>
      <c r="C179">
        <v>10</v>
      </c>
    </row>
    <row r="180" spans="1:3">
      <c r="A180">
        <v>2030</v>
      </c>
      <c r="B180"/>
      <c r="C180">
        <v>4</v>
      </c>
    </row>
    <row r="181" spans="1:3">
      <c r="A181">
        <v>2038</v>
      </c>
      <c r="B181"/>
      <c r="C181">
        <v>5</v>
      </c>
    </row>
    <row r="182" spans="1:3">
      <c r="A182">
        <v>2039</v>
      </c>
      <c r="B182"/>
      <c r="C182">
        <v>4</v>
      </c>
    </row>
    <row r="183" spans="1:3">
      <c r="A183">
        <v>2040</v>
      </c>
      <c r="B183"/>
      <c r="C183">
        <v>3</v>
      </c>
    </row>
    <row r="184" spans="1:3">
      <c r="A184">
        <v>2041</v>
      </c>
      <c r="B184"/>
      <c r="C184">
        <v>3</v>
      </c>
    </row>
    <row r="185" spans="1:3">
      <c r="A185">
        <v>2045</v>
      </c>
      <c r="B185"/>
      <c r="C185">
        <v>3</v>
      </c>
    </row>
    <row r="186" spans="1:3">
      <c r="A186">
        <v>2049</v>
      </c>
      <c r="B186"/>
      <c r="C186">
        <v>3</v>
      </c>
    </row>
    <row r="187" spans="1:3">
      <c r="A187">
        <v>2051</v>
      </c>
      <c r="B187"/>
      <c r="C187">
        <v>3</v>
      </c>
    </row>
    <row r="188" spans="1:3">
      <c r="A188">
        <v>2053</v>
      </c>
      <c r="B188"/>
      <c r="C188">
        <v>3</v>
      </c>
    </row>
    <row r="189" spans="1:3">
      <c r="A189">
        <v>2060</v>
      </c>
      <c r="B189"/>
      <c r="C189">
        <v>11</v>
      </c>
    </row>
    <row r="190" spans="1:3">
      <c r="A190">
        <v>2063</v>
      </c>
      <c r="B190"/>
      <c r="C190">
        <v>12</v>
      </c>
    </row>
    <row r="191" spans="1:3">
      <c r="A191">
        <v>2064</v>
      </c>
      <c r="B191"/>
      <c r="C191">
        <v>12</v>
      </c>
    </row>
    <row r="192" spans="1:3">
      <c r="A192">
        <v>2065</v>
      </c>
      <c r="B192"/>
      <c r="C192">
        <v>12</v>
      </c>
    </row>
    <row r="193" spans="1:3">
      <c r="A193">
        <v>2066</v>
      </c>
      <c r="B193"/>
      <c r="C193">
        <v>12</v>
      </c>
    </row>
    <row r="194" spans="1:3">
      <c r="A194">
        <v>2067</v>
      </c>
      <c r="B194"/>
      <c r="C194">
        <v>9</v>
      </c>
    </row>
    <row r="195" spans="1:3">
      <c r="A195">
        <v>2071</v>
      </c>
      <c r="B195"/>
      <c r="C195">
        <v>3</v>
      </c>
    </row>
    <row r="196" spans="1:3">
      <c r="A196">
        <v>2072</v>
      </c>
      <c r="B196"/>
      <c r="C196">
        <v>3</v>
      </c>
    </row>
    <row r="197" spans="1:3">
      <c r="A197">
        <v>2073</v>
      </c>
      <c r="B197"/>
      <c r="C197">
        <v>5</v>
      </c>
    </row>
    <row r="198" spans="1:3">
      <c r="A198">
        <v>2074</v>
      </c>
      <c r="B198"/>
      <c r="C198">
        <v>4</v>
      </c>
    </row>
    <row r="199" spans="1:3">
      <c r="A199">
        <v>2080</v>
      </c>
      <c r="B199"/>
      <c r="C199">
        <v>3</v>
      </c>
    </row>
    <row r="200" spans="1:3">
      <c r="A200">
        <v>2081</v>
      </c>
      <c r="B200"/>
      <c r="C200">
        <v>6</v>
      </c>
    </row>
    <row r="201" spans="1:3">
      <c r="A201">
        <v>2083</v>
      </c>
      <c r="B201"/>
      <c r="C201">
        <v>3</v>
      </c>
    </row>
    <row r="202" spans="1:3">
      <c r="A202">
        <v>2084</v>
      </c>
      <c r="B202"/>
      <c r="C202">
        <v>4</v>
      </c>
    </row>
    <row r="203" spans="1:3">
      <c r="A203">
        <v>2085</v>
      </c>
      <c r="B203"/>
      <c r="C203">
        <v>4</v>
      </c>
    </row>
    <row r="204" spans="1:3">
      <c r="A204">
        <v>2086</v>
      </c>
      <c r="B204"/>
      <c r="C204">
        <v>4</v>
      </c>
    </row>
    <row r="205" spans="1:3">
      <c r="A205">
        <v>2089</v>
      </c>
      <c r="B205"/>
      <c r="C205">
        <v>3</v>
      </c>
    </row>
    <row r="206" spans="1:3">
      <c r="A206">
        <v>2090</v>
      </c>
      <c r="B206"/>
      <c r="C206">
        <v>3</v>
      </c>
    </row>
    <row r="207" spans="1:3">
      <c r="A207">
        <v>2091</v>
      </c>
      <c r="B207"/>
      <c r="C207">
        <v>10</v>
      </c>
    </row>
    <row r="208" spans="1:3">
      <c r="A208">
        <v>2092</v>
      </c>
      <c r="B208"/>
      <c r="C208">
        <v>4</v>
      </c>
    </row>
    <row r="209" spans="1:3">
      <c r="A209">
        <v>2093</v>
      </c>
      <c r="B209"/>
      <c r="C209">
        <v>3</v>
      </c>
    </row>
    <row r="210" spans="1:3">
      <c r="A210">
        <v>2094</v>
      </c>
      <c r="B210"/>
      <c r="C210">
        <v>3</v>
      </c>
    </row>
    <row r="211" spans="1:3">
      <c r="A211">
        <v>2095</v>
      </c>
      <c r="B211"/>
      <c r="C211">
        <v>4</v>
      </c>
    </row>
    <row r="212" spans="1:3">
      <c r="A212">
        <v>2096</v>
      </c>
      <c r="B212"/>
      <c r="C212">
        <v>3</v>
      </c>
    </row>
    <row r="213" spans="1:3">
      <c r="A213">
        <v>2097</v>
      </c>
      <c r="B213"/>
      <c r="C213">
        <v>3</v>
      </c>
    </row>
    <row r="214" spans="1:3">
      <c r="A214">
        <v>2098</v>
      </c>
      <c r="B214"/>
      <c r="C214">
        <v>8</v>
      </c>
    </row>
    <row r="215" spans="1:3">
      <c r="A215">
        <v>2099</v>
      </c>
      <c r="B215"/>
      <c r="C215">
        <v>8</v>
      </c>
    </row>
    <row r="216" spans="1:3">
      <c r="A216">
        <v>2100</v>
      </c>
      <c r="B216"/>
      <c r="C216">
        <v>3</v>
      </c>
    </row>
    <row r="217" spans="1:3">
      <c r="A217">
        <v>2111</v>
      </c>
      <c r="B217"/>
      <c r="C217">
        <v>3</v>
      </c>
    </row>
    <row r="218" spans="1:3">
      <c r="A218">
        <v>2112</v>
      </c>
      <c r="B218"/>
      <c r="C218">
        <v>3</v>
      </c>
    </row>
    <row r="219" spans="1:3">
      <c r="A219">
        <v>2113</v>
      </c>
      <c r="B219"/>
      <c r="C219">
        <v>4</v>
      </c>
    </row>
    <row r="220" spans="1:3">
      <c r="A220">
        <v>2114</v>
      </c>
      <c r="B220"/>
      <c r="C220">
        <v>9</v>
      </c>
    </row>
    <row r="221" spans="1:3">
      <c r="A221">
        <v>2115</v>
      </c>
      <c r="B221"/>
      <c r="C221">
        <v>9</v>
      </c>
    </row>
    <row r="222" spans="1:3">
      <c r="A222">
        <v>2116</v>
      </c>
      <c r="B222"/>
      <c r="C222">
        <v>8</v>
      </c>
    </row>
    <row r="223" spans="1:3">
      <c r="A223">
        <v>2117</v>
      </c>
      <c r="B223"/>
      <c r="C223">
        <v>5</v>
      </c>
    </row>
    <row r="224" spans="1:3">
      <c r="A224">
        <v>2118</v>
      </c>
      <c r="B224"/>
      <c r="C224">
        <v>8</v>
      </c>
    </row>
    <row r="225" spans="1:3">
      <c r="A225">
        <v>2119</v>
      </c>
      <c r="B225"/>
      <c r="C225">
        <v>4</v>
      </c>
    </row>
    <row r="226" spans="1:3">
      <c r="A226">
        <v>2120</v>
      </c>
      <c r="B226"/>
      <c r="C226">
        <v>4</v>
      </c>
    </row>
    <row r="227" spans="1:3">
      <c r="A227">
        <v>2131</v>
      </c>
      <c r="B227"/>
      <c r="C227">
        <v>3</v>
      </c>
    </row>
    <row r="228" spans="1:3">
      <c r="A228">
        <v>2132</v>
      </c>
      <c r="B228"/>
      <c r="C228">
        <v>3</v>
      </c>
    </row>
    <row r="229" spans="1:3">
      <c r="A229">
        <v>2133</v>
      </c>
      <c r="B229"/>
      <c r="C229">
        <v>4</v>
      </c>
    </row>
    <row r="230" spans="1:3">
      <c r="A230">
        <v>2134</v>
      </c>
      <c r="B230"/>
      <c r="C230">
        <v>4</v>
      </c>
    </row>
    <row r="231" spans="1:3">
      <c r="A231">
        <v>2135</v>
      </c>
      <c r="B231"/>
      <c r="C231">
        <v>5</v>
      </c>
    </row>
    <row r="232" spans="1:3">
      <c r="A232">
        <v>2141</v>
      </c>
      <c r="B232"/>
      <c r="C232">
        <v>4</v>
      </c>
    </row>
    <row r="233" spans="1:3">
      <c r="A233">
        <v>2142</v>
      </c>
      <c r="B233"/>
      <c r="C233">
        <v>3</v>
      </c>
    </row>
    <row r="234" spans="1:3">
      <c r="A234">
        <v>2143</v>
      </c>
      <c r="B234"/>
      <c r="C234">
        <v>4</v>
      </c>
    </row>
    <row r="235" spans="1:3">
      <c r="A235">
        <v>2144</v>
      </c>
      <c r="B235"/>
      <c r="C235">
        <v>3</v>
      </c>
    </row>
    <row r="236" spans="1:3">
      <c r="A236">
        <v>2145</v>
      </c>
      <c r="B236"/>
      <c r="C236">
        <v>3</v>
      </c>
    </row>
    <row r="237" spans="1:3">
      <c r="A237">
        <v>2146</v>
      </c>
      <c r="B237"/>
      <c r="C237">
        <v>3</v>
      </c>
    </row>
    <row r="238" spans="1:3">
      <c r="A238">
        <v>2151</v>
      </c>
      <c r="B238"/>
      <c r="C238">
        <v>4</v>
      </c>
    </row>
    <row r="239" spans="1:3">
      <c r="A239">
        <v>2161</v>
      </c>
      <c r="B239"/>
      <c r="C239">
        <v>3</v>
      </c>
    </row>
    <row r="240" spans="1:3">
      <c r="A240">
        <v>2162</v>
      </c>
      <c r="B240"/>
      <c r="C240">
        <v>4</v>
      </c>
    </row>
    <row r="241" spans="1:3">
      <c r="A241">
        <v>2163</v>
      </c>
      <c r="B241"/>
      <c r="C241">
        <v>5</v>
      </c>
    </row>
    <row r="242" spans="1:3">
      <c r="A242">
        <v>2164</v>
      </c>
      <c r="B242"/>
      <c r="C242">
        <v>8</v>
      </c>
    </row>
    <row r="243" spans="1:3">
      <c r="A243">
        <v>2165</v>
      </c>
      <c r="B243"/>
      <c r="C243">
        <v>9</v>
      </c>
    </row>
    <row r="244" spans="1:3">
      <c r="A244">
        <v>2166</v>
      </c>
      <c r="B244"/>
      <c r="C244">
        <v>9</v>
      </c>
    </row>
    <row r="245" spans="1:3">
      <c r="A245">
        <v>2167</v>
      </c>
      <c r="B245"/>
      <c r="C245">
        <v>8</v>
      </c>
    </row>
    <row r="246" spans="1:3">
      <c r="A246">
        <v>2170</v>
      </c>
      <c r="B246"/>
      <c r="C246">
        <v>8</v>
      </c>
    </row>
    <row r="247" spans="1:3">
      <c r="A247">
        <v>2173</v>
      </c>
      <c r="B247"/>
      <c r="C247">
        <v>8</v>
      </c>
    </row>
    <row r="248" spans="1:3">
      <c r="A248">
        <v>2174</v>
      </c>
      <c r="B248"/>
      <c r="C248">
        <v>9</v>
      </c>
    </row>
    <row r="249" spans="1:3">
      <c r="A249">
        <v>2175</v>
      </c>
      <c r="B249"/>
      <c r="C249">
        <v>12</v>
      </c>
    </row>
    <row r="250" spans="1:3">
      <c r="A250">
        <v>2176</v>
      </c>
      <c r="B250"/>
      <c r="C250">
        <v>12</v>
      </c>
    </row>
    <row r="251" spans="1:3">
      <c r="A251">
        <v>2177</v>
      </c>
      <c r="B251"/>
      <c r="C251">
        <v>12</v>
      </c>
    </row>
    <row r="252" spans="1:3">
      <c r="A252">
        <v>2181</v>
      </c>
      <c r="B252"/>
      <c r="C252">
        <v>8</v>
      </c>
    </row>
    <row r="253" spans="1:3">
      <c r="A253">
        <v>2182</v>
      </c>
      <c r="B253"/>
      <c r="C253">
        <v>8</v>
      </c>
    </row>
    <row r="254" spans="1:3">
      <c r="A254">
        <v>2183</v>
      </c>
      <c r="B254"/>
      <c r="C254">
        <v>9</v>
      </c>
    </row>
    <row r="255" spans="1:3">
      <c r="A255">
        <v>2184</v>
      </c>
      <c r="B255"/>
      <c r="C255">
        <v>9</v>
      </c>
    </row>
    <row r="256" spans="1:3">
      <c r="A256">
        <v>2185</v>
      </c>
      <c r="B256"/>
      <c r="C256">
        <v>9</v>
      </c>
    </row>
    <row r="257" spans="1:3">
      <c r="A257">
        <v>2191</v>
      </c>
      <c r="B257"/>
      <c r="C257">
        <v>8</v>
      </c>
    </row>
    <row r="258" spans="1:3">
      <c r="A258">
        <v>2192</v>
      </c>
      <c r="B258"/>
      <c r="C258">
        <v>8</v>
      </c>
    </row>
    <row r="259" spans="1:3">
      <c r="A259">
        <v>2193</v>
      </c>
      <c r="B259"/>
      <c r="C259">
        <v>8</v>
      </c>
    </row>
    <row r="260" spans="1:3">
      <c r="A260">
        <v>2194</v>
      </c>
      <c r="B260"/>
      <c r="C260">
        <v>8</v>
      </c>
    </row>
    <row r="261" spans="1:3">
      <c r="A261">
        <v>2200</v>
      </c>
      <c r="B261"/>
      <c r="C261">
        <v>5</v>
      </c>
    </row>
    <row r="262" spans="1:3">
      <c r="A262">
        <v>2209</v>
      </c>
      <c r="B262"/>
      <c r="C262">
        <v>5</v>
      </c>
    </row>
    <row r="263" spans="1:3">
      <c r="A263">
        <v>2211</v>
      </c>
      <c r="B263"/>
      <c r="C263">
        <v>9</v>
      </c>
    </row>
    <row r="264" spans="1:3">
      <c r="A264">
        <v>2212</v>
      </c>
      <c r="B264"/>
      <c r="C264">
        <v>9</v>
      </c>
    </row>
    <row r="265" spans="1:3">
      <c r="A265">
        <v>2213</v>
      </c>
      <c r="B265"/>
      <c r="C265">
        <v>4</v>
      </c>
    </row>
    <row r="266" spans="1:3">
      <c r="A266">
        <v>2214</v>
      </c>
      <c r="B266"/>
      <c r="C266">
        <v>9</v>
      </c>
    </row>
    <row r="267" spans="1:3">
      <c r="A267">
        <v>2215</v>
      </c>
      <c r="B267"/>
      <c r="C267">
        <v>9</v>
      </c>
    </row>
    <row r="268" spans="1:3">
      <c r="A268">
        <v>2216</v>
      </c>
      <c r="B268"/>
      <c r="C268">
        <v>9</v>
      </c>
    </row>
    <row r="269" spans="1:3">
      <c r="A269">
        <v>2217</v>
      </c>
      <c r="B269"/>
      <c r="C269">
        <v>9</v>
      </c>
    </row>
    <row r="270" spans="1:3">
      <c r="A270">
        <v>2220</v>
      </c>
      <c r="B270"/>
      <c r="C270">
        <v>5</v>
      </c>
    </row>
    <row r="271" spans="1:3">
      <c r="A271">
        <v>2225</v>
      </c>
      <c r="B271"/>
      <c r="C271">
        <v>5</v>
      </c>
    </row>
    <row r="272" spans="1:3">
      <c r="A272">
        <v>2230</v>
      </c>
      <c r="B272"/>
      <c r="C272">
        <v>5</v>
      </c>
    </row>
    <row r="273" spans="1:3">
      <c r="A273">
        <v>2233</v>
      </c>
      <c r="B273"/>
      <c r="C273">
        <v>4</v>
      </c>
    </row>
    <row r="274" spans="1:3">
      <c r="A274">
        <v>2234</v>
      </c>
      <c r="B274"/>
      <c r="C274">
        <v>4</v>
      </c>
    </row>
    <row r="275" spans="1:3">
      <c r="A275">
        <v>2235</v>
      </c>
      <c r="B275"/>
      <c r="C275">
        <v>5</v>
      </c>
    </row>
    <row r="276" spans="1:3">
      <c r="A276">
        <v>2241</v>
      </c>
      <c r="B276"/>
      <c r="C276">
        <v>8</v>
      </c>
    </row>
    <row r="277" spans="1:3">
      <c r="A277">
        <v>2243</v>
      </c>
      <c r="B277"/>
      <c r="C277">
        <v>8</v>
      </c>
    </row>
    <row r="278" spans="1:3">
      <c r="A278">
        <v>2244</v>
      </c>
      <c r="B278"/>
      <c r="C278">
        <v>8</v>
      </c>
    </row>
    <row r="279" spans="1:3">
      <c r="A279">
        <v>2251</v>
      </c>
      <c r="B279"/>
      <c r="C279">
        <v>8</v>
      </c>
    </row>
    <row r="280" spans="1:3">
      <c r="A280">
        <v>2252</v>
      </c>
      <c r="B280"/>
      <c r="C280">
        <v>9</v>
      </c>
    </row>
    <row r="281" spans="1:3">
      <c r="A281">
        <v>2253</v>
      </c>
      <c r="B281"/>
      <c r="C281">
        <v>9</v>
      </c>
    </row>
    <row r="282" spans="1:3">
      <c r="A282">
        <v>2254</v>
      </c>
      <c r="B282"/>
      <c r="C282">
        <v>8</v>
      </c>
    </row>
    <row r="283" spans="1:3">
      <c r="A283">
        <v>2255</v>
      </c>
      <c r="B283"/>
      <c r="C283">
        <v>8</v>
      </c>
    </row>
    <row r="284" spans="1:3">
      <c r="A284">
        <v>2300</v>
      </c>
      <c r="B284"/>
      <c r="C284">
        <v>8</v>
      </c>
    </row>
    <row r="285" spans="1:3">
      <c r="A285">
        <v>2309</v>
      </c>
      <c r="B285"/>
      <c r="C285">
        <v>9</v>
      </c>
    </row>
    <row r="286" spans="1:3">
      <c r="A286">
        <v>2310</v>
      </c>
      <c r="B286"/>
      <c r="C286">
        <v>4</v>
      </c>
    </row>
    <row r="287" spans="1:3">
      <c r="A287">
        <v>2314</v>
      </c>
      <c r="B287"/>
      <c r="C287">
        <v>4</v>
      </c>
    </row>
    <row r="288" spans="1:3">
      <c r="A288">
        <v>2315</v>
      </c>
      <c r="B288"/>
      <c r="C288">
        <v>4</v>
      </c>
    </row>
    <row r="289" spans="1:3">
      <c r="A289">
        <v>2316</v>
      </c>
      <c r="B289"/>
      <c r="C289">
        <v>4</v>
      </c>
    </row>
    <row r="290" spans="1:3">
      <c r="A290">
        <v>2317</v>
      </c>
      <c r="B290"/>
      <c r="C290">
        <v>8</v>
      </c>
    </row>
    <row r="291" spans="1:3">
      <c r="A291">
        <v>2318</v>
      </c>
      <c r="B291"/>
      <c r="C291">
        <v>8</v>
      </c>
    </row>
    <row r="292" spans="1:3">
      <c r="A292">
        <v>2319</v>
      </c>
      <c r="B292"/>
      <c r="C292">
        <v>8</v>
      </c>
    </row>
    <row r="293" spans="1:3">
      <c r="A293">
        <v>2321</v>
      </c>
      <c r="B293"/>
      <c r="C293">
        <v>8</v>
      </c>
    </row>
    <row r="294" spans="1:3">
      <c r="A294">
        <v>2322</v>
      </c>
      <c r="B294"/>
      <c r="C294">
        <v>9</v>
      </c>
    </row>
    <row r="295" spans="1:3">
      <c r="A295">
        <v>2330</v>
      </c>
      <c r="B295"/>
      <c r="C295">
        <v>4</v>
      </c>
    </row>
    <row r="296" spans="1:3">
      <c r="A296">
        <v>2335</v>
      </c>
      <c r="B296"/>
      <c r="C296">
        <v>4</v>
      </c>
    </row>
    <row r="297" spans="1:3">
      <c r="A297">
        <v>2336</v>
      </c>
      <c r="B297"/>
      <c r="C297">
        <v>4</v>
      </c>
    </row>
    <row r="298" spans="1:3">
      <c r="A298">
        <v>2337</v>
      </c>
      <c r="B298"/>
      <c r="C298">
        <v>5</v>
      </c>
    </row>
    <row r="299" spans="1:3">
      <c r="A299">
        <v>2338</v>
      </c>
      <c r="B299"/>
      <c r="C299">
        <v>9</v>
      </c>
    </row>
    <row r="300" spans="1:3">
      <c r="A300">
        <v>2339</v>
      </c>
      <c r="B300"/>
      <c r="C300">
        <v>5</v>
      </c>
    </row>
    <row r="301" spans="1:3">
      <c r="A301">
        <v>2340</v>
      </c>
      <c r="B301"/>
      <c r="C301">
        <v>8</v>
      </c>
    </row>
    <row r="302" spans="1:3">
      <c r="A302">
        <v>2344</v>
      </c>
      <c r="B302"/>
      <c r="C302">
        <v>8</v>
      </c>
    </row>
    <row r="303" spans="1:3">
      <c r="A303">
        <v>2345</v>
      </c>
      <c r="B303"/>
      <c r="C303">
        <v>9</v>
      </c>
    </row>
    <row r="304" spans="1:3">
      <c r="A304">
        <v>2347</v>
      </c>
      <c r="B304"/>
      <c r="C304">
        <v>9</v>
      </c>
    </row>
    <row r="305" spans="1:3">
      <c r="A305">
        <v>2351</v>
      </c>
      <c r="B305"/>
      <c r="C305">
        <v>5</v>
      </c>
    </row>
    <row r="306" spans="1:3">
      <c r="A306">
        <v>2360</v>
      </c>
      <c r="B306"/>
      <c r="C306">
        <v>5</v>
      </c>
    </row>
    <row r="307" spans="1:3">
      <c r="A307">
        <v>2363</v>
      </c>
      <c r="B307"/>
      <c r="C307">
        <v>5</v>
      </c>
    </row>
    <row r="308" spans="1:3">
      <c r="A308">
        <v>2364</v>
      </c>
      <c r="B308"/>
      <c r="C308">
        <v>5</v>
      </c>
    </row>
    <row r="309" spans="1:3">
      <c r="A309">
        <v>2365</v>
      </c>
      <c r="B309"/>
      <c r="C309">
        <v>8</v>
      </c>
    </row>
    <row r="310" spans="1:3">
      <c r="A310">
        <v>2366</v>
      </c>
      <c r="B310"/>
      <c r="C310">
        <v>8</v>
      </c>
    </row>
    <row r="311" spans="1:3">
      <c r="A311">
        <v>2367</v>
      </c>
      <c r="B311"/>
      <c r="C311">
        <v>8</v>
      </c>
    </row>
    <row r="312" spans="1:3">
      <c r="A312">
        <v>2370</v>
      </c>
      <c r="B312"/>
      <c r="C312">
        <v>8</v>
      </c>
    </row>
    <row r="313" spans="1:3">
      <c r="A313">
        <v>2371</v>
      </c>
      <c r="B313"/>
      <c r="C313">
        <v>8</v>
      </c>
    </row>
    <row r="314" spans="1:3">
      <c r="A314">
        <v>2373</v>
      </c>
      <c r="B314"/>
      <c r="C314">
        <v>8</v>
      </c>
    </row>
    <row r="315" spans="1:3">
      <c r="A315">
        <v>2375</v>
      </c>
      <c r="B315"/>
      <c r="C315">
        <v>9</v>
      </c>
    </row>
    <row r="316" spans="1:3">
      <c r="A316">
        <v>2376</v>
      </c>
      <c r="B316"/>
      <c r="C316">
        <v>8</v>
      </c>
    </row>
    <row r="317" spans="1:3">
      <c r="A317">
        <v>2377</v>
      </c>
      <c r="B317"/>
      <c r="C317">
        <v>8</v>
      </c>
    </row>
    <row r="318" spans="1:3">
      <c r="A318">
        <v>2378</v>
      </c>
      <c r="B318"/>
      <c r="C318">
        <v>9</v>
      </c>
    </row>
    <row r="319" spans="1:3">
      <c r="A319">
        <v>2381</v>
      </c>
      <c r="B319"/>
      <c r="C319">
        <v>8</v>
      </c>
    </row>
    <row r="320" spans="1:3">
      <c r="A320">
        <v>2400</v>
      </c>
      <c r="B320"/>
      <c r="C320">
        <v>8</v>
      </c>
    </row>
    <row r="321" spans="1:3">
      <c r="A321">
        <v>2407</v>
      </c>
      <c r="B321"/>
      <c r="C321">
        <v>8</v>
      </c>
    </row>
    <row r="322" spans="1:3">
      <c r="A322">
        <v>2421</v>
      </c>
      <c r="B322"/>
      <c r="C322">
        <v>11</v>
      </c>
    </row>
    <row r="323" spans="1:3">
      <c r="A323">
        <v>2422</v>
      </c>
      <c r="B323"/>
      <c r="C323">
        <v>12</v>
      </c>
    </row>
    <row r="324" spans="1:3">
      <c r="A324">
        <v>2423</v>
      </c>
      <c r="B324"/>
      <c r="C324">
        <v>12</v>
      </c>
    </row>
    <row r="325" spans="1:3">
      <c r="A325">
        <v>2424</v>
      </c>
      <c r="B325"/>
      <c r="C325">
        <v>12</v>
      </c>
    </row>
    <row r="326" spans="1:3">
      <c r="A326">
        <v>2425</v>
      </c>
      <c r="B326"/>
      <c r="C326">
        <v>12</v>
      </c>
    </row>
    <row r="327" spans="1:3">
      <c r="A327">
        <v>2426</v>
      </c>
      <c r="B327"/>
      <c r="C327">
        <v>12</v>
      </c>
    </row>
    <row r="328" spans="1:3">
      <c r="A328">
        <v>2427</v>
      </c>
      <c r="B328"/>
      <c r="C328">
        <v>12</v>
      </c>
    </row>
    <row r="329" spans="1:3">
      <c r="A329">
        <v>2428</v>
      </c>
      <c r="B329"/>
      <c r="C329">
        <v>11</v>
      </c>
    </row>
    <row r="330" spans="1:3">
      <c r="A330">
        <v>2431</v>
      </c>
      <c r="B330"/>
      <c r="C330">
        <v>12</v>
      </c>
    </row>
    <row r="331" spans="1:3">
      <c r="A331">
        <v>2432</v>
      </c>
      <c r="B331"/>
      <c r="C331">
        <v>12</v>
      </c>
    </row>
    <row r="332" spans="1:3">
      <c r="A332">
        <v>2433</v>
      </c>
      <c r="B332"/>
      <c r="C332">
        <v>12</v>
      </c>
    </row>
    <row r="333" spans="1:3">
      <c r="A333">
        <v>2434</v>
      </c>
      <c r="B333"/>
      <c r="C333">
        <v>12</v>
      </c>
    </row>
    <row r="334" spans="1:3">
      <c r="A334">
        <v>2435</v>
      </c>
      <c r="B334"/>
      <c r="C334">
        <v>12</v>
      </c>
    </row>
    <row r="335" spans="1:3">
      <c r="A335">
        <v>2440</v>
      </c>
      <c r="B335"/>
      <c r="C335">
        <v>3</v>
      </c>
    </row>
    <row r="336" spans="1:3">
      <c r="A336">
        <v>2451</v>
      </c>
      <c r="B336"/>
      <c r="C336">
        <v>12</v>
      </c>
    </row>
    <row r="337" spans="1:3">
      <c r="A337">
        <v>2453</v>
      </c>
      <c r="B337"/>
      <c r="C337">
        <v>12</v>
      </c>
    </row>
    <row r="338" spans="1:3">
      <c r="A338">
        <v>2454</v>
      </c>
      <c r="B338"/>
      <c r="C338">
        <v>11</v>
      </c>
    </row>
    <row r="339" spans="1:3">
      <c r="A339">
        <v>2455</v>
      </c>
      <c r="B339"/>
      <c r="C339">
        <v>11</v>
      </c>
    </row>
    <row r="340" spans="1:3">
      <c r="A340">
        <v>2456</v>
      </c>
      <c r="B340"/>
      <c r="C340">
        <v>12</v>
      </c>
    </row>
    <row r="341" spans="1:3">
      <c r="A341">
        <v>2457</v>
      </c>
      <c r="B341"/>
      <c r="C341">
        <v>12</v>
      </c>
    </row>
    <row r="342" spans="1:3">
      <c r="A342">
        <v>2458</v>
      </c>
      <c r="B342"/>
      <c r="C342">
        <v>11</v>
      </c>
    </row>
    <row r="343" spans="1:3">
      <c r="A343">
        <v>2459</v>
      </c>
      <c r="B343"/>
      <c r="C343">
        <v>11</v>
      </c>
    </row>
    <row r="344" spans="1:3">
      <c r="A344">
        <v>2461</v>
      </c>
      <c r="B344"/>
      <c r="C344">
        <v>4</v>
      </c>
    </row>
    <row r="345" spans="1:3">
      <c r="A345">
        <v>2462</v>
      </c>
      <c r="B345"/>
      <c r="C345">
        <v>11</v>
      </c>
    </row>
    <row r="346" spans="1:3">
      <c r="A346">
        <v>2463</v>
      </c>
      <c r="B346"/>
      <c r="C346">
        <v>11</v>
      </c>
    </row>
    <row r="347" spans="1:3">
      <c r="A347">
        <v>2464</v>
      </c>
      <c r="B347"/>
      <c r="C347">
        <v>12</v>
      </c>
    </row>
    <row r="348" spans="1:3">
      <c r="A348">
        <v>2465</v>
      </c>
      <c r="B348"/>
      <c r="C348">
        <v>11</v>
      </c>
    </row>
    <row r="349" spans="1:3">
      <c r="A349">
        <v>2471</v>
      </c>
      <c r="B349"/>
      <c r="C349">
        <v>12</v>
      </c>
    </row>
    <row r="350" spans="1:3">
      <c r="A350">
        <v>2472</v>
      </c>
      <c r="B350"/>
      <c r="C350">
        <v>12</v>
      </c>
    </row>
    <row r="351" spans="1:3">
      <c r="A351">
        <v>2473</v>
      </c>
      <c r="B351"/>
      <c r="C351">
        <v>12</v>
      </c>
    </row>
    <row r="352" spans="1:3">
      <c r="A352">
        <v>2475</v>
      </c>
      <c r="B352"/>
      <c r="C352">
        <v>11</v>
      </c>
    </row>
    <row r="353" spans="1:3">
      <c r="A353">
        <v>2476</v>
      </c>
      <c r="B353"/>
      <c r="C353">
        <v>12</v>
      </c>
    </row>
    <row r="354" spans="1:3">
      <c r="A354">
        <v>2477</v>
      </c>
      <c r="B354"/>
      <c r="C354">
        <v>12</v>
      </c>
    </row>
    <row r="355" spans="1:3">
      <c r="A355">
        <v>2481</v>
      </c>
      <c r="B355"/>
      <c r="C355">
        <v>11</v>
      </c>
    </row>
    <row r="356" spans="1:3">
      <c r="A356">
        <v>2483</v>
      </c>
      <c r="B356"/>
      <c r="C356">
        <v>11</v>
      </c>
    </row>
    <row r="357" spans="1:3">
      <c r="A357">
        <v>2484</v>
      </c>
      <c r="B357"/>
      <c r="C357">
        <v>11</v>
      </c>
    </row>
    <row r="358" spans="1:3">
      <c r="A358">
        <v>2485</v>
      </c>
      <c r="B358"/>
      <c r="C358">
        <v>11</v>
      </c>
    </row>
    <row r="359" spans="1:3">
      <c r="A359">
        <v>2490</v>
      </c>
      <c r="B359"/>
      <c r="C359">
        <v>11</v>
      </c>
    </row>
    <row r="360" spans="1:3">
      <c r="A360">
        <v>2500</v>
      </c>
      <c r="B360"/>
      <c r="C360">
        <v>9</v>
      </c>
    </row>
    <row r="361" spans="1:3">
      <c r="A361">
        <v>2508</v>
      </c>
      <c r="B361"/>
      <c r="C361">
        <v>9</v>
      </c>
    </row>
    <row r="362" spans="1:3">
      <c r="A362">
        <v>2509</v>
      </c>
      <c r="B362"/>
      <c r="C362">
        <v>9</v>
      </c>
    </row>
    <row r="363" spans="1:3">
      <c r="A363">
        <v>2510</v>
      </c>
      <c r="B363"/>
      <c r="C363">
        <v>9</v>
      </c>
    </row>
    <row r="364" spans="1:3">
      <c r="A364">
        <v>2517</v>
      </c>
      <c r="B364"/>
      <c r="C364">
        <v>10</v>
      </c>
    </row>
    <row r="365" spans="1:3">
      <c r="A365">
        <v>2518</v>
      </c>
      <c r="B365"/>
      <c r="C365">
        <v>9</v>
      </c>
    </row>
    <row r="366" spans="1:3">
      <c r="A366">
        <v>2519</v>
      </c>
      <c r="B366"/>
      <c r="C366">
        <v>10</v>
      </c>
    </row>
    <row r="367" spans="1:3">
      <c r="A367">
        <v>2521</v>
      </c>
      <c r="B367"/>
      <c r="C367">
        <v>9</v>
      </c>
    </row>
    <row r="368" spans="1:3">
      <c r="A368">
        <v>2522</v>
      </c>
      <c r="B368"/>
      <c r="C368">
        <v>10</v>
      </c>
    </row>
    <row r="369" spans="1:3">
      <c r="A369">
        <v>2523</v>
      </c>
      <c r="B369"/>
      <c r="C369">
        <v>9</v>
      </c>
    </row>
    <row r="370" spans="1:3">
      <c r="A370">
        <v>2524</v>
      </c>
      <c r="B370"/>
      <c r="C370">
        <v>10</v>
      </c>
    </row>
    <row r="371" spans="1:3">
      <c r="A371">
        <v>2525</v>
      </c>
      <c r="B371"/>
      <c r="C371">
        <v>10</v>
      </c>
    </row>
    <row r="372" spans="1:3">
      <c r="A372">
        <v>2526</v>
      </c>
      <c r="B372"/>
      <c r="C372">
        <v>10</v>
      </c>
    </row>
    <row r="373" spans="1:3">
      <c r="A373">
        <v>2527</v>
      </c>
      <c r="B373"/>
      <c r="C373">
        <v>10</v>
      </c>
    </row>
    <row r="374" spans="1:3">
      <c r="A374">
        <v>2528</v>
      </c>
      <c r="B374"/>
      <c r="C374">
        <v>10</v>
      </c>
    </row>
    <row r="375" spans="1:3">
      <c r="A375">
        <v>2529</v>
      </c>
      <c r="B375"/>
      <c r="C375">
        <v>10</v>
      </c>
    </row>
    <row r="376" spans="1:3">
      <c r="A376">
        <v>2531</v>
      </c>
      <c r="B376"/>
      <c r="C376">
        <v>9</v>
      </c>
    </row>
    <row r="377" spans="1:3">
      <c r="A377">
        <v>2532</v>
      </c>
      <c r="B377"/>
      <c r="C377">
        <v>9</v>
      </c>
    </row>
    <row r="378" spans="1:3">
      <c r="A378">
        <v>2533</v>
      </c>
      <c r="B378"/>
      <c r="C378">
        <v>10</v>
      </c>
    </row>
    <row r="379" spans="1:3">
      <c r="A379">
        <v>2534</v>
      </c>
      <c r="B379"/>
      <c r="C379">
        <v>9</v>
      </c>
    </row>
    <row r="380" spans="1:3">
      <c r="A380">
        <v>2535</v>
      </c>
      <c r="B380"/>
      <c r="C380">
        <v>10</v>
      </c>
    </row>
    <row r="381" spans="1:3">
      <c r="A381">
        <v>2536</v>
      </c>
      <c r="B381"/>
      <c r="C381">
        <v>9</v>
      </c>
    </row>
    <row r="382" spans="1:3">
      <c r="A382">
        <v>2537</v>
      </c>
      <c r="B382"/>
      <c r="C382">
        <v>9</v>
      </c>
    </row>
    <row r="383" spans="1:3">
      <c r="A383">
        <v>2541</v>
      </c>
      <c r="B383"/>
      <c r="C383">
        <v>9</v>
      </c>
    </row>
    <row r="384" spans="1:3">
      <c r="A384">
        <v>2543</v>
      </c>
      <c r="B384"/>
      <c r="C384">
        <v>10</v>
      </c>
    </row>
    <row r="385" spans="1:3">
      <c r="A385">
        <v>2544</v>
      </c>
      <c r="B385"/>
      <c r="C385">
        <v>10</v>
      </c>
    </row>
    <row r="386" spans="1:3">
      <c r="A386">
        <v>2545</v>
      </c>
      <c r="B386"/>
      <c r="C386">
        <v>10</v>
      </c>
    </row>
    <row r="387" spans="1:3">
      <c r="A387">
        <v>2600</v>
      </c>
      <c r="B387"/>
      <c r="C387">
        <v>5</v>
      </c>
    </row>
    <row r="388" spans="1:3">
      <c r="A388">
        <v>2610</v>
      </c>
      <c r="B388"/>
      <c r="C388">
        <v>12</v>
      </c>
    </row>
    <row r="389" spans="1:3">
      <c r="A389">
        <v>2611</v>
      </c>
      <c r="B389"/>
      <c r="C389">
        <v>12</v>
      </c>
    </row>
    <row r="390" spans="1:3">
      <c r="A390">
        <v>2612</v>
      </c>
      <c r="B390"/>
      <c r="C390">
        <v>8</v>
      </c>
    </row>
    <row r="391" spans="1:3">
      <c r="A391">
        <v>2613</v>
      </c>
      <c r="B391"/>
      <c r="C391">
        <v>8</v>
      </c>
    </row>
    <row r="392" spans="1:3">
      <c r="A392">
        <v>2614</v>
      </c>
      <c r="B392"/>
      <c r="C392">
        <v>9</v>
      </c>
    </row>
    <row r="393" spans="1:3">
      <c r="A393">
        <v>2615</v>
      </c>
      <c r="B393"/>
      <c r="C393">
        <v>9</v>
      </c>
    </row>
    <row r="394" spans="1:3">
      <c r="A394">
        <v>2616</v>
      </c>
      <c r="B394"/>
      <c r="C394">
        <v>12</v>
      </c>
    </row>
    <row r="395" spans="1:3">
      <c r="A395">
        <v>2617</v>
      </c>
      <c r="B395"/>
      <c r="C395">
        <v>12</v>
      </c>
    </row>
    <row r="396" spans="1:3">
      <c r="A396">
        <v>2618</v>
      </c>
      <c r="B396"/>
      <c r="C396">
        <v>12</v>
      </c>
    </row>
    <row r="397" spans="1:3">
      <c r="A397">
        <v>2619</v>
      </c>
      <c r="B397"/>
      <c r="C397">
        <v>12</v>
      </c>
    </row>
    <row r="398" spans="1:3">
      <c r="A398">
        <v>2621</v>
      </c>
      <c r="B398"/>
      <c r="C398">
        <v>8</v>
      </c>
    </row>
    <row r="399" spans="1:3">
      <c r="A399">
        <v>2623</v>
      </c>
      <c r="B399"/>
      <c r="C399">
        <v>8</v>
      </c>
    </row>
    <row r="400" spans="1:3">
      <c r="A400">
        <v>2624</v>
      </c>
      <c r="B400"/>
      <c r="C400">
        <v>9</v>
      </c>
    </row>
    <row r="401" spans="1:3">
      <c r="A401">
        <v>2625</v>
      </c>
      <c r="B401"/>
      <c r="C401">
        <v>9</v>
      </c>
    </row>
    <row r="402" spans="1:3">
      <c r="A402">
        <v>2626</v>
      </c>
      <c r="B402"/>
      <c r="C402">
        <v>8</v>
      </c>
    </row>
    <row r="403" spans="1:3">
      <c r="A403">
        <v>2627</v>
      </c>
      <c r="B403"/>
      <c r="C403">
        <v>8</v>
      </c>
    </row>
    <row r="404" spans="1:3">
      <c r="A404">
        <v>2628</v>
      </c>
      <c r="B404"/>
      <c r="C404">
        <v>8</v>
      </c>
    </row>
    <row r="405" spans="1:3">
      <c r="A405">
        <v>2629</v>
      </c>
      <c r="B405"/>
      <c r="C405">
        <v>9</v>
      </c>
    </row>
    <row r="406" spans="1:3">
      <c r="A406">
        <v>2631</v>
      </c>
      <c r="B406"/>
      <c r="C406">
        <v>9</v>
      </c>
    </row>
    <row r="407" spans="1:3">
      <c r="A407">
        <v>2632</v>
      </c>
      <c r="B407"/>
      <c r="C407">
        <v>9</v>
      </c>
    </row>
    <row r="408" spans="1:3">
      <c r="A408">
        <v>2633</v>
      </c>
      <c r="B408"/>
      <c r="C408">
        <v>9</v>
      </c>
    </row>
    <row r="409" spans="1:3">
      <c r="A409">
        <v>2634</v>
      </c>
      <c r="B409"/>
      <c r="C409">
        <v>9</v>
      </c>
    </row>
    <row r="410" spans="1:3">
      <c r="A410">
        <v>2635</v>
      </c>
      <c r="B410"/>
      <c r="C410">
        <v>9</v>
      </c>
    </row>
    <row r="411" spans="1:3">
      <c r="A411">
        <v>2636</v>
      </c>
      <c r="B411"/>
      <c r="C411">
        <v>9</v>
      </c>
    </row>
    <row r="412" spans="1:3">
      <c r="A412">
        <v>2637</v>
      </c>
      <c r="B412"/>
      <c r="C412">
        <v>9</v>
      </c>
    </row>
    <row r="413" spans="1:3">
      <c r="A413">
        <v>2638</v>
      </c>
      <c r="B413"/>
      <c r="C413">
        <v>9</v>
      </c>
    </row>
    <row r="414" spans="1:3">
      <c r="A414">
        <v>2639</v>
      </c>
      <c r="B414"/>
      <c r="C414">
        <v>9</v>
      </c>
    </row>
    <row r="415" spans="1:3">
      <c r="A415">
        <v>2640</v>
      </c>
      <c r="B415"/>
      <c r="C415">
        <v>11</v>
      </c>
    </row>
    <row r="416" spans="1:3">
      <c r="A416">
        <v>2641</v>
      </c>
      <c r="B416"/>
      <c r="C416">
        <v>12</v>
      </c>
    </row>
    <row r="417" spans="1:3">
      <c r="A417">
        <v>2642</v>
      </c>
      <c r="B417"/>
      <c r="C417">
        <v>12</v>
      </c>
    </row>
    <row r="418" spans="1:3">
      <c r="A418">
        <v>2643</v>
      </c>
      <c r="B418"/>
      <c r="C418">
        <v>12</v>
      </c>
    </row>
    <row r="419" spans="1:3">
      <c r="A419">
        <v>2644</v>
      </c>
      <c r="B419"/>
      <c r="C419">
        <v>12</v>
      </c>
    </row>
    <row r="420" spans="1:3">
      <c r="A420">
        <v>2645</v>
      </c>
      <c r="B420"/>
      <c r="C420">
        <v>12</v>
      </c>
    </row>
    <row r="421" spans="1:3">
      <c r="A421">
        <v>2646</v>
      </c>
      <c r="B421"/>
      <c r="C421">
        <v>12</v>
      </c>
    </row>
    <row r="422" spans="1:3">
      <c r="A422">
        <v>2647</v>
      </c>
      <c r="B422"/>
      <c r="C422">
        <v>12</v>
      </c>
    </row>
    <row r="423" spans="1:3">
      <c r="A423">
        <v>2648</v>
      </c>
      <c r="B423"/>
      <c r="C423">
        <v>12</v>
      </c>
    </row>
    <row r="424" spans="1:3">
      <c r="A424">
        <v>2649</v>
      </c>
      <c r="B424"/>
      <c r="C424">
        <v>12</v>
      </c>
    </row>
    <row r="425" spans="1:3">
      <c r="A425">
        <v>2651</v>
      </c>
      <c r="B425"/>
      <c r="C425">
        <v>11</v>
      </c>
    </row>
    <row r="426" spans="1:3">
      <c r="A426">
        <v>2652</v>
      </c>
      <c r="B426"/>
      <c r="C426">
        <v>12</v>
      </c>
    </row>
    <row r="427" spans="1:3">
      <c r="A427">
        <v>2653</v>
      </c>
      <c r="B427"/>
      <c r="C427">
        <v>12</v>
      </c>
    </row>
    <row r="428" spans="1:3">
      <c r="A428">
        <v>2654</v>
      </c>
      <c r="B428"/>
      <c r="C428">
        <v>11</v>
      </c>
    </row>
    <row r="429" spans="1:3">
      <c r="A429">
        <v>2655</v>
      </c>
      <c r="B429"/>
      <c r="C429">
        <v>12</v>
      </c>
    </row>
    <row r="430" spans="1:3">
      <c r="A430">
        <v>2656</v>
      </c>
      <c r="B430"/>
      <c r="C430">
        <v>12</v>
      </c>
    </row>
    <row r="431" spans="1:3">
      <c r="A431">
        <v>2657</v>
      </c>
      <c r="B431"/>
      <c r="C431">
        <v>12</v>
      </c>
    </row>
    <row r="432" spans="1:3">
      <c r="A432">
        <v>2658</v>
      </c>
      <c r="B432"/>
      <c r="C432">
        <v>12</v>
      </c>
    </row>
    <row r="433" spans="1:3">
      <c r="A433">
        <v>2659</v>
      </c>
      <c r="B433"/>
      <c r="C433">
        <v>12</v>
      </c>
    </row>
    <row r="434" spans="1:3">
      <c r="A434">
        <v>2660</v>
      </c>
      <c r="B434"/>
      <c r="C434">
        <v>11</v>
      </c>
    </row>
    <row r="435" spans="1:3">
      <c r="A435">
        <v>2668</v>
      </c>
      <c r="B435"/>
      <c r="C435">
        <v>11</v>
      </c>
    </row>
    <row r="436" spans="1:3">
      <c r="A436">
        <v>2669</v>
      </c>
      <c r="B436"/>
      <c r="C436">
        <v>12</v>
      </c>
    </row>
    <row r="437" spans="1:3">
      <c r="A437">
        <v>2671</v>
      </c>
      <c r="B437"/>
      <c r="C437">
        <v>12</v>
      </c>
    </row>
    <row r="438" spans="1:3">
      <c r="A438">
        <v>2672</v>
      </c>
      <c r="B438"/>
      <c r="C438">
        <v>12</v>
      </c>
    </row>
    <row r="439" spans="1:3">
      <c r="A439">
        <v>2673</v>
      </c>
      <c r="B439"/>
      <c r="C439">
        <v>12</v>
      </c>
    </row>
    <row r="440" spans="1:3">
      <c r="A440">
        <v>2674</v>
      </c>
      <c r="B440"/>
      <c r="C440">
        <v>12</v>
      </c>
    </row>
    <row r="441" spans="1:3">
      <c r="A441">
        <v>2675</v>
      </c>
      <c r="B441"/>
      <c r="C441">
        <v>12</v>
      </c>
    </row>
    <row r="442" spans="1:3">
      <c r="A442">
        <v>2676</v>
      </c>
      <c r="B442"/>
      <c r="C442">
        <v>12</v>
      </c>
    </row>
    <row r="443" spans="1:3">
      <c r="A443">
        <v>2677</v>
      </c>
      <c r="B443"/>
      <c r="C443">
        <v>12</v>
      </c>
    </row>
    <row r="444" spans="1:3">
      <c r="A444">
        <v>2678</v>
      </c>
      <c r="B444"/>
      <c r="C444">
        <v>12</v>
      </c>
    </row>
    <row r="445" spans="1:3">
      <c r="A445">
        <v>2681</v>
      </c>
      <c r="B445"/>
      <c r="C445">
        <v>9</v>
      </c>
    </row>
    <row r="446" spans="1:3">
      <c r="A446">
        <v>2682</v>
      </c>
      <c r="B446"/>
      <c r="C446">
        <v>9</v>
      </c>
    </row>
    <row r="447" spans="1:3">
      <c r="A447">
        <v>2683</v>
      </c>
      <c r="B447"/>
      <c r="C447">
        <v>9</v>
      </c>
    </row>
    <row r="448" spans="1:3">
      <c r="A448">
        <v>2685</v>
      </c>
      <c r="B448"/>
      <c r="C448">
        <v>12</v>
      </c>
    </row>
    <row r="449" spans="1:3">
      <c r="A449">
        <v>2686</v>
      </c>
      <c r="B449"/>
      <c r="C449">
        <v>12</v>
      </c>
    </row>
    <row r="450" spans="1:3">
      <c r="A450">
        <v>2687</v>
      </c>
      <c r="B450"/>
      <c r="C450">
        <v>12</v>
      </c>
    </row>
    <row r="451" spans="1:3">
      <c r="A451">
        <v>2688</v>
      </c>
      <c r="B451"/>
      <c r="C451">
        <v>12</v>
      </c>
    </row>
    <row r="452" spans="1:3">
      <c r="A452">
        <v>2691</v>
      </c>
      <c r="B452"/>
      <c r="C452">
        <v>12</v>
      </c>
    </row>
    <row r="453" spans="1:3">
      <c r="A453">
        <v>2692</v>
      </c>
      <c r="B453"/>
      <c r="C453">
        <v>12</v>
      </c>
    </row>
    <row r="454" spans="1:3">
      <c r="A454">
        <v>2693</v>
      </c>
      <c r="B454"/>
      <c r="C454">
        <v>12</v>
      </c>
    </row>
    <row r="455" spans="1:3">
      <c r="A455">
        <v>2694</v>
      </c>
      <c r="B455"/>
      <c r="C455">
        <v>12</v>
      </c>
    </row>
    <row r="456" spans="1:3">
      <c r="A456">
        <v>2696</v>
      </c>
      <c r="B456"/>
      <c r="C456">
        <v>12</v>
      </c>
    </row>
    <row r="457" spans="1:3">
      <c r="A457">
        <v>2697</v>
      </c>
      <c r="B457"/>
      <c r="C457">
        <v>12</v>
      </c>
    </row>
    <row r="458" spans="1:3">
      <c r="A458">
        <v>2698</v>
      </c>
      <c r="B458"/>
      <c r="C458">
        <v>12</v>
      </c>
    </row>
    <row r="459" spans="1:3">
      <c r="A459">
        <v>2699</v>
      </c>
      <c r="B459"/>
      <c r="C459">
        <v>12</v>
      </c>
    </row>
    <row r="460" spans="1:3">
      <c r="A460">
        <v>2700</v>
      </c>
      <c r="B460"/>
      <c r="C460">
        <v>9</v>
      </c>
    </row>
    <row r="461" spans="1:3">
      <c r="A461">
        <v>2711</v>
      </c>
      <c r="B461"/>
      <c r="C461">
        <v>9</v>
      </c>
    </row>
    <row r="462" spans="1:3">
      <c r="A462">
        <v>2712</v>
      </c>
      <c r="B462"/>
      <c r="C462">
        <v>9</v>
      </c>
    </row>
    <row r="463" spans="1:3">
      <c r="A463">
        <v>2713</v>
      </c>
      <c r="B463"/>
      <c r="C463">
        <v>9</v>
      </c>
    </row>
    <row r="464" spans="1:3">
      <c r="A464">
        <v>2721</v>
      </c>
      <c r="B464"/>
      <c r="C464">
        <v>8</v>
      </c>
    </row>
    <row r="465" spans="1:3">
      <c r="A465">
        <v>2723</v>
      </c>
      <c r="B465"/>
      <c r="C465">
        <v>8</v>
      </c>
    </row>
    <row r="466" spans="1:3">
      <c r="A466">
        <v>2724</v>
      </c>
      <c r="B466"/>
      <c r="C466">
        <v>9</v>
      </c>
    </row>
    <row r="467" spans="1:3">
      <c r="A467">
        <v>2730</v>
      </c>
      <c r="B467"/>
      <c r="C467">
        <v>8</v>
      </c>
    </row>
    <row r="468" spans="1:3">
      <c r="A468">
        <v>2735</v>
      </c>
      <c r="B468"/>
      <c r="C468">
        <v>8</v>
      </c>
    </row>
    <row r="469" spans="1:3">
      <c r="A469">
        <v>2736</v>
      </c>
      <c r="B469"/>
      <c r="C469">
        <v>9</v>
      </c>
    </row>
    <row r="470" spans="1:3">
      <c r="A470">
        <v>2737</v>
      </c>
      <c r="B470"/>
      <c r="C470">
        <v>8</v>
      </c>
    </row>
    <row r="471" spans="1:3">
      <c r="A471">
        <v>2738</v>
      </c>
      <c r="B471"/>
      <c r="C471">
        <v>9</v>
      </c>
    </row>
    <row r="472" spans="1:3">
      <c r="A472">
        <v>2740</v>
      </c>
      <c r="B472"/>
      <c r="C472">
        <v>8</v>
      </c>
    </row>
    <row r="473" spans="1:3">
      <c r="A473">
        <v>2745</v>
      </c>
      <c r="B473"/>
      <c r="C473">
        <v>9</v>
      </c>
    </row>
    <row r="474" spans="1:3">
      <c r="A474">
        <v>2746</v>
      </c>
      <c r="B474"/>
      <c r="C474">
        <v>9</v>
      </c>
    </row>
    <row r="475" spans="1:3">
      <c r="A475">
        <v>2747</v>
      </c>
      <c r="B475"/>
      <c r="C475">
        <v>9</v>
      </c>
    </row>
    <row r="476" spans="1:3">
      <c r="A476">
        <v>2750</v>
      </c>
      <c r="B476"/>
      <c r="C476">
        <v>8</v>
      </c>
    </row>
    <row r="477" spans="1:3">
      <c r="A477">
        <v>2755</v>
      </c>
      <c r="B477"/>
      <c r="C477">
        <v>9</v>
      </c>
    </row>
    <row r="478" spans="1:3">
      <c r="A478">
        <v>2760</v>
      </c>
      <c r="B478"/>
      <c r="C478">
        <v>8</v>
      </c>
    </row>
    <row r="479" spans="1:3">
      <c r="A479">
        <v>2764</v>
      </c>
      <c r="B479"/>
      <c r="C479">
        <v>9</v>
      </c>
    </row>
    <row r="480" spans="1:3">
      <c r="A480">
        <v>2765</v>
      </c>
      <c r="B480"/>
      <c r="C480">
        <v>9</v>
      </c>
    </row>
    <row r="481" spans="1:3">
      <c r="A481">
        <v>2766</v>
      </c>
      <c r="B481"/>
      <c r="C481">
        <v>8</v>
      </c>
    </row>
    <row r="482" spans="1:3">
      <c r="A482">
        <v>2767</v>
      </c>
      <c r="B482"/>
      <c r="C482">
        <v>9</v>
      </c>
    </row>
    <row r="483" spans="1:3">
      <c r="A483">
        <v>2768</v>
      </c>
      <c r="B483"/>
      <c r="C483">
        <v>9</v>
      </c>
    </row>
    <row r="484" spans="1:3">
      <c r="A484">
        <v>2769</v>
      </c>
      <c r="B484"/>
      <c r="C484">
        <v>9</v>
      </c>
    </row>
    <row r="485" spans="1:3">
      <c r="A485">
        <v>2800</v>
      </c>
      <c r="B485"/>
      <c r="C485">
        <v>7</v>
      </c>
    </row>
    <row r="486" spans="1:3">
      <c r="A486">
        <v>2821</v>
      </c>
      <c r="B486"/>
      <c r="C486">
        <v>10</v>
      </c>
    </row>
    <row r="487" spans="1:3">
      <c r="A487">
        <v>2822</v>
      </c>
      <c r="B487"/>
      <c r="C487">
        <v>10</v>
      </c>
    </row>
    <row r="488" spans="1:3">
      <c r="A488">
        <v>2823</v>
      </c>
      <c r="B488"/>
      <c r="C488">
        <v>10</v>
      </c>
    </row>
    <row r="489" spans="1:3">
      <c r="A489">
        <v>2824</v>
      </c>
      <c r="B489"/>
      <c r="C489">
        <v>10</v>
      </c>
    </row>
    <row r="490" spans="1:3">
      <c r="A490">
        <v>2831</v>
      </c>
      <c r="B490"/>
      <c r="C490">
        <v>10</v>
      </c>
    </row>
    <row r="491" spans="1:3">
      <c r="A491">
        <v>2832</v>
      </c>
      <c r="B491"/>
      <c r="C491">
        <v>10</v>
      </c>
    </row>
    <row r="492" spans="1:3">
      <c r="A492">
        <v>2833</v>
      </c>
      <c r="B492"/>
      <c r="C492">
        <v>10</v>
      </c>
    </row>
    <row r="493" spans="1:3">
      <c r="A493">
        <v>2834</v>
      </c>
      <c r="B493"/>
      <c r="C493">
        <v>10</v>
      </c>
    </row>
    <row r="494" spans="1:3">
      <c r="A494">
        <v>2835</v>
      </c>
      <c r="B494"/>
      <c r="C494">
        <v>9</v>
      </c>
    </row>
    <row r="495" spans="1:3">
      <c r="A495">
        <v>2836</v>
      </c>
      <c r="B495"/>
      <c r="C495">
        <v>10</v>
      </c>
    </row>
    <row r="496" spans="1:3">
      <c r="A496">
        <v>2837</v>
      </c>
      <c r="B496"/>
      <c r="C496">
        <v>9</v>
      </c>
    </row>
    <row r="497" spans="1:3">
      <c r="A497">
        <v>2840</v>
      </c>
      <c r="B497"/>
      <c r="C497">
        <v>9</v>
      </c>
    </row>
    <row r="498" spans="1:3">
      <c r="A498">
        <v>2851</v>
      </c>
      <c r="B498"/>
      <c r="C498">
        <v>10</v>
      </c>
    </row>
    <row r="499" spans="1:3">
      <c r="A499">
        <v>2852</v>
      </c>
      <c r="B499"/>
      <c r="C499">
        <v>9</v>
      </c>
    </row>
    <row r="500" spans="1:3">
      <c r="A500">
        <v>2853</v>
      </c>
      <c r="B500"/>
      <c r="C500">
        <v>10</v>
      </c>
    </row>
    <row r="501" spans="1:3">
      <c r="A501">
        <v>2854</v>
      </c>
      <c r="B501"/>
      <c r="C501">
        <v>10</v>
      </c>
    </row>
    <row r="502" spans="1:3">
      <c r="A502">
        <v>2855</v>
      </c>
      <c r="B502"/>
      <c r="C502">
        <v>10</v>
      </c>
    </row>
    <row r="503" spans="1:3">
      <c r="A503">
        <v>2856</v>
      </c>
      <c r="B503"/>
      <c r="C503">
        <v>10</v>
      </c>
    </row>
    <row r="504" spans="1:3">
      <c r="A504">
        <v>2858</v>
      </c>
      <c r="B504"/>
      <c r="C504">
        <v>10</v>
      </c>
    </row>
    <row r="505" spans="1:3">
      <c r="A505">
        <v>2859</v>
      </c>
      <c r="B505"/>
      <c r="C505">
        <v>10</v>
      </c>
    </row>
    <row r="506" spans="1:3">
      <c r="A506">
        <v>2861</v>
      </c>
      <c r="B506"/>
      <c r="C506">
        <v>10</v>
      </c>
    </row>
    <row r="507" spans="1:3">
      <c r="A507">
        <v>2862</v>
      </c>
      <c r="B507"/>
      <c r="C507">
        <v>10</v>
      </c>
    </row>
    <row r="508" spans="1:3">
      <c r="A508">
        <v>2870</v>
      </c>
      <c r="B508"/>
      <c r="C508">
        <v>10</v>
      </c>
    </row>
    <row r="509" spans="1:3">
      <c r="A509">
        <v>2879</v>
      </c>
      <c r="B509"/>
      <c r="C509">
        <v>10</v>
      </c>
    </row>
    <row r="510" spans="1:3">
      <c r="A510">
        <v>2881</v>
      </c>
      <c r="B510"/>
      <c r="C510">
        <v>10</v>
      </c>
    </row>
    <row r="511" spans="1:3">
      <c r="A511">
        <v>2882</v>
      </c>
      <c r="B511"/>
      <c r="C511">
        <v>10</v>
      </c>
    </row>
    <row r="512" spans="1:3">
      <c r="A512">
        <v>2883</v>
      </c>
      <c r="B512"/>
      <c r="C512">
        <v>10</v>
      </c>
    </row>
    <row r="513" spans="1:3">
      <c r="A513">
        <v>2884</v>
      </c>
      <c r="B513"/>
      <c r="C513">
        <v>10</v>
      </c>
    </row>
    <row r="514" spans="1:3">
      <c r="A514">
        <v>2885</v>
      </c>
      <c r="B514"/>
      <c r="C514">
        <v>10</v>
      </c>
    </row>
    <row r="515" spans="1:3">
      <c r="A515">
        <v>2886</v>
      </c>
      <c r="B515"/>
      <c r="C515">
        <v>10</v>
      </c>
    </row>
    <row r="516" spans="1:3">
      <c r="A516">
        <v>2887</v>
      </c>
      <c r="B516"/>
      <c r="C516">
        <v>10</v>
      </c>
    </row>
    <row r="517" spans="1:3">
      <c r="A517">
        <v>2888</v>
      </c>
      <c r="B517"/>
      <c r="C517">
        <v>10</v>
      </c>
    </row>
    <row r="518" spans="1:3">
      <c r="A518">
        <v>2889</v>
      </c>
      <c r="B518"/>
      <c r="C518">
        <v>10</v>
      </c>
    </row>
    <row r="519" spans="1:3">
      <c r="A519">
        <v>2890</v>
      </c>
      <c r="B519"/>
      <c r="C519">
        <v>9</v>
      </c>
    </row>
    <row r="520" spans="1:3">
      <c r="A520">
        <v>2896</v>
      </c>
      <c r="B520"/>
      <c r="C520">
        <v>10</v>
      </c>
    </row>
    <row r="521" spans="1:3">
      <c r="A521">
        <v>2897</v>
      </c>
      <c r="B521"/>
      <c r="C521">
        <v>10</v>
      </c>
    </row>
    <row r="522" spans="1:3">
      <c r="A522">
        <v>2898</v>
      </c>
      <c r="B522"/>
      <c r="C522">
        <v>10</v>
      </c>
    </row>
    <row r="523" spans="1:3">
      <c r="A523">
        <v>2899</v>
      </c>
      <c r="B523"/>
      <c r="C523">
        <v>10</v>
      </c>
    </row>
    <row r="524" spans="1:3">
      <c r="A524">
        <v>2900</v>
      </c>
      <c r="B524"/>
      <c r="C524">
        <v>9</v>
      </c>
    </row>
    <row r="525" spans="1:3">
      <c r="A525">
        <v>2903</v>
      </c>
      <c r="B525"/>
      <c r="C525">
        <v>9</v>
      </c>
    </row>
    <row r="526" spans="1:3">
      <c r="A526">
        <v>2911</v>
      </c>
      <c r="B526"/>
      <c r="C526">
        <v>10</v>
      </c>
    </row>
    <row r="527" spans="1:3">
      <c r="A527">
        <v>2921</v>
      </c>
      <c r="B527"/>
      <c r="C527">
        <v>9</v>
      </c>
    </row>
    <row r="528" spans="1:3">
      <c r="A528">
        <v>2931</v>
      </c>
      <c r="B528"/>
      <c r="C528">
        <v>9</v>
      </c>
    </row>
    <row r="529" spans="1:3">
      <c r="A529">
        <v>2941</v>
      </c>
      <c r="B529"/>
      <c r="C529">
        <v>10</v>
      </c>
    </row>
    <row r="530" spans="1:3">
      <c r="A530">
        <v>2942</v>
      </c>
      <c r="B530"/>
      <c r="C530">
        <v>10</v>
      </c>
    </row>
    <row r="531" spans="1:3">
      <c r="A531">
        <v>2943</v>
      </c>
      <c r="B531"/>
      <c r="C531">
        <v>10</v>
      </c>
    </row>
    <row r="532" spans="1:3">
      <c r="A532">
        <v>2944</v>
      </c>
      <c r="B532"/>
      <c r="C532">
        <v>10</v>
      </c>
    </row>
    <row r="533" spans="1:3">
      <c r="A533">
        <v>2945</v>
      </c>
      <c r="B533"/>
      <c r="C533">
        <v>10</v>
      </c>
    </row>
    <row r="534" spans="1:3">
      <c r="A534">
        <v>2946</v>
      </c>
      <c r="B534"/>
      <c r="C534">
        <v>10</v>
      </c>
    </row>
    <row r="535" spans="1:3">
      <c r="A535">
        <v>2947</v>
      </c>
      <c r="B535"/>
      <c r="C535">
        <v>10</v>
      </c>
    </row>
    <row r="536" spans="1:3">
      <c r="A536">
        <v>2948</v>
      </c>
      <c r="B536"/>
      <c r="C536">
        <v>10</v>
      </c>
    </row>
    <row r="537" spans="1:3">
      <c r="A537">
        <v>2949</v>
      </c>
      <c r="B537"/>
      <c r="C537">
        <v>10</v>
      </c>
    </row>
    <row r="538" spans="1:3">
      <c r="A538">
        <v>3000</v>
      </c>
      <c r="B538"/>
      <c r="C538">
        <v>9</v>
      </c>
    </row>
    <row r="539" spans="1:3">
      <c r="A539">
        <v>3009</v>
      </c>
      <c r="B539"/>
      <c r="C539">
        <v>10</v>
      </c>
    </row>
    <row r="540" spans="1:3">
      <c r="A540">
        <v>3011</v>
      </c>
      <c r="B540"/>
      <c r="C540">
        <v>10</v>
      </c>
    </row>
    <row r="541" spans="1:3">
      <c r="A541">
        <v>3012</v>
      </c>
      <c r="B541"/>
      <c r="C541">
        <v>10</v>
      </c>
    </row>
    <row r="542" spans="1:3">
      <c r="A542">
        <v>3013</v>
      </c>
      <c r="B542"/>
      <c r="C542">
        <v>10</v>
      </c>
    </row>
    <row r="543" spans="1:3">
      <c r="A543">
        <v>3014</v>
      </c>
      <c r="B543"/>
      <c r="C543">
        <v>10</v>
      </c>
    </row>
    <row r="544" spans="1:3">
      <c r="A544">
        <v>3015</v>
      </c>
      <c r="B544"/>
      <c r="C544">
        <v>10</v>
      </c>
    </row>
    <row r="545" spans="1:3">
      <c r="A545">
        <v>3016</v>
      </c>
      <c r="B545"/>
      <c r="C545">
        <v>10</v>
      </c>
    </row>
    <row r="546" spans="1:3">
      <c r="A546">
        <v>3021</v>
      </c>
      <c r="B546"/>
      <c r="C546">
        <v>9</v>
      </c>
    </row>
    <row r="547" spans="1:3">
      <c r="A547">
        <v>3022</v>
      </c>
      <c r="B547"/>
      <c r="C547">
        <v>9</v>
      </c>
    </row>
    <row r="548" spans="1:3">
      <c r="A548">
        <v>3023</v>
      </c>
      <c r="B548"/>
      <c r="C548">
        <v>9</v>
      </c>
    </row>
    <row r="549" spans="1:3">
      <c r="A549">
        <v>3024</v>
      </c>
      <c r="B549"/>
      <c r="C549">
        <v>9</v>
      </c>
    </row>
    <row r="550" spans="1:3">
      <c r="A550">
        <v>3031</v>
      </c>
      <c r="B550"/>
      <c r="C550">
        <v>9</v>
      </c>
    </row>
    <row r="551" spans="1:3">
      <c r="A551">
        <v>3032</v>
      </c>
      <c r="B551"/>
      <c r="C551">
        <v>10</v>
      </c>
    </row>
    <row r="552" spans="1:3">
      <c r="A552">
        <v>3033</v>
      </c>
      <c r="B552"/>
      <c r="C552">
        <v>10</v>
      </c>
    </row>
    <row r="553" spans="1:3">
      <c r="A553">
        <v>3034</v>
      </c>
      <c r="B553"/>
      <c r="C553">
        <v>10</v>
      </c>
    </row>
    <row r="554" spans="1:3">
      <c r="A554">
        <v>3035</v>
      </c>
      <c r="B554"/>
      <c r="C554">
        <v>10</v>
      </c>
    </row>
    <row r="555" spans="1:3">
      <c r="A555">
        <v>3036</v>
      </c>
      <c r="B555"/>
      <c r="C555">
        <v>10</v>
      </c>
    </row>
    <row r="556" spans="1:3">
      <c r="A556">
        <v>3041</v>
      </c>
      <c r="B556"/>
      <c r="C556">
        <v>12</v>
      </c>
    </row>
    <row r="557" spans="1:3">
      <c r="A557">
        <v>3042</v>
      </c>
      <c r="B557"/>
      <c r="C557">
        <v>11</v>
      </c>
    </row>
    <row r="558" spans="1:3">
      <c r="A558">
        <v>3043</v>
      </c>
      <c r="B558"/>
      <c r="C558">
        <v>12</v>
      </c>
    </row>
    <row r="559" spans="1:3">
      <c r="A559">
        <v>3044</v>
      </c>
      <c r="B559"/>
      <c r="C559">
        <v>12</v>
      </c>
    </row>
    <row r="560" spans="1:3">
      <c r="A560">
        <v>3045</v>
      </c>
      <c r="B560"/>
      <c r="C560">
        <v>12</v>
      </c>
    </row>
    <row r="561" spans="1:3">
      <c r="A561">
        <v>3046</v>
      </c>
      <c r="B561"/>
      <c r="C561">
        <v>12</v>
      </c>
    </row>
    <row r="562" spans="1:3">
      <c r="A562">
        <v>3047</v>
      </c>
      <c r="B562"/>
      <c r="C562">
        <v>12</v>
      </c>
    </row>
    <row r="563" spans="1:3">
      <c r="A563">
        <v>3051</v>
      </c>
      <c r="B563"/>
      <c r="C563">
        <v>12</v>
      </c>
    </row>
    <row r="564" spans="1:3">
      <c r="A564">
        <v>3052</v>
      </c>
      <c r="B564"/>
      <c r="C564">
        <v>12</v>
      </c>
    </row>
    <row r="565" spans="1:3">
      <c r="A565">
        <v>3053</v>
      </c>
      <c r="B565"/>
      <c r="C565">
        <v>12</v>
      </c>
    </row>
    <row r="566" spans="1:3">
      <c r="A566">
        <v>3060</v>
      </c>
      <c r="B566"/>
      <c r="C566">
        <v>11</v>
      </c>
    </row>
    <row r="567" spans="1:3">
      <c r="A567">
        <v>3063</v>
      </c>
      <c r="B567"/>
      <c r="C567">
        <v>11</v>
      </c>
    </row>
    <row r="568" spans="1:3">
      <c r="A568">
        <v>3064</v>
      </c>
      <c r="B568"/>
      <c r="C568">
        <v>12</v>
      </c>
    </row>
    <row r="569" spans="1:3">
      <c r="A569">
        <v>3065</v>
      </c>
      <c r="B569"/>
      <c r="C569">
        <v>11</v>
      </c>
    </row>
    <row r="570" spans="1:3">
      <c r="A570">
        <v>3066</v>
      </c>
      <c r="B570"/>
      <c r="C570">
        <v>12</v>
      </c>
    </row>
    <row r="571" spans="1:3">
      <c r="A571">
        <v>3067</v>
      </c>
      <c r="B571"/>
      <c r="C571">
        <v>12</v>
      </c>
    </row>
    <row r="572" spans="1:3">
      <c r="A572">
        <v>3068</v>
      </c>
      <c r="B572"/>
      <c r="C572">
        <v>12</v>
      </c>
    </row>
    <row r="573" spans="1:3">
      <c r="A573">
        <v>3069</v>
      </c>
      <c r="B573"/>
      <c r="C573">
        <v>12</v>
      </c>
    </row>
    <row r="574" spans="1:3">
      <c r="A574">
        <v>3070</v>
      </c>
      <c r="B574"/>
      <c r="C574">
        <v>11</v>
      </c>
    </row>
    <row r="575" spans="1:3">
      <c r="A575">
        <v>3071</v>
      </c>
      <c r="B575"/>
      <c r="C575">
        <v>11</v>
      </c>
    </row>
    <row r="576" spans="1:3">
      <c r="A576">
        <v>3073</v>
      </c>
      <c r="B576"/>
      <c r="C576">
        <v>12</v>
      </c>
    </row>
    <row r="577" spans="1:3">
      <c r="A577">
        <v>3074</v>
      </c>
      <c r="B577"/>
      <c r="C577">
        <v>12</v>
      </c>
    </row>
    <row r="578" spans="1:3">
      <c r="A578">
        <v>3075</v>
      </c>
      <c r="B578"/>
      <c r="C578">
        <v>12</v>
      </c>
    </row>
    <row r="579" spans="1:3">
      <c r="A579">
        <v>3077</v>
      </c>
      <c r="B579"/>
      <c r="C579">
        <v>12</v>
      </c>
    </row>
    <row r="580" spans="1:3">
      <c r="A580">
        <v>3078</v>
      </c>
      <c r="B580"/>
      <c r="C580">
        <v>11</v>
      </c>
    </row>
    <row r="581" spans="1:3">
      <c r="A581">
        <v>3082</v>
      </c>
      <c r="B581"/>
      <c r="C581">
        <v>11</v>
      </c>
    </row>
    <row r="582" spans="1:3">
      <c r="A582">
        <v>3100</v>
      </c>
      <c r="B582"/>
      <c r="C582">
        <v>9</v>
      </c>
    </row>
    <row r="583" spans="1:3">
      <c r="A583">
        <v>3102</v>
      </c>
      <c r="B583"/>
      <c r="C583">
        <v>9</v>
      </c>
    </row>
    <row r="584" spans="1:3">
      <c r="A584">
        <v>3104</v>
      </c>
      <c r="B584"/>
      <c r="C584">
        <v>9</v>
      </c>
    </row>
    <row r="585" spans="1:3">
      <c r="A585">
        <v>3109</v>
      </c>
      <c r="B585"/>
      <c r="C585">
        <v>9</v>
      </c>
    </row>
    <row r="586" spans="1:3">
      <c r="A586">
        <v>3121</v>
      </c>
      <c r="B586"/>
      <c r="C586">
        <v>11</v>
      </c>
    </row>
    <row r="587" spans="1:3">
      <c r="A587">
        <v>3123</v>
      </c>
      <c r="B587"/>
      <c r="C587">
        <v>12</v>
      </c>
    </row>
    <row r="588" spans="1:3">
      <c r="A588">
        <v>3124</v>
      </c>
      <c r="B588"/>
      <c r="C588">
        <v>12</v>
      </c>
    </row>
    <row r="589" spans="1:3">
      <c r="A589">
        <v>3125</v>
      </c>
      <c r="B589"/>
      <c r="C589">
        <v>12</v>
      </c>
    </row>
    <row r="590" spans="1:3">
      <c r="A590">
        <v>3126</v>
      </c>
      <c r="B590"/>
      <c r="C590">
        <v>12</v>
      </c>
    </row>
    <row r="591" spans="1:3">
      <c r="A591">
        <v>3127</v>
      </c>
      <c r="B591"/>
      <c r="C591">
        <v>12</v>
      </c>
    </row>
    <row r="592" spans="1:3">
      <c r="A592">
        <v>3128</v>
      </c>
      <c r="B592"/>
      <c r="C592">
        <v>11</v>
      </c>
    </row>
    <row r="593" spans="1:3">
      <c r="A593">
        <v>3129</v>
      </c>
      <c r="B593"/>
      <c r="C593">
        <v>12</v>
      </c>
    </row>
    <row r="594" spans="1:3">
      <c r="A594">
        <v>3131</v>
      </c>
      <c r="B594"/>
      <c r="C594">
        <v>12</v>
      </c>
    </row>
    <row r="595" spans="1:3">
      <c r="A595">
        <v>3132</v>
      </c>
      <c r="B595"/>
      <c r="C595">
        <v>12</v>
      </c>
    </row>
    <row r="596" spans="1:3">
      <c r="A596">
        <v>3133</v>
      </c>
      <c r="B596"/>
      <c r="C596">
        <v>12</v>
      </c>
    </row>
    <row r="597" spans="1:3">
      <c r="A597">
        <v>3134</v>
      </c>
      <c r="B597"/>
      <c r="C597">
        <v>12</v>
      </c>
    </row>
    <row r="598" spans="1:3">
      <c r="A598">
        <v>3135</v>
      </c>
      <c r="B598"/>
      <c r="C598">
        <v>12</v>
      </c>
    </row>
    <row r="599" spans="1:3">
      <c r="A599">
        <v>3136</v>
      </c>
      <c r="B599"/>
      <c r="C599">
        <v>12</v>
      </c>
    </row>
    <row r="600" spans="1:3">
      <c r="A600">
        <v>3137</v>
      </c>
      <c r="B600"/>
      <c r="C600">
        <v>12</v>
      </c>
    </row>
    <row r="601" spans="1:3">
      <c r="A601">
        <v>3138</v>
      </c>
      <c r="B601"/>
      <c r="C601">
        <v>12</v>
      </c>
    </row>
    <row r="602" spans="1:3">
      <c r="A602">
        <v>3141</v>
      </c>
      <c r="B602"/>
      <c r="C602">
        <v>9</v>
      </c>
    </row>
    <row r="603" spans="1:3">
      <c r="A603">
        <v>3142</v>
      </c>
      <c r="B603"/>
      <c r="C603">
        <v>12</v>
      </c>
    </row>
    <row r="604" spans="1:3">
      <c r="A604">
        <v>3143</v>
      </c>
      <c r="B604"/>
      <c r="C604">
        <v>12</v>
      </c>
    </row>
    <row r="605" spans="1:3">
      <c r="A605">
        <v>3144</v>
      </c>
      <c r="B605"/>
      <c r="C605">
        <v>12</v>
      </c>
    </row>
    <row r="606" spans="1:3">
      <c r="A606">
        <v>3145</v>
      </c>
      <c r="B606"/>
      <c r="C606">
        <v>12</v>
      </c>
    </row>
    <row r="607" spans="1:3">
      <c r="A607">
        <v>3146</v>
      </c>
      <c r="B607"/>
      <c r="C607">
        <v>12</v>
      </c>
    </row>
    <row r="608" spans="1:3">
      <c r="A608">
        <v>3147</v>
      </c>
      <c r="B608"/>
      <c r="C608">
        <v>12</v>
      </c>
    </row>
    <row r="609" spans="1:3">
      <c r="A609">
        <v>3151</v>
      </c>
      <c r="B609"/>
      <c r="C609">
        <v>11</v>
      </c>
    </row>
    <row r="610" spans="1:3">
      <c r="A610">
        <v>3152</v>
      </c>
      <c r="B610"/>
      <c r="C610">
        <v>12</v>
      </c>
    </row>
    <row r="611" spans="1:3">
      <c r="A611">
        <v>3153</v>
      </c>
      <c r="B611"/>
      <c r="C611">
        <v>12</v>
      </c>
    </row>
    <row r="612" spans="1:3">
      <c r="A612">
        <v>3154</v>
      </c>
      <c r="B612"/>
      <c r="C612">
        <v>12</v>
      </c>
    </row>
    <row r="613" spans="1:3">
      <c r="A613">
        <v>3155</v>
      </c>
      <c r="B613"/>
      <c r="C613">
        <v>12</v>
      </c>
    </row>
    <row r="614" spans="1:3">
      <c r="A614">
        <v>3161</v>
      </c>
      <c r="B614"/>
      <c r="C614">
        <v>12</v>
      </c>
    </row>
    <row r="615" spans="1:3">
      <c r="A615">
        <v>3162</v>
      </c>
      <c r="B615"/>
      <c r="C615">
        <v>12</v>
      </c>
    </row>
    <row r="616" spans="1:3">
      <c r="A616">
        <v>3163</v>
      </c>
      <c r="B616"/>
      <c r="C616">
        <v>12</v>
      </c>
    </row>
    <row r="617" spans="1:3">
      <c r="A617">
        <v>3165</v>
      </c>
      <c r="B617"/>
      <c r="C617">
        <v>12</v>
      </c>
    </row>
    <row r="618" spans="1:3">
      <c r="A618">
        <v>3170</v>
      </c>
      <c r="B618"/>
      <c r="C618">
        <v>11</v>
      </c>
    </row>
    <row r="619" spans="1:3">
      <c r="A619">
        <v>3175</v>
      </c>
      <c r="B619"/>
      <c r="C619">
        <v>12</v>
      </c>
    </row>
    <row r="620" spans="1:3">
      <c r="A620">
        <v>3176</v>
      </c>
      <c r="B620"/>
      <c r="C620">
        <v>12</v>
      </c>
    </row>
    <row r="621" spans="1:3">
      <c r="A621">
        <v>3177</v>
      </c>
      <c r="B621"/>
      <c r="C621">
        <v>12</v>
      </c>
    </row>
    <row r="622" spans="1:3">
      <c r="A622">
        <v>3178</v>
      </c>
      <c r="B622"/>
      <c r="C622">
        <v>12</v>
      </c>
    </row>
    <row r="623" spans="1:3">
      <c r="A623">
        <v>3179</v>
      </c>
      <c r="B623"/>
      <c r="C623">
        <v>12</v>
      </c>
    </row>
    <row r="624" spans="1:3">
      <c r="A624">
        <v>3181</v>
      </c>
      <c r="B624"/>
      <c r="C624">
        <v>11</v>
      </c>
    </row>
    <row r="625" spans="1:3">
      <c r="A625">
        <v>3182</v>
      </c>
      <c r="B625"/>
      <c r="C625">
        <v>11</v>
      </c>
    </row>
    <row r="626" spans="1:3">
      <c r="A626">
        <v>3183</v>
      </c>
      <c r="B626"/>
      <c r="C626">
        <v>12</v>
      </c>
    </row>
    <row r="627" spans="1:3">
      <c r="A627">
        <v>3184</v>
      </c>
      <c r="B627"/>
      <c r="C627">
        <v>12</v>
      </c>
    </row>
    <row r="628" spans="1:3">
      <c r="A628">
        <v>3185</v>
      </c>
      <c r="B628"/>
      <c r="C628">
        <v>12</v>
      </c>
    </row>
    <row r="629" spans="1:3">
      <c r="A629">
        <v>3186</v>
      </c>
      <c r="B629"/>
      <c r="C629">
        <v>12</v>
      </c>
    </row>
    <row r="630" spans="1:3">
      <c r="A630">
        <v>3187</v>
      </c>
      <c r="B630"/>
      <c r="C630">
        <v>12</v>
      </c>
    </row>
    <row r="631" spans="1:3">
      <c r="A631">
        <v>3188</v>
      </c>
      <c r="B631"/>
      <c r="C631">
        <v>12</v>
      </c>
    </row>
    <row r="632" spans="1:3">
      <c r="A632">
        <v>3200</v>
      </c>
      <c r="B632"/>
      <c r="C632">
        <v>9</v>
      </c>
    </row>
    <row r="633" spans="1:3">
      <c r="A633">
        <v>3211</v>
      </c>
      <c r="B633"/>
      <c r="C633">
        <v>10</v>
      </c>
    </row>
    <row r="634" spans="1:3">
      <c r="A634">
        <v>3212</v>
      </c>
      <c r="B634"/>
      <c r="C634">
        <v>10</v>
      </c>
    </row>
    <row r="635" spans="1:3">
      <c r="A635">
        <v>3213</v>
      </c>
      <c r="B635"/>
      <c r="C635">
        <v>10</v>
      </c>
    </row>
    <row r="636" spans="1:3">
      <c r="A636">
        <v>3214</v>
      </c>
      <c r="B636"/>
      <c r="C636">
        <v>10</v>
      </c>
    </row>
    <row r="637" spans="1:3">
      <c r="A637">
        <v>3221</v>
      </c>
      <c r="B637"/>
      <c r="C637">
        <v>9</v>
      </c>
    </row>
    <row r="638" spans="1:3">
      <c r="A638">
        <v>3231</v>
      </c>
      <c r="B638"/>
      <c r="C638">
        <v>10</v>
      </c>
    </row>
    <row r="639" spans="1:3">
      <c r="A639">
        <v>3232</v>
      </c>
      <c r="B639"/>
      <c r="C639">
        <v>9</v>
      </c>
    </row>
    <row r="640" spans="1:3">
      <c r="A640">
        <v>3233</v>
      </c>
      <c r="B640"/>
      <c r="C640">
        <v>9</v>
      </c>
    </row>
    <row r="641" spans="1:3">
      <c r="A641">
        <v>3234</v>
      </c>
      <c r="B641"/>
      <c r="C641">
        <v>10</v>
      </c>
    </row>
    <row r="642" spans="1:3">
      <c r="A642">
        <v>3235</v>
      </c>
      <c r="B642"/>
      <c r="C642">
        <v>10</v>
      </c>
    </row>
    <row r="643" spans="1:3">
      <c r="A643">
        <v>3240</v>
      </c>
      <c r="B643"/>
      <c r="C643">
        <v>10</v>
      </c>
    </row>
    <row r="644" spans="1:3">
      <c r="A644">
        <v>3242</v>
      </c>
      <c r="B644"/>
      <c r="C644">
        <v>10</v>
      </c>
    </row>
    <row r="645" spans="1:3">
      <c r="A645">
        <v>3243</v>
      </c>
      <c r="B645"/>
      <c r="C645">
        <v>10</v>
      </c>
    </row>
    <row r="646" spans="1:3">
      <c r="A646">
        <v>3244</v>
      </c>
      <c r="B646"/>
      <c r="C646">
        <v>10</v>
      </c>
    </row>
    <row r="647" spans="1:3">
      <c r="A647">
        <v>3245</v>
      </c>
      <c r="B647"/>
      <c r="C647">
        <v>10</v>
      </c>
    </row>
    <row r="648" spans="1:3">
      <c r="A648">
        <v>3246</v>
      </c>
      <c r="B648"/>
      <c r="C648">
        <v>10</v>
      </c>
    </row>
    <row r="649" spans="1:3">
      <c r="A649">
        <v>3247</v>
      </c>
      <c r="B649"/>
      <c r="C649">
        <v>10</v>
      </c>
    </row>
    <row r="650" spans="1:3">
      <c r="A650">
        <v>3248</v>
      </c>
      <c r="B650"/>
      <c r="C650">
        <v>10</v>
      </c>
    </row>
    <row r="651" spans="1:3">
      <c r="A651">
        <v>3250</v>
      </c>
      <c r="B651"/>
      <c r="C651">
        <v>10</v>
      </c>
    </row>
    <row r="652" spans="1:3">
      <c r="A652">
        <v>3252</v>
      </c>
      <c r="B652"/>
      <c r="C652">
        <v>10</v>
      </c>
    </row>
    <row r="653" spans="1:3">
      <c r="A653">
        <v>3253</v>
      </c>
      <c r="B653"/>
      <c r="C653">
        <v>10</v>
      </c>
    </row>
    <row r="654" spans="1:3">
      <c r="A654">
        <v>3254</v>
      </c>
      <c r="B654"/>
      <c r="C654">
        <v>10</v>
      </c>
    </row>
    <row r="655" spans="1:3">
      <c r="A655">
        <v>3255</v>
      </c>
      <c r="B655"/>
      <c r="C655">
        <v>10</v>
      </c>
    </row>
    <row r="656" spans="1:3">
      <c r="A656">
        <v>3256</v>
      </c>
      <c r="B656"/>
      <c r="C656">
        <v>10</v>
      </c>
    </row>
    <row r="657" spans="1:3">
      <c r="A657">
        <v>3257</v>
      </c>
      <c r="B657"/>
      <c r="C657">
        <v>10</v>
      </c>
    </row>
    <row r="658" spans="1:3">
      <c r="A658">
        <v>3258</v>
      </c>
      <c r="B658"/>
      <c r="C658">
        <v>10</v>
      </c>
    </row>
    <row r="659" spans="1:3">
      <c r="A659">
        <v>3259</v>
      </c>
      <c r="B659"/>
      <c r="C659">
        <v>10</v>
      </c>
    </row>
    <row r="660" spans="1:3">
      <c r="A660">
        <v>3261</v>
      </c>
      <c r="B660"/>
      <c r="C660">
        <v>9</v>
      </c>
    </row>
    <row r="661" spans="1:3">
      <c r="A661">
        <v>3262</v>
      </c>
      <c r="B661"/>
      <c r="C661">
        <v>10</v>
      </c>
    </row>
    <row r="662" spans="1:3">
      <c r="A662">
        <v>3263</v>
      </c>
      <c r="B662"/>
      <c r="C662">
        <v>10</v>
      </c>
    </row>
    <row r="663" spans="1:3">
      <c r="A663">
        <v>3264</v>
      </c>
      <c r="B663"/>
      <c r="C663">
        <v>10</v>
      </c>
    </row>
    <row r="664" spans="1:3">
      <c r="A664">
        <v>3265</v>
      </c>
      <c r="B664"/>
      <c r="C664">
        <v>10</v>
      </c>
    </row>
    <row r="665" spans="1:3">
      <c r="A665">
        <v>3271</v>
      </c>
      <c r="B665"/>
      <c r="C665">
        <v>10</v>
      </c>
    </row>
    <row r="666" spans="1:3">
      <c r="A666">
        <v>3272</v>
      </c>
      <c r="B666"/>
      <c r="C666">
        <v>10</v>
      </c>
    </row>
    <row r="667" spans="1:3">
      <c r="A667">
        <v>3273</v>
      </c>
      <c r="B667"/>
      <c r="C667">
        <v>10</v>
      </c>
    </row>
    <row r="668" spans="1:3">
      <c r="A668">
        <v>3274</v>
      </c>
      <c r="B668"/>
      <c r="C668">
        <v>10</v>
      </c>
    </row>
    <row r="669" spans="1:3">
      <c r="A669">
        <v>3275</v>
      </c>
      <c r="B669"/>
      <c r="C669">
        <v>10</v>
      </c>
    </row>
    <row r="670" spans="1:3">
      <c r="A670">
        <v>3281</v>
      </c>
      <c r="B670"/>
      <c r="C670">
        <v>10</v>
      </c>
    </row>
    <row r="671" spans="1:3">
      <c r="A671">
        <v>3282</v>
      </c>
      <c r="B671"/>
      <c r="C671">
        <v>10</v>
      </c>
    </row>
    <row r="672" spans="1:3">
      <c r="A672">
        <v>3283</v>
      </c>
      <c r="B672"/>
      <c r="C672">
        <v>10</v>
      </c>
    </row>
    <row r="673" spans="1:3">
      <c r="A673">
        <v>3284</v>
      </c>
      <c r="B673"/>
      <c r="C673">
        <v>10</v>
      </c>
    </row>
    <row r="674" spans="1:3">
      <c r="A674">
        <v>3291</v>
      </c>
      <c r="B674"/>
      <c r="C674">
        <v>10</v>
      </c>
    </row>
    <row r="675" spans="1:3">
      <c r="A675">
        <v>3292</v>
      </c>
      <c r="B675"/>
      <c r="C675">
        <v>10</v>
      </c>
    </row>
    <row r="676" spans="1:3">
      <c r="A676">
        <v>3293</v>
      </c>
      <c r="B676"/>
      <c r="C676">
        <v>10</v>
      </c>
    </row>
    <row r="677" spans="1:3">
      <c r="A677">
        <v>3294</v>
      </c>
      <c r="B677"/>
      <c r="C677">
        <v>10</v>
      </c>
    </row>
    <row r="678" spans="1:3">
      <c r="A678">
        <v>3295</v>
      </c>
      <c r="B678"/>
      <c r="C678">
        <v>10</v>
      </c>
    </row>
    <row r="679" spans="1:3">
      <c r="A679">
        <v>3296</v>
      </c>
      <c r="B679"/>
      <c r="C679">
        <v>10</v>
      </c>
    </row>
    <row r="680" spans="1:3">
      <c r="A680">
        <v>3300</v>
      </c>
      <c r="B680"/>
      <c r="C680">
        <v>8</v>
      </c>
    </row>
    <row r="681" spans="1:3">
      <c r="A681">
        <v>3304</v>
      </c>
      <c r="B681"/>
      <c r="C681">
        <v>8</v>
      </c>
    </row>
    <row r="682" spans="1:3">
      <c r="A682">
        <v>3321</v>
      </c>
      <c r="B682"/>
      <c r="C682">
        <v>10</v>
      </c>
    </row>
    <row r="683" spans="1:3">
      <c r="A683">
        <v>3322</v>
      </c>
      <c r="B683"/>
      <c r="C683">
        <v>10</v>
      </c>
    </row>
    <row r="684" spans="1:3">
      <c r="A684">
        <v>3323</v>
      </c>
      <c r="B684"/>
      <c r="C684">
        <v>10</v>
      </c>
    </row>
    <row r="685" spans="1:3">
      <c r="A685">
        <v>3324</v>
      </c>
      <c r="B685"/>
      <c r="C685">
        <v>10</v>
      </c>
    </row>
    <row r="686" spans="1:3">
      <c r="A686">
        <v>3325</v>
      </c>
      <c r="B686"/>
      <c r="C686">
        <v>10</v>
      </c>
    </row>
    <row r="687" spans="1:3">
      <c r="A687">
        <v>3326</v>
      </c>
      <c r="B687"/>
      <c r="C687">
        <v>10</v>
      </c>
    </row>
    <row r="688" spans="1:3">
      <c r="A688">
        <v>3327</v>
      </c>
      <c r="B688"/>
      <c r="C688">
        <v>10</v>
      </c>
    </row>
    <row r="689" spans="1:3">
      <c r="A689">
        <v>3328</v>
      </c>
      <c r="B689"/>
      <c r="C689">
        <v>10</v>
      </c>
    </row>
    <row r="690" spans="1:3">
      <c r="A690">
        <v>3331</v>
      </c>
      <c r="B690"/>
      <c r="C690">
        <v>10</v>
      </c>
    </row>
    <row r="691" spans="1:3">
      <c r="A691">
        <v>3332</v>
      </c>
      <c r="B691"/>
      <c r="C691">
        <v>10</v>
      </c>
    </row>
    <row r="692" spans="1:3">
      <c r="A692">
        <v>3333</v>
      </c>
      <c r="B692"/>
      <c r="C692">
        <v>10</v>
      </c>
    </row>
    <row r="693" spans="1:3">
      <c r="A693">
        <v>3334</v>
      </c>
      <c r="B693"/>
      <c r="C693">
        <v>10</v>
      </c>
    </row>
    <row r="694" spans="1:3">
      <c r="A694">
        <v>3335</v>
      </c>
      <c r="B694"/>
      <c r="C694">
        <v>10</v>
      </c>
    </row>
    <row r="695" spans="1:3">
      <c r="A695">
        <v>3336</v>
      </c>
      <c r="B695"/>
      <c r="C695">
        <v>10</v>
      </c>
    </row>
    <row r="696" spans="1:3">
      <c r="A696">
        <v>3337</v>
      </c>
      <c r="B696"/>
      <c r="C696">
        <v>10</v>
      </c>
    </row>
    <row r="697" spans="1:3">
      <c r="A697">
        <v>3341</v>
      </c>
      <c r="B697"/>
      <c r="C697">
        <v>10</v>
      </c>
    </row>
    <row r="698" spans="1:3">
      <c r="A698">
        <v>3343</v>
      </c>
      <c r="B698"/>
      <c r="C698">
        <v>10</v>
      </c>
    </row>
    <row r="699" spans="1:3">
      <c r="A699">
        <v>3344</v>
      </c>
      <c r="B699"/>
      <c r="C699">
        <v>10</v>
      </c>
    </row>
    <row r="700" spans="1:3">
      <c r="A700">
        <v>3345</v>
      </c>
      <c r="B700"/>
      <c r="C700">
        <v>10</v>
      </c>
    </row>
    <row r="701" spans="1:3">
      <c r="A701">
        <v>3346</v>
      </c>
      <c r="B701"/>
      <c r="C701">
        <v>10</v>
      </c>
    </row>
    <row r="702" spans="1:3">
      <c r="A702">
        <v>3347</v>
      </c>
      <c r="B702"/>
      <c r="C702">
        <v>10</v>
      </c>
    </row>
    <row r="703" spans="1:3">
      <c r="A703">
        <v>3348</v>
      </c>
      <c r="B703"/>
      <c r="C703">
        <v>10</v>
      </c>
    </row>
    <row r="704" spans="1:3">
      <c r="A704">
        <v>3349</v>
      </c>
      <c r="B704"/>
      <c r="C704">
        <v>10</v>
      </c>
    </row>
    <row r="705" spans="1:3">
      <c r="A705">
        <v>3350</v>
      </c>
      <c r="B705"/>
      <c r="C705">
        <v>10</v>
      </c>
    </row>
    <row r="706" spans="1:3">
      <c r="A706">
        <v>3351</v>
      </c>
      <c r="B706"/>
      <c r="C706">
        <v>10</v>
      </c>
    </row>
    <row r="707" spans="1:3">
      <c r="A707">
        <v>3352</v>
      </c>
      <c r="B707"/>
      <c r="C707">
        <v>10</v>
      </c>
    </row>
    <row r="708" spans="1:3">
      <c r="A708">
        <v>3353</v>
      </c>
      <c r="B708"/>
      <c r="C708">
        <v>10</v>
      </c>
    </row>
    <row r="709" spans="1:3">
      <c r="A709">
        <v>3354</v>
      </c>
      <c r="B709"/>
      <c r="C709">
        <v>10</v>
      </c>
    </row>
    <row r="710" spans="1:3">
      <c r="A710">
        <v>3355</v>
      </c>
      <c r="B710"/>
      <c r="C710">
        <v>10</v>
      </c>
    </row>
    <row r="711" spans="1:3">
      <c r="A711">
        <v>3356</v>
      </c>
      <c r="B711"/>
      <c r="C711">
        <v>10</v>
      </c>
    </row>
    <row r="712" spans="1:3">
      <c r="A712">
        <v>3357</v>
      </c>
      <c r="B712"/>
      <c r="C712">
        <v>10</v>
      </c>
    </row>
    <row r="713" spans="1:3">
      <c r="A713">
        <v>3358</v>
      </c>
      <c r="B713"/>
      <c r="C713">
        <v>10</v>
      </c>
    </row>
    <row r="714" spans="1:3">
      <c r="A714">
        <v>3359</v>
      </c>
      <c r="B714"/>
      <c r="C714">
        <v>10</v>
      </c>
    </row>
    <row r="715" spans="1:3">
      <c r="A715">
        <v>3360</v>
      </c>
      <c r="B715"/>
      <c r="C715">
        <v>10</v>
      </c>
    </row>
    <row r="716" spans="1:3">
      <c r="A716">
        <v>3368</v>
      </c>
      <c r="B716"/>
      <c r="C716">
        <v>10</v>
      </c>
    </row>
    <row r="717" spans="1:3">
      <c r="A717">
        <v>3369</v>
      </c>
      <c r="B717"/>
      <c r="C717">
        <v>10</v>
      </c>
    </row>
    <row r="718" spans="1:3">
      <c r="A718">
        <v>3371</v>
      </c>
      <c r="B718"/>
      <c r="C718">
        <v>10</v>
      </c>
    </row>
    <row r="719" spans="1:3">
      <c r="A719">
        <v>3372</v>
      </c>
      <c r="B719"/>
      <c r="C719">
        <v>10</v>
      </c>
    </row>
    <row r="720" spans="1:3">
      <c r="A720">
        <v>3373</v>
      </c>
      <c r="B720"/>
      <c r="C720">
        <v>10</v>
      </c>
    </row>
    <row r="721" spans="1:3">
      <c r="A721">
        <v>3374</v>
      </c>
      <c r="B721"/>
      <c r="C721">
        <v>10</v>
      </c>
    </row>
    <row r="722" spans="1:3">
      <c r="A722">
        <v>3375</v>
      </c>
      <c r="B722"/>
      <c r="C722">
        <v>10</v>
      </c>
    </row>
    <row r="723" spans="1:3">
      <c r="A723">
        <v>3377</v>
      </c>
      <c r="B723"/>
      <c r="C723">
        <v>10</v>
      </c>
    </row>
    <row r="724" spans="1:3">
      <c r="A724">
        <v>3378</v>
      </c>
      <c r="B724"/>
      <c r="C724">
        <v>10</v>
      </c>
    </row>
    <row r="725" spans="1:3">
      <c r="A725">
        <v>3379</v>
      </c>
      <c r="B725"/>
      <c r="C725">
        <v>10</v>
      </c>
    </row>
    <row r="726" spans="1:3">
      <c r="A726">
        <v>3381</v>
      </c>
      <c r="B726"/>
      <c r="C726">
        <v>10</v>
      </c>
    </row>
    <row r="727" spans="1:3">
      <c r="A727">
        <v>3382</v>
      </c>
      <c r="B727"/>
      <c r="C727">
        <v>10</v>
      </c>
    </row>
    <row r="728" spans="1:3">
      <c r="A728">
        <v>3383</v>
      </c>
      <c r="B728"/>
      <c r="C728">
        <v>10</v>
      </c>
    </row>
    <row r="729" spans="1:3">
      <c r="A729">
        <v>3384</v>
      </c>
      <c r="B729"/>
      <c r="C729">
        <v>10</v>
      </c>
    </row>
    <row r="730" spans="1:3">
      <c r="A730">
        <v>3385</v>
      </c>
      <c r="B730"/>
      <c r="C730">
        <v>10</v>
      </c>
    </row>
    <row r="731" spans="1:3">
      <c r="A731">
        <v>3386</v>
      </c>
      <c r="B731"/>
      <c r="C731">
        <v>10</v>
      </c>
    </row>
    <row r="732" spans="1:3">
      <c r="A732">
        <v>3387</v>
      </c>
      <c r="B732"/>
      <c r="C732">
        <v>10</v>
      </c>
    </row>
    <row r="733" spans="1:3">
      <c r="A733">
        <v>3388</v>
      </c>
      <c r="B733"/>
      <c r="C733">
        <v>10</v>
      </c>
    </row>
    <row r="734" spans="1:3">
      <c r="A734">
        <v>3390</v>
      </c>
      <c r="B734"/>
      <c r="C734">
        <v>10</v>
      </c>
    </row>
    <row r="735" spans="1:3">
      <c r="A735">
        <v>3394</v>
      </c>
      <c r="B735"/>
      <c r="C735">
        <v>10</v>
      </c>
    </row>
    <row r="736" spans="1:3">
      <c r="A736">
        <v>3395</v>
      </c>
      <c r="B736"/>
      <c r="C736">
        <v>10</v>
      </c>
    </row>
    <row r="737" spans="1:3">
      <c r="A737">
        <v>3396</v>
      </c>
      <c r="B737"/>
      <c r="C737">
        <v>10</v>
      </c>
    </row>
    <row r="738" spans="1:3">
      <c r="A738">
        <v>3397</v>
      </c>
      <c r="B738"/>
      <c r="C738">
        <v>10</v>
      </c>
    </row>
    <row r="739" spans="1:3">
      <c r="A739">
        <v>3398</v>
      </c>
      <c r="B739"/>
      <c r="C739">
        <v>10</v>
      </c>
    </row>
    <row r="740" spans="1:3">
      <c r="A740">
        <v>3399</v>
      </c>
      <c r="B740"/>
      <c r="C740">
        <v>9</v>
      </c>
    </row>
    <row r="741" spans="1:3">
      <c r="A741">
        <v>3400</v>
      </c>
      <c r="B741"/>
      <c r="C741">
        <v>9</v>
      </c>
    </row>
    <row r="742" spans="1:3">
      <c r="A742">
        <v>3411</v>
      </c>
      <c r="B742"/>
      <c r="C742">
        <v>10</v>
      </c>
    </row>
    <row r="743" spans="1:3">
      <c r="A743">
        <v>3412</v>
      </c>
      <c r="B743"/>
      <c r="C743">
        <v>10</v>
      </c>
    </row>
    <row r="744" spans="1:3">
      <c r="A744">
        <v>3413</v>
      </c>
      <c r="B744"/>
      <c r="C744">
        <v>10</v>
      </c>
    </row>
    <row r="745" spans="1:3">
      <c r="A745">
        <v>3414</v>
      </c>
      <c r="B745"/>
      <c r="C745">
        <v>10</v>
      </c>
    </row>
    <row r="746" spans="1:3">
      <c r="A746">
        <v>3416</v>
      </c>
      <c r="B746"/>
      <c r="C746">
        <v>10</v>
      </c>
    </row>
    <row r="747" spans="1:3">
      <c r="A747">
        <v>3417</v>
      </c>
      <c r="B747"/>
      <c r="C747">
        <v>10</v>
      </c>
    </row>
    <row r="748" spans="1:3">
      <c r="A748">
        <v>3418</v>
      </c>
      <c r="B748"/>
      <c r="C748">
        <v>10</v>
      </c>
    </row>
    <row r="749" spans="1:3">
      <c r="A749">
        <v>3421</v>
      </c>
      <c r="B749"/>
      <c r="C749">
        <v>10</v>
      </c>
    </row>
    <row r="750" spans="1:3">
      <c r="A750">
        <v>3422</v>
      </c>
      <c r="B750"/>
      <c r="C750">
        <v>10</v>
      </c>
    </row>
    <row r="751" spans="1:3">
      <c r="A751">
        <v>3423</v>
      </c>
      <c r="B751"/>
      <c r="C751">
        <v>10</v>
      </c>
    </row>
    <row r="752" spans="1:3">
      <c r="A752">
        <v>3424</v>
      </c>
      <c r="B752"/>
      <c r="C752">
        <v>10</v>
      </c>
    </row>
    <row r="753" spans="1:3">
      <c r="A753">
        <v>3425</v>
      </c>
      <c r="B753"/>
      <c r="C753">
        <v>10</v>
      </c>
    </row>
    <row r="754" spans="1:3">
      <c r="A754">
        <v>3426</v>
      </c>
      <c r="B754"/>
      <c r="C754">
        <v>10</v>
      </c>
    </row>
    <row r="755" spans="1:3">
      <c r="A755">
        <v>3431</v>
      </c>
      <c r="B755"/>
      <c r="C755">
        <v>10</v>
      </c>
    </row>
    <row r="756" spans="1:3">
      <c r="A756">
        <v>3432</v>
      </c>
      <c r="B756"/>
      <c r="C756">
        <v>10</v>
      </c>
    </row>
    <row r="757" spans="1:3">
      <c r="A757">
        <v>3433</v>
      </c>
      <c r="B757"/>
      <c r="C757">
        <v>9</v>
      </c>
    </row>
    <row r="758" spans="1:3">
      <c r="A758">
        <v>3434</v>
      </c>
      <c r="B758"/>
      <c r="C758">
        <v>9</v>
      </c>
    </row>
    <row r="759" spans="1:3">
      <c r="A759">
        <v>3441</v>
      </c>
      <c r="B759"/>
      <c r="C759">
        <v>10</v>
      </c>
    </row>
    <row r="760" spans="1:3">
      <c r="A760">
        <v>3442</v>
      </c>
      <c r="B760"/>
      <c r="C760">
        <v>10</v>
      </c>
    </row>
    <row r="761" spans="1:3">
      <c r="A761">
        <v>3443</v>
      </c>
      <c r="B761"/>
      <c r="C761">
        <v>10</v>
      </c>
    </row>
    <row r="762" spans="1:3">
      <c r="A762">
        <v>3444</v>
      </c>
      <c r="B762"/>
      <c r="C762">
        <v>10</v>
      </c>
    </row>
    <row r="763" spans="1:3">
      <c r="A763">
        <v>3450</v>
      </c>
      <c r="B763"/>
      <c r="C763">
        <v>10</v>
      </c>
    </row>
    <row r="764" spans="1:3">
      <c r="A764">
        <v>3458</v>
      </c>
      <c r="B764"/>
      <c r="C764">
        <v>10</v>
      </c>
    </row>
    <row r="765" spans="1:3">
      <c r="A765">
        <v>3459</v>
      </c>
      <c r="B765"/>
      <c r="C765">
        <v>10</v>
      </c>
    </row>
    <row r="766" spans="1:3">
      <c r="A766">
        <v>3461</v>
      </c>
      <c r="B766"/>
      <c r="C766">
        <v>10</v>
      </c>
    </row>
    <row r="767" spans="1:3">
      <c r="A767">
        <v>3462</v>
      </c>
      <c r="B767"/>
      <c r="C767">
        <v>10</v>
      </c>
    </row>
    <row r="768" spans="1:3">
      <c r="A768">
        <v>3463</v>
      </c>
      <c r="B768"/>
      <c r="C768">
        <v>10</v>
      </c>
    </row>
    <row r="769" spans="1:3">
      <c r="A769">
        <v>3464</v>
      </c>
      <c r="B769"/>
      <c r="C769">
        <v>10</v>
      </c>
    </row>
    <row r="770" spans="1:3">
      <c r="A770">
        <v>3465</v>
      </c>
      <c r="B770"/>
      <c r="C770">
        <v>10</v>
      </c>
    </row>
    <row r="771" spans="1:3">
      <c r="A771">
        <v>3466</v>
      </c>
      <c r="B771"/>
      <c r="C771">
        <v>10</v>
      </c>
    </row>
    <row r="772" spans="1:3">
      <c r="A772">
        <v>3467</v>
      </c>
      <c r="B772"/>
      <c r="C772">
        <v>10</v>
      </c>
    </row>
    <row r="773" spans="1:3">
      <c r="A773">
        <v>3501</v>
      </c>
      <c r="B773"/>
      <c r="C773">
        <v>7</v>
      </c>
    </row>
    <row r="774" spans="1:3">
      <c r="A774">
        <v>3503</v>
      </c>
      <c r="B774"/>
      <c r="C774">
        <v>7</v>
      </c>
    </row>
    <row r="775" spans="1:3">
      <c r="A775">
        <v>3508</v>
      </c>
      <c r="B775"/>
      <c r="C775">
        <v>7</v>
      </c>
    </row>
    <row r="776" spans="1:3">
      <c r="A776">
        <v>3510</v>
      </c>
      <c r="B776"/>
      <c r="C776">
        <v>7</v>
      </c>
    </row>
    <row r="777" spans="1:3">
      <c r="A777">
        <v>3515</v>
      </c>
      <c r="B777"/>
      <c r="C777">
        <v>7</v>
      </c>
    </row>
    <row r="778" spans="1:3">
      <c r="A778">
        <v>3516</v>
      </c>
      <c r="B778"/>
      <c r="C778">
        <v>7</v>
      </c>
    </row>
    <row r="779" spans="1:3">
      <c r="A779">
        <v>3517</v>
      </c>
      <c r="B779"/>
      <c r="C779">
        <v>7</v>
      </c>
    </row>
    <row r="780" spans="1:3">
      <c r="A780">
        <v>3518</v>
      </c>
      <c r="B780"/>
      <c r="C780">
        <v>7</v>
      </c>
    </row>
    <row r="781" spans="1:3">
      <c r="A781">
        <v>3519</v>
      </c>
      <c r="B781"/>
      <c r="C781">
        <v>7</v>
      </c>
    </row>
    <row r="782" spans="1:3">
      <c r="A782">
        <v>3521</v>
      </c>
      <c r="B782"/>
      <c r="C782">
        <v>7</v>
      </c>
    </row>
    <row r="783" spans="1:3">
      <c r="A783">
        <v>3524</v>
      </c>
      <c r="B783"/>
      <c r="C783">
        <v>7</v>
      </c>
    </row>
    <row r="784" spans="1:3">
      <c r="A784">
        <v>3525</v>
      </c>
      <c r="B784"/>
      <c r="C784">
        <v>7</v>
      </c>
    </row>
    <row r="785" spans="1:3">
      <c r="A785">
        <v>3526</v>
      </c>
      <c r="B785"/>
      <c r="C785">
        <v>7</v>
      </c>
    </row>
    <row r="786" spans="1:3">
      <c r="A786">
        <v>3527</v>
      </c>
      <c r="B786"/>
      <c r="C786">
        <v>7</v>
      </c>
    </row>
    <row r="787" spans="1:3">
      <c r="A787">
        <v>3528</v>
      </c>
      <c r="B787"/>
      <c r="C787">
        <v>7</v>
      </c>
    </row>
    <row r="788" spans="1:3">
      <c r="A788">
        <v>3529</v>
      </c>
      <c r="B788"/>
      <c r="C788">
        <v>7</v>
      </c>
    </row>
    <row r="789" spans="1:3">
      <c r="A789">
        <v>3530</v>
      </c>
      <c r="B789"/>
      <c r="C789">
        <v>7</v>
      </c>
    </row>
    <row r="790" spans="1:3">
      <c r="A790">
        <v>3531</v>
      </c>
      <c r="B790"/>
      <c r="C790">
        <v>7</v>
      </c>
    </row>
    <row r="791" spans="1:3">
      <c r="A791">
        <v>3532</v>
      </c>
      <c r="B791"/>
      <c r="C791">
        <v>7</v>
      </c>
    </row>
    <row r="792" spans="1:3">
      <c r="A792">
        <v>3533</v>
      </c>
      <c r="B792"/>
      <c r="C792">
        <v>7</v>
      </c>
    </row>
    <row r="793" spans="1:3">
      <c r="A793">
        <v>3534</v>
      </c>
      <c r="B793"/>
      <c r="C793">
        <v>7</v>
      </c>
    </row>
    <row r="794" spans="1:3">
      <c r="A794">
        <v>3535</v>
      </c>
      <c r="B794"/>
      <c r="C794">
        <v>7</v>
      </c>
    </row>
    <row r="795" spans="1:3">
      <c r="A795">
        <v>3551</v>
      </c>
      <c r="B795"/>
      <c r="C795">
        <v>10</v>
      </c>
    </row>
    <row r="796" spans="1:3">
      <c r="A796">
        <v>3552</v>
      </c>
      <c r="B796"/>
      <c r="C796">
        <v>10</v>
      </c>
    </row>
    <row r="797" spans="1:3">
      <c r="A797">
        <v>3553</v>
      </c>
      <c r="B797"/>
      <c r="C797">
        <v>9</v>
      </c>
    </row>
    <row r="798" spans="1:3">
      <c r="A798">
        <v>3554</v>
      </c>
      <c r="B798"/>
      <c r="C798">
        <v>10</v>
      </c>
    </row>
    <row r="799" spans="1:3">
      <c r="A799">
        <v>3555</v>
      </c>
      <c r="B799"/>
      <c r="C799">
        <v>10</v>
      </c>
    </row>
    <row r="800" spans="1:3">
      <c r="A800">
        <v>3556</v>
      </c>
      <c r="B800"/>
      <c r="C800">
        <v>10</v>
      </c>
    </row>
    <row r="801" spans="1:3">
      <c r="A801">
        <v>3557</v>
      </c>
      <c r="B801"/>
      <c r="C801">
        <v>10</v>
      </c>
    </row>
    <row r="802" spans="1:3">
      <c r="A802">
        <v>3558</v>
      </c>
      <c r="B802"/>
      <c r="C802">
        <v>7</v>
      </c>
    </row>
    <row r="803" spans="1:3">
      <c r="A803">
        <v>3559</v>
      </c>
      <c r="B803"/>
      <c r="C803">
        <v>10</v>
      </c>
    </row>
    <row r="804" spans="1:3">
      <c r="A804">
        <v>3561</v>
      </c>
      <c r="B804"/>
      <c r="C804">
        <v>9</v>
      </c>
    </row>
    <row r="805" spans="1:3">
      <c r="A805">
        <v>3562</v>
      </c>
      <c r="B805"/>
      <c r="C805">
        <v>10</v>
      </c>
    </row>
    <row r="806" spans="1:3">
      <c r="A806">
        <v>3563</v>
      </c>
      <c r="B806"/>
      <c r="C806">
        <v>10</v>
      </c>
    </row>
    <row r="807" spans="1:3">
      <c r="A807">
        <v>3564</v>
      </c>
      <c r="B807"/>
      <c r="C807">
        <v>10</v>
      </c>
    </row>
    <row r="808" spans="1:3">
      <c r="A808">
        <v>3565</v>
      </c>
      <c r="B808"/>
      <c r="C808">
        <v>10</v>
      </c>
    </row>
    <row r="809" spans="1:3">
      <c r="A809">
        <v>3571</v>
      </c>
      <c r="B809"/>
      <c r="C809">
        <v>9</v>
      </c>
    </row>
    <row r="810" spans="1:3">
      <c r="A810">
        <v>3572</v>
      </c>
      <c r="B810"/>
      <c r="C810">
        <v>9</v>
      </c>
    </row>
    <row r="811" spans="1:3">
      <c r="A811">
        <v>3573</v>
      </c>
      <c r="B811"/>
      <c r="C811">
        <v>10</v>
      </c>
    </row>
    <row r="812" spans="1:3">
      <c r="A812">
        <v>3574</v>
      </c>
      <c r="B812"/>
      <c r="C812">
        <v>10</v>
      </c>
    </row>
    <row r="813" spans="1:3">
      <c r="A813">
        <v>3575</v>
      </c>
      <c r="B813"/>
      <c r="C813">
        <v>10</v>
      </c>
    </row>
    <row r="814" spans="1:3">
      <c r="A814">
        <v>3576</v>
      </c>
      <c r="B814"/>
      <c r="C814">
        <v>10</v>
      </c>
    </row>
    <row r="815" spans="1:3">
      <c r="A815">
        <v>3577</v>
      </c>
      <c r="B815"/>
      <c r="C815">
        <v>10</v>
      </c>
    </row>
    <row r="816" spans="1:3">
      <c r="A816">
        <v>3578</v>
      </c>
      <c r="B816"/>
      <c r="C816">
        <v>10</v>
      </c>
    </row>
    <row r="817" spans="1:3">
      <c r="A817">
        <v>3579</v>
      </c>
      <c r="B817"/>
      <c r="C817">
        <v>10</v>
      </c>
    </row>
    <row r="818" spans="1:3">
      <c r="A818">
        <v>3580</v>
      </c>
      <c r="B818"/>
      <c r="C818">
        <v>9</v>
      </c>
    </row>
    <row r="819" spans="1:3">
      <c r="A819">
        <v>3586</v>
      </c>
      <c r="B819"/>
      <c r="C819">
        <v>9</v>
      </c>
    </row>
    <row r="820" spans="1:3">
      <c r="A820">
        <v>3587</v>
      </c>
      <c r="B820"/>
      <c r="C820">
        <v>10</v>
      </c>
    </row>
    <row r="821" spans="1:3">
      <c r="A821">
        <v>3588</v>
      </c>
      <c r="B821"/>
      <c r="C821">
        <v>10</v>
      </c>
    </row>
    <row r="822" spans="1:3">
      <c r="A822">
        <v>3589</v>
      </c>
      <c r="B822"/>
      <c r="C822">
        <v>10</v>
      </c>
    </row>
    <row r="823" spans="1:3">
      <c r="A823">
        <v>3591</v>
      </c>
      <c r="B823"/>
      <c r="C823">
        <v>10</v>
      </c>
    </row>
    <row r="824" spans="1:3">
      <c r="A824">
        <v>3592</v>
      </c>
      <c r="B824"/>
      <c r="C824">
        <v>10</v>
      </c>
    </row>
    <row r="825" spans="1:3">
      <c r="A825">
        <v>3593</v>
      </c>
      <c r="B825"/>
      <c r="C825">
        <v>10</v>
      </c>
    </row>
    <row r="826" spans="1:3">
      <c r="A826">
        <v>3594</v>
      </c>
      <c r="B826"/>
      <c r="C826">
        <v>10</v>
      </c>
    </row>
    <row r="827" spans="1:3">
      <c r="A827">
        <v>3595</v>
      </c>
      <c r="B827"/>
      <c r="C827">
        <v>10</v>
      </c>
    </row>
    <row r="828" spans="1:3">
      <c r="A828">
        <v>3596</v>
      </c>
      <c r="B828"/>
      <c r="C828">
        <v>10</v>
      </c>
    </row>
    <row r="829" spans="1:3">
      <c r="A829">
        <v>3597</v>
      </c>
      <c r="B829"/>
      <c r="C829">
        <v>10</v>
      </c>
    </row>
    <row r="830" spans="1:3">
      <c r="A830">
        <v>3598</v>
      </c>
      <c r="B830"/>
      <c r="C830">
        <v>10</v>
      </c>
    </row>
    <row r="831" spans="1:3">
      <c r="A831">
        <v>3599</v>
      </c>
      <c r="B831"/>
      <c r="C831">
        <v>9</v>
      </c>
    </row>
    <row r="832" spans="1:3">
      <c r="A832">
        <v>3600</v>
      </c>
      <c r="B832"/>
      <c r="C832">
        <v>9</v>
      </c>
    </row>
    <row r="833" spans="1:3">
      <c r="A833">
        <v>3604</v>
      </c>
      <c r="B833"/>
      <c r="C833">
        <v>9</v>
      </c>
    </row>
    <row r="834" spans="1:3">
      <c r="A834">
        <v>3608</v>
      </c>
      <c r="B834"/>
      <c r="C834">
        <v>9</v>
      </c>
    </row>
    <row r="835" spans="1:3">
      <c r="A835">
        <v>3621</v>
      </c>
      <c r="B835"/>
      <c r="C835">
        <v>9</v>
      </c>
    </row>
    <row r="836" spans="1:3">
      <c r="A836">
        <v>3622</v>
      </c>
      <c r="B836"/>
      <c r="C836">
        <v>10</v>
      </c>
    </row>
    <row r="837" spans="1:3">
      <c r="A837">
        <v>3623</v>
      </c>
      <c r="B837"/>
      <c r="C837">
        <v>10</v>
      </c>
    </row>
    <row r="838" spans="1:3">
      <c r="A838">
        <v>3625</v>
      </c>
      <c r="B838"/>
      <c r="C838">
        <v>9</v>
      </c>
    </row>
    <row r="839" spans="1:3">
      <c r="A839">
        <v>3626</v>
      </c>
      <c r="B839"/>
      <c r="C839">
        <v>10</v>
      </c>
    </row>
    <row r="840" spans="1:3">
      <c r="A840">
        <v>3627</v>
      </c>
      <c r="B840"/>
      <c r="C840">
        <v>10</v>
      </c>
    </row>
    <row r="841" spans="1:3">
      <c r="A841">
        <v>3630</v>
      </c>
      <c r="B841"/>
      <c r="C841">
        <v>10</v>
      </c>
    </row>
    <row r="842" spans="1:3">
      <c r="A842">
        <v>3635</v>
      </c>
      <c r="B842"/>
      <c r="C842">
        <v>10</v>
      </c>
    </row>
    <row r="843" spans="1:3">
      <c r="A843">
        <v>3636</v>
      </c>
      <c r="B843"/>
      <c r="C843">
        <v>10</v>
      </c>
    </row>
    <row r="844" spans="1:3">
      <c r="A844">
        <v>3641</v>
      </c>
      <c r="B844"/>
      <c r="C844">
        <v>10</v>
      </c>
    </row>
    <row r="845" spans="1:3">
      <c r="A845">
        <v>3642</v>
      </c>
      <c r="B845"/>
      <c r="C845">
        <v>10</v>
      </c>
    </row>
    <row r="846" spans="1:3">
      <c r="A846">
        <v>3643</v>
      </c>
      <c r="B846"/>
      <c r="C846">
        <v>10</v>
      </c>
    </row>
    <row r="847" spans="1:3">
      <c r="A847">
        <v>3644</v>
      </c>
      <c r="B847"/>
      <c r="C847">
        <v>10</v>
      </c>
    </row>
    <row r="848" spans="1:3">
      <c r="A848">
        <v>3645</v>
      </c>
      <c r="B848"/>
      <c r="C848">
        <v>10</v>
      </c>
    </row>
    <row r="849" spans="1:3">
      <c r="A849">
        <v>3646</v>
      </c>
      <c r="B849"/>
      <c r="C849">
        <v>10</v>
      </c>
    </row>
    <row r="850" spans="1:3">
      <c r="A850">
        <v>3647</v>
      </c>
      <c r="B850"/>
      <c r="C850">
        <v>10</v>
      </c>
    </row>
    <row r="851" spans="1:3">
      <c r="A851">
        <v>3648</v>
      </c>
      <c r="B851"/>
      <c r="C851">
        <v>10</v>
      </c>
    </row>
    <row r="852" spans="1:3">
      <c r="A852">
        <v>3651</v>
      </c>
      <c r="B852"/>
      <c r="C852">
        <v>9</v>
      </c>
    </row>
    <row r="853" spans="1:3">
      <c r="A853">
        <v>3652</v>
      </c>
      <c r="B853"/>
      <c r="C853">
        <v>10</v>
      </c>
    </row>
    <row r="854" spans="1:3">
      <c r="A854">
        <v>3653</v>
      </c>
      <c r="B854"/>
      <c r="C854">
        <v>10</v>
      </c>
    </row>
    <row r="855" spans="1:3">
      <c r="A855">
        <v>3654</v>
      </c>
      <c r="B855"/>
      <c r="C855">
        <v>10</v>
      </c>
    </row>
    <row r="856" spans="1:3">
      <c r="A856">
        <v>3655</v>
      </c>
      <c r="B856"/>
      <c r="C856">
        <v>10</v>
      </c>
    </row>
    <row r="857" spans="1:3">
      <c r="A857">
        <v>3656</v>
      </c>
      <c r="B857"/>
      <c r="C857">
        <v>10</v>
      </c>
    </row>
    <row r="858" spans="1:3">
      <c r="A858">
        <v>3657</v>
      </c>
      <c r="B858"/>
      <c r="C858">
        <v>10</v>
      </c>
    </row>
    <row r="859" spans="1:3">
      <c r="A859">
        <v>3658</v>
      </c>
      <c r="B859"/>
      <c r="C859">
        <v>10</v>
      </c>
    </row>
    <row r="860" spans="1:3">
      <c r="A860">
        <v>3659</v>
      </c>
      <c r="B860"/>
      <c r="C860">
        <v>10</v>
      </c>
    </row>
    <row r="861" spans="1:3">
      <c r="A861">
        <v>3661</v>
      </c>
      <c r="B861"/>
      <c r="C861">
        <v>9</v>
      </c>
    </row>
    <row r="862" spans="1:3">
      <c r="A862">
        <v>3662</v>
      </c>
      <c r="B862"/>
      <c r="C862">
        <v>9</v>
      </c>
    </row>
    <row r="863" spans="1:3">
      <c r="A863">
        <v>3663</v>
      </c>
      <c r="B863"/>
      <c r="C863">
        <v>10</v>
      </c>
    </row>
    <row r="864" spans="1:3">
      <c r="A864">
        <v>3664</v>
      </c>
      <c r="B864"/>
      <c r="C864">
        <v>10</v>
      </c>
    </row>
    <row r="865" spans="1:3">
      <c r="A865">
        <v>3671</v>
      </c>
      <c r="B865"/>
      <c r="C865">
        <v>10</v>
      </c>
    </row>
    <row r="866" spans="1:3">
      <c r="A866">
        <v>3672</v>
      </c>
      <c r="B866"/>
      <c r="C866">
        <v>10</v>
      </c>
    </row>
    <row r="867" spans="1:3">
      <c r="A867">
        <v>3700</v>
      </c>
      <c r="B867"/>
      <c r="C867">
        <v>9</v>
      </c>
    </row>
    <row r="868" spans="1:3">
      <c r="A868">
        <v>3704</v>
      </c>
      <c r="B868"/>
      <c r="C868">
        <v>10</v>
      </c>
    </row>
    <row r="869" spans="1:3">
      <c r="A869">
        <v>3711</v>
      </c>
      <c r="B869"/>
      <c r="C869">
        <v>9</v>
      </c>
    </row>
    <row r="870" spans="1:3">
      <c r="A870">
        <v>3712</v>
      </c>
      <c r="B870"/>
      <c r="C870">
        <v>10</v>
      </c>
    </row>
    <row r="871" spans="1:3">
      <c r="A871">
        <v>3713</v>
      </c>
      <c r="B871"/>
      <c r="C871">
        <v>9</v>
      </c>
    </row>
    <row r="872" spans="1:3">
      <c r="A872">
        <v>3714</v>
      </c>
      <c r="B872"/>
      <c r="C872">
        <v>10</v>
      </c>
    </row>
    <row r="873" spans="1:3">
      <c r="A873">
        <v>3715</v>
      </c>
      <c r="B873"/>
      <c r="C873">
        <v>10</v>
      </c>
    </row>
    <row r="874" spans="1:3">
      <c r="A874">
        <v>3716</v>
      </c>
      <c r="B874"/>
      <c r="C874">
        <v>10</v>
      </c>
    </row>
    <row r="875" spans="1:3">
      <c r="A875">
        <v>3717</v>
      </c>
      <c r="B875"/>
      <c r="C875">
        <v>10</v>
      </c>
    </row>
    <row r="876" spans="1:3">
      <c r="A876">
        <v>3718</v>
      </c>
      <c r="B876"/>
      <c r="C876">
        <v>10</v>
      </c>
    </row>
    <row r="877" spans="1:3">
      <c r="A877">
        <v>3720</v>
      </c>
      <c r="B877"/>
      <c r="C877">
        <v>10</v>
      </c>
    </row>
    <row r="878" spans="1:3">
      <c r="A878">
        <v>3721</v>
      </c>
      <c r="B878"/>
      <c r="C878">
        <v>10</v>
      </c>
    </row>
    <row r="879" spans="1:3">
      <c r="A879">
        <v>3722</v>
      </c>
      <c r="B879"/>
      <c r="C879">
        <v>10</v>
      </c>
    </row>
    <row r="880" spans="1:3">
      <c r="A880">
        <v>3723</v>
      </c>
      <c r="B880"/>
      <c r="C880">
        <v>10</v>
      </c>
    </row>
    <row r="881" spans="1:3">
      <c r="A881">
        <v>3724</v>
      </c>
      <c r="B881"/>
      <c r="C881">
        <v>10</v>
      </c>
    </row>
    <row r="882" spans="1:3">
      <c r="A882">
        <v>3725</v>
      </c>
      <c r="B882"/>
      <c r="C882">
        <v>10</v>
      </c>
    </row>
    <row r="883" spans="1:3">
      <c r="A883">
        <v>3726</v>
      </c>
      <c r="B883"/>
      <c r="C883">
        <v>10</v>
      </c>
    </row>
    <row r="884" spans="1:3">
      <c r="A884">
        <v>3728</v>
      </c>
      <c r="B884"/>
      <c r="C884">
        <v>10</v>
      </c>
    </row>
    <row r="885" spans="1:3">
      <c r="A885">
        <v>3729</v>
      </c>
      <c r="B885"/>
      <c r="C885">
        <v>10</v>
      </c>
    </row>
    <row r="886" spans="1:3">
      <c r="A886">
        <v>3731</v>
      </c>
      <c r="B886"/>
      <c r="C886">
        <v>10</v>
      </c>
    </row>
    <row r="887" spans="1:3">
      <c r="A887">
        <v>3732</v>
      </c>
      <c r="B887"/>
      <c r="C887">
        <v>9</v>
      </c>
    </row>
    <row r="888" spans="1:3">
      <c r="A888">
        <v>3733</v>
      </c>
      <c r="B888"/>
      <c r="C888">
        <v>10</v>
      </c>
    </row>
    <row r="889" spans="1:3">
      <c r="A889">
        <v>3734</v>
      </c>
      <c r="B889"/>
      <c r="C889">
        <v>10</v>
      </c>
    </row>
    <row r="890" spans="1:3">
      <c r="A890">
        <v>3735</v>
      </c>
      <c r="B890"/>
      <c r="C890">
        <v>10</v>
      </c>
    </row>
    <row r="891" spans="1:3">
      <c r="A891">
        <v>3741</v>
      </c>
      <c r="B891"/>
      <c r="C891">
        <v>9</v>
      </c>
    </row>
    <row r="892" spans="1:3">
      <c r="A892">
        <v>3742</v>
      </c>
      <c r="B892"/>
      <c r="C892">
        <v>10</v>
      </c>
    </row>
    <row r="893" spans="1:3">
      <c r="A893">
        <v>3743</v>
      </c>
      <c r="B893"/>
      <c r="C893">
        <v>10</v>
      </c>
    </row>
    <row r="894" spans="1:3">
      <c r="A894">
        <v>3744</v>
      </c>
      <c r="B894"/>
      <c r="C894">
        <v>10</v>
      </c>
    </row>
    <row r="895" spans="1:3">
      <c r="A895">
        <v>3751</v>
      </c>
      <c r="B895"/>
      <c r="C895">
        <v>10</v>
      </c>
    </row>
    <row r="896" spans="1:3">
      <c r="A896">
        <v>3752</v>
      </c>
      <c r="B896"/>
      <c r="C896">
        <v>10</v>
      </c>
    </row>
    <row r="897" spans="1:3">
      <c r="A897">
        <v>3753</v>
      </c>
      <c r="B897"/>
      <c r="C897">
        <v>10</v>
      </c>
    </row>
    <row r="898" spans="1:3">
      <c r="A898">
        <v>3754</v>
      </c>
      <c r="B898"/>
      <c r="C898">
        <v>10</v>
      </c>
    </row>
    <row r="899" spans="1:3">
      <c r="A899">
        <v>3755</v>
      </c>
      <c r="B899"/>
      <c r="C899">
        <v>10</v>
      </c>
    </row>
    <row r="900" spans="1:3">
      <c r="A900">
        <v>3756</v>
      </c>
      <c r="B900"/>
      <c r="C900">
        <v>10</v>
      </c>
    </row>
    <row r="901" spans="1:3">
      <c r="A901">
        <v>3757</v>
      </c>
      <c r="B901"/>
      <c r="C901">
        <v>10</v>
      </c>
    </row>
    <row r="902" spans="1:3">
      <c r="A902">
        <v>3758</v>
      </c>
      <c r="B902"/>
      <c r="C902">
        <v>10</v>
      </c>
    </row>
    <row r="903" spans="1:3">
      <c r="A903">
        <v>3759</v>
      </c>
      <c r="B903"/>
      <c r="C903">
        <v>10</v>
      </c>
    </row>
    <row r="904" spans="1:3">
      <c r="A904">
        <v>3761</v>
      </c>
      <c r="B904"/>
      <c r="C904">
        <v>10</v>
      </c>
    </row>
    <row r="905" spans="1:3">
      <c r="A905">
        <v>3762</v>
      </c>
      <c r="B905"/>
      <c r="C905">
        <v>10</v>
      </c>
    </row>
    <row r="906" spans="1:3">
      <c r="A906">
        <v>3763</v>
      </c>
      <c r="B906"/>
      <c r="C906">
        <v>10</v>
      </c>
    </row>
    <row r="907" spans="1:3">
      <c r="A907">
        <v>3764</v>
      </c>
      <c r="B907"/>
      <c r="C907">
        <v>10</v>
      </c>
    </row>
    <row r="908" spans="1:3">
      <c r="A908">
        <v>3765</v>
      </c>
      <c r="B908"/>
      <c r="C908">
        <v>10</v>
      </c>
    </row>
    <row r="909" spans="1:3">
      <c r="A909">
        <v>3767</v>
      </c>
      <c r="B909"/>
      <c r="C909">
        <v>10</v>
      </c>
    </row>
    <row r="910" spans="1:3">
      <c r="A910">
        <v>3768</v>
      </c>
      <c r="B910"/>
      <c r="C910">
        <v>10</v>
      </c>
    </row>
    <row r="911" spans="1:3">
      <c r="A911">
        <v>3769</v>
      </c>
      <c r="B911"/>
      <c r="C911">
        <v>10</v>
      </c>
    </row>
    <row r="912" spans="1:3">
      <c r="A912">
        <v>3770</v>
      </c>
      <c r="B912"/>
      <c r="C912">
        <v>9</v>
      </c>
    </row>
    <row r="913" spans="1:3">
      <c r="A913">
        <v>3773</v>
      </c>
      <c r="B913"/>
      <c r="C913">
        <v>10</v>
      </c>
    </row>
    <row r="914" spans="1:3">
      <c r="A914">
        <v>3775</v>
      </c>
      <c r="B914"/>
      <c r="C914">
        <v>10</v>
      </c>
    </row>
    <row r="915" spans="1:3">
      <c r="A915">
        <v>3776</v>
      </c>
      <c r="B915"/>
      <c r="C915">
        <v>10</v>
      </c>
    </row>
    <row r="916" spans="1:3">
      <c r="A916">
        <v>3777</v>
      </c>
      <c r="B916"/>
      <c r="C916">
        <v>10</v>
      </c>
    </row>
    <row r="917" spans="1:3">
      <c r="A917">
        <v>3778</v>
      </c>
      <c r="B917"/>
      <c r="C917">
        <v>10</v>
      </c>
    </row>
    <row r="918" spans="1:3">
      <c r="A918">
        <v>3779</v>
      </c>
      <c r="B918"/>
      <c r="C918">
        <v>10</v>
      </c>
    </row>
    <row r="919" spans="1:3">
      <c r="A919">
        <v>3780</v>
      </c>
      <c r="B919"/>
      <c r="C919">
        <v>10</v>
      </c>
    </row>
    <row r="920" spans="1:3">
      <c r="A920">
        <v>3783</v>
      </c>
      <c r="B920"/>
      <c r="C920">
        <v>10</v>
      </c>
    </row>
    <row r="921" spans="1:3">
      <c r="A921">
        <v>3786</v>
      </c>
      <c r="B921"/>
      <c r="C921">
        <v>10</v>
      </c>
    </row>
    <row r="922" spans="1:3">
      <c r="A922">
        <v>3787</v>
      </c>
      <c r="B922"/>
      <c r="C922">
        <v>10</v>
      </c>
    </row>
    <row r="923" spans="1:3">
      <c r="A923">
        <v>3791</v>
      </c>
      <c r="B923"/>
      <c r="C923">
        <v>10</v>
      </c>
    </row>
    <row r="924" spans="1:3">
      <c r="A924">
        <v>3792</v>
      </c>
      <c r="B924"/>
      <c r="C924">
        <v>9</v>
      </c>
    </row>
    <row r="925" spans="1:3">
      <c r="A925">
        <v>3793</v>
      </c>
      <c r="B925"/>
      <c r="C925">
        <v>10</v>
      </c>
    </row>
    <row r="926" spans="1:3">
      <c r="A926">
        <v>3794</v>
      </c>
      <c r="B926"/>
      <c r="C926">
        <v>10</v>
      </c>
    </row>
    <row r="927" spans="1:3">
      <c r="A927">
        <v>3795</v>
      </c>
      <c r="B927"/>
      <c r="C927">
        <v>10</v>
      </c>
    </row>
    <row r="928" spans="1:3">
      <c r="A928">
        <v>3796</v>
      </c>
      <c r="B928"/>
      <c r="C928">
        <v>10</v>
      </c>
    </row>
    <row r="929" spans="1:3">
      <c r="A929">
        <v>3800</v>
      </c>
      <c r="B929"/>
      <c r="C929">
        <v>10</v>
      </c>
    </row>
    <row r="930" spans="1:3">
      <c r="A930">
        <v>3809</v>
      </c>
      <c r="B930"/>
      <c r="C930">
        <v>10</v>
      </c>
    </row>
    <row r="931" spans="1:3">
      <c r="A931">
        <v>3811</v>
      </c>
      <c r="B931"/>
      <c r="C931">
        <v>10</v>
      </c>
    </row>
    <row r="932" spans="1:3">
      <c r="A932">
        <v>3812</v>
      </c>
      <c r="B932"/>
      <c r="C932">
        <v>10</v>
      </c>
    </row>
    <row r="933" spans="1:3">
      <c r="A933">
        <v>3813</v>
      </c>
      <c r="B933"/>
      <c r="C933">
        <v>10</v>
      </c>
    </row>
    <row r="934" spans="1:3">
      <c r="A934">
        <v>3814</v>
      </c>
      <c r="B934"/>
      <c r="C934">
        <v>10</v>
      </c>
    </row>
    <row r="935" spans="1:3">
      <c r="A935">
        <v>3815</v>
      </c>
      <c r="B935"/>
      <c r="C935">
        <v>10</v>
      </c>
    </row>
    <row r="936" spans="1:3">
      <c r="A936">
        <v>3816</v>
      </c>
      <c r="B936"/>
      <c r="C936">
        <v>10</v>
      </c>
    </row>
    <row r="937" spans="1:3">
      <c r="A937">
        <v>3817</v>
      </c>
      <c r="B937"/>
      <c r="C937">
        <v>10</v>
      </c>
    </row>
    <row r="938" spans="1:3">
      <c r="A938">
        <v>3821</v>
      </c>
      <c r="B938"/>
      <c r="C938">
        <v>10</v>
      </c>
    </row>
    <row r="939" spans="1:3">
      <c r="A939">
        <v>3825</v>
      </c>
      <c r="B939"/>
      <c r="C939">
        <v>10</v>
      </c>
    </row>
    <row r="940" spans="1:3">
      <c r="A940">
        <v>3826</v>
      </c>
      <c r="B940"/>
      <c r="C940">
        <v>10</v>
      </c>
    </row>
    <row r="941" spans="1:3">
      <c r="A941">
        <v>3831</v>
      </c>
      <c r="B941"/>
      <c r="C941">
        <v>10</v>
      </c>
    </row>
    <row r="942" spans="1:3">
      <c r="A942">
        <v>3832</v>
      </c>
      <c r="B942"/>
      <c r="C942">
        <v>10</v>
      </c>
    </row>
    <row r="943" spans="1:3">
      <c r="A943">
        <v>3833</v>
      </c>
      <c r="B943"/>
      <c r="C943">
        <v>10</v>
      </c>
    </row>
    <row r="944" spans="1:3">
      <c r="A944">
        <v>3834</v>
      </c>
      <c r="B944"/>
      <c r="C944">
        <v>10</v>
      </c>
    </row>
    <row r="945" spans="1:3">
      <c r="A945">
        <v>3836</v>
      </c>
      <c r="B945"/>
      <c r="C945">
        <v>10</v>
      </c>
    </row>
    <row r="946" spans="1:3">
      <c r="A946">
        <v>3837</v>
      </c>
      <c r="B946"/>
      <c r="C946">
        <v>10</v>
      </c>
    </row>
    <row r="947" spans="1:3">
      <c r="A947">
        <v>3841</v>
      </c>
      <c r="B947"/>
      <c r="C947">
        <v>10</v>
      </c>
    </row>
    <row r="948" spans="1:3">
      <c r="A948">
        <v>3842</v>
      </c>
      <c r="B948"/>
      <c r="C948">
        <v>10</v>
      </c>
    </row>
    <row r="949" spans="1:3">
      <c r="A949">
        <v>3843</v>
      </c>
      <c r="B949"/>
      <c r="C949">
        <v>10</v>
      </c>
    </row>
    <row r="950" spans="1:3">
      <c r="A950">
        <v>3844</v>
      </c>
      <c r="B950"/>
      <c r="C950">
        <v>10</v>
      </c>
    </row>
    <row r="951" spans="1:3">
      <c r="A951">
        <v>3846</v>
      </c>
      <c r="B951"/>
      <c r="C951">
        <v>10</v>
      </c>
    </row>
    <row r="952" spans="1:3">
      <c r="A952">
        <v>3847</v>
      </c>
      <c r="B952"/>
      <c r="C952">
        <v>10</v>
      </c>
    </row>
    <row r="953" spans="1:3">
      <c r="A953">
        <v>3848</v>
      </c>
      <c r="B953"/>
      <c r="C953">
        <v>10</v>
      </c>
    </row>
    <row r="954" spans="1:3">
      <c r="A954">
        <v>3849</v>
      </c>
      <c r="B954"/>
      <c r="C954">
        <v>10</v>
      </c>
    </row>
    <row r="955" spans="1:3">
      <c r="A955">
        <v>3851</v>
      </c>
      <c r="B955"/>
      <c r="C955">
        <v>10</v>
      </c>
    </row>
    <row r="956" spans="1:3">
      <c r="A956">
        <v>3852</v>
      </c>
      <c r="B956"/>
      <c r="C956">
        <v>10</v>
      </c>
    </row>
    <row r="957" spans="1:3">
      <c r="A957">
        <v>3853</v>
      </c>
      <c r="B957"/>
      <c r="C957">
        <v>10</v>
      </c>
    </row>
    <row r="958" spans="1:3">
      <c r="A958">
        <v>3854</v>
      </c>
      <c r="B958"/>
      <c r="C958">
        <v>10</v>
      </c>
    </row>
    <row r="959" spans="1:3">
      <c r="A959">
        <v>3855</v>
      </c>
      <c r="B959"/>
      <c r="C959">
        <v>10</v>
      </c>
    </row>
    <row r="960" spans="1:3">
      <c r="A960">
        <v>3860</v>
      </c>
      <c r="B960"/>
      <c r="C960">
        <v>9</v>
      </c>
    </row>
    <row r="961" spans="1:3">
      <c r="A961">
        <v>3863</v>
      </c>
      <c r="B961"/>
      <c r="C961">
        <v>10</v>
      </c>
    </row>
    <row r="962" spans="1:3">
      <c r="A962">
        <v>3864</v>
      </c>
      <c r="B962"/>
      <c r="C962">
        <v>10</v>
      </c>
    </row>
    <row r="963" spans="1:3">
      <c r="A963">
        <v>3865</v>
      </c>
      <c r="B963"/>
      <c r="C963">
        <v>10</v>
      </c>
    </row>
    <row r="964" spans="1:3">
      <c r="A964">
        <v>3866</v>
      </c>
      <c r="B964"/>
      <c r="C964">
        <v>10</v>
      </c>
    </row>
    <row r="965" spans="1:3">
      <c r="A965">
        <v>3867</v>
      </c>
      <c r="B965"/>
      <c r="C965">
        <v>9</v>
      </c>
    </row>
    <row r="966" spans="1:3">
      <c r="A966">
        <v>3871</v>
      </c>
      <c r="B966"/>
      <c r="C966">
        <v>10</v>
      </c>
    </row>
    <row r="967" spans="1:3">
      <c r="A967">
        <v>3872</v>
      </c>
      <c r="B967"/>
      <c r="C967">
        <v>10</v>
      </c>
    </row>
    <row r="968" spans="1:3">
      <c r="A968">
        <v>3873</v>
      </c>
      <c r="B968"/>
      <c r="C968">
        <v>10</v>
      </c>
    </row>
    <row r="969" spans="1:3">
      <c r="A969">
        <v>3874</v>
      </c>
      <c r="B969"/>
      <c r="C969">
        <v>10</v>
      </c>
    </row>
    <row r="970" spans="1:3">
      <c r="A970">
        <v>3875</v>
      </c>
      <c r="B970"/>
      <c r="C970">
        <v>10</v>
      </c>
    </row>
    <row r="971" spans="1:3">
      <c r="A971">
        <v>3876</v>
      </c>
      <c r="B971"/>
      <c r="C971">
        <v>10</v>
      </c>
    </row>
    <row r="972" spans="1:3">
      <c r="A972">
        <v>3877</v>
      </c>
      <c r="B972"/>
      <c r="C972">
        <v>10</v>
      </c>
    </row>
    <row r="973" spans="1:3">
      <c r="A973">
        <v>3881</v>
      </c>
      <c r="B973"/>
      <c r="C973">
        <v>10</v>
      </c>
    </row>
    <row r="974" spans="1:3">
      <c r="A974">
        <v>3882</v>
      </c>
      <c r="B974"/>
      <c r="C974">
        <v>10</v>
      </c>
    </row>
    <row r="975" spans="1:3">
      <c r="A975">
        <v>3884</v>
      </c>
      <c r="B975"/>
      <c r="C975">
        <v>10</v>
      </c>
    </row>
    <row r="976" spans="1:3">
      <c r="A976">
        <v>3885</v>
      </c>
      <c r="B976"/>
      <c r="C976">
        <v>10</v>
      </c>
    </row>
    <row r="977" spans="1:3">
      <c r="A977">
        <v>3886</v>
      </c>
      <c r="B977"/>
      <c r="C977">
        <v>10</v>
      </c>
    </row>
    <row r="978" spans="1:3">
      <c r="A978">
        <v>3887</v>
      </c>
      <c r="B978"/>
      <c r="C978">
        <v>10</v>
      </c>
    </row>
    <row r="979" spans="1:3">
      <c r="A979">
        <v>3888</v>
      </c>
      <c r="B979"/>
      <c r="C979">
        <v>10</v>
      </c>
    </row>
    <row r="980" spans="1:3">
      <c r="A980">
        <v>3891</v>
      </c>
      <c r="B980"/>
      <c r="C980">
        <v>10</v>
      </c>
    </row>
    <row r="981" spans="1:3">
      <c r="A981">
        <v>3892</v>
      </c>
      <c r="B981"/>
      <c r="C981">
        <v>10</v>
      </c>
    </row>
    <row r="982" spans="1:3">
      <c r="A982">
        <v>3893</v>
      </c>
      <c r="B982"/>
      <c r="C982">
        <v>10</v>
      </c>
    </row>
    <row r="983" spans="1:3">
      <c r="A983">
        <v>3894</v>
      </c>
      <c r="B983"/>
      <c r="C983">
        <v>10</v>
      </c>
    </row>
    <row r="984" spans="1:3">
      <c r="A984">
        <v>3895</v>
      </c>
      <c r="B984"/>
      <c r="C984">
        <v>10</v>
      </c>
    </row>
    <row r="985" spans="1:3">
      <c r="A985">
        <v>3896</v>
      </c>
      <c r="B985"/>
      <c r="C985">
        <v>10</v>
      </c>
    </row>
    <row r="986" spans="1:3">
      <c r="A986">
        <v>3897</v>
      </c>
      <c r="B986"/>
      <c r="C986">
        <v>10</v>
      </c>
    </row>
    <row r="987" spans="1:3">
      <c r="A987">
        <v>3898</v>
      </c>
      <c r="B987"/>
      <c r="C987">
        <v>10</v>
      </c>
    </row>
    <row r="988" spans="1:3">
      <c r="A988">
        <v>3899</v>
      </c>
      <c r="B988"/>
      <c r="C988">
        <v>10</v>
      </c>
    </row>
    <row r="989" spans="1:3">
      <c r="A989">
        <v>3900</v>
      </c>
      <c r="B989"/>
      <c r="C989">
        <v>9</v>
      </c>
    </row>
    <row r="990" spans="1:3">
      <c r="A990">
        <v>3902</v>
      </c>
      <c r="B990"/>
      <c r="C990">
        <v>9</v>
      </c>
    </row>
    <row r="991" spans="1:3">
      <c r="A991">
        <v>3903</v>
      </c>
      <c r="B991"/>
      <c r="C991">
        <v>10</v>
      </c>
    </row>
    <row r="992" spans="1:3">
      <c r="A992">
        <v>3904</v>
      </c>
      <c r="B992"/>
      <c r="C992">
        <v>10</v>
      </c>
    </row>
    <row r="993" spans="1:3">
      <c r="A993">
        <v>3905</v>
      </c>
      <c r="B993"/>
      <c r="C993">
        <v>10</v>
      </c>
    </row>
    <row r="994" spans="1:3">
      <c r="A994">
        <v>3906</v>
      </c>
      <c r="B994"/>
      <c r="C994">
        <v>10</v>
      </c>
    </row>
    <row r="995" spans="1:3">
      <c r="A995">
        <v>3907</v>
      </c>
      <c r="B995"/>
      <c r="C995">
        <v>10</v>
      </c>
    </row>
    <row r="996" spans="1:3">
      <c r="A996">
        <v>3908</v>
      </c>
      <c r="B996"/>
      <c r="C996">
        <v>10</v>
      </c>
    </row>
    <row r="997" spans="1:3">
      <c r="A997">
        <v>3909</v>
      </c>
      <c r="B997"/>
      <c r="C997">
        <v>10</v>
      </c>
    </row>
    <row r="998" spans="1:3">
      <c r="A998">
        <v>3910</v>
      </c>
      <c r="B998"/>
      <c r="C998">
        <v>10</v>
      </c>
    </row>
    <row r="999" spans="1:3">
      <c r="A999">
        <v>3915</v>
      </c>
      <c r="B999"/>
      <c r="C999">
        <v>10</v>
      </c>
    </row>
    <row r="1000" spans="1:3">
      <c r="A1000">
        <v>3916</v>
      </c>
      <c r="B1000"/>
      <c r="C1000">
        <v>10</v>
      </c>
    </row>
    <row r="1001" spans="1:3">
      <c r="A1001">
        <v>3917</v>
      </c>
      <c r="B1001"/>
      <c r="C1001">
        <v>10</v>
      </c>
    </row>
    <row r="1002" spans="1:3">
      <c r="A1002">
        <v>3918</v>
      </c>
      <c r="B1002"/>
      <c r="C1002">
        <v>10</v>
      </c>
    </row>
    <row r="1003" spans="1:3">
      <c r="A1003">
        <v>3921</v>
      </c>
      <c r="B1003"/>
      <c r="C1003">
        <v>10</v>
      </c>
    </row>
    <row r="1004" spans="1:3">
      <c r="A1004">
        <v>3922</v>
      </c>
      <c r="B1004"/>
      <c r="C1004">
        <v>10</v>
      </c>
    </row>
    <row r="1005" spans="1:3">
      <c r="A1005">
        <v>3923</v>
      </c>
      <c r="B1005"/>
      <c r="C1005">
        <v>10</v>
      </c>
    </row>
    <row r="1006" spans="1:3">
      <c r="A1006">
        <v>3924</v>
      </c>
      <c r="B1006"/>
      <c r="C1006">
        <v>10</v>
      </c>
    </row>
    <row r="1007" spans="1:3">
      <c r="A1007">
        <v>3925</v>
      </c>
      <c r="B1007"/>
      <c r="C1007">
        <v>10</v>
      </c>
    </row>
    <row r="1008" spans="1:3">
      <c r="A1008">
        <v>3926</v>
      </c>
      <c r="B1008"/>
      <c r="C1008">
        <v>10</v>
      </c>
    </row>
    <row r="1009" spans="1:3">
      <c r="A1009">
        <v>3927</v>
      </c>
      <c r="B1009"/>
      <c r="C1009">
        <v>10</v>
      </c>
    </row>
    <row r="1010" spans="1:3">
      <c r="A1010">
        <v>3928</v>
      </c>
      <c r="B1010"/>
      <c r="C1010">
        <v>10</v>
      </c>
    </row>
    <row r="1011" spans="1:3">
      <c r="A1011">
        <v>3929</v>
      </c>
      <c r="B1011"/>
      <c r="C1011">
        <v>10</v>
      </c>
    </row>
    <row r="1012" spans="1:3">
      <c r="A1012">
        <v>3931</v>
      </c>
      <c r="B1012"/>
      <c r="C1012">
        <v>10</v>
      </c>
    </row>
    <row r="1013" spans="1:3">
      <c r="A1013">
        <v>3932</v>
      </c>
      <c r="B1013"/>
      <c r="C1013">
        <v>10</v>
      </c>
    </row>
    <row r="1014" spans="1:3">
      <c r="A1014">
        <v>3933</v>
      </c>
      <c r="B1014"/>
      <c r="C1014">
        <v>10</v>
      </c>
    </row>
    <row r="1015" spans="1:3">
      <c r="A1015">
        <v>3934</v>
      </c>
      <c r="B1015"/>
      <c r="C1015">
        <v>10</v>
      </c>
    </row>
    <row r="1016" spans="1:3">
      <c r="A1016">
        <v>3935</v>
      </c>
      <c r="B1016"/>
      <c r="C1016">
        <v>10</v>
      </c>
    </row>
    <row r="1017" spans="1:3">
      <c r="A1017">
        <v>3936</v>
      </c>
      <c r="B1017"/>
      <c r="C1017">
        <v>10</v>
      </c>
    </row>
    <row r="1018" spans="1:3">
      <c r="A1018">
        <v>3937</v>
      </c>
      <c r="B1018"/>
      <c r="C1018">
        <v>10</v>
      </c>
    </row>
    <row r="1019" spans="1:3">
      <c r="A1019">
        <v>3941</v>
      </c>
      <c r="B1019"/>
      <c r="C1019">
        <v>10</v>
      </c>
    </row>
    <row r="1020" spans="1:3">
      <c r="A1020">
        <v>3942</v>
      </c>
      <c r="B1020"/>
      <c r="C1020">
        <v>10</v>
      </c>
    </row>
    <row r="1021" spans="1:3">
      <c r="A1021">
        <v>3943</v>
      </c>
      <c r="B1021"/>
      <c r="C1021">
        <v>10</v>
      </c>
    </row>
    <row r="1022" spans="1:3">
      <c r="A1022">
        <v>3944</v>
      </c>
      <c r="B1022"/>
      <c r="C1022">
        <v>9</v>
      </c>
    </row>
    <row r="1023" spans="1:3">
      <c r="A1023">
        <v>3945</v>
      </c>
      <c r="B1023"/>
      <c r="C1023">
        <v>9</v>
      </c>
    </row>
    <row r="1024" spans="1:3">
      <c r="A1024">
        <v>3950</v>
      </c>
      <c r="B1024"/>
      <c r="C1024">
        <v>10</v>
      </c>
    </row>
    <row r="1025" spans="1:3">
      <c r="A1025">
        <v>3954</v>
      </c>
      <c r="B1025"/>
      <c r="C1025">
        <v>10</v>
      </c>
    </row>
    <row r="1026" spans="1:3">
      <c r="A1026">
        <v>3955</v>
      </c>
      <c r="B1026"/>
      <c r="C1026">
        <v>10</v>
      </c>
    </row>
    <row r="1027" spans="1:3">
      <c r="A1027">
        <v>3956</v>
      </c>
      <c r="B1027"/>
      <c r="C1027">
        <v>10</v>
      </c>
    </row>
    <row r="1028" spans="1:3">
      <c r="A1028">
        <v>3957</v>
      </c>
      <c r="B1028"/>
      <c r="C1028">
        <v>10</v>
      </c>
    </row>
    <row r="1029" spans="1:3">
      <c r="A1029">
        <v>3958</v>
      </c>
      <c r="B1029"/>
      <c r="C1029">
        <v>10</v>
      </c>
    </row>
    <row r="1030" spans="1:3">
      <c r="A1030">
        <v>3959</v>
      </c>
      <c r="B1030"/>
      <c r="C1030">
        <v>10</v>
      </c>
    </row>
    <row r="1031" spans="1:3">
      <c r="A1031">
        <v>3961</v>
      </c>
      <c r="B1031"/>
      <c r="C1031">
        <v>10</v>
      </c>
    </row>
    <row r="1032" spans="1:3">
      <c r="A1032">
        <v>3962</v>
      </c>
      <c r="B1032"/>
      <c r="C1032">
        <v>10</v>
      </c>
    </row>
    <row r="1033" spans="1:3">
      <c r="A1033">
        <v>3963</v>
      </c>
      <c r="B1033"/>
      <c r="C1033">
        <v>10</v>
      </c>
    </row>
    <row r="1034" spans="1:3">
      <c r="A1034">
        <v>3964</v>
      </c>
      <c r="B1034"/>
      <c r="C1034">
        <v>10</v>
      </c>
    </row>
    <row r="1035" spans="1:3">
      <c r="A1035">
        <v>3965</v>
      </c>
      <c r="B1035"/>
      <c r="C1035">
        <v>10</v>
      </c>
    </row>
    <row r="1036" spans="1:3">
      <c r="A1036">
        <v>3967</v>
      </c>
      <c r="B1036"/>
      <c r="C1036">
        <v>10</v>
      </c>
    </row>
    <row r="1037" spans="1:3">
      <c r="A1037">
        <v>3971</v>
      </c>
      <c r="B1037"/>
      <c r="C1037">
        <v>10</v>
      </c>
    </row>
    <row r="1038" spans="1:3">
      <c r="A1038">
        <v>3972</v>
      </c>
      <c r="B1038"/>
      <c r="C1038">
        <v>10</v>
      </c>
    </row>
    <row r="1039" spans="1:3">
      <c r="A1039">
        <v>3973</v>
      </c>
      <c r="B1039"/>
      <c r="C1039">
        <v>10</v>
      </c>
    </row>
    <row r="1040" spans="1:3">
      <c r="A1040">
        <v>3974</v>
      </c>
      <c r="B1040"/>
      <c r="C1040">
        <v>10</v>
      </c>
    </row>
    <row r="1041" spans="1:3">
      <c r="A1041">
        <v>3976</v>
      </c>
      <c r="B1041"/>
      <c r="C1041">
        <v>10</v>
      </c>
    </row>
    <row r="1042" spans="1:3">
      <c r="A1042">
        <v>3977</v>
      </c>
      <c r="B1042"/>
      <c r="C1042">
        <v>10</v>
      </c>
    </row>
    <row r="1043" spans="1:3">
      <c r="A1043">
        <v>3978</v>
      </c>
      <c r="B1043"/>
      <c r="C1043">
        <v>10</v>
      </c>
    </row>
    <row r="1044" spans="1:3">
      <c r="A1044">
        <v>3980</v>
      </c>
      <c r="B1044"/>
      <c r="C1044">
        <v>9</v>
      </c>
    </row>
    <row r="1045" spans="1:3">
      <c r="A1045">
        <v>3985</v>
      </c>
      <c r="B1045"/>
      <c r="C1045">
        <v>10</v>
      </c>
    </row>
    <row r="1046" spans="1:3">
      <c r="A1046">
        <v>3987</v>
      </c>
      <c r="B1046"/>
      <c r="C1046">
        <v>10</v>
      </c>
    </row>
    <row r="1047" spans="1:3">
      <c r="A1047">
        <v>3988</v>
      </c>
      <c r="B1047"/>
      <c r="C1047">
        <v>9</v>
      </c>
    </row>
    <row r="1048" spans="1:3">
      <c r="A1048">
        <v>3989</v>
      </c>
      <c r="B1048"/>
      <c r="C1048">
        <v>10</v>
      </c>
    </row>
    <row r="1049" spans="1:3">
      <c r="A1049">
        <v>3991</v>
      </c>
      <c r="B1049"/>
      <c r="C1049">
        <v>10</v>
      </c>
    </row>
    <row r="1050" spans="1:3">
      <c r="A1050">
        <v>3992</v>
      </c>
      <c r="B1050"/>
      <c r="C1050">
        <v>10</v>
      </c>
    </row>
    <row r="1051" spans="1:3">
      <c r="A1051">
        <v>3993</v>
      </c>
      <c r="B1051"/>
      <c r="C1051">
        <v>10</v>
      </c>
    </row>
    <row r="1052" spans="1:3">
      <c r="A1052">
        <v>3994</v>
      </c>
      <c r="B1052"/>
      <c r="C1052">
        <v>9</v>
      </c>
    </row>
    <row r="1053" spans="1:3">
      <c r="A1053">
        <v>3995</v>
      </c>
      <c r="B1053"/>
      <c r="C1053">
        <v>10</v>
      </c>
    </row>
    <row r="1054" spans="1:3">
      <c r="A1054">
        <v>3996</v>
      </c>
      <c r="B1054"/>
      <c r="C1054">
        <v>10</v>
      </c>
    </row>
    <row r="1055" spans="1:3">
      <c r="A1055">
        <v>3997</v>
      </c>
      <c r="B1055"/>
      <c r="C1055">
        <v>10</v>
      </c>
    </row>
    <row r="1056" spans="1:3">
      <c r="A1056">
        <v>3998</v>
      </c>
      <c r="B1056"/>
      <c r="C1056">
        <v>10</v>
      </c>
    </row>
    <row r="1057" spans="1:3">
      <c r="A1057">
        <v>3999</v>
      </c>
      <c r="B1057"/>
      <c r="C1057">
        <v>9</v>
      </c>
    </row>
    <row r="1058" spans="1:3">
      <c r="A1058">
        <v>4002</v>
      </c>
      <c r="B1058"/>
      <c r="C1058">
        <v>6</v>
      </c>
    </row>
    <row r="1059" spans="1:3">
      <c r="A1059">
        <v>4014</v>
      </c>
      <c r="B1059"/>
      <c r="C1059">
        <v>6</v>
      </c>
    </row>
    <row r="1060" spans="1:3">
      <c r="A1060">
        <v>4024</v>
      </c>
      <c r="B1060"/>
      <c r="C1060">
        <v>6</v>
      </c>
    </row>
    <row r="1061" spans="1:3">
      <c r="A1061">
        <v>4025</v>
      </c>
      <c r="B1061"/>
      <c r="C1061">
        <v>6</v>
      </c>
    </row>
    <row r="1062" spans="1:3">
      <c r="A1062">
        <v>4026</v>
      </c>
      <c r="B1062"/>
      <c r="C1062">
        <v>6</v>
      </c>
    </row>
    <row r="1063" spans="1:3">
      <c r="A1063">
        <v>4027</v>
      </c>
      <c r="B1063"/>
      <c r="C1063">
        <v>6</v>
      </c>
    </row>
    <row r="1064" spans="1:3">
      <c r="A1064">
        <v>4028</v>
      </c>
      <c r="B1064"/>
      <c r="C1064">
        <v>6</v>
      </c>
    </row>
    <row r="1065" spans="1:3">
      <c r="A1065">
        <v>4029</v>
      </c>
      <c r="B1065"/>
      <c r="C1065">
        <v>6</v>
      </c>
    </row>
    <row r="1066" spans="1:3">
      <c r="A1066">
        <v>4030</v>
      </c>
      <c r="B1066"/>
      <c r="C1066">
        <v>6</v>
      </c>
    </row>
    <row r="1067" spans="1:3">
      <c r="A1067">
        <v>4031</v>
      </c>
      <c r="B1067"/>
      <c r="C1067">
        <v>6</v>
      </c>
    </row>
    <row r="1068" spans="1:3">
      <c r="A1068">
        <v>4032</v>
      </c>
      <c r="B1068"/>
      <c r="C1068">
        <v>6</v>
      </c>
    </row>
    <row r="1069" spans="1:3">
      <c r="A1069">
        <v>4033</v>
      </c>
      <c r="B1069"/>
      <c r="C1069">
        <v>6</v>
      </c>
    </row>
    <row r="1070" spans="1:3">
      <c r="A1070">
        <v>4034</v>
      </c>
      <c r="B1070"/>
      <c r="C1070">
        <v>6</v>
      </c>
    </row>
    <row r="1071" spans="1:3">
      <c r="A1071">
        <v>4060</v>
      </c>
      <c r="B1071"/>
      <c r="C1071">
        <v>10</v>
      </c>
    </row>
    <row r="1072" spans="1:3">
      <c r="A1072">
        <v>4063</v>
      </c>
      <c r="B1072"/>
      <c r="C1072">
        <v>6</v>
      </c>
    </row>
    <row r="1073" spans="1:3">
      <c r="A1073">
        <v>4064</v>
      </c>
      <c r="B1073"/>
      <c r="C1073">
        <v>10</v>
      </c>
    </row>
    <row r="1074" spans="1:3">
      <c r="A1074">
        <v>4065</v>
      </c>
      <c r="B1074"/>
      <c r="C1074">
        <v>10</v>
      </c>
    </row>
    <row r="1075" spans="1:3">
      <c r="A1075">
        <v>4066</v>
      </c>
      <c r="B1075"/>
      <c r="C1075">
        <v>10</v>
      </c>
    </row>
    <row r="1076" spans="1:3">
      <c r="A1076">
        <v>4067</v>
      </c>
      <c r="B1076"/>
      <c r="C1076">
        <v>10</v>
      </c>
    </row>
    <row r="1077" spans="1:3">
      <c r="A1077">
        <v>4069</v>
      </c>
      <c r="B1077"/>
      <c r="C1077">
        <v>10</v>
      </c>
    </row>
    <row r="1078" spans="1:3">
      <c r="A1078">
        <v>4071</v>
      </c>
      <c r="B1078"/>
      <c r="C1078">
        <v>10</v>
      </c>
    </row>
    <row r="1079" spans="1:3">
      <c r="A1079">
        <v>4074</v>
      </c>
      <c r="B1079"/>
      <c r="C1079">
        <v>10</v>
      </c>
    </row>
    <row r="1080" spans="1:3">
      <c r="A1080">
        <v>4075</v>
      </c>
      <c r="B1080"/>
      <c r="C1080">
        <v>10</v>
      </c>
    </row>
    <row r="1081" spans="1:3">
      <c r="A1081">
        <v>4078</v>
      </c>
      <c r="B1081"/>
      <c r="C1081">
        <v>6</v>
      </c>
    </row>
    <row r="1082" spans="1:3">
      <c r="A1082">
        <v>4079</v>
      </c>
      <c r="B1082"/>
      <c r="C1082">
        <v>6</v>
      </c>
    </row>
    <row r="1083" spans="1:3">
      <c r="A1083">
        <v>4080</v>
      </c>
      <c r="B1083"/>
      <c r="C1083">
        <v>10</v>
      </c>
    </row>
    <row r="1084" spans="1:3">
      <c r="A1084">
        <v>4085</v>
      </c>
      <c r="B1084"/>
      <c r="C1084">
        <v>10</v>
      </c>
    </row>
    <row r="1085" spans="1:3">
      <c r="A1085">
        <v>4086</v>
      </c>
      <c r="B1085"/>
      <c r="C1085">
        <v>10</v>
      </c>
    </row>
    <row r="1086" spans="1:3">
      <c r="A1086">
        <v>4087</v>
      </c>
      <c r="B1086"/>
      <c r="C1086">
        <v>10</v>
      </c>
    </row>
    <row r="1087" spans="1:3">
      <c r="A1087">
        <v>4090</v>
      </c>
      <c r="B1087"/>
      <c r="C1087">
        <v>10</v>
      </c>
    </row>
    <row r="1088" spans="1:3">
      <c r="A1088">
        <v>4095</v>
      </c>
      <c r="B1088"/>
      <c r="C1088">
        <v>10</v>
      </c>
    </row>
    <row r="1089" spans="1:3">
      <c r="A1089">
        <v>4096</v>
      </c>
      <c r="B1089"/>
      <c r="C1089">
        <v>10</v>
      </c>
    </row>
    <row r="1090" spans="1:3">
      <c r="A1090">
        <v>4097</v>
      </c>
      <c r="B1090"/>
      <c r="C1090">
        <v>10</v>
      </c>
    </row>
    <row r="1091" spans="1:3">
      <c r="A1091">
        <v>4100</v>
      </c>
      <c r="B1091"/>
      <c r="C1091">
        <v>10</v>
      </c>
    </row>
    <row r="1092" spans="1:3">
      <c r="A1092">
        <v>4103</v>
      </c>
      <c r="B1092"/>
      <c r="C1092">
        <v>10</v>
      </c>
    </row>
    <row r="1093" spans="1:3">
      <c r="A1093">
        <v>4110</v>
      </c>
      <c r="B1093"/>
      <c r="C1093">
        <v>10</v>
      </c>
    </row>
    <row r="1094" spans="1:3">
      <c r="A1094">
        <v>4114</v>
      </c>
      <c r="B1094"/>
      <c r="C1094">
        <v>10</v>
      </c>
    </row>
    <row r="1095" spans="1:3">
      <c r="A1095">
        <v>4115</v>
      </c>
      <c r="B1095"/>
      <c r="C1095">
        <v>10</v>
      </c>
    </row>
    <row r="1096" spans="1:3">
      <c r="A1096">
        <v>4116</v>
      </c>
      <c r="B1096"/>
      <c r="C1096">
        <v>10</v>
      </c>
    </row>
    <row r="1097" spans="1:3">
      <c r="A1097">
        <v>4117</v>
      </c>
      <c r="B1097"/>
      <c r="C1097">
        <v>10</v>
      </c>
    </row>
    <row r="1098" spans="1:3">
      <c r="A1098">
        <v>4118</v>
      </c>
      <c r="B1098"/>
      <c r="C1098">
        <v>10</v>
      </c>
    </row>
    <row r="1099" spans="1:3">
      <c r="A1099">
        <v>4119</v>
      </c>
      <c r="B1099"/>
      <c r="C1099">
        <v>10</v>
      </c>
    </row>
    <row r="1100" spans="1:3">
      <c r="A1100">
        <v>4121</v>
      </c>
      <c r="B1100"/>
      <c r="C1100">
        <v>10</v>
      </c>
    </row>
    <row r="1101" spans="1:3">
      <c r="A1101">
        <v>4122</v>
      </c>
      <c r="B1101"/>
      <c r="C1101">
        <v>10</v>
      </c>
    </row>
    <row r="1102" spans="1:3">
      <c r="A1102">
        <v>4123</v>
      </c>
      <c r="B1102"/>
      <c r="C1102">
        <v>10</v>
      </c>
    </row>
    <row r="1103" spans="1:3">
      <c r="A1103">
        <v>4124</v>
      </c>
      <c r="B1103"/>
      <c r="C1103">
        <v>10</v>
      </c>
    </row>
    <row r="1104" spans="1:3">
      <c r="A1104">
        <v>4125</v>
      </c>
      <c r="B1104"/>
      <c r="C1104">
        <v>10</v>
      </c>
    </row>
    <row r="1105" spans="1:3">
      <c r="A1105">
        <v>4126</v>
      </c>
      <c r="B1105"/>
      <c r="C1105">
        <v>10</v>
      </c>
    </row>
    <row r="1106" spans="1:3">
      <c r="A1106">
        <v>4127</v>
      </c>
      <c r="B1106"/>
      <c r="C1106">
        <v>10</v>
      </c>
    </row>
    <row r="1107" spans="1:3">
      <c r="A1107">
        <v>4128</v>
      </c>
      <c r="B1107"/>
      <c r="C1107">
        <v>10</v>
      </c>
    </row>
    <row r="1108" spans="1:3">
      <c r="A1108">
        <v>4130</v>
      </c>
      <c r="B1108"/>
      <c r="C1108">
        <v>10</v>
      </c>
    </row>
    <row r="1109" spans="1:3">
      <c r="A1109">
        <v>4132</v>
      </c>
      <c r="B1109"/>
      <c r="C1109">
        <v>10</v>
      </c>
    </row>
    <row r="1110" spans="1:3">
      <c r="A1110">
        <v>4133</v>
      </c>
      <c r="B1110"/>
      <c r="C1110">
        <v>10</v>
      </c>
    </row>
    <row r="1111" spans="1:3">
      <c r="A1111">
        <v>4134</v>
      </c>
      <c r="B1111"/>
      <c r="C1111">
        <v>10</v>
      </c>
    </row>
    <row r="1112" spans="1:3">
      <c r="A1112">
        <v>4135</v>
      </c>
      <c r="B1112"/>
      <c r="C1112">
        <v>10</v>
      </c>
    </row>
    <row r="1113" spans="1:3">
      <c r="A1113">
        <v>4136</v>
      </c>
      <c r="B1113"/>
      <c r="C1113">
        <v>10</v>
      </c>
    </row>
    <row r="1114" spans="1:3">
      <c r="A1114">
        <v>4137</v>
      </c>
      <c r="B1114"/>
      <c r="C1114">
        <v>10</v>
      </c>
    </row>
    <row r="1115" spans="1:3">
      <c r="A1115">
        <v>4138</v>
      </c>
      <c r="B1115"/>
      <c r="C1115">
        <v>10</v>
      </c>
    </row>
    <row r="1116" spans="1:3">
      <c r="A1116">
        <v>4141</v>
      </c>
      <c r="B1116"/>
      <c r="C1116">
        <v>10</v>
      </c>
    </row>
    <row r="1117" spans="1:3">
      <c r="A1117">
        <v>4142</v>
      </c>
      <c r="B1117"/>
      <c r="C1117">
        <v>10</v>
      </c>
    </row>
    <row r="1118" spans="1:3">
      <c r="A1118">
        <v>4143</v>
      </c>
      <c r="B1118"/>
      <c r="C1118">
        <v>10</v>
      </c>
    </row>
    <row r="1119" spans="1:3">
      <c r="A1119">
        <v>4144</v>
      </c>
      <c r="B1119"/>
      <c r="C1119">
        <v>10</v>
      </c>
    </row>
    <row r="1120" spans="1:3">
      <c r="A1120">
        <v>4145</v>
      </c>
      <c r="B1120"/>
      <c r="C1120">
        <v>10</v>
      </c>
    </row>
    <row r="1121" spans="1:3">
      <c r="A1121">
        <v>4146</v>
      </c>
      <c r="B1121"/>
      <c r="C1121">
        <v>10</v>
      </c>
    </row>
    <row r="1122" spans="1:3">
      <c r="A1122">
        <v>4150</v>
      </c>
      <c r="B1122"/>
      <c r="C1122">
        <v>10</v>
      </c>
    </row>
    <row r="1123" spans="1:3">
      <c r="A1123">
        <v>4161</v>
      </c>
      <c r="B1123"/>
      <c r="C1123">
        <v>10</v>
      </c>
    </row>
    <row r="1124" spans="1:3">
      <c r="A1124">
        <v>4162</v>
      </c>
      <c r="B1124"/>
      <c r="C1124">
        <v>10</v>
      </c>
    </row>
    <row r="1125" spans="1:3">
      <c r="A1125">
        <v>4163</v>
      </c>
      <c r="B1125"/>
      <c r="C1125">
        <v>10</v>
      </c>
    </row>
    <row r="1126" spans="1:3">
      <c r="A1126">
        <v>4164</v>
      </c>
      <c r="B1126"/>
      <c r="C1126">
        <v>10</v>
      </c>
    </row>
    <row r="1127" spans="1:3">
      <c r="A1127">
        <v>4171</v>
      </c>
      <c r="B1127"/>
      <c r="C1127">
        <v>10</v>
      </c>
    </row>
    <row r="1128" spans="1:3">
      <c r="A1128">
        <v>4172</v>
      </c>
      <c r="B1128"/>
      <c r="C1128">
        <v>10</v>
      </c>
    </row>
    <row r="1129" spans="1:3">
      <c r="A1129">
        <v>4173</v>
      </c>
      <c r="B1129"/>
      <c r="C1129">
        <v>10</v>
      </c>
    </row>
    <row r="1130" spans="1:3">
      <c r="A1130">
        <v>4174</v>
      </c>
      <c r="B1130"/>
      <c r="C1130">
        <v>10</v>
      </c>
    </row>
    <row r="1131" spans="1:3">
      <c r="A1131">
        <v>4175</v>
      </c>
      <c r="B1131"/>
      <c r="C1131">
        <v>10</v>
      </c>
    </row>
    <row r="1132" spans="1:3">
      <c r="A1132">
        <v>4176</v>
      </c>
      <c r="B1132"/>
      <c r="C1132">
        <v>10</v>
      </c>
    </row>
    <row r="1133" spans="1:3">
      <c r="A1133">
        <v>4177</v>
      </c>
      <c r="B1133"/>
      <c r="C1133">
        <v>10</v>
      </c>
    </row>
    <row r="1134" spans="1:3">
      <c r="A1134">
        <v>4181</v>
      </c>
      <c r="B1134"/>
      <c r="C1134">
        <v>10</v>
      </c>
    </row>
    <row r="1135" spans="1:3">
      <c r="A1135">
        <v>4183</v>
      </c>
      <c r="B1135"/>
      <c r="C1135">
        <v>10</v>
      </c>
    </row>
    <row r="1136" spans="1:3">
      <c r="A1136">
        <v>4184</v>
      </c>
      <c r="B1136"/>
      <c r="C1136">
        <v>10</v>
      </c>
    </row>
    <row r="1137" spans="1:3">
      <c r="A1137">
        <v>4200</v>
      </c>
      <c r="B1137"/>
      <c r="C1137">
        <v>9</v>
      </c>
    </row>
    <row r="1138" spans="1:3">
      <c r="A1138">
        <v>4211</v>
      </c>
      <c r="B1138"/>
      <c r="C1138">
        <v>10</v>
      </c>
    </row>
    <row r="1139" spans="1:3">
      <c r="A1139">
        <v>4212</v>
      </c>
      <c r="B1139"/>
      <c r="C1139">
        <v>10</v>
      </c>
    </row>
    <row r="1140" spans="1:3">
      <c r="A1140">
        <v>4220</v>
      </c>
      <c r="B1140"/>
      <c r="C1140">
        <v>10</v>
      </c>
    </row>
    <row r="1141" spans="1:3">
      <c r="A1141">
        <v>4224</v>
      </c>
      <c r="B1141"/>
      <c r="C1141">
        <v>10</v>
      </c>
    </row>
    <row r="1142" spans="1:3">
      <c r="A1142">
        <v>4225</v>
      </c>
      <c r="B1142"/>
      <c r="C1142">
        <v>6</v>
      </c>
    </row>
    <row r="1143" spans="1:3">
      <c r="A1143">
        <v>4231</v>
      </c>
      <c r="B1143"/>
      <c r="C1143">
        <v>10</v>
      </c>
    </row>
    <row r="1144" spans="1:3">
      <c r="A1144">
        <v>4232</v>
      </c>
      <c r="B1144"/>
      <c r="C1144">
        <v>10</v>
      </c>
    </row>
    <row r="1145" spans="1:3">
      <c r="A1145">
        <v>4233</v>
      </c>
      <c r="B1145"/>
      <c r="C1145">
        <v>10</v>
      </c>
    </row>
    <row r="1146" spans="1:3">
      <c r="A1146">
        <v>4234</v>
      </c>
      <c r="B1146"/>
      <c r="C1146">
        <v>10</v>
      </c>
    </row>
    <row r="1147" spans="1:3">
      <c r="A1147">
        <v>4235</v>
      </c>
      <c r="B1147"/>
      <c r="C1147">
        <v>10</v>
      </c>
    </row>
    <row r="1148" spans="1:3">
      <c r="A1148">
        <v>4241</v>
      </c>
      <c r="B1148"/>
      <c r="C1148">
        <v>9</v>
      </c>
    </row>
    <row r="1149" spans="1:3">
      <c r="A1149">
        <v>4242</v>
      </c>
      <c r="B1149"/>
      <c r="C1149">
        <v>9</v>
      </c>
    </row>
    <row r="1150" spans="1:3">
      <c r="A1150">
        <v>4243</v>
      </c>
      <c r="B1150"/>
      <c r="C1150">
        <v>9</v>
      </c>
    </row>
    <row r="1151" spans="1:3">
      <c r="A1151">
        <v>4244</v>
      </c>
      <c r="B1151"/>
      <c r="C1151">
        <v>10</v>
      </c>
    </row>
    <row r="1152" spans="1:3">
      <c r="A1152">
        <v>4245</v>
      </c>
      <c r="B1152"/>
      <c r="C1152">
        <v>10</v>
      </c>
    </row>
    <row r="1153" spans="1:3">
      <c r="A1153">
        <v>4246</v>
      </c>
      <c r="B1153"/>
      <c r="C1153">
        <v>7</v>
      </c>
    </row>
    <row r="1154" spans="1:3">
      <c r="A1154">
        <v>4251</v>
      </c>
      <c r="B1154"/>
      <c r="C1154">
        <v>9</v>
      </c>
    </row>
    <row r="1155" spans="1:3">
      <c r="A1155">
        <v>4252</v>
      </c>
      <c r="B1155"/>
      <c r="C1155">
        <v>10</v>
      </c>
    </row>
    <row r="1156" spans="1:3">
      <c r="A1156">
        <v>4253</v>
      </c>
      <c r="B1156"/>
      <c r="C1156">
        <v>10</v>
      </c>
    </row>
    <row r="1157" spans="1:3">
      <c r="A1157">
        <v>4254</v>
      </c>
      <c r="B1157"/>
      <c r="C1157">
        <v>10</v>
      </c>
    </row>
    <row r="1158" spans="1:3">
      <c r="A1158">
        <v>4262</v>
      </c>
      <c r="B1158"/>
      <c r="C1158">
        <v>10</v>
      </c>
    </row>
    <row r="1159" spans="1:3">
      <c r="A1159">
        <v>4263</v>
      </c>
      <c r="B1159"/>
      <c r="C1159">
        <v>10</v>
      </c>
    </row>
    <row r="1160" spans="1:3">
      <c r="A1160">
        <v>4264</v>
      </c>
      <c r="B1160"/>
      <c r="C1160">
        <v>10</v>
      </c>
    </row>
    <row r="1161" spans="1:3">
      <c r="A1161">
        <v>4266</v>
      </c>
      <c r="B1161"/>
      <c r="C1161">
        <v>10</v>
      </c>
    </row>
    <row r="1162" spans="1:3">
      <c r="A1162">
        <v>4267</v>
      </c>
      <c r="B1162"/>
      <c r="C1162">
        <v>10</v>
      </c>
    </row>
    <row r="1163" spans="1:3">
      <c r="A1163">
        <v>4271</v>
      </c>
      <c r="B1163"/>
      <c r="C1163">
        <v>9</v>
      </c>
    </row>
    <row r="1164" spans="1:3">
      <c r="A1164">
        <v>4272</v>
      </c>
      <c r="B1164"/>
      <c r="C1164">
        <v>10</v>
      </c>
    </row>
    <row r="1165" spans="1:3">
      <c r="A1165">
        <v>4273</v>
      </c>
      <c r="B1165"/>
      <c r="C1165">
        <v>10</v>
      </c>
    </row>
    <row r="1166" spans="1:3">
      <c r="A1166">
        <v>4274</v>
      </c>
      <c r="B1166"/>
      <c r="C1166">
        <v>10</v>
      </c>
    </row>
    <row r="1167" spans="1:3">
      <c r="A1167">
        <v>4275</v>
      </c>
      <c r="B1167"/>
      <c r="C1167">
        <v>10</v>
      </c>
    </row>
    <row r="1168" spans="1:3">
      <c r="A1168">
        <v>4281</v>
      </c>
      <c r="B1168"/>
      <c r="C1168">
        <v>10</v>
      </c>
    </row>
    <row r="1169" spans="1:3">
      <c r="A1169">
        <v>4283</v>
      </c>
      <c r="B1169"/>
      <c r="C1169">
        <v>10</v>
      </c>
    </row>
    <row r="1170" spans="1:3">
      <c r="A1170">
        <v>4284</v>
      </c>
      <c r="B1170"/>
      <c r="C1170">
        <v>10</v>
      </c>
    </row>
    <row r="1171" spans="1:3">
      <c r="A1171">
        <v>4285</v>
      </c>
      <c r="B1171"/>
      <c r="C1171">
        <v>10</v>
      </c>
    </row>
    <row r="1172" spans="1:3">
      <c r="A1172">
        <v>4286</v>
      </c>
      <c r="B1172"/>
      <c r="C1172">
        <v>10</v>
      </c>
    </row>
    <row r="1173" spans="1:3">
      <c r="A1173">
        <v>4287</v>
      </c>
      <c r="B1173"/>
      <c r="C1173">
        <v>10</v>
      </c>
    </row>
    <row r="1174" spans="1:3">
      <c r="A1174">
        <v>4288</v>
      </c>
      <c r="B1174"/>
      <c r="C1174">
        <v>10</v>
      </c>
    </row>
    <row r="1175" spans="1:3">
      <c r="A1175">
        <v>4300</v>
      </c>
      <c r="B1175"/>
      <c r="C1175">
        <v>9</v>
      </c>
    </row>
    <row r="1176" spans="1:3">
      <c r="A1176">
        <v>4311</v>
      </c>
      <c r="B1176"/>
      <c r="C1176">
        <v>10</v>
      </c>
    </row>
    <row r="1177" spans="1:3">
      <c r="A1177">
        <v>4320</v>
      </c>
      <c r="B1177"/>
      <c r="C1177">
        <v>10</v>
      </c>
    </row>
    <row r="1178" spans="1:3">
      <c r="A1178">
        <v>4324</v>
      </c>
      <c r="B1178"/>
      <c r="C1178">
        <v>10</v>
      </c>
    </row>
    <row r="1179" spans="1:3">
      <c r="A1179">
        <v>4325</v>
      </c>
      <c r="B1179"/>
      <c r="C1179">
        <v>10</v>
      </c>
    </row>
    <row r="1180" spans="1:3">
      <c r="A1180">
        <v>4326</v>
      </c>
      <c r="B1180"/>
      <c r="C1180">
        <v>10</v>
      </c>
    </row>
    <row r="1181" spans="1:3">
      <c r="A1181">
        <v>4327</v>
      </c>
      <c r="B1181"/>
      <c r="C1181">
        <v>10</v>
      </c>
    </row>
    <row r="1182" spans="1:3">
      <c r="A1182">
        <v>4331</v>
      </c>
      <c r="B1182"/>
      <c r="C1182">
        <v>10</v>
      </c>
    </row>
    <row r="1183" spans="1:3">
      <c r="A1183">
        <v>4332</v>
      </c>
      <c r="B1183"/>
      <c r="C1183">
        <v>10</v>
      </c>
    </row>
    <row r="1184" spans="1:3">
      <c r="A1184">
        <v>4333</v>
      </c>
      <c r="B1184"/>
      <c r="C1184">
        <v>10</v>
      </c>
    </row>
    <row r="1185" spans="1:3">
      <c r="A1185">
        <v>4334</v>
      </c>
      <c r="B1185"/>
      <c r="C1185">
        <v>10</v>
      </c>
    </row>
    <row r="1186" spans="1:3">
      <c r="A1186">
        <v>4335</v>
      </c>
      <c r="B1186"/>
      <c r="C1186">
        <v>10</v>
      </c>
    </row>
    <row r="1187" spans="1:3">
      <c r="A1187">
        <v>4336</v>
      </c>
      <c r="B1187"/>
      <c r="C1187">
        <v>10</v>
      </c>
    </row>
    <row r="1188" spans="1:3">
      <c r="A1188">
        <v>4337</v>
      </c>
      <c r="B1188"/>
      <c r="C1188">
        <v>10</v>
      </c>
    </row>
    <row r="1189" spans="1:3">
      <c r="A1189">
        <v>4338</v>
      </c>
      <c r="B1189"/>
      <c r="C1189">
        <v>10</v>
      </c>
    </row>
    <row r="1190" spans="1:3">
      <c r="A1190">
        <v>4341</v>
      </c>
      <c r="B1190"/>
      <c r="C1190">
        <v>10</v>
      </c>
    </row>
    <row r="1191" spans="1:3">
      <c r="A1191">
        <v>4342</v>
      </c>
      <c r="B1191"/>
      <c r="C1191">
        <v>10</v>
      </c>
    </row>
    <row r="1192" spans="1:3">
      <c r="A1192">
        <v>4343</v>
      </c>
      <c r="B1192"/>
      <c r="C1192">
        <v>10</v>
      </c>
    </row>
    <row r="1193" spans="1:3">
      <c r="A1193">
        <v>4351</v>
      </c>
      <c r="B1193"/>
      <c r="C1193">
        <v>10</v>
      </c>
    </row>
    <row r="1194" spans="1:3">
      <c r="A1194">
        <v>4352</v>
      </c>
      <c r="B1194"/>
      <c r="C1194">
        <v>10</v>
      </c>
    </row>
    <row r="1195" spans="1:3">
      <c r="A1195">
        <v>4353</v>
      </c>
      <c r="B1195"/>
      <c r="C1195">
        <v>10</v>
      </c>
    </row>
    <row r="1196" spans="1:3">
      <c r="A1196">
        <v>4354</v>
      </c>
      <c r="B1196"/>
      <c r="C1196">
        <v>10</v>
      </c>
    </row>
    <row r="1197" spans="1:3">
      <c r="A1197">
        <v>4355</v>
      </c>
      <c r="B1197"/>
      <c r="C1197">
        <v>10</v>
      </c>
    </row>
    <row r="1198" spans="1:3">
      <c r="A1198">
        <v>4356</v>
      </c>
      <c r="B1198"/>
      <c r="C1198">
        <v>10</v>
      </c>
    </row>
    <row r="1199" spans="1:3">
      <c r="A1199">
        <v>4361</v>
      </c>
      <c r="B1199"/>
      <c r="C1199">
        <v>10</v>
      </c>
    </row>
    <row r="1200" spans="1:3">
      <c r="A1200">
        <v>4362</v>
      </c>
      <c r="B1200"/>
      <c r="C1200">
        <v>10</v>
      </c>
    </row>
    <row r="1201" spans="1:3">
      <c r="A1201">
        <v>4363</v>
      </c>
      <c r="B1201"/>
      <c r="C1201">
        <v>10</v>
      </c>
    </row>
    <row r="1202" spans="1:3">
      <c r="A1202">
        <v>4371</v>
      </c>
      <c r="B1202"/>
      <c r="C1202">
        <v>10</v>
      </c>
    </row>
    <row r="1203" spans="1:3">
      <c r="A1203">
        <v>4372</v>
      </c>
      <c r="B1203"/>
      <c r="C1203">
        <v>10</v>
      </c>
    </row>
    <row r="1204" spans="1:3">
      <c r="A1204">
        <v>4373</v>
      </c>
      <c r="B1204"/>
      <c r="C1204">
        <v>10</v>
      </c>
    </row>
    <row r="1205" spans="1:3">
      <c r="A1205">
        <v>4374</v>
      </c>
      <c r="B1205"/>
      <c r="C1205">
        <v>10</v>
      </c>
    </row>
    <row r="1206" spans="1:3">
      <c r="A1206">
        <v>4375</v>
      </c>
      <c r="B1206"/>
      <c r="C1206">
        <v>10</v>
      </c>
    </row>
    <row r="1207" spans="1:3">
      <c r="A1207">
        <v>4376</v>
      </c>
      <c r="B1207"/>
      <c r="C1207">
        <v>10</v>
      </c>
    </row>
    <row r="1208" spans="1:3">
      <c r="A1208">
        <v>4400</v>
      </c>
      <c r="B1208"/>
      <c r="C1208">
        <v>7</v>
      </c>
    </row>
    <row r="1209" spans="1:3">
      <c r="A1209">
        <v>4401</v>
      </c>
      <c r="B1209"/>
      <c r="C1209">
        <v>7</v>
      </c>
    </row>
    <row r="1210" spans="1:3">
      <c r="A1210">
        <v>4405</v>
      </c>
      <c r="B1210"/>
      <c r="C1210">
        <v>7</v>
      </c>
    </row>
    <row r="1211" spans="1:3">
      <c r="A1211">
        <v>4413</v>
      </c>
      <c r="B1211"/>
      <c r="C1211">
        <v>7</v>
      </c>
    </row>
    <row r="1212" spans="1:3">
      <c r="A1212">
        <v>4431</v>
      </c>
      <c r="B1212"/>
      <c r="C1212">
        <v>7</v>
      </c>
    </row>
    <row r="1213" spans="1:3">
      <c r="A1213">
        <v>4432</v>
      </c>
      <c r="B1213"/>
      <c r="C1213">
        <v>7</v>
      </c>
    </row>
    <row r="1214" spans="1:3">
      <c r="A1214">
        <v>4433</v>
      </c>
      <c r="B1214"/>
      <c r="C1214">
        <v>7</v>
      </c>
    </row>
    <row r="1215" spans="1:3">
      <c r="A1215">
        <v>4434</v>
      </c>
      <c r="B1215"/>
      <c r="C1215">
        <v>10</v>
      </c>
    </row>
    <row r="1216" spans="1:3">
      <c r="A1216">
        <v>4440</v>
      </c>
      <c r="B1216"/>
      <c r="C1216">
        <v>10</v>
      </c>
    </row>
    <row r="1217" spans="1:3">
      <c r="A1217">
        <v>4441</v>
      </c>
      <c r="B1217"/>
      <c r="C1217">
        <v>10</v>
      </c>
    </row>
    <row r="1218" spans="1:3">
      <c r="A1218">
        <v>4445</v>
      </c>
      <c r="B1218"/>
      <c r="C1218">
        <v>10</v>
      </c>
    </row>
    <row r="1219" spans="1:3">
      <c r="A1219">
        <v>4446</v>
      </c>
      <c r="B1219"/>
      <c r="C1219">
        <v>10</v>
      </c>
    </row>
    <row r="1220" spans="1:3">
      <c r="A1220">
        <v>4447</v>
      </c>
      <c r="B1220"/>
      <c r="C1220">
        <v>10</v>
      </c>
    </row>
    <row r="1221" spans="1:3">
      <c r="A1221">
        <v>4450</v>
      </c>
      <c r="B1221"/>
      <c r="C1221">
        <v>10</v>
      </c>
    </row>
    <row r="1222" spans="1:3">
      <c r="A1222">
        <v>4455</v>
      </c>
      <c r="B1222"/>
      <c r="C1222">
        <v>10</v>
      </c>
    </row>
    <row r="1223" spans="1:3">
      <c r="A1223">
        <v>4456</v>
      </c>
      <c r="B1223"/>
      <c r="C1223">
        <v>10</v>
      </c>
    </row>
    <row r="1224" spans="1:3">
      <c r="A1224">
        <v>4461</v>
      </c>
      <c r="B1224"/>
      <c r="C1224">
        <v>10</v>
      </c>
    </row>
    <row r="1225" spans="1:3">
      <c r="A1225">
        <v>4463</v>
      </c>
      <c r="B1225"/>
      <c r="C1225">
        <v>10</v>
      </c>
    </row>
    <row r="1226" spans="1:3">
      <c r="A1226">
        <v>4464</v>
      </c>
      <c r="B1226"/>
      <c r="C1226">
        <v>10</v>
      </c>
    </row>
    <row r="1227" spans="1:3">
      <c r="A1227">
        <v>4465</v>
      </c>
      <c r="B1227"/>
      <c r="C1227">
        <v>10</v>
      </c>
    </row>
    <row r="1228" spans="1:3">
      <c r="A1228">
        <v>4466</v>
      </c>
      <c r="B1228"/>
      <c r="C1228">
        <v>10</v>
      </c>
    </row>
    <row r="1229" spans="1:3">
      <c r="A1229">
        <v>4467</v>
      </c>
      <c r="B1229"/>
      <c r="C1229">
        <v>10</v>
      </c>
    </row>
    <row r="1230" spans="1:3">
      <c r="A1230">
        <v>4468</v>
      </c>
      <c r="B1230"/>
      <c r="C1230">
        <v>10</v>
      </c>
    </row>
    <row r="1231" spans="1:3">
      <c r="A1231">
        <v>4471</v>
      </c>
      <c r="B1231"/>
      <c r="C1231">
        <v>10</v>
      </c>
    </row>
    <row r="1232" spans="1:3">
      <c r="A1232">
        <v>4472</v>
      </c>
      <c r="B1232"/>
      <c r="C1232">
        <v>10</v>
      </c>
    </row>
    <row r="1233" spans="1:3">
      <c r="A1233">
        <v>4474</v>
      </c>
      <c r="B1233"/>
      <c r="C1233">
        <v>10</v>
      </c>
    </row>
    <row r="1234" spans="1:3">
      <c r="A1234">
        <v>4475</v>
      </c>
      <c r="B1234"/>
      <c r="C1234">
        <v>10</v>
      </c>
    </row>
    <row r="1235" spans="1:3">
      <c r="A1235">
        <v>4481</v>
      </c>
      <c r="B1235"/>
      <c r="C1235">
        <v>7</v>
      </c>
    </row>
    <row r="1236" spans="1:3">
      <c r="A1236">
        <v>4482</v>
      </c>
      <c r="B1236"/>
      <c r="C1236">
        <v>10</v>
      </c>
    </row>
    <row r="1237" spans="1:3">
      <c r="A1237">
        <v>4483</v>
      </c>
      <c r="B1237"/>
      <c r="C1237">
        <v>10</v>
      </c>
    </row>
    <row r="1238" spans="1:3">
      <c r="A1238">
        <v>4484</v>
      </c>
      <c r="B1238"/>
      <c r="C1238">
        <v>10</v>
      </c>
    </row>
    <row r="1239" spans="1:3">
      <c r="A1239">
        <v>4485</v>
      </c>
      <c r="B1239"/>
      <c r="C1239">
        <v>10</v>
      </c>
    </row>
    <row r="1240" spans="1:3">
      <c r="A1240">
        <v>4486</v>
      </c>
      <c r="B1240"/>
      <c r="C1240">
        <v>10</v>
      </c>
    </row>
    <row r="1241" spans="1:3">
      <c r="A1241">
        <v>4487</v>
      </c>
      <c r="B1241"/>
      <c r="C1241">
        <v>10</v>
      </c>
    </row>
    <row r="1242" spans="1:3">
      <c r="A1242">
        <v>4488</v>
      </c>
      <c r="B1242"/>
      <c r="C1242">
        <v>10</v>
      </c>
    </row>
    <row r="1243" spans="1:3">
      <c r="A1243">
        <v>4491</v>
      </c>
      <c r="B1243"/>
      <c r="C1243">
        <v>10</v>
      </c>
    </row>
    <row r="1244" spans="1:3">
      <c r="A1244">
        <v>4492</v>
      </c>
      <c r="B1244"/>
      <c r="C1244">
        <v>10</v>
      </c>
    </row>
    <row r="1245" spans="1:3">
      <c r="A1245">
        <v>4493</v>
      </c>
      <c r="B1245"/>
      <c r="C1245">
        <v>10</v>
      </c>
    </row>
    <row r="1246" spans="1:3">
      <c r="A1246">
        <v>4494</v>
      </c>
      <c r="B1246"/>
      <c r="C1246">
        <v>10</v>
      </c>
    </row>
    <row r="1247" spans="1:3">
      <c r="A1247">
        <v>4495</v>
      </c>
      <c r="B1247"/>
      <c r="C1247">
        <v>10</v>
      </c>
    </row>
    <row r="1248" spans="1:3">
      <c r="A1248">
        <v>4496</v>
      </c>
      <c r="B1248"/>
      <c r="C1248">
        <v>10</v>
      </c>
    </row>
    <row r="1249" spans="1:3">
      <c r="A1249">
        <v>4501</v>
      </c>
      <c r="B1249"/>
      <c r="C1249">
        <v>10</v>
      </c>
    </row>
    <row r="1250" spans="1:3">
      <c r="A1250">
        <v>4502</v>
      </c>
      <c r="B1250"/>
      <c r="C1250">
        <v>10</v>
      </c>
    </row>
    <row r="1251" spans="1:3">
      <c r="A1251">
        <v>4503</v>
      </c>
      <c r="B1251"/>
      <c r="C1251">
        <v>10</v>
      </c>
    </row>
    <row r="1252" spans="1:3">
      <c r="A1252">
        <v>4511</v>
      </c>
      <c r="B1252"/>
      <c r="C1252">
        <v>10</v>
      </c>
    </row>
    <row r="1253" spans="1:3">
      <c r="A1253">
        <v>4515</v>
      </c>
      <c r="B1253"/>
      <c r="C1253">
        <v>10</v>
      </c>
    </row>
    <row r="1254" spans="1:3">
      <c r="A1254">
        <v>4516</v>
      </c>
      <c r="B1254"/>
      <c r="C1254">
        <v>10</v>
      </c>
    </row>
    <row r="1255" spans="1:3">
      <c r="A1255">
        <v>4517</v>
      </c>
      <c r="B1255"/>
      <c r="C1255">
        <v>10</v>
      </c>
    </row>
    <row r="1256" spans="1:3">
      <c r="A1256">
        <v>4521</v>
      </c>
      <c r="B1256"/>
      <c r="C1256">
        <v>10</v>
      </c>
    </row>
    <row r="1257" spans="1:3">
      <c r="A1257">
        <v>4522</v>
      </c>
      <c r="B1257"/>
      <c r="C1257">
        <v>10</v>
      </c>
    </row>
    <row r="1258" spans="1:3">
      <c r="A1258">
        <v>4523</v>
      </c>
      <c r="B1258"/>
      <c r="C1258">
        <v>10</v>
      </c>
    </row>
    <row r="1259" spans="1:3">
      <c r="A1259">
        <v>4524</v>
      </c>
      <c r="B1259"/>
      <c r="C1259">
        <v>10</v>
      </c>
    </row>
    <row r="1260" spans="1:3">
      <c r="A1260">
        <v>4525</v>
      </c>
      <c r="B1260"/>
      <c r="C1260">
        <v>10</v>
      </c>
    </row>
    <row r="1261" spans="1:3">
      <c r="A1261">
        <v>4531</v>
      </c>
      <c r="B1261"/>
      <c r="C1261">
        <v>9</v>
      </c>
    </row>
    <row r="1262" spans="1:3">
      <c r="A1262">
        <v>4532</v>
      </c>
      <c r="B1262"/>
      <c r="C1262">
        <v>10</v>
      </c>
    </row>
    <row r="1263" spans="1:3">
      <c r="A1263">
        <v>4533</v>
      </c>
      <c r="B1263"/>
      <c r="C1263">
        <v>10</v>
      </c>
    </row>
    <row r="1264" spans="1:3">
      <c r="A1264">
        <v>4534</v>
      </c>
      <c r="B1264"/>
      <c r="C1264">
        <v>10</v>
      </c>
    </row>
    <row r="1265" spans="1:3">
      <c r="A1265">
        <v>4535</v>
      </c>
      <c r="B1265"/>
      <c r="C1265">
        <v>10</v>
      </c>
    </row>
    <row r="1266" spans="1:3">
      <c r="A1266">
        <v>4536</v>
      </c>
      <c r="B1266"/>
      <c r="C1266">
        <v>10</v>
      </c>
    </row>
    <row r="1267" spans="1:3">
      <c r="A1267">
        <v>4537</v>
      </c>
      <c r="B1267"/>
      <c r="C1267">
        <v>10</v>
      </c>
    </row>
    <row r="1268" spans="1:3">
      <c r="A1268">
        <v>4541</v>
      </c>
      <c r="B1268"/>
      <c r="C1268">
        <v>10</v>
      </c>
    </row>
    <row r="1269" spans="1:3">
      <c r="A1269">
        <v>4542</v>
      </c>
      <c r="B1269"/>
      <c r="C1269">
        <v>10</v>
      </c>
    </row>
    <row r="1270" spans="1:3">
      <c r="A1270">
        <v>4543</v>
      </c>
      <c r="B1270"/>
      <c r="C1270">
        <v>10</v>
      </c>
    </row>
    <row r="1271" spans="1:3">
      <c r="A1271">
        <v>4544</v>
      </c>
      <c r="B1271"/>
      <c r="C1271">
        <v>10</v>
      </c>
    </row>
    <row r="1272" spans="1:3">
      <c r="A1272">
        <v>4545</v>
      </c>
      <c r="B1272"/>
      <c r="C1272">
        <v>10</v>
      </c>
    </row>
    <row r="1273" spans="1:3">
      <c r="A1273">
        <v>4546</v>
      </c>
      <c r="B1273"/>
      <c r="C1273">
        <v>10</v>
      </c>
    </row>
    <row r="1274" spans="1:3">
      <c r="A1274">
        <v>4547</v>
      </c>
      <c r="B1274"/>
      <c r="C1274">
        <v>10</v>
      </c>
    </row>
    <row r="1275" spans="1:3">
      <c r="A1275">
        <v>4551</v>
      </c>
      <c r="B1275"/>
      <c r="C1275">
        <v>7</v>
      </c>
    </row>
    <row r="1276" spans="1:3">
      <c r="A1276">
        <v>4552</v>
      </c>
      <c r="B1276"/>
      <c r="C1276">
        <v>10</v>
      </c>
    </row>
    <row r="1277" spans="1:3">
      <c r="A1277">
        <v>4553</v>
      </c>
      <c r="B1277"/>
      <c r="C1277">
        <v>10</v>
      </c>
    </row>
    <row r="1278" spans="1:3">
      <c r="A1278">
        <v>4554</v>
      </c>
      <c r="B1278"/>
      <c r="C1278">
        <v>10</v>
      </c>
    </row>
    <row r="1279" spans="1:3">
      <c r="A1279">
        <v>4555</v>
      </c>
      <c r="B1279"/>
      <c r="C1279">
        <v>10</v>
      </c>
    </row>
    <row r="1280" spans="1:3">
      <c r="A1280">
        <v>4556</v>
      </c>
      <c r="B1280"/>
      <c r="C1280">
        <v>10</v>
      </c>
    </row>
    <row r="1281" spans="1:3">
      <c r="A1281">
        <v>4557</v>
      </c>
      <c r="B1281"/>
      <c r="C1281">
        <v>10</v>
      </c>
    </row>
    <row r="1282" spans="1:3">
      <c r="A1282">
        <v>4558</v>
      </c>
      <c r="B1282"/>
      <c r="C1282">
        <v>10</v>
      </c>
    </row>
    <row r="1283" spans="1:3">
      <c r="A1283">
        <v>4561</v>
      </c>
      <c r="B1283"/>
      <c r="C1283">
        <v>10</v>
      </c>
    </row>
    <row r="1284" spans="1:3">
      <c r="A1284">
        <v>4562</v>
      </c>
      <c r="B1284"/>
      <c r="C1284">
        <v>10</v>
      </c>
    </row>
    <row r="1285" spans="1:3">
      <c r="A1285">
        <v>4563</v>
      </c>
      <c r="B1285"/>
      <c r="C1285">
        <v>10</v>
      </c>
    </row>
    <row r="1286" spans="1:3">
      <c r="A1286">
        <v>4564</v>
      </c>
      <c r="B1286"/>
      <c r="C1286">
        <v>10</v>
      </c>
    </row>
    <row r="1287" spans="1:3">
      <c r="A1287">
        <v>4565</v>
      </c>
      <c r="B1287"/>
      <c r="C1287">
        <v>10</v>
      </c>
    </row>
    <row r="1288" spans="1:3">
      <c r="A1288">
        <v>4566</v>
      </c>
      <c r="B1288"/>
      <c r="C1288">
        <v>10</v>
      </c>
    </row>
    <row r="1289" spans="1:3">
      <c r="A1289">
        <v>4567</v>
      </c>
      <c r="B1289"/>
      <c r="C1289">
        <v>10</v>
      </c>
    </row>
    <row r="1290" spans="1:3">
      <c r="A1290">
        <v>4600</v>
      </c>
      <c r="B1290"/>
      <c r="C1290">
        <v>9</v>
      </c>
    </row>
    <row r="1291" spans="1:3">
      <c r="A1291">
        <v>4611</v>
      </c>
      <c r="B1291"/>
      <c r="C1291">
        <v>10</v>
      </c>
    </row>
    <row r="1292" spans="1:3">
      <c r="A1292">
        <v>4621</v>
      </c>
      <c r="B1292"/>
      <c r="C1292">
        <v>10</v>
      </c>
    </row>
    <row r="1293" spans="1:3">
      <c r="A1293">
        <v>4622</v>
      </c>
      <c r="B1293"/>
      <c r="C1293">
        <v>10</v>
      </c>
    </row>
    <row r="1294" spans="1:3">
      <c r="A1294">
        <v>4623</v>
      </c>
      <c r="B1294"/>
      <c r="C1294">
        <v>10</v>
      </c>
    </row>
    <row r="1295" spans="1:3">
      <c r="A1295">
        <v>4624</v>
      </c>
      <c r="B1295"/>
      <c r="C1295">
        <v>10</v>
      </c>
    </row>
    <row r="1296" spans="1:3">
      <c r="A1296">
        <v>4625</v>
      </c>
      <c r="B1296"/>
      <c r="C1296">
        <v>9</v>
      </c>
    </row>
    <row r="1297" spans="1:3">
      <c r="A1297">
        <v>4627</v>
      </c>
      <c r="B1297"/>
      <c r="C1297">
        <v>10</v>
      </c>
    </row>
    <row r="1298" spans="1:3">
      <c r="A1298">
        <v>4628</v>
      </c>
      <c r="B1298"/>
      <c r="C1298">
        <v>10</v>
      </c>
    </row>
    <row r="1299" spans="1:3">
      <c r="A1299">
        <v>4631</v>
      </c>
      <c r="B1299"/>
      <c r="C1299">
        <v>10</v>
      </c>
    </row>
    <row r="1300" spans="1:3">
      <c r="A1300">
        <v>4632</v>
      </c>
      <c r="B1300"/>
      <c r="C1300">
        <v>10</v>
      </c>
    </row>
    <row r="1301" spans="1:3">
      <c r="A1301">
        <v>4633</v>
      </c>
      <c r="B1301"/>
      <c r="C1301">
        <v>10</v>
      </c>
    </row>
    <row r="1302" spans="1:3">
      <c r="A1302">
        <v>4634</v>
      </c>
      <c r="B1302"/>
      <c r="C1302">
        <v>10</v>
      </c>
    </row>
    <row r="1303" spans="1:3">
      <c r="A1303">
        <v>4635</v>
      </c>
      <c r="B1303"/>
      <c r="C1303">
        <v>10</v>
      </c>
    </row>
    <row r="1304" spans="1:3">
      <c r="A1304">
        <v>4641</v>
      </c>
      <c r="B1304"/>
      <c r="C1304">
        <v>10</v>
      </c>
    </row>
    <row r="1305" spans="1:3">
      <c r="A1305">
        <v>4642</v>
      </c>
      <c r="B1305"/>
      <c r="C1305">
        <v>10</v>
      </c>
    </row>
    <row r="1306" spans="1:3">
      <c r="A1306">
        <v>4643</v>
      </c>
      <c r="B1306"/>
      <c r="C1306">
        <v>10</v>
      </c>
    </row>
    <row r="1307" spans="1:3">
      <c r="A1307">
        <v>4644</v>
      </c>
      <c r="B1307"/>
      <c r="C1307">
        <v>10</v>
      </c>
    </row>
    <row r="1308" spans="1:3">
      <c r="A1308">
        <v>4645</v>
      </c>
      <c r="B1308"/>
      <c r="C1308">
        <v>10</v>
      </c>
    </row>
    <row r="1309" spans="1:3">
      <c r="A1309">
        <v>4646</v>
      </c>
      <c r="B1309"/>
      <c r="C1309">
        <v>10</v>
      </c>
    </row>
    <row r="1310" spans="1:3">
      <c r="A1310">
        <v>4700</v>
      </c>
      <c r="B1310"/>
      <c r="C1310">
        <v>9</v>
      </c>
    </row>
    <row r="1311" spans="1:3">
      <c r="A1311">
        <v>4721</v>
      </c>
      <c r="B1311"/>
      <c r="C1311">
        <v>10</v>
      </c>
    </row>
    <row r="1312" spans="1:3">
      <c r="A1312">
        <v>4722</v>
      </c>
      <c r="B1312"/>
      <c r="C1312">
        <v>10</v>
      </c>
    </row>
    <row r="1313" spans="1:3">
      <c r="A1313">
        <v>4731</v>
      </c>
      <c r="B1313"/>
      <c r="C1313">
        <v>10</v>
      </c>
    </row>
    <row r="1314" spans="1:3">
      <c r="A1314">
        <v>4732</v>
      </c>
      <c r="B1314"/>
      <c r="C1314">
        <v>10</v>
      </c>
    </row>
    <row r="1315" spans="1:3">
      <c r="A1315">
        <v>4733</v>
      </c>
      <c r="B1315"/>
      <c r="C1315">
        <v>10</v>
      </c>
    </row>
    <row r="1316" spans="1:3">
      <c r="A1316">
        <v>4734</v>
      </c>
      <c r="B1316"/>
      <c r="C1316">
        <v>10</v>
      </c>
    </row>
    <row r="1317" spans="1:3">
      <c r="A1317">
        <v>4735</v>
      </c>
      <c r="B1317"/>
      <c r="C1317">
        <v>10</v>
      </c>
    </row>
    <row r="1318" spans="1:3">
      <c r="A1318">
        <v>4737</v>
      </c>
      <c r="B1318"/>
      <c r="C1318">
        <v>10</v>
      </c>
    </row>
    <row r="1319" spans="1:3">
      <c r="A1319">
        <v>4741</v>
      </c>
      <c r="B1319"/>
      <c r="C1319">
        <v>10</v>
      </c>
    </row>
    <row r="1320" spans="1:3">
      <c r="A1320">
        <v>4742</v>
      </c>
      <c r="B1320"/>
      <c r="C1320">
        <v>10</v>
      </c>
    </row>
    <row r="1321" spans="1:3">
      <c r="A1321">
        <v>4743</v>
      </c>
      <c r="B1321"/>
      <c r="C1321">
        <v>10</v>
      </c>
    </row>
    <row r="1322" spans="1:3">
      <c r="A1322">
        <v>4745</v>
      </c>
      <c r="B1322"/>
      <c r="C1322">
        <v>10</v>
      </c>
    </row>
    <row r="1323" spans="1:3">
      <c r="A1323">
        <v>4746</v>
      </c>
      <c r="B1323"/>
      <c r="C1323">
        <v>10</v>
      </c>
    </row>
    <row r="1324" spans="1:3">
      <c r="A1324">
        <v>4751</v>
      </c>
      <c r="B1324"/>
      <c r="C1324">
        <v>10</v>
      </c>
    </row>
    <row r="1325" spans="1:3">
      <c r="A1325">
        <v>4752</v>
      </c>
      <c r="B1325"/>
      <c r="C1325">
        <v>10</v>
      </c>
    </row>
    <row r="1326" spans="1:3">
      <c r="A1326">
        <v>4754</v>
      </c>
      <c r="B1326"/>
      <c r="C1326">
        <v>10</v>
      </c>
    </row>
    <row r="1327" spans="1:3">
      <c r="A1327">
        <v>4755</v>
      </c>
      <c r="B1327"/>
      <c r="C1327">
        <v>10</v>
      </c>
    </row>
    <row r="1328" spans="1:3">
      <c r="A1328">
        <v>4756</v>
      </c>
      <c r="B1328"/>
      <c r="C1328">
        <v>10</v>
      </c>
    </row>
    <row r="1329" spans="1:3">
      <c r="A1329">
        <v>4761</v>
      </c>
      <c r="B1329"/>
      <c r="C1329">
        <v>10</v>
      </c>
    </row>
    <row r="1330" spans="1:3">
      <c r="A1330">
        <v>4762</v>
      </c>
      <c r="B1330"/>
      <c r="C1330">
        <v>10</v>
      </c>
    </row>
    <row r="1331" spans="1:3">
      <c r="A1331">
        <v>4763</v>
      </c>
      <c r="B1331"/>
      <c r="C1331">
        <v>10</v>
      </c>
    </row>
    <row r="1332" spans="1:3">
      <c r="A1332">
        <v>4764</v>
      </c>
      <c r="B1332"/>
      <c r="C1332">
        <v>10</v>
      </c>
    </row>
    <row r="1333" spans="1:3">
      <c r="A1333">
        <v>4765</v>
      </c>
      <c r="B1333"/>
      <c r="C1333">
        <v>10</v>
      </c>
    </row>
    <row r="1334" spans="1:3">
      <c r="A1334">
        <v>4766</v>
      </c>
      <c r="B1334"/>
      <c r="C1334">
        <v>10</v>
      </c>
    </row>
    <row r="1335" spans="1:3">
      <c r="A1335">
        <v>4767</v>
      </c>
      <c r="B1335"/>
      <c r="C1335">
        <v>10</v>
      </c>
    </row>
    <row r="1336" spans="1:3">
      <c r="A1336">
        <v>4800</v>
      </c>
      <c r="B1336"/>
      <c r="C1336">
        <v>10</v>
      </c>
    </row>
    <row r="1337" spans="1:3">
      <c r="A1337">
        <v>4803</v>
      </c>
      <c r="B1337"/>
      <c r="C1337">
        <v>10</v>
      </c>
    </row>
    <row r="1338" spans="1:3">
      <c r="A1338">
        <v>4804</v>
      </c>
      <c r="B1338"/>
      <c r="C1338">
        <v>10</v>
      </c>
    </row>
    <row r="1339" spans="1:3">
      <c r="A1339">
        <v>4811</v>
      </c>
      <c r="B1339"/>
      <c r="C1339">
        <v>10</v>
      </c>
    </row>
    <row r="1340" spans="1:3">
      <c r="A1340">
        <v>4812</v>
      </c>
      <c r="B1340"/>
      <c r="C1340">
        <v>10</v>
      </c>
    </row>
    <row r="1341" spans="1:3">
      <c r="A1341">
        <v>4813</v>
      </c>
      <c r="B1341"/>
      <c r="C1341">
        <v>10</v>
      </c>
    </row>
    <row r="1342" spans="1:3">
      <c r="A1342">
        <v>4821</v>
      </c>
      <c r="B1342"/>
      <c r="C1342">
        <v>10</v>
      </c>
    </row>
    <row r="1343" spans="1:3">
      <c r="A1343">
        <v>4822</v>
      </c>
      <c r="B1343"/>
      <c r="C1343">
        <v>10</v>
      </c>
    </row>
    <row r="1344" spans="1:3">
      <c r="A1344">
        <v>4823</v>
      </c>
      <c r="B1344"/>
      <c r="C1344">
        <v>10</v>
      </c>
    </row>
    <row r="1345" spans="1:3">
      <c r="A1345">
        <v>4824</v>
      </c>
      <c r="B1345"/>
      <c r="C1345">
        <v>10</v>
      </c>
    </row>
    <row r="1346" spans="1:3">
      <c r="A1346">
        <v>4826</v>
      </c>
      <c r="B1346"/>
      <c r="C1346">
        <v>10</v>
      </c>
    </row>
    <row r="1347" spans="1:3">
      <c r="A1347">
        <v>4831</v>
      </c>
      <c r="B1347"/>
      <c r="C1347">
        <v>10</v>
      </c>
    </row>
    <row r="1348" spans="1:3">
      <c r="A1348">
        <v>4832</v>
      </c>
      <c r="B1348"/>
      <c r="C1348">
        <v>10</v>
      </c>
    </row>
    <row r="1349" spans="1:3">
      <c r="A1349">
        <v>4833</v>
      </c>
      <c r="B1349"/>
      <c r="C1349">
        <v>10</v>
      </c>
    </row>
    <row r="1350" spans="1:3">
      <c r="A1350">
        <v>4834</v>
      </c>
      <c r="B1350"/>
      <c r="C1350">
        <v>10</v>
      </c>
    </row>
    <row r="1351" spans="1:3">
      <c r="A1351">
        <v>4835</v>
      </c>
      <c r="B1351"/>
      <c r="C1351">
        <v>10</v>
      </c>
    </row>
    <row r="1352" spans="1:3">
      <c r="A1352">
        <v>4836</v>
      </c>
      <c r="B1352"/>
      <c r="C1352">
        <v>10</v>
      </c>
    </row>
    <row r="1353" spans="1:3">
      <c r="A1353">
        <v>4841</v>
      </c>
      <c r="B1353"/>
      <c r="C1353">
        <v>10</v>
      </c>
    </row>
    <row r="1354" spans="1:3">
      <c r="A1354">
        <v>4842</v>
      </c>
      <c r="B1354"/>
      <c r="C1354">
        <v>10</v>
      </c>
    </row>
    <row r="1355" spans="1:3">
      <c r="A1355">
        <v>4843</v>
      </c>
      <c r="B1355"/>
      <c r="C1355">
        <v>10</v>
      </c>
    </row>
    <row r="1356" spans="1:3">
      <c r="A1356">
        <v>4844</v>
      </c>
      <c r="B1356"/>
      <c r="C1356">
        <v>10</v>
      </c>
    </row>
    <row r="1357" spans="1:3">
      <c r="A1357">
        <v>4845</v>
      </c>
      <c r="B1357"/>
      <c r="C1357">
        <v>10</v>
      </c>
    </row>
    <row r="1358" spans="1:3">
      <c r="A1358">
        <v>4900</v>
      </c>
      <c r="B1358"/>
      <c r="C1358">
        <v>9</v>
      </c>
    </row>
    <row r="1359" spans="1:3">
      <c r="A1359">
        <v>4911</v>
      </c>
      <c r="B1359"/>
      <c r="C1359">
        <v>10</v>
      </c>
    </row>
    <row r="1360" spans="1:3">
      <c r="A1360">
        <v>4912</v>
      </c>
      <c r="B1360"/>
      <c r="C1360">
        <v>10</v>
      </c>
    </row>
    <row r="1361" spans="1:3">
      <c r="A1361">
        <v>4913</v>
      </c>
      <c r="B1361"/>
      <c r="C1361">
        <v>10</v>
      </c>
    </row>
    <row r="1362" spans="1:3">
      <c r="A1362">
        <v>4914</v>
      </c>
      <c r="B1362"/>
      <c r="C1362">
        <v>10</v>
      </c>
    </row>
    <row r="1363" spans="1:3">
      <c r="A1363">
        <v>4921</v>
      </c>
      <c r="B1363"/>
      <c r="C1363">
        <v>10</v>
      </c>
    </row>
    <row r="1364" spans="1:3">
      <c r="A1364">
        <v>4922</v>
      </c>
      <c r="B1364"/>
      <c r="C1364">
        <v>10</v>
      </c>
    </row>
    <row r="1365" spans="1:3">
      <c r="A1365">
        <v>4931</v>
      </c>
      <c r="B1365"/>
      <c r="C1365">
        <v>10</v>
      </c>
    </row>
    <row r="1366" spans="1:3">
      <c r="A1366">
        <v>4932</v>
      </c>
      <c r="B1366"/>
      <c r="C1366">
        <v>10</v>
      </c>
    </row>
    <row r="1367" spans="1:3">
      <c r="A1367">
        <v>4933</v>
      </c>
      <c r="B1367"/>
      <c r="C1367">
        <v>10</v>
      </c>
    </row>
    <row r="1368" spans="1:3">
      <c r="A1368">
        <v>4934</v>
      </c>
      <c r="B1368"/>
      <c r="C1368">
        <v>10</v>
      </c>
    </row>
    <row r="1369" spans="1:3">
      <c r="A1369">
        <v>4935</v>
      </c>
      <c r="B1369"/>
      <c r="C1369">
        <v>10</v>
      </c>
    </row>
    <row r="1370" spans="1:3">
      <c r="A1370">
        <v>4936</v>
      </c>
      <c r="B1370"/>
      <c r="C1370">
        <v>10</v>
      </c>
    </row>
    <row r="1371" spans="1:3">
      <c r="A1371">
        <v>4937</v>
      </c>
      <c r="B1371"/>
      <c r="C1371">
        <v>10</v>
      </c>
    </row>
    <row r="1372" spans="1:3">
      <c r="A1372">
        <v>4941</v>
      </c>
      <c r="B1372"/>
      <c r="C1372">
        <v>10</v>
      </c>
    </row>
    <row r="1373" spans="1:3">
      <c r="A1373">
        <v>4942</v>
      </c>
      <c r="B1373"/>
      <c r="C1373">
        <v>10</v>
      </c>
    </row>
    <row r="1374" spans="1:3">
      <c r="A1374">
        <v>4943</v>
      </c>
      <c r="B1374"/>
      <c r="C1374">
        <v>10</v>
      </c>
    </row>
    <row r="1375" spans="1:3">
      <c r="A1375">
        <v>4944</v>
      </c>
      <c r="B1375"/>
      <c r="C1375">
        <v>10</v>
      </c>
    </row>
    <row r="1376" spans="1:3">
      <c r="A1376">
        <v>4945</v>
      </c>
      <c r="B1376"/>
      <c r="C1376">
        <v>10</v>
      </c>
    </row>
    <row r="1377" spans="1:3">
      <c r="A1377">
        <v>4946</v>
      </c>
      <c r="B1377"/>
      <c r="C1377">
        <v>10</v>
      </c>
    </row>
    <row r="1378" spans="1:3">
      <c r="A1378">
        <v>4947</v>
      </c>
      <c r="B1378"/>
      <c r="C1378">
        <v>10</v>
      </c>
    </row>
    <row r="1379" spans="1:3">
      <c r="A1379">
        <v>4948</v>
      </c>
      <c r="B1379"/>
      <c r="C1379">
        <v>10</v>
      </c>
    </row>
    <row r="1380" spans="1:3">
      <c r="A1380">
        <v>4951</v>
      </c>
      <c r="B1380"/>
      <c r="C1380">
        <v>10</v>
      </c>
    </row>
    <row r="1381" spans="1:3">
      <c r="A1381">
        <v>4952</v>
      </c>
      <c r="B1381"/>
      <c r="C1381">
        <v>10</v>
      </c>
    </row>
    <row r="1382" spans="1:3">
      <c r="A1382">
        <v>4953</v>
      </c>
      <c r="B1382"/>
      <c r="C1382">
        <v>10</v>
      </c>
    </row>
    <row r="1383" spans="1:3">
      <c r="A1383">
        <v>4954</v>
      </c>
      <c r="B1383"/>
      <c r="C1383">
        <v>10</v>
      </c>
    </row>
    <row r="1384" spans="1:3">
      <c r="A1384">
        <v>4955</v>
      </c>
      <c r="B1384"/>
      <c r="C1384">
        <v>10</v>
      </c>
    </row>
    <row r="1385" spans="1:3">
      <c r="A1385">
        <v>4956</v>
      </c>
      <c r="B1385"/>
      <c r="C1385">
        <v>10</v>
      </c>
    </row>
    <row r="1386" spans="1:3">
      <c r="A1386">
        <v>4961</v>
      </c>
      <c r="B1386"/>
      <c r="C1386">
        <v>10</v>
      </c>
    </row>
    <row r="1387" spans="1:3">
      <c r="A1387">
        <v>4962</v>
      </c>
      <c r="B1387"/>
      <c r="C1387">
        <v>10</v>
      </c>
    </row>
    <row r="1388" spans="1:3">
      <c r="A1388">
        <v>4963</v>
      </c>
      <c r="B1388"/>
      <c r="C1388">
        <v>10</v>
      </c>
    </row>
    <row r="1389" spans="1:3">
      <c r="A1389">
        <v>4964</v>
      </c>
      <c r="B1389"/>
      <c r="C1389">
        <v>10</v>
      </c>
    </row>
    <row r="1390" spans="1:3">
      <c r="A1390">
        <v>4965</v>
      </c>
      <c r="B1390"/>
      <c r="C1390">
        <v>10</v>
      </c>
    </row>
    <row r="1391" spans="1:3">
      <c r="A1391">
        <v>4966</v>
      </c>
      <c r="B1391"/>
      <c r="C1391">
        <v>10</v>
      </c>
    </row>
    <row r="1392" spans="1:3">
      <c r="A1392">
        <v>4967</v>
      </c>
      <c r="B1392"/>
      <c r="C1392">
        <v>10</v>
      </c>
    </row>
    <row r="1393" spans="1:3">
      <c r="A1393">
        <v>4968</v>
      </c>
      <c r="B1393"/>
      <c r="C1393">
        <v>10</v>
      </c>
    </row>
    <row r="1394" spans="1:3">
      <c r="A1394">
        <v>4969</v>
      </c>
      <c r="B1394"/>
      <c r="C1394">
        <v>10</v>
      </c>
    </row>
    <row r="1395" spans="1:3">
      <c r="A1395">
        <v>4971</v>
      </c>
      <c r="B1395"/>
      <c r="C1395">
        <v>10</v>
      </c>
    </row>
    <row r="1396" spans="1:3">
      <c r="A1396">
        <v>4972</v>
      </c>
      <c r="B1396"/>
      <c r="C1396">
        <v>10</v>
      </c>
    </row>
    <row r="1397" spans="1:3">
      <c r="A1397">
        <v>4973</v>
      </c>
      <c r="B1397"/>
      <c r="C1397">
        <v>10</v>
      </c>
    </row>
    <row r="1398" spans="1:3">
      <c r="A1398">
        <v>4974</v>
      </c>
      <c r="B1398"/>
      <c r="C1398">
        <v>10</v>
      </c>
    </row>
    <row r="1399" spans="1:3">
      <c r="A1399">
        <v>4975</v>
      </c>
      <c r="B1399"/>
      <c r="C1399">
        <v>10</v>
      </c>
    </row>
    <row r="1400" spans="1:3">
      <c r="A1400">
        <v>4976</v>
      </c>
      <c r="B1400"/>
      <c r="C1400">
        <v>10</v>
      </c>
    </row>
    <row r="1401" spans="1:3">
      <c r="A1401">
        <v>4977</v>
      </c>
      <c r="B1401"/>
      <c r="C1401">
        <v>10</v>
      </c>
    </row>
    <row r="1402" spans="1:3">
      <c r="A1402">
        <v>5000</v>
      </c>
      <c r="B1402"/>
      <c r="C1402">
        <v>9</v>
      </c>
    </row>
    <row r="1403" spans="1:3">
      <c r="A1403">
        <v>5008</v>
      </c>
      <c r="B1403"/>
      <c r="C1403">
        <v>9</v>
      </c>
    </row>
    <row r="1404" spans="1:3">
      <c r="A1404">
        <v>5051</v>
      </c>
      <c r="B1404"/>
      <c r="C1404">
        <v>11</v>
      </c>
    </row>
    <row r="1405" spans="1:3">
      <c r="A1405">
        <v>5052</v>
      </c>
      <c r="B1405"/>
      <c r="C1405">
        <v>12</v>
      </c>
    </row>
    <row r="1406" spans="1:3">
      <c r="A1406">
        <v>5053</v>
      </c>
      <c r="B1406"/>
      <c r="C1406">
        <v>12</v>
      </c>
    </row>
    <row r="1407" spans="1:3">
      <c r="A1407">
        <v>5054</v>
      </c>
      <c r="B1407"/>
      <c r="C1407">
        <v>12</v>
      </c>
    </row>
    <row r="1408" spans="1:3">
      <c r="A1408">
        <v>5055</v>
      </c>
      <c r="B1408"/>
      <c r="C1408">
        <v>12</v>
      </c>
    </row>
    <row r="1409" spans="1:3">
      <c r="A1409">
        <v>5061</v>
      </c>
      <c r="B1409"/>
      <c r="C1409">
        <v>12</v>
      </c>
    </row>
    <row r="1410" spans="1:3">
      <c r="A1410">
        <v>5062</v>
      </c>
      <c r="B1410"/>
      <c r="C1410">
        <v>12</v>
      </c>
    </row>
    <row r="1411" spans="1:3">
      <c r="A1411">
        <v>5063</v>
      </c>
      <c r="B1411"/>
      <c r="C1411">
        <v>12</v>
      </c>
    </row>
    <row r="1412" spans="1:3">
      <c r="A1412">
        <v>5064</v>
      </c>
      <c r="B1412"/>
      <c r="C1412">
        <v>12</v>
      </c>
    </row>
    <row r="1413" spans="1:3">
      <c r="A1413">
        <v>5065</v>
      </c>
      <c r="B1413"/>
      <c r="C1413">
        <v>12</v>
      </c>
    </row>
    <row r="1414" spans="1:3">
      <c r="A1414">
        <v>5071</v>
      </c>
      <c r="B1414"/>
      <c r="C1414">
        <v>12</v>
      </c>
    </row>
    <row r="1415" spans="1:3">
      <c r="A1415">
        <v>5081</v>
      </c>
      <c r="B1415"/>
      <c r="C1415">
        <v>12</v>
      </c>
    </row>
    <row r="1416" spans="1:3">
      <c r="A1416">
        <v>5082</v>
      </c>
      <c r="B1416"/>
      <c r="C1416">
        <v>12</v>
      </c>
    </row>
    <row r="1417" spans="1:3">
      <c r="A1417">
        <v>5083</v>
      </c>
      <c r="B1417"/>
      <c r="C1417">
        <v>12</v>
      </c>
    </row>
    <row r="1418" spans="1:3">
      <c r="A1418">
        <v>5084</v>
      </c>
      <c r="B1418"/>
      <c r="C1418">
        <v>12</v>
      </c>
    </row>
    <row r="1419" spans="1:3">
      <c r="A1419">
        <v>5085</v>
      </c>
      <c r="B1419"/>
      <c r="C1419">
        <v>11</v>
      </c>
    </row>
    <row r="1420" spans="1:3">
      <c r="A1420">
        <v>5091</v>
      </c>
      <c r="B1420"/>
      <c r="C1420">
        <v>12</v>
      </c>
    </row>
    <row r="1421" spans="1:3">
      <c r="A1421">
        <v>5092</v>
      </c>
      <c r="B1421"/>
      <c r="C1421">
        <v>12</v>
      </c>
    </row>
    <row r="1422" spans="1:3">
      <c r="A1422">
        <v>5093</v>
      </c>
      <c r="B1422"/>
      <c r="C1422">
        <v>12</v>
      </c>
    </row>
    <row r="1423" spans="1:3">
      <c r="A1423">
        <v>5094</v>
      </c>
      <c r="B1423"/>
      <c r="C1423">
        <v>12</v>
      </c>
    </row>
    <row r="1424" spans="1:3">
      <c r="A1424">
        <v>5095</v>
      </c>
      <c r="B1424"/>
      <c r="C1424">
        <v>12</v>
      </c>
    </row>
    <row r="1425" spans="1:3">
      <c r="A1425">
        <v>5100</v>
      </c>
      <c r="B1425"/>
      <c r="C1425">
        <v>11</v>
      </c>
    </row>
    <row r="1426" spans="1:3">
      <c r="A1426">
        <v>5111</v>
      </c>
      <c r="B1426"/>
      <c r="C1426">
        <v>12</v>
      </c>
    </row>
    <row r="1427" spans="1:3">
      <c r="A1427">
        <v>5121</v>
      </c>
      <c r="B1427"/>
      <c r="C1427">
        <v>12</v>
      </c>
    </row>
    <row r="1428" spans="1:3">
      <c r="A1428">
        <v>5122</v>
      </c>
      <c r="B1428"/>
      <c r="C1428">
        <v>12</v>
      </c>
    </row>
    <row r="1429" spans="1:3">
      <c r="A1429">
        <v>5123</v>
      </c>
      <c r="B1429"/>
      <c r="C1429">
        <v>11</v>
      </c>
    </row>
    <row r="1430" spans="1:3">
      <c r="A1430">
        <v>5124</v>
      </c>
      <c r="B1430"/>
      <c r="C1430">
        <v>12</v>
      </c>
    </row>
    <row r="1431" spans="1:3">
      <c r="A1431">
        <v>5125</v>
      </c>
      <c r="B1431"/>
      <c r="C1431">
        <v>12</v>
      </c>
    </row>
    <row r="1432" spans="1:3">
      <c r="A1432">
        <v>5126</v>
      </c>
      <c r="B1432"/>
      <c r="C1432">
        <v>12</v>
      </c>
    </row>
    <row r="1433" spans="1:3">
      <c r="A1433">
        <v>5130</v>
      </c>
      <c r="B1433"/>
      <c r="C1433">
        <v>11</v>
      </c>
    </row>
    <row r="1434" spans="1:3">
      <c r="A1434">
        <v>5135</v>
      </c>
      <c r="B1434"/>
      <c r="C1434">
        <v>12</v>
      </c>
    </row>
    <row r="1435" spans="1:3">
      <c r="A1435">
        <v>5136</v>
      </c>
      <c r="B1435"/>
      <c r="C1435">
        <v>12</v>
      </c>
    </row>
    <row r="1436" spans="1:3">
      <c r="A1436">
        <v>5137</v>
      </c>
      <c r="B1436"/>
      <c r="C1436">
        <v>12</v>
      </c>
    </row>
    <row r="1437" spans="1:3">
      <c r="A1437">
        <v>5141</v>
      </c>
      <c r="B1437"/>
      <c r="C1437">
        <v>12</v>
      </c>
    </row>
    <row r="1438" spans="1:3">
      <c r="A1438">
        <v>5142</v>
      </c>
      <c r="B1438"/>
      <c r="C1438">
        <v>12</v>
      </c>
    </row>
    <row r="1439" spans="1:3">
      <c r="A1439">
        <v>5143</v>
      </c>
      <c r="B1439"/>
      <c r="C1439">
        <v>12</v>
      </c>
    </row>
    <row r="1440" spans="1:3">
      <c r="A1440">
        <v>5144</v>
      </c>
      <c r="B1440"/>
      <c r="C1440">
        <v>12</v>
      </c>
    </row>
    <row r="1441" spans="1:3">
      <c r="A1441">
        <v>5152</v>
      </c>
      <c r="B1441"/>
      <c r="C1441">
        <v>11</v>
      </c>
    </row>
    <row r="1442" spans="1:3">
      <c r="A1442">
        <v>5200</v>
      </c>
      <c r="B1442"/>
      <c r="C1442">
        <v>11</v>
      </c>
    </row>
    <row r="1443" spans="1:3">
      <c r="A1443">
        <v>5211</v>
      </c>
      <c r="B1443"/>
      <c r="C1443">
        <v>12</v>
      </c>
    </row>
    <row r="1444" spans="1:3">
      <c r="A1444">
        <v>5212</v>
      </c>
      <c r="B1444"/>
      <c r="C1444">
        <v>11</v>
      </c>
    </row>
    <row r="1445" spans="1:3">
      <c r="A1445">
        <v>5213</v>
      </c>
      <c r="B1445"/>
      <c r="C1445">
        <v>12</v>
      </c>
    </row>
    <row r="1446" spans="1:3">
      <c r="A1446">
        <v>5222</v>
      </c>
      <c r="B1446"/>
      <c r="C1446">
        <v>12</v>
      </c>
    </row>
    <row r="1447" spans="1:3">
      <c r="A1447">
        <v>5231</v>
      </c>
      <c r="B1447"/>
      <c r="C1447">
        <v>12</v>
      </c>
    </row>
    <row r="1448" spans="1:3">
      <c r="A1448">
        <v>5232</v>
      </c>
      <c r="B1448"/>
      <c r="C1448">
        <v>12</v>
      </c>
    </row>
    <row r="1449" spans="1:3">
      <c r="A1449">
        <v>5233</v>
      </c>
      <c r="B1449"/>
      <c r="C1449">
        <v>12</v>
      </c>
    </row>
    <row r="1450" spans="1:3">
      <c r="A1450">
        <v>5234</v>
      </c>
      <c r="B1450"/>
      <c r="C1450">
        <v>12</v>
      </c>
    </row>
    <row r="1451" spans="1:3">
      <c r="A1451">
        <v>5235</v>
      </c>
      <c r="B1451"/>
      <c r="C1451">
        <v>12</v>
      </c>
    </row>
    <row r="1452" spans="1:3">
      <c r="A1452">
        <v>5241</v>
      </c>
      <c r="B1452"/>
      <c r="C1452">
        <v>12</v>
      </c>
    </row>
    <row r="1453" spans="1:3">
      <c r="A1453">
        <v>5243</v>
      </c>
      <c r="B1453"/>
      <c r="C1453">
        <v>12</v>
      </c>
    </row>
    <row r="1454" spans="1:3">
      <c r="A1454">
        <v>5244</v>
      </c>
      <c r="B1454"/>
      <c r="C1454">
        <v>12</v>
      </c>
    </row>
    <row r="1455" spans="1:3">
      <c r="A1455">
        <v>5300</v>
      </c>
      <c r="B1455"/>
      <c r="C1455">
        <v>12</v>
      </c>
    </row>
    <row r="1456" spans="1:3">
      <c r="A1456">
        <v>5309</v>
      </c>
      <c r="B1456"/>
      <c r="C1456">
        <v>12</v>
      </c>
    </row>
    <row r="1457" spans="1:3">
      <c r="A1457">
        <v>5310</v>
      </c>
      <c r="B1457"/>
      <c r="C1457">
        <v>12</v>
      </c>
    </row>
    <row r="1458" spans="1:3">
      <c r="A1458">
        <v>5321</v>
      </c>
      <c r="B1458"/>
      <c r="C1458">
        <v>12</v>
      </c>
    </row>
    <row r="1459" spans="1:3">
      <c r="A1459">
        <v>5322</v>
      </c>
      <c r="B1459"/>
      <c r="C1459">
        <v>12</v>
      </c>
    </row>
    <row r="1460" spans="1:3">
      <c r="A1460">
        <v>5323</v>
      </c>
      <c r="B1460"/>
      <c r="C1460">
        <v>12</v>
      </c>
    </row>
    <row r="1461" spans="1:3">
      <c r="A1461">
        <v>5324</v>
      </c>
      <c r="B1461"/>
      <c r="C1461">
        <v>12</v>
      </c>
    </row>
    <row r="1462" spans="1:3">
      <c r="A1462">
        <v>5331</v>
      </c>
      <c r="B1462"/>
      <c r="C1462">
        <v>12</v>
      </c>
    </row>
    <row r="1463" spans="1:3">
      <c r="A1463">
        <v>5340</v>
      </c>
      <c r="B1463"/>
      <c r="C1463">
        <v>12</v>
      </c>
    </row>
    <row r="1464" spans="1:3">
      <c r="A1464">
        <v>5349</v>
      </c>
      <c r="B1464"/>
      <c r="C1464">
        <v>12</v>
      </c>
    </row>
    <row r="1465" spans="1:3">
      <c r="A1465">
        <v>5350</v>
      </c>
      <c r="B1465"/>
      <c r="C1465">
        <v>12</v>
      </c>
    </row>
    <row r="1466" spans="1:3">
      <c r="A1466">
        <v>5358</v>
      </c>
      <c r="B1466"/>
      <c r="C1466">
        <v>12</v>
      </c>
    </row>
    <row r="1467" spans="1:3">
      <c r="A1467">
        <v>5359</v>
      </c>
      <c r="B1467"/>
      <c r="C1467">
        <v>12</v>
      </c>
    </row>
    <row r="1468" spans="1:3">
      <c r="A1468">
        <v>5361</v>
      </c>
      <c r="B1468"/>
      <c r="C1468">
        <v>12</v>
      </c>
    </row>
    <row r="1469" spans="1:3">
      <c r="A1469">
        <v>5362</v>
      </c>
      <c r="B1469"/>
      <c r="C1469">
        <v>12</v>
      </c>
    </row>
    <row r="1470" spans="1:3">
      <c r="A1470">
        <v>5363</v>
      </c>
      <c r="B1470"/>
      <c r="C1470">
        <v>12</v>
      </c>
    </row>
    <row r="1471" spans="1:3">
      <c r="A1471">
        <v>5400</v>
      </c>
      <c r="B1471"/>
      <c r="C1471">
        <v>12</v>
      </c>
    </row>
    <row r="1472" spans="1:3">
      <c r="A1472">
        <v>5411</v>
      </c>
      <c r="B1472"/>
      <c r="C1472">
        <v>12</v>
      </c>
    </row>
    <row r="1473" spans="1:3">
      <c r="A1473">
        <v>5412</v>
      </c>
      <c r="B1473"/>
      <c r="C1473">
        <v>12</v>
      </c>
    </row>
    <row r="1474" spans="1:3">
      <c r="A1474">
        <v>5420</v>
      </c>
      <c r="B1474"/>
      <c r="C1474">
        <v>12</v>
      </c>
    </row>
    <row r="1475" spans="1:3">
      <c r="A1475">
        <v>5430</v>
      </c>
      <c r="B1475"/>
      <c r="C1475">
        <v>11</v>
      </c>
    </row>
    <row r="1476" spans="1:3">
      <c r="A1476">
        <v>5435</v>
      </c>
      <c r="B1476"/>
      <c r="C1476">
        <v>11</v>
      </c>
    </row>
    <row r="1477" spans="1:3">
      <c r="A1477">
        <v>5440</v>
      </c>
      <c r="B1477"/>
      <c r="C1477">
        <v>12</v>
      </c>
    </row>
    <row r="1478" spans="1:3">
      <c r="A1478">
        <v>5449</v>
      </c>
      <c r="B1478"/>
      <c r="C1478">
        <v>12</v>
      </c>
    </row>
    <row r="1479" spans="1:3">
      <c r="A1479">
        <v>5451</v>
      </c>
      <c r="B1479"/>
      <c r="C1479">
        <v>12</v>
      </c>
    </row>
    <row r="1480" spans="1:3">
      <c r="A1480">
        <v>5452</v>
      </c>
      <c r="B1480"/>
      <c r="C1480">
        <v>12</v>
      </c>
    </row>
    <row r="1481" spans="1:3">
      <c r="A1481">
        <v>5453</v>
      </c>
      <c r="B1481"/>
      <c r="C1481">
        <v>12</v>
      </c>
    </row>
    <row r="1482" spans="1:3">
      <c r="A1482">
        <v>5461</v>
      </c>
      <c r="B1482"/>
      <c r="C1482">
        <v>11</v>
      </c>
    </row>
    <row r="1483" spans="1:3">
      <c r="A1483">
        <v>5462</v>
      </c>
      <c r="B1483"/>
      <c r="C1483">
        <v>12</v>
      </c>
    </row>
    <row r="1484" spans="1:3">
      <c r="A1484">
        <v>5463</v>
      </c>
      <c r="B1484"/>
      <c r="C1484">
        <v>12</v>
      </c>
    </row>
    <row r="1485" spans="1:3">
      <c r="A1485">
        <v>5464</v>
      </c>
      <c r="B1485"/>
      <c r="C1485">
        <v>12</v>
      </c>
    </row>
    <row r="1486" spans="1:3">
      <c r="A1486">
        <v>5465</v>
      </c>
      <c r="B1486"/>
      <c r="C1486">
        <v>12</v>
      </c>
    </row>
    <row r="1487" spans="1:3">
      <c r="A1487">
        <v>5471</v>
      </c>
      <c r="B1487"/>
      <c r="C1487">
        <v>12</v>
      </c>
    </row>
    <row r="1488" spans="1:3">
      <c r="A1488">
        <v>5474</v>
      </c>
      <c r="B1488"/>
      <c r="C1488">
        <v>12</v>
      </c>
    </row>
    <row r="1489" spans="1:3">
      <c r="A1489">
        <v>5475</v>
      </c>
      <c r="B1489"/>
      <c r="C1489">
        <v>12</v>
      </c>
    </row>
    <row r="1490" spans="1:3">
      <c r="A1490">
        <v>5476</v>
      </c>
      <c r="B1490"/>
      <c r="C1490">
        <v>12</v>
      </c>
    </row>
    <row r="1491" spans="1:3">
      <c r="A1491">
        <v>5500</v>
      </c>
      <c r="B1491"/>
      <c r="C1491">
        <v>12</v>
      </c>
    </row>
    <row r="1492" spans="1:3">
      <c r="A1492">
        <v>5502</v>
      </c>
      <c r="B1492"/>
      <c r="C1492">
        <v>12</v>
      </c>
    </row>
    <row r="1493" spans="1:3">
      <c r="A1493">
        <v>5510</v>
      </c>
      <c r="B1493"/>
      <c r="C1493">
        <v>12</v>
      </c>
    </row>
    <row r="1494" spans="1:3">
      <c r="A1494">
        <v>5515</v>
      </c>
      <c r="B1494"/>
      <c r="C1494">
        <v>12</v>
      </c>
    </row>
    <row r="1495" spans="1:3">
      <c r="A1495">
        <v>5516</v>
      </c>
      <c r="B1495"/>
      <c r="C1495">
        <v>12</v>
      </c>
    </row>
    <row r="1496" spans="1:3">
      <c r="A1496">
        <v>5520</v>
      </c>
      <c r="B1496"/>
      <c r="C1496">
        <v>12</v>
      </c>
    </row>
    <row r="1497" spans="1:3">
      <c r="A1497">
        <v>5525</v>
      </c>
      <c r="B1497"/>
      <c r="C1497">
        <v>12</v>
      </c>
    </row>
    <row r="1498" spans="1:3">
      <c r="A1498">
        <v>5526</v>
      </c>
      <c r="B1498"/>
      <c r="C1498">
        <v>12</v>
      </c>
    </row>
    <row r="1499" spans="1:3">
      <c r="A1499">
        <v>5527</v>
      </c>
      <c r="B1499"/>
      <c r="C1499">
        <v>12</v>
      </c>
    </row>
    <row r="1500" spans="1:3">
      <c r="A1500">
        <v>5530</v>
      </c>
      <c r="B1500"/>
      <c r="C1500">
        <v>12</v>
      </c>
    </row>
    <row r="1501" spans="1:3">
      <c r="A1501">
        <v>5534</v>
      </c>
      <c r="B1501"/>
      <c r="C1501">
        <v>12</v>
      </c>
    </row>
    <row r="1502" spans="1:3">
      <c r="A1502">
        <v>5536</v>
      </c>
      <c r="B1502"/>
      <c r="C1502">
        <v>12</v>
      </c>
    </row>
    <row r="1503" spans="1:3">
      <c r="A1503">
        <v>5537</v>
      </c>
      <c r="B1503"/>
      <c r="C1503">
        <v>12</v>
      </c>
    </row>
    <row r="1504" spans="1:3">
      <c r="A1504">
        <v>5538</v>
      </c>
      <c r="B1504"/>
      <c r="C1504">
        <v>12</v>
      </c>
    </row>
    <row r="1505" spans="1:3">
      <c r="A1505">
        <v>5539</v>
      </c>
      <c r="B1505"/>
      <c r="C1505">
        <v>12</v>
      </c>
    </row>
    <row r="1506" spans="1:3">
      <c r="A1506">
        <v>5540</v>
      </c>
      <c r="B1506"/>
      <c r="C1506">
        <v>11</v>
      </c>
    </row>
    <row r="1507" spans="1:3">
      <c r="A1507">
        <v>5551</v>
      </c>
      <c r="B1507"/>
      <c r="C1507">
        <v>12</v>
      </c>
    </row>
    <row r="1508" spans="1:3">
      <c r="A1508">
        <v>5552</v>
      </c>
      <c r="B1508"/>
      <c r="C1508">
        <v>12</v>
      </c>
    </row>
    <row r="1509" spans="1:3">
      <c r="A1509">
        <v>5553</v>
      </c>
      <c r="B1509"/>
      <c r="C1509">
        <v>12</v>
      </c>
    </row>
    <row r="1510" spans="1:3">
      <c r="A1510">
        <v>5555</v>
      </c>
      <c r="B1510"/>
      <c r="C1510">
        <v>12</v>
      </c>
    </row>
    <row r="1511" spans="1:3">
      <c r="A1511">
        <v>5556</v>
      </c>
      <c r="B1511"/>
      <c r="C1511">
        <v>12</v>
      </c>
    </row>
    <row r="1512" spans="1:3">
      <c r="A1512">
        <v>5561</v>
      </c>
      <c r="B1512"/>
      <c r="C1512">
        <v>12</v>
      </c>
    </row>
    <row r="1513" spans="1:3">
      <c r="A1513">
        <v>5600</v>
      </c>
      <c r="B1513"/>
      <c r="C1513">
        <v>7</v>
      </c>
    </row>
    <row r="1514" spans="1:3">
      <c r="A1514">
        <v>5609</v>
      </c>
      <c r="B1514"/>
      <c r="C1514">
        <v>12</v>
      </c>
    </row>
    <row r="1515" spans="1:3">
      <c r="A1515">
        <v>5621</v>
      </c>
      <c r="B1515"/>
      <c r="C1515">
        <v>12</v>
      </c>
    </row>
    <row r="1516" spans="1:3">
      <c r="A1516">
        <v>5622</v>
      </c>
      <c r="B1516"/>
      <c r="C1516">
        <v>12</v>
      </c>
    </row>
    <row r="1517" spans="1:3">
      <c r="A1517">
        <v>5623</v>
      </c>
      <c r="B1517"/>
      <c r="C1517">
        <v>7</v>
      </c>
    </row>
    <row r="1518" spans="1:3">
      <c r="A1518">
        <v>5624</v>
      </c>
      <c r="B1518"/>
      <c r="C1518">
        <v>12</v>
      </c>
    </row>
    <row r="1519" spans="1:3">
      <c r="A1519">
        <v>5630</v>
      </c>
      <c r="B1519"/>
      <c r="C1519">
        <v>11</v>
      </c>
    </row>
    <row r="1520" spans="1:3">
      <c r="A1520">
        <v>5641</v>
      </c>
      <c r="B1520"/>
      <c r="C1520">
        <v>12</v>
      </c>
    </row>
    <row r="1521" spans="1:3">
      <c r="A1521">
        <v>5643</v>
      </c>
      <c r="B1521"/>
      <c r="C1521">
        <v>12</v>
      </c>
    </row>
    <row r="1522" spans="1:3">
      <c r="A1522">
        <v>5650</v>
      </c>
      <c r="B1522"/>
      <c r="C1522">
        <v>12</v>
      </c>
    </row>
    <row r="1523" spans="1:3">
      <c r="A1523">
        <v>5661</v>
      </c>
      <c r="B1523"/>
      <c r="C1523">
        <v>11</v>
      </c>
    </row>
    <row r="1524" spans="1:3">
      <c r="A1524">
        <v>5662</v>
      </c>
      <c r="B1524"/>
      <c r="C1524">
        <v>12</v>
      </c>
    </row>
    <row r="1525" spans="1:3">
      <c r="A1525">
        <v>5663</v>
      </c>
      <c r="B1525"/>
      <c r="C1525">
        <v>12</v>
      </c>
    </row>
    <row r="1526" spans="1:3">
      <c r="A1526">
        <v>5664</v>
      </c>
      <c r="B1526"/>
      <c r="C1526">
        <v>12</v>
      </c>
    </row>
    <row r="1527" spans="1:3">
      <c r="A1527">
        <v>5665</v>
      </c>
      <c r="B1527"/>
      <c r="C1527">
        <v>12</v>
      </c>
    </row>
    <row r="1528" spans="1:3">
      <c r="A1528">
        <v>5666</v>
      </c>
      <c r="B1528"/>
      <c r="C1528">
        <v>12</v>
      </c>
    </row>
    <row r="1529" spans="1:3">
      <c r="A1529">
        <v>5667</v>
      </c>
      <c r="B1529"/>
      <c r="C1529">
        <v>12</v>
      </c>
    </row>
    <row r="1530" spans="1:3">
      <c r="A1530">
        <v>5668</v>
      </c>
      <c r="B1530"/>
      <c r="C1530">
        <v>12</v>
      </c>
    </row>
    <row r="1531" spans="1:3">
      <c r="A1531">
        <v>5671</v>
      </c>
      <c r="B1531"/>
      <c r="C1531">
        <v>7</v>
      </c>
    </row>
    <row r="1532" spans="1:3">
      <c r="A1532">
        <v>5672</v>
      </c>
      <c r="B1532"/>
      <c r="C1532">
        <v>12</v>
      </c>
    </row>
    <row r="1533" spans="1:3">
      <c r="A1533">
        <v>5673</v>
      </c>
      <c r="B1533"/>
      <c r="C1533">
        <v>12</v>
      </c>
    </row>
    <row r="1534" spans="1:3">
      <c r="A1534">
        <v>5674</v>
      </c>
      <c r="B1534"/>
      <c r="C1534">
        <v>12</v>
      </c>
    </row>
    <row r="1535" spans="1:3">
      <c r="A1535">
        <v>5675</v>
      </c>
      <c r="B1535"/>
      <c r="C1535">
        <v>12</v>
      </c>
    </row>
    <row r="1536" spans="1:3">
      <c r="A1536">
        <v>5700</v>
      </c>
      <c r="B1536"/>
      <c r="C1536">
        <v>11</v>
      </c>
    </row>
    <row r="1537" spans="1:3">
      <c r="A1537">
        <v>5703</v>
      </c>
      <c r="B1537"/>
      <c r="C1537">
        <v>11</v>
      </c>
    </row>
    <row r="1538" spans="1:3">
      <c r="A1538">
        <v>5711</v>
      </c>
      <c r="B1538"/>
      <c r="C1538">
        <v>11</v>
      </c>
    </row>
    <row r="1539" spans="1:3">
      <c r="A1539">
        <v>5712</v>
      </c>
      <c r="B1539"/>
      <c r="C1539">
        <v>12</v>
      </c>
    </row>
    <row r="1540" spans="1:3">
      <c r="A1540">
        <v>5720</v>
      </c>
      <c r="B1540"/>
      <c r="C1540">
        <v>12</v>
      </c>
    </row>
    <row r="1541" spans="1:3">
      <c r="A1541">
        <v>5722</v>
      </c>
      <c r="B1541"/>
      <c r="C1541">
        <v>12</v>
      </c>
    </row>
    <row r="1542" spans="1:3">
      <c r="A1542">
        <v>5725</v>
      </c>
      <c r="B1542"/>
      <c r="C1542">
        <v>12</v>
      </c>
    </row>
    <row r="1543" spans="1:3">
      <c r="A1543">
        <v>5726</v>
      </c>
      <c r="B1543"/>
      <c r="C1543">
        <v>12</v>
      </c>
    </row>
    <row r="1544" spans="1:3">
      <c r="A1544">
        <v>5727</v>
      </c>
      <c r="B1544"/>
      <c r="C1544">
        <v>12</v>
      </c>
    </row>
    <row r="1545" spans="1:3">
      <c r="A1545">
        <v>5731</v>
      </c>
      <c r="B1545"/>
      <c r="C1545">
        <v>12</v>
      </c>
    </row>
    <row r="1546" spans="1:3">
      <c r="A1546">
        <v>5732</v>
      </c>
      <c r="B1546"/>
      <c r="C1546">
        <v>12</v>
      </c>
    </row>
    <row r="1547" spans="1:3">
      <c r="A1547">
        <v>5734</v>
      </c>
      <c r="B1547"/>
      <c r="C1547">
        <v>12</v>
      </c>
    </row>
    <row r="1548" spans="1:3">
      <c r="A1548">
        <v>5741</v>
      </c>
      <c r="B1548"/>
      <c r="C1548">
        <v>12</v>
      </c>
    </row>
    <row r="1549" spans="1:3">
      <c r="A1549">
        <v>5742</v>
      </c>
      <c r="B1549"/>
      <c r="C1549">
        <v>12</v>
      </c>
    </row>
    <row r="1550" spans="1:3">
      <c r="A1550">
        <v>5743</v>
      </c>
      <c r="B1550"/>
      <c r="C1550">
        <v>12</v>
      </c>
    </row>
    <row r="1551" spans="1:3">
      <c r="A1551">
        <v>5744</v>
      </c>
      <c r="B1551"/>
      <c r="C1551">
        <v>12</v>
      </c>
    </row>
    <row r="1552" spans="1:3">
      <c r="A1552">
        <v>5745</v>
      </c>
      <c r="B1552"/>
      <c r="C1552">
        <v>12</v>
      </c>
    </row>
    <row r="1553" spans="1:3">
      <c r="A1553">
        <v>5746</v>
      </c>
      <c r="B1553"/>
      <c r="C1553">
        <v>12</v>
      </c>
    </row>
    <row r="1554" spans="1:3">
      <c r="A1554">
        <v>5747</v>
      </c>
      <c r="B1554"/>
      <c r="C1554">
        <v>12</v>
      </c>
    </row>
    <row r="1555" spans="1:3">
      <c r="A1555">
        <v>5751</v>
      </c>
      <c r="B1555"/>
      <c r="C1555">
        <v>12</v>
      </c>
    </row>
    <row r="1556" spans="1:3">
      <c r="A1556">
        <v>5752</v>
      </c>
      <c r="B1556"/>
      <c r="C1556">
        <v>12</v>
      </c>
    </row>
    <row r="1557" spans="1:3">
      <c r="A1557">
        <v>5800</v>
      </c>
      <c r="B1557"/>
      <c r="C1557">
        <v>11</v>
      </c>
    </row>
    <row r="1558" spans="1:3">
      <c r="A1558">
        <v>5811</v>
      </c>
      <c r="B1558"/>
      <c r="C1558">
        <v>12</v>
      </c>
    </row>
    <row r="1559" spans="1:3">
      <c r="A1559">
        <v>5820</v>
      </c>
      <c r="B1559"/>
      <c r="C1559">
        <v>12</v>
      </c>
    </row>
    <row r="1560" spans="1:3">
      <c r="A1560">
        <v>5830</v>
      </c>
      <c r="B1560"/>
      <c r="C1560">
        <v>12</v>
      </c>
    </row>
    <row r="1561" spans="1:3">
      <c r="A1561">
        <v>5836</v>
      </c>
      <c r="B1561"/>
      <c r="C1561">
        <v>12</v>
      </c>
    </row>
    <row r="1562" spans="1:3">
      <c r="A1562">
        <v>5837</v>
      </c>
      <c r="B1562"/>
      <c r="C1562">
        <v>12</v>
      </c>
    </row>
    <row r="1563" spans="1:3">
      <c r="A1563">
        <v>5838</v>
      </c>
      <c r="B1563"/>
      <c r="C1563">
        <v>12</v>
      </c>
    </row>
    <row r="1564" spans="1:3">
      <c r="A1564">
        <v>5900</v>
      </c>
      <c r="B1564"/>
      <c r="C1564">
        <v>11</v>
      </c>
    </row>
    <row r="1565" spans="1:3">
      <c r="A1565">
        <v>5903</v>
      </c>
      <c r="B1565"/>
      <c r="C1565">
        <v>11</v>
      </c>
    </row>
    <row r="1566" spans="1:3">
      <c r="A1566">
        <v>5904</v>
      </c>
      <c r="B1566"/>
      <c r="C1566">
        <v>11</v>
      </c>
    </row>
    <row r="1567" spans="1:3">
      <c r="A1567">
        <v>5905</v>
      </c>
      <c r="B1567"/>
      <c r="C1567">
        <v>11</v>
      </c>
    </row>
    <row r="1568" spans="1:3">
      <c r="A1568">
        <v>5919</v>
      </c>
      <c r="B1568"/>
      <c r="C1568">
        <v>12</v>
      </c>
    </row>
    <row r="1569" spans="1:3">
      <c r="A1569">
        <v>5920</v>
      </c>
      <c r="B1569"/>
      <c r="C1569">
        <v>12</v>
      </c>
    </row>
    <row r="1570" spans="1:3">
      <c r="A1570">
        <v>5925</v>
      </c>
      <c r="B1570"/>
      <c r="C1570">
        <v>12</v>
      </c>
    </row>
    <row r="1571" spans="1:3">
      <c r="A1571">
        <v>5931</v>
      </c>
      <c r="B1571"/>
      <c r="C1571">
        <v>12</v>
      </c>
    </row>
    <row r="1572" spans="1:3">
      <c r="A1572">
        <v>5932</v>
      </c>
      <c r="B1572"/>
      <c r="C1572">
        <v>12</v>
      </c>
    </row>
    <row r="1573" spans="1:3">
      <c r="A1573">
        <v>5940</v>
      </c>
      <c r="B1573"/>
      <c r="C1573">
        <v>12</v>
      </c>
    </row>
    <row r="1574" spans="1:3">
      <c r="A1574">
        <v>5945</v>
      </c>
      <c r="B1574"/>
      <c r="C1574">
        <v>12</v>
      </c>
    </row>
    <row r="1575" spans="1:3">
      <c r="A1575">
        <v>5946</v>
      </c>
      <c r="B1575"/>
      <c r="C1575">
        <v>12</v>
      </c>
    </row>
    <row r="1576" spans="1:3">
      <c r="A1576">
        <v>5948</v>
      </c>
      <c r="B1576"/>
      <c r="C1576">
        <v>12</v>
      </c>
    </row>
    <row r="1577" spans="1:3">
      <c r="A1577">
        <v>6000</v>
      </c>
      <c r="B1577"/>
      <c r="C1577">
        <v>9</v>
      </c>
    </row>
    <row r="1578" spans="1:3">
      <c r="A1578">
        <v>6008</v>
      </c>
      <c r="B1578"/>
      <c r="C1578">
        <v>9</v>
      </c>
    </row>
    <row r="1579" spans="1:3">
      <c r="A1579">
        <v>6031</v>
      </c>
      <c r="B1579"/>
      <c r="C1579">
        <v>12</v>
      </c>
    </row>
    <row r="1580" spans="1:3">
      <c r="A1580">
        <v>6032</v>
      </c>
      <c r="B1580"/>
      <c r="C1580">
        <v>12</v>
      </c>
    </row>
    <row r="1581" spans="1:3">
      <c r="A1581">
        <v>6033</v>
      </c>
      <c r="B1581"/>
      <c r="C1581">
        <v>12</v>
      </c>
    </row>
    <row r="1582" spans="1:3">
      <c r="A1582">
        <v>6034</v>
      </c>
      <c r="B1582"/>
      <c r="C1582">
        <v>11</v>
      </c>
    </row>
    <row r="1583" spans="1:3">
      <c r="A1583">
        <v>6035</v>
      </c>
      <c r="B1583"/>
      <c r="C1583">
        <v>11</v>
      </c>
    </row>
    <row r="1584" spans="1:3">
      <c r="A1584">
        <v>6041</v>
      </c>
      <c r="B1584"/>
      <c r="C1584">
        <v>11</v>
      </c>
    </row>
    <row r="1585" spans="1:3">
      <c r="A1585">
        <v>6042</v>
      </c>
      <c r="B1585"/>
      <c r="C1585">
        <v>12</v>
      </c>
    </row>
    <row r="1586" spans="1:3">
      <c r="A1586">
        <v>6043</v>
      </c>
      <c r="B1586"/>
      <c r="C1586">
        <v>12</v>
      </c>
    </row>
    <row r="1587" spans="1:3">
      <c r="A1587">
        <v>6044</v>
      </c>
      <c r="B1587"/>
      <c r="C1587">
        <v>9</v>
      </c>
    </row>
    <row r="1588" spans="1:3">
      <c r="A1588">
        <v>6045</v>
      </c>
      <c r="B1588"/>
      <c r="C1588">
        <v>12</v>
      </c>
    </row>
    <row r="1589" spans="1:3">
      <c r="A1589">
        <v>6050</v>
      </c>
      <c r="B1589"/>
      <c r="C1589">
        <v>12</v>
      </c>
    </row>
    <row r="1590" spans="1:3">
      <c r="A1590">
        <v>6055</v>
      </c>
      <c r="B1590"/>
      <c r="C1590">
        <v>11</v>
      </c>
    </row>
    <row r="1591" spans="1:3">
      <c r="A1591">
        <v>6060</v>
      </c>
      <c r="B1591"/>
      <c r="C1591">
        <v>11</v>
      </c>
    </row>
    <row r="1592" spans="1:3">
      <c r="A1592">
        <v>6062</v>
      </c>
      <c r="B1592"/>
      <c r="C1592">
        <v>11</v>
      </c>
    </row>
    <row r="1593" spans="1:3">
      <c r="A1593">
        <v>6064</v>
      </c>
      <c r="B1593"/>
      <c r="C1593">
        <v>12</v>
      </c>
    </row>
    <row r="1594" spans="1:3">
      <c r="A1594">
        <v>6065</v>
      </c>
      <c r="B1594"/>
      <c r="C1594">
        <v>11</v>
      </c>
    </row>
    <row r="1595" spans="1:3">
      <c r="A1595">
        <v>6066</v>
      </c>
      <c r="B1595"/>
      <c r="C1595">
        <v>12</v>
      </c>
    </row>
    <row r="1596" spans="1:3">
      <c r="A1596">
        <v>6067</v>
      </c>
      <c r="B1596"/>
      <c r="C1596">
        <v>12</v>
      </c>
    </row>
    <row r="1597" spans="1:3">
      <c r="A1597">
        <v>6070</v>
      </c>
      <c r="B1597"/>
      <c r="C1597">
        <v>12</v>
      </c>
    </row>
    <row r="1598" spans="1:3">
      <c r="A1598">
        <v>6075</v>
      </c>
      <c r="B1598"/>
      <c r="C1598">
        <v>12</v>
      </c>
    </row>
    <row r="1599" spans="1:3">
      <c r="A1599">
        <v>6076</v>
      </c>
      <c r="B1599"/>
      <c r="C1599">
        <v>12</v>
      </c>
    </row>
    <row r="1600" spans="1:3">
      <c r="A1600">
        <v>6077</v>
      </c>
      <c r="B1600"/>
      <c r="C1600">
        <v>12</v>
      </c>
    </row>
    <row r="1601" spans="1:3">
      <c r="A1601">
        <v>6078</v>
      </c>
      <c r="B1601"/>
      <c r="C1601">
        <v>12</v>
      </c>
    </row>
    <row r="1602" spans="1:3">
      <c r="A1602">
        <v>6080</v>
      </c>
      <c r="B1602"/>
      <c r="C1602">
        <v>12</v>
      </c>
    </row>
    <row r="1603" spans="1:3">
      <c r="A1603">
        <v>6085</v>
      </c>
      <c r="B1603"/>
      <c r="C1603">
        <v>12</v>
      </c>
    </row>
    <row r="1604" spans="1:3">
      <c r="A1604">
        <v>6086</v>
      </c>
      <c r="B1604"/>
      <c r="C1604">
        <v>12</v>
      </c>
    </row>
    <row r="1605" spans="1:3">
      <c r="A1605">
        <v>6087</v>
      </c>
      <c r="B1605"/>
      <c r="C1605">
        <v>12</v>
      </c>
    </row>
    <row r="1606" spans="1:3">
      <c r="A1606">
        <v>6088</v>
      </c>
      <c r="B1606"/>
      <c r="C1606">
        <v>12</v>
      </c>
    </row>
    <row r="1607" spans="1:3">
      <c r="A1607">
        <v>6090</v>
      </c>
      <c r="B1607"/>
      <c r="C1607">
        <v>12</v>
      </c>
    </row>
    <row r="1608" spans="1:3">
      <c r="A1608">
        <v>6096</v>
      </c>
      <c r="B1608"/>
      <c r="C1608">
        <v>12</v>
      </c>
    </row>
    <row r="1609" spans="1:3">
      <c r="A1609">
        <v>6097</v>
      </c>
      <c r="B1609"/>
      <c r="C1609">
        <v>12</v>
      </c>
    </row>
    <row r="1610" spans="1:3">
      <c r="A1610">
        <v>6098</v>
      </c>
      <c r="B1610"/>
      <c r="C1610">
        <v>12</v>
      </c>
    </row>
    <row r="1611" spans="1:3">
      <c r="A1611">
        <v>6100</v>
      </c>
      <c r="B1611"/>
      <c r="C1611">
        <v>11</v>
      </c>
    </row>
    <row r="1612" spans="1:3">
      <c r="A1612">
        <v>6111</v>
      </c>
      <c r="B1612"/>
      <c r="C1612">
        <v>12</v>
      </c>
    </row>
    <row r="1613" spans="1:3">
      <c r="A1613">
        <v>6112</v>
      </c>
      <c r="B1613"/>
      <c r="C1613">
        <v>12</v>
      </c>
    </row>
    <row r="1614" spans="1:3">
      <c r="A1614">
        <v>6113</v>
      </c>
      <c r="B1614"/>
      <c r="C1614">
        <v>12</v>
      </c>
    </row>
    <row r="1615" spans="1:3">
      <c r="A1615">
        <v>6114</v>
      </c>
      <c r="B1615"/>
      <c r="C1615">
        <v>12</v>
      </c>
    </row>
    <row r="1616" spans="1:3">
      <c r="A1616">
        <v>6115</v>
      </c>
      <c r="B1616"/>
      <c r="C1616">
        <v>11</v>
      </c>
    </row>
    <row r="1617" spans="1:3">
      <c r="A1617">
        <v>6116</v>
      </c>
      <c r="B1617"/>
      <c r="C1617">
        <v>12</v>
      </c>
    </row>
    <row r="1618" spans="1:3">
      <c r="A1618">
        <v>6120</v>
      </c>
      <c r="B1618"/>
      <c r="C1618">
        <v>12</v>
      </c>
    </row>
    <row r="1619" spans="1:3">
      <c r="A1619">
        <v>6131</v>
      </c>
      <c r="B1619"/>
      <c r="C1619">
        <v>12</v>
      </c>
    </row>
    <row r="1620" spans="1:3">
      <c r="A1620">
        <v>6132</v>
      </c>
      <c r="B1620"/>
      <c r="C1620">
        <v>12</v>
      </c>
    </row>
    <row r="1621" spans="1:3">
      <c r="A1621">
        <v>6133</v>
      </c>
      <c r="B1621"/>
      <c r="C1621">
        <v>12</v>
      </c>
    </row>
    <row r="1622" spans="1:3">
      <c r="A1622">
        <v>6134</v>
      </c>
      <c r="B1622"/>
      <c r="C1622">
        <v>12</v>
      </c>
    </row>
    <row r="1623" spans="1:3">
      <c r="A1623">
        <v>6135</v>
      </c>
      <c r="B1623"/>
      <c r="C1623">
        <v>12</v>
      </c>
    </row>
    <row r="1624" spans="1:3">
      <c r="A1624">
        <v>6136</v>
      </c>
      <c r="B1624"/>
      <c r="C1624">
        <v>12</v>
      </c>
    </row>
    <row r="1625" spans="1:3">
      <c r="A1625">
        <v>6200</v>
      </c>
      <c r="B1625"/>
      <c r="C1625">
        <v>11</v>
      </c>
    </row>
    <row r="1626" spans="1:3">
      <c r="A1626">
        <v>6211</v>
      </c>
      <c r="B1626"/>
      <c r="C1626">
        <v>12</v>
      </c>
    </row>
    <row r="1627" spans="1:3">
      <c r="A1627">
        <v>6221</v>
      </c>
      <c r="B1627"/>
      <c r="C1627">
        <v>12</v>
      </c>
    </row>
    <row r="1628" spans="1:3">
      <c r="A1628">
        <v>6222</v>
      </c>
      <c r="B1628"/>
      <c r="C1628">
        <v>12</v>
      </c>
    </row>
    <row r="1629" spans="1:3">
      <c r="A1629">
        <v>6223</v>
      </c>
      <c r="B1629"/>
      <c r="C1629">
        <v>12</v>
      </c>
    </row>
    <row r="1630" spans="1:3">
      <c r="A1630">
        <v>6224</v>
      </c>
      <c r="B1630"/>
      <c r="C1630">
        <v>12</v>
      </c>
    </row>
    <row r="1631" spans="1:3">
      <c r="A1631">
        <v>6230</v>
      </c>
      <c r="B1631"/>
      <c r="C1631">
        <v>11</v>
      </c>
    </row>
    <row r="1632" spans="1:3">
      <c r="A1632">
        <v>6235</v>
      </c>
      <c r="B1632"/>
      <c r="C1632">
        <v>12</v>
      </c>
    </row>
    <row r="1633" spans="1:3">
      <c r="A1633">
        <v>6236</v>
      </c>
      <c r="B1633"/>
      <c r="C1633">
        <v>12</v>
      </c>
    </row>
    <row r="1634" spans="1:3">
      <c r="A1634">
        <v>6237</v>
      </c>
      <c r="B1634"/>
      <c r="C1634">
        <v>12</v>
      </c>
    </row>
    <row r="1635" spans="1:3">
      <c r="A1635">
        <v>6238</v>
      </c>
      <c r="B1635"/>
      <c r="C1635">
        <v>12</v>
      </c>
    </row>
    <row r="1636" spans="1:3">
      <c r="A1636">
        <v>6239</v>
      </c>
      <c r="B1636"/>
      <c r="C1636">
        <v>12</v>
      </c>
    </row>
    <row r="1637" spans="1:3">
      <c r="A1637">
        <v>6300</v>
      </c>
      <c r="B1637"/>
      <c r="C1637">
        <v>11</v>
      </c>
    </row>
    <row r="1638" spans="1:3">
      <c r="A1638">
        <v>6311</v>
      </c>
      <c r="B1638"/>
      <c r="C1638">
        <v>12</v>
      </c>
    </row>
    <row r="1639" spans="1:3">
      <c r="A1639">
        <v>6320</v>
      </c>
      <c r="B1639"/>
      <c r="C1639">
        <v>12</v>
      </c>
    </row>
    <row r="1640" spans="1:3">
      <c r="A1640">
        <v>6321</v>
      </c>
      <c r="B1640"/>
      <c r="C1640">
        <v>12</v>
      </c>
    </row>
    <row r="1641" spans="1:3">
      <c r="A1641">
        <v>6323</v>
      </c>
      <c r="B1641"/>
      <c r="C1641">
        <v>11</v>
      </c>
    </row>
    <row r="1642" spans="1:3">
      <c r="A1642">
        <v>6325</v>
      </c>
      <c r="B1642"/>
      <c r="C1642">
        <v>12</v>
      </c>
    </row>
    <row r="1643" spans="1:3">
      <c r="A1643">
        <v>6326</v>
      </c>
      <c r="B1643"/>
      <c r="C1643">
        <v>12</v>
      </c>
    </row>
    <row r="1644" spans="1:3">
      <c r="A1644">
        <v>6327</v>
      </c>
      <c r="B1644"/>
      <c r="C1644">
        <v>12</v>
      </c>
    </row>
    <row r="1645" spans="1:3">
      <c r="A1645">
        <v>6328</v>
      </c>
      <c r="B1645"/>
      <c r="C1645">
        <v>12</v>
      </c>
    </row>
    <row r="1646" spans="1:3">
      <c r="A1646">
        <v>6331</v>
      </c>
      <c r="B1646"/>
      <c r="C1646">
        <v>12</v>
      </c>
    </row>
    <row r="1647" spans="1:3">
      <c r="A1647">
        <v>6332</v>
      </c>
      <c r="B1647"/>
      <c r="C1647">
        <v>12</v>
      </c>
    </row>
    <row r="1648" spans="1:3">
      <c r="A1648">
        <v>6333</v>
      </c>
      <c r="B1648"/>
      <c r="C1648">
        <v>12</v>
      </c>
    </row>
    <row r="1649" spans="1:3">
      <c r="A1649">
        <v>6334</v>
      </c>
      <c r="B1649"/>
      <c r="C1649">
        <v>12</v>
      </c>
    </row>
    <row r="1650" spans="1:3">
      <c r="A1650">
        <v>6335</v>
      </c>
      <c r="B1650"/>
      <c r="C1650">
        <v>12</v>
      </c>
    </row>
    <row r="1651" spans="1:3">
      <c r="A1651">
        <v>6336</v>
      </c>
      <c r="B1651"/>
      <c r="C1651">
        <v>12</v>
      </c>
    </row>
    <row r="1652" spans="1:3">
      <c r="A1652">
        <v>6337</v>
      </c>
      <c r="B1652"/>
      <c r="C1652">
        <v>12</v>
      </c>
    </row>
    <row r="1653" spans="1:3">
      <c r="A1653">
        <v>6341</v>
      </c>
      <c r="B1653"/>
      <c r="C1653">
        <v>12</v>
      </c>
    </row>
    <row r="1654" spans="1:3">
      <c r="A1654">
        <v>6342</v>
      </c>
      <c r="B1654"/>
      <c r="C1654">
        <v>12</v>
      </c>
    </row>
    <row r="1655" spans="1:3">
      <c r="A1655">
        <v>6343</v>
      </c>
      <c r="B1655"/>
      <c r="C1655">
        <v>12</v>
      </c>
    </row>
    <row r="1656" spans="1:3">
      <c r="A1656">
        <v>6344</v>
      </c>
      <c r="B1656"/>
      <c r="C1656">
        <v>12</v>
      </c>
    </row>
    <row r="1657" spans="1:3">
      <c r="A1657">
        <v>6345</v>
      </c>
      <c r="B1657"/>
      <c r="C1657">
        <v>12</v>
      </c>
    </row>
    <row r="1658" spans="1:3">
      <c r="A1658">
        <v>6346</v>
      </c>
      <c r="B1658"/>
      <c r="C1658">
        <v>12</v>
      </c>
    </row>
    <row r="1659" spans="1:3">
      <c r="A1659">
        <v>6347</v>
      </c>
      <c r="B1659"/>
      <c r="C1659">
        <v>12</v>
      </c>
    </row>
    <row r="1660" spans="1:3">
      <c r="A1660">
        <v>6348</v>
      </c>
      <c r="B1660"/>
      <c r="C1660">
        <v>12</v>
      </c>
    </row>
    <row r="1661" spans="1:3">
      <c r="A1661">
        <v>6351</v>
      </c>
      <c r="B1661"/>
      <c r="C1661">
        <v>12</v>
      </c>
    </row>
    <row r="1662" spans="1:3">
      <c r="A1662">
        <v>6352</v>
      </c>
      <c r="B1662"/>
      <c r="C1662">
        <v>12</v>
      </c>
    </row>
    <row r="1663" spans="1:3">
      <c r="A1663">
        <v>6353</v>
      </c>
      <c r="B1663"/>
      <c r="C1663">
        <v>12</v>
      </c>
    </row>
    <row r="1664" spans="1:3">
      <c r="A1664">
        <v>6400</v>
      </c>
      <c r="B1664"/>
      <c r="C1664">
        <v>11</v>
      </c>
    </row>
    <row r="1665" spans="1:3">
      <c r="A1665">
        <v>6411</v>
      </c>
      <c r="B1665"/>
      <c r="C1665">
        <v>12</v>
      </c>
    </row>
    <row r="1666" spans="1:3">
      <c r="A1666">
        <v>6412</v>
      </c>
      <c r="B1666"/>
      <c r="C1666">
        <v>12</v>
      </c>
    </row>
    <row r="1667" spans="1:3">
      <c r="A1667">
        <v>6413</v>
      </c>
      <c r="B1667"/>
      <c r="C1667">
        <v>12</v>
      </c>
    </row>
    <row r="1668" spans="1:3">
      <c r="A1668">
        <v>6414</v>
      </c>
      <c r="B1668"/>
      <c r="C1668">
        <v>12</v>
      </c>
    </row>
    <row r="1669" spans="1:3">
      <c r="A1669">
        <v>6421</v>
      </c>
      <c r="B1669"/>
      <c r="C1669">
        <v>12</v>
      </c>
    </row>
    <row r="1670" spans="1:3">
      <c r="A1670">
        <v>6422</v>
      </c>
      <c r="B1670"/>
      <c r="C1670">
        <v>12</v>
      </c>
    </row>
    <row r="1671" spans="1:3">
      <c r="A1671">
        <v>6423</v>
      </c>
      <c r="B1671"/>
      <c r="C1671">
        <v>12</v>
      </c>
    </row>
    <row r="1672" spans="1:3">
      <c r="A1672">
        <v>6424</v>
      </c>
      <c r="B1672"/>
      <c r="C1672">
        <v>12</v>
      </c>
    </row>
    <row r="1673" spans="1:3">
      <c r="A1673">
        <v>6425</v>
      </c>
      <c r="B1673"/>
      <c r="C1673">
        <v>12</v>
      </c>
    </row>
    <row r="1674" spans="1:3">
      <c r="A1674">
        <v>6430</v>
      </c>
      <c r="B1674"/>
      <c r="C1674">
        <v>12</v>
      </c>
    </row>
    <row r="1675" spans="1:3">
      <c r="A1675">
        <v>6435</v>
      </c>
      <c r="B1675"/>
      <c r="C1675">
        <v>12</v>
      </c>
    </row>
    <row r="1676" spans="1:3">
      <c r="A1676">
        <v>6440</v>
      </c>
      <c r="B1676"/>
      <c r="C1676">
        <v>12</v>
      </c>
    </row>
    <row r="1677" spans="1:3">
      <c r="A1677">
        <v>6444</v>
      </c>
      <c r="B1677"/>
      <c r="C1677">
        <v>12</v>
      </c>
    </row>
    <row r="1678" spans="1:3">
      <c r="A1678">
        <v>6445</v>
      </c>
      <c r="B1678"/>
      <c r="C1678">
        <v>12</v>
      </c>
    </row>
    <row r="1679" spans="1:3">
      <c r="A1679">
        <v>6446</v>
      </c>
      <c r="B1679"/>
      <c r="C1679">
        <v>12</v>
      </c>
    </row>
    <row r="1680" spans="1:3">
      <c r="A1680">
        <v>6447</v>
      </c>
      <c r="B1680"/>
      <c r="C1680">
        <v>12</v>
      </c>
    </row>
    <row r="1681" spans="1:3">
      <c r="A1681">
        <v>6448</v>
      </c>
      <c r="B1681"/>
      <c r="C1681">
        <v>12</v>
      </c>
    </row>
    <row r="1682" spans="1:3">
      <c r="A1682">
        <v>6449</v>
      </c>
      <c r="B1682"/>
      <c r="C1682">
        <v>12</v>
      </c>
    </row>
    <row r="1683" spans="1:3">
      <c r="A1683">
        <v>6451</v>
      </c>
      <c r="B1683"/>
      <c r="C1683">
        <v>12</v>
      </c>
    </row>
    <row r="1684" spans="1:3">
      <c r="A1684">
        <v>6452</v>
      </c>
      <c r="B1684"/>
      <c r="C1684">
        <v>12</v>
      </c>
    </row>
    <row r="1685" spans="1:3">
      <c r="A1685">
        <v>6453</v>
      </c>
      <c r="B1685"/>
      <c r="C1685">
        <v>12</v>
      </c>
    </row>
    <row r="1686" spans="1:3">
      <c r="A1686">
        <v>6454</v>
      </c>
      <c r="B1686"/>
      <c r="C1686">
        <v>12</v>
      </c>
    </row>
    <row r="1687" spans="1:3">
      <c r="A1687">
        <v>6455</v>
      </c>
      <c r="B1687"/>
      <c r="C1687">
        <v>12</v>
      </c>
    </row>
    <row r="1688" spans="1:3">
      <c r="A1688">
        <v>6456</v>
      </c>
      <c r="B1688"/>
      <c r="C1688">
        <v>12</v>
      </c>
    </row>
    <row r="1689" spans="1:3">
      <c r="A1689">
        <v>6500</v>
      </c>
      <c r="B1689"/>
      <c r="C1689">
        <v>9</v>
      </c>
    </row>
    <row r="1690" spans="1:3">
      <c r="A1690">
        <v>6503</v>
      </c>
      <c r="B1690"/>
      <c r="C1690">
        <v>9</v>
      </c>
    </row>
    <row r="1691" spans="1:3">
      <c r="A1691">
        <v>6511</v>
      </c>
      <c r="B1691"/>
      <c r="C1691">
        <v>12</v>
      </c>
    </row>
    <row r="1692" spans="1:3">
      <c r="A1692">
        <v>6512</v>
      </c>
      <c r="B1692"/>
      <c r="C1692">
        <v>12</v>
      </c>
    </row>
    <row r="1693" spans="1:3">
      <c r="A1693">
        <v>6513</v>
      </c>
      <c r="B1693"/>
      <c r="C1693">
        <v>12</v>
      </c>
    </row>
    <row r="1694" spans="1:3">
      <c r="A1694">
        <v>6521</v>
      </c>
      <c r="B1694"/>
      <c r="C1694">
        <v>12</v>
      </c>
    </row>
    <row r="1695" spans="1:3">
      <c r="A1695">
        <v>6522</v>
      </c>
      <c r="B1695"/>
      <c r="C1695">
        <v>12</v>
      </c>
    </row>
    <row r="1696" spans="1:3">
      <c r="A1696">
        <v>6523</v>
      </c>
      <c r="B1696"/>
      <c r="C1696">
        <v>12</v>
      </c>
    </row>
    <row r="1697" spans="1:3">
      <c r="A1697">
        <v>6524</v>
      </c>
      <c r="B1697"/>
      <c r="C1697">
        <v>12</v>
      </c>
    </row>
    <row r="1698" spans="1:3">
      <c r="A1698">
        <v>6525</v>
      </c>
      <c r="B1698"/>
      <c r="C1698">
        <v>12</v>
      </c>
    </row>
    <row r="1699" spans="1:3">
      <c r="A1699">
        <v>6527</v>
      </c>
      <c r="B1699"/>
      <c r="C1699">
        <v>12</v>
      </c>
    </row>
    <row r="1700" spans="1:3">
      <c r="A1700">
        <v>6528</v>
      </c>
      <c r="B1700"/>
      <c r="C1700">
        <v>12</v>
      </c>
    </row>
    <row r="1701" spans="1:3">
      <c r="A1701">
        <v>6600</v>
      </c>
      <c r="B1701"/>
      <c r="C1701">
        <v>12</v>
      </c>
    </row>
    <row r="1702" spans="1:3">
      <c r="A1702">
        <v>6612</v>
      </c>
      <c r="B1702"/>
      <c r="C1702">
        <v>12</v>
      </c>
    </row>
    <row r="1703" spans="1:3">
      <c r="A1703">
        <v>6621</v>
      </c>
      <c r="B1703"/>
      <c r="C1703">
        <v>12</v>
      </c>
    </row>
    <row r="1704" spans="1:3">
      <c r="A1704">
        <v>6622</v>
      </c>
      <c r="B1704"/>
      <c r="C1704">
        <v>12</v>
      </c>
    </row>
    <row r="1705" spans="1:3">
      <c r="A1705">
        <v>6623</v>
      </c>
      <c r="B1705"/>
      <c r="C1705">
        <v>12</v>
      </c>
    </row>
    <row r="1706" spans="1:3">
      <c r="A1706">
        <v>6624</v>
      </c>
      <c r="B1706"/>
      <c r="C1706">
        <v>12</v>
      </c>
    </row>
    <row r="1707" spans="1:3">
      <c r="A1707">
        <v>6625</v>
      </c>
      <c r="B1707"/>
      <c r="C1707">
        <v>12</v>
      </c>
    </row>
    <row r="1708" spans="1:3">
      <c r="A1708">
        <v>6630</v>
      </c>
      <c r="B1708"/>
      <c r="C1708">
        <v>12</v>
      </c>
    </row>
    <row r="1709" spans="1:3">
      <c r="A1709">
        <v>6635</v>
      </c>
      <c r="B1709"/>
      <c r="C1709">
        <v>12</v>
      </c>
    </row>
    <row r="1710" spans="1:3">
      <c r="A1710">
        <v>6636</v>
      </c>
      <c r="B1710"/>
      <c r="C1710">
        <v>12</v>
      </c>
    </row>
    <row r="1711" spans="1:3">
      <c r="A1711">
        <v>6640</v>
      </c>
      <c r="B1711"/>
      <c r="C1711">
        <v>12</v>
      </c>
    </row>
    <row r="1712" spans="1:3">
      <c r="A1712">
        <v>6645</v>
      </c>
      <c r="B1712"/>
      <c r="C1712">
        <v>12</v>
      </c>
    </row>
    <row r="1713" spans="1:3">
      <c r="A1713">
        <v>6646</v>
      </c>
      <c r="B1713"/>
      <c r="C1713">
        <v>12</v>
      </c>
    </row>
    <row r="1714" spans="1:3">
      <c r="A1714">
        <v>6647</v>
      </c>
      <c r="B1714"/>
      <c r="C1714">
        <v>12</v>
      </c>
    </row>
    <row r="1715" spans="1:3">
      <c r="A1715">
        <v>6648</v>
      </c>
      <c r="B1715"/>
      <c r="C1715">
        <v>12</v>
      </c>
    </row>
    <row r="1716" spans="1:3">
      <c r="A1716">
        <v>6710</v>
      </c>
      <c r="B1716"/>
      <c r="C1716">
        <v>7</v>
      </c>
    </row>
    <row r="1717" spans="1:3">
      <c r="A1717">
        <v>6720</v>
      </c>
      <c r="B1717"/>
      <c r="C1717">
        <v>7</v>
      </c>
    </row>
    <row r="1718" spans="1:3">
      <c r="A1718">
        <v>6721</v>
      </c>
      <c r="B1718"/>
      <c r="C1718">
        <v>7</v>
      </c>
    </row>
    <row r="1719" spans="1:3">
      <c r="A1719">
        <v>6722</v>
      </c>
      <c r="B1719"/>
      <c r="C1719">
        <v>7</v>
      </c>
    </row>
    <row r="1720" spans="1:3">
      <c r="A1720">
        <v>6723</v>
      </c>
      <c r="B1720"/>
      <c r="C1720">
        <v>7</v>
      </c>
    </row>
    <row r="1721" spans="1:3">
      <c r="A1721">
        <v>6724</v>
      </c>
      <c r="B1721"/>
      <c r="C1721">
        <v>7</v>
      </c>
    </row>
    <row r="1722" spans="1:3">
      <c r="A1722">
        <v>6725</v>
      </c>
      <c r="B1722"/>
      <c r="C1722">
        <v>7</v>
      </c>
    </row>
    <row r="1723" spans="1:3">
      <c r="A1723">
        <v>6726</v>
      </c>
      <c r="B1723"/>
      <c r="C1723">
        <v>7</v>
      </c>
    </row>
    <row r="1724" spans="1:3">
      <c r="A1724">
        <v>6727</v>
      </c>
      <c r="B1724"/>
      <c r="C1724">
        <v>7</v>
      </c>
    </row>
    <row r="1725" spans="1:3">
      <c r="A1725">
        <v>6728</v>
      </c>
      <c r="B1725"/>
      <c r="C1725">
        <v>7</v>
      </c>
    </row>
    <row r="1726" spans="1:3">
      <c r="A1726">
        <v>6729</v>
      </c>
      <c r="B1726"/>
      <c r="C1726">
        <v>7</v>
      </c>
    </row>
    <row r="1727" spans="1:3">
      <c r="A1727">
        <v>6741</v>
      </c>
      <c r="B1727"/>
      <c r="C1727">
        <v>7</v>
      </c>
    </row>
    <row r="1728" spans="1:3">
      <c r="A1728">
        <v>6750</v>
      </c>
      <c r="B1728"/>
      <c r="C1728">
        <v>12</v>
      </c>
    </row>
    <row r="1729" spans="1:3">
      <c r="A1729">
        <v>6753</v>
      </c>
      <c r="B1729"/>
      <c r="C1729">
        <v>7</v>
      </c>
    </row>
    <row r="1730" spans="1:3">
      <c r="A1730">
        <v>6754</v>
      </c>
      <c r="B1730"/>
      <c r="C1730">
        <v>12</v>
      </c>
    </row>
    <row r="1731" spans="1:3">
      <c r="A1731">
        <v>6755</v>
      </c>
      <c r="B1731"/>
      <c r="C1731">
        <v>12</v>
      </c>
    </row>
    <row r="1732" spans="1:3">
      <c r="A1732">
        <v>6756</v>
      </c>
      <c r="B1732"/>
      <c r="C1732">
        <v>12</v>
      </c>
    </row>
    <row r="1733" spans="1:3">
      <c r="A1733">
        <v>6757</v>
      </c>
      <c r="B1733"/>
      <c r="C1733">
        <v>7</v>
      </c>
    </row>
    <row r="1734" spans="1:3">
      <c r="A1734">
        <v>6758</v>
      </c>
      <c r="B1734"/>
      <c r="C1734">
        <v>12</v>
      </c>
    </row>
    <row r="1735" spans="1:3">
      <c r="A1735">
        <v>6760</v>
      </c>
      <c r="B1735"/>
      <c r="C1735">
        <v>12</v>
      </c>
    </row>
    <row r="1736" spans="1:3">
      <c r="A1736">
        <v>6762</v>
      </c>
      <c r="B1736"/>
      <c r="C1736">
        <v>12</v>
      </c>
    </row>
    <row r="1737" spans="1:3">
      <c r="A1737">
        <v>6763</v>
      </c>
      <c r="B1737"/>
      <c r="C1737">
        <v>12</v>
      </c>
    </row>
    <row r="1738" spans="1:3">
      <c r="A1738">
        <v>6764</v>
      </c>
      <c r="B1738"/>
      <c r="C1738">
        <v>12</v>
      </c>
    </row>
    <row r="1739" spans="1:3">
      <c r="A1739">
        <v>6765</v>
      </c>
      <c r="B1739"/>
      <c r="C1739">
        <v>12</v>
      </c>
    </row>
    <row r="1740" spans="1:3">
      <c r="A1740">
        <v>6766</v>
      </c>
      <c r="B1740"/>
      <c r="C1740">
        <v>12</v>
      </c>
    </row>
    <row r="1741" spans="1:3">
      <c r="A1741">
        <v>6767</v>
      </c>
      <c r="B1741"/>
      <c r="C1741">
        <v>12</v>
      </c>
    </row>
    <row r="1742" spans="1:3">
      <c r="A1742">
        <v>6768</v>
      </c>
      <c r="B1742"/>
      <c r="C1742">
        <v>12</v>
      </c>
    </row>
    <row r="1743" spans="1:3">
      <c r="A1743">
        <v>6769</v>
      </c>
      <c r="B1743"/>
      <c r="C1743">
        <v>12</v>
      </c>
    </row>
    <row r="1744" spans="1:3">
      <c r="A1744">
        <v>6771</v>
      </c>
      <c r="B1744"/>
      <c r="C1744">
        <v>7</v>
      </c>
    </row>
    <row r="1745" spans="1:3">
      <c r="A1745">
        <v>6772</v>
      </c>
      <c r="B1745"/>
      <c r="C1745">
        <v>12</v>
      </c>
    </row>
    <row r="1746" spans="1:3">
      <c r="A1746">
        <v>6773</v>
      </c>
      <c r="B1746"/>
      <c r="C1746">
        <v>12</v>
      </c>
    </row>
    <row r="1747" spans="1:3">
      <c r="A1747">
        <v>6774</v>
      </c>
      <c r="B1747"/>
      <c r="C1747">
        <v>12</v>
      </c>
    </row>
    <row r="1748" spans="1:3">
      <c r="A1748">
        <v>6775</v>
      </c>
      <c r="B1748"/>
      <c r="C1748">
        <v>12</v>
      </c>
    </row>
    <row r="1749" spans="1:3">
      <c r="A1749">
        <v>6781</v>
      </c>
      <c r="B1749"/>
      <c r="C1749">
        <v>12</v>
      </c>
    </row>
    <row r="1750" spans="1:3">
      <c r="A1750">
        <v>6782</v>
      </c>
      <c r="B1750"/>
      <c r="C1750">
        <v>12</v>
      </c>
    </row>
    <row r="1751" spans="1:3">
      <c r="A1751">
        <v>6783</v>
      </c>
      <c r="B1751"/>
      <c r="C1751">
        <v>12</v>
      </c>
    </row>
    <row r="1752" spans="1:3">
      <c r="A1752">
        <v>6784</v>
      </c>
      <c r="B1752"/>
      <c r="C1752">
        <v>12</v>
      </c>
    </row>
    <row r="1753" spans="1:3">
      <c r="A1753">
        <v>6785</v>
      </c>
      <c r="B1753"/>
      <c r="C1753">
        <v>12</v>
      </c>
    </row>
    <row r="1754" spans="1:3">
      <c r="A1754">
        <v>6786</v>
      </c>
      <c r="B1754"/>
      <c r="C1754">
        <v>12</v>
      </c>
    </row>
    <row r="1755" spans="1:3">
      <c r="A1755">
        <v>6787</v>
      </c>
      <c r="B1755"/>
      <c r="C1755">
        <v>12</v>
      </c>
    </row>
    <row r="1756" spans="1:3">
      <c r="A1756">
        <v>6791</v>
      </c>
      <c r="B1756"/>
      <c r="C1756">
        <v>7</v>
      </c>
    </row>
    <row r="1757" spans="1:3">
      <c r="A1757">
        <v>6792</v>
      </c>
      <c r="B1757"/>
      <c r="C1757">
        <v>12</v>
      </c>
    </row>
    <row r="1758" spans="1:3">
      <c r="A1758">
        <v>6793</v>
      </c>
      <c r="B1758"/>
      <c r="C1758">
        <v>12</v>
      </c>
    </row>
    <row r="1759" spans="1:3">
      <c r="A1759">
        <v>6794</v>
      </c>
      <c r="B1759"/>
      <c r="C1759">
        <v>12</v>
      </c>
    </row>
    <row r="1760" spans="1:3">
      <c r="A1760">
        <v>6795</v>
      </c>
      <c r="B1760"/>
      <c r="C1760">
        <v>12</v>
      </c>
    </row>
    <row r="1761" spans="1:3">
      <c r="A1761">
        <v>6800</v>
      </c>
      <c r="B1761"/>
      <c r="C1761">
        <v>12</v>
      </c>
    </row>
    <row r="1762" spans="1:3">
      <c r="A1762">
        <v>6805</v>
      </c>
      <c r="B1762"/>
      <c r="C1762">
        <v>12</v>
      </c>
    </row>
    <row r="1763" spans="1:3">
      <c r="A1763">
        <v>6806</v>
      </c>
      <c r="B1763"/>
      <c r="C1763">
        <v>12</v>
      </c>
    </row>
    <row r="1764" spans="1:3">
      <c r="A1764">
        <v>6821</v>
      </c>
      <c r="B1764"/>
      <c r="C1764">
        <v>12</v>
      </c>
    </row>
    <row r="1765" spans="1:3">
      <c r="A1765">
        <v>6900</v>
      </c>
      <c r="B1765"/>
      <c r="C1765">
        <v>12</v>
      </c>
    </row>
    <row r="1766" spans="1:3">
      <c r="A1766">
        <v>6903</v>
      </c>
      <c r="B1766"/>
      <c r="C1766">
        <v>12</v>
      </c>
    </row>
    <row r="1767" spans="1:3">
      <c r="A1767">
        <v>6911</v>
      </c>
      <c r="B1767"/>
      <c r="C1767">
        <v>12</v>
      </c>
    </row>
    <row r="1768" spans="1:3">
      <c r="A1768">
        <v>6912</v>
      </c>
      <c r="B1768"/>
      <c r="C1768">
        <v>12</v>
      </c>
    </row>
    <row r="1769" spans="1:3">
      <c r="A1769">
        <v>6913</v>
      </c>
      <c r="B1769"/>
      <c r="C1769">
        <v>12</v>
      </c>
    </row>
    <row r="1770" spans="1:3">
      <c r="A1770">
        <v>6914</v>
      </c>
      <c r="B1770"/>
      <c r="C1770">
        <v>12</v>
      </c>
    </row>
    <row r="1771" spans="1:3">
      <c r="A1771">
        <v>6915</v>
      </c>
      <c r="B1771"/>
      <c r="C1771">
        <v>12</v>
      </c>
    </row>
    <row r="1772" spans="1:3">
      <c r="A1772">
        <v>6916</v>
      </c>
      <c r="B1772"/>
      <c r="C1772">
        <v>12</v>
      </c>
    </row>
    <row r="1773" spans="1:3">
      <c r="A1773">
        <v>6917</v>
      </c>
      <c r="B1773"/>
      <c r="C1773">
        <v>12</v>
      </c>
    </row>
    <row r="1774" spans="1:3">
      <c r="A1774">
        <v>6921</v>
      </c>
      <c r="B1774"/>
      <c r="C1774">
        <v>12</v>
      </c>
    </row>
    <row r="1775" spans="1:3">
      <c r="A1775">
        <v>6922</v>
      </c>
      <c r="B1775"/>
      <c r="C1775">
        <v>12</v>
      </c>
    </row>
    <row r="1776" spans="1:3">
      <c r="A1776">
        <v>6923</v>
      </c>
      <c r="B1776"/>
      <c r="C1776">
        <v>12</v>
      </c>
    </row>
    <row r="1777" spans="1:3">
      <c r="A1777">
        <v>6931</v>
      </c>
      <c r="B1777"/>
      <c r="C1777">
        <v>12</v>
      </c>
    </row>
    <row r="1778" spans="1:3">
      <c r="A1778">
        <v>6932</v>
      </c>
      <c r="B1778"/>
      <c r="C1778">
        <v>12</v>
      </c>
    </row>
    <row r="1779" spans="1:3">
      <c r="A1779">
        <v>6933</v>
      </c>
      <c r="B1779"/>
      <c r="C1779">
        <v>12</v>
      </c>
    </row>
    <row r="1780" spans="1:3">
      <c r="A1780">
        <v>7000</v>
      </c>
      <c r="B1780"/>
      <c r="C1780">
        <v>12</v>
      </c>
    </row>
    <row r="1781" spans="1:3">
      <c r="A1781">
        <v>7003</v>
      </c>
      <c r="B1781"/>
      <c r="C1781">
        <v>12</v>
      </c>
    </row>
    <row r="1782" spans="1:3">
      <c r="A1782">
        <v>7011</v>
      </c>
      <c r="B1782"/>
      <c r="C1782">
        <v>12</v>
      </c>
    </row>
    <row r="1783" spans="1:3">
      <c r="A1783">
        <v>7012</v>
      </c>
      <c r="B1783"/>
      <c r="C1783">
        <v>12</v>
      </c>
    </row>
    <row r="1784" spans="1:3">
      <c r="A1784">
        <v>7013</v>
      </c>
      <c r="B1784"/>
      <c r="C1784">
        <v>12</v>
      </c>
    </row>
    <row r="1785" spans="1:3">
      <c r="A1785">
        <v>7014</v>
      </c>
      <c r="B1785"/>
      <c r="C1785">
        <v>12</v>
      </c>
    </row>
    <row r="1786" spans="1:3">
      <c r="A1786">
        <v>7015</v>
      </c>
      <c r="B1786"/>
      <c r="C1786">
        <v>12</v>
      </c>
    </row>
    <row r="1787" spans="1:3">
      <c r="A1787">
        <v>7017</v>
      </c>
      <c r="B1787"/>
      <c r="C1787">
        <v>12</v>
      </c>
    </row>
    <row r="1788" spans="1:3">
      <c r="A1788">
        <v>7018</v>
      </c>
      <c r="B1788"/>
      <c r="C1788">
        <v>12</v>
      </c>
    </row>
    <row r="1789" spans="1:3">
      <c r="A1789">
        <v>7019</v>
      </c>
      <c r="B1789"/>
      <c r="C1789">
        <v>12</v>
      </c>
    </row>
    <row r="1790" spans="1:3">
      <c r="A1790">
        <v>7020</v>
      </c>
      <c r="B1790"/>
      <c r="C1790">
        <v>10</v>
      </c>
    </row>
    <row r="1791" spans="1:3">
      <c r="A1791">
        <v>7025</v>
      </c>
      <c r="B1791"/>
      <c r="C1791">
        <v>10</v>
      </c>
    </row>
    <row r="1792" spans="1:3">
      <c r="A1792">
        <v>7026</v>
      </c>
      <c r="B1792"/>
      <c r="C1792">
        <v>10</v>
      </c>
    </row>
    <row r="1793" spans="1:3">
      <c r="A1793">
        <v>7027</v>
      </c>
      <c r="B1793"/>
      <c r="C1793">
        <v>9</v>
      </c>
    </row>
    <row r="1794" spans="1:3">
      <c r="A1794">
        <v>7030</v>
      </c>
      <c r="B1794"/>
      <c r="C1794">
        <v>9</v>
      </c>
    </row>
    <row r="1795" spans="1:3">
      <c r="A1795">
        <v>7038</v>
      </c>
      <c r="B1795"/>
      <c r="C1795">
        <v>10</v>
      </c>
    </row>
    <row r="1796" spans="1:3">
      <c r="A1796">
        <v>7039</v>
      </c>
      <c r="B1796"/>
      <c r="C1796">
        <v>10</v>
      </c>
    </row>
    <row r="1797" spans="1:3">
      <c r="A1797">
        <v>7041</v>
      </c>
      <c r="B1797"/>
      <c r="C1797">
        <v>12</v>
      </c>
    </row>
    <row r="1798" spans="1:3">
      <c r="A1798">
        <v>7042</v>
      </c>
      <c r="B1798"/>
      <c r="C1798">
        <v>10</v>
      </c>
    </row>
    <row r="1799" spans="1:3">
      <c r="A1799">
        <v>7043</v>
      </c>
      <c r="B1799"/>
      <c r="C1799">
        <v>10</v>
      </c>
    </row>
    <row r="1800" spans="1:3">
      <c r="A1800">
        <v>7044</v>
      </c>
      <c r="B1800"/>
      <c r="C1800">
        <v>10</v>
      </c>
    </row>
    <row r="1801" spans="1:3">
      <c r="A1801">
        <v>7045</v>
      </c>
      <c r="B1801"/>
      <c r="C1801">
        <v>10</v>
      </c>
    </row>
    <row r="1802" spans="1:3">
      <c r="A1802">
        <v>7047</v>
      </c>
      <c r="B1802"/>
      <c r="C1802">
        <v>10</v>
      </c>
    </row>
    <row r="1803" spans="1:3">
      <c r="A1803">
        <v>7051</v>
      </c>
      <c r="B1803"/>
      <c r="C1803">
        <v>10</v>
      </c>
    </row>
    <row r="1804" spans="1:3">
      <c r="A1804">
        <v>7052</v>
      </c>
      <c r="B1804"/>
      <c r="C1804">
        <v>10</v>
      </c>
    </row>
    <row r="1805" spans="1:3">
      <c r="A1805">
        <v>7054</v>
      </c>
      <c r="B1805"/>
      <c r="C1805">
        <v>10</v>
      </c>
    </row>
    <row r="1806" spans="1:3">
      <c r="A1806">
        <v>7056</v>
      </c>
      <c r="B1806"/>
      <c r="C1806">
        <v>10</v>
      </c>
    </row>
    <row r="1807" spans="1:3">
      <c r="A1807">
        <v>7057</v>
      </c>
      <c r="B1807"/>
      <c r="C1807">
        <v>10</v>
      </c>
    </row>
    <row r="1808" spans="1:3">
      <c r="A1808">
        <v>7061</v>
      </c>
      <c r="B1808"/>
      <c r="C1808">
        <v>10</v>
      </c>
    </row>
    <row r="1809" spans="1:3">
      <c r="A1809">
        <v>7062</v>
      </c>
      <c r="B1809"/>
      <c r="C1809">
        <v>10</v>
      </c>
    </row>
    <row r="1810" spans="1:3">
      <c r="A1810">
        <v>7063</v>
      </c>
      <c r="B1810"/>
      <c r="C1810">
        <v>10</v>
      </c>
    </row>
    <row r="1811" spans="1:3">
      <c r="A1811">
        <v>7064</v>
      </c>
      <c r="B1811"/>
      <c r="C1811">
        <v>10</v>
      </c>
    </row>
    <row r="1812" spans="1:3">
      <c r="A1812">
        <v>7065</v>
      </c>
      <c r="B1812"/>
      <c r="C1812">
        <v>10</v>
      </c>
    </row>
    <row r="1813" spans="1:3">
      <c r="A1813">
        <v>7066</v>
      </c>
      <c r="B1813"/>
      <c r="C1813">
        <v>10</v>
      </c>
    </row>
    <row r="1814" spans="1:3">
      <c r="A1814">
        <v>7067</v>
      </c>
      <c r="B1814"/>
      <c r="C1814">
        <v>10</v>
      </c>
    </row>
    <row r="1815" spans="1:3">
      <c r="A1815">
        <v>7068</v>
      </c>
      <c r="B1815"/>
      <c r="C1815">
        <v>10</v>
      </c>
    </row>
    <row r="1816" spans="1:3">
      <c r="A1816">
        <v>7071</v>
      </c>
      <c r="B1816"/>
      <c r="C1816">
        <v>10</v>
      </c>
    </row>
    <row r="1817" spans="1:3">
      <c r="A1817">
        <v>7072</v>
      </c>
      <c r="B1817"/>
      <c r="C1817">
        <v>10</v>
      </c>
    </row>
    <row r="1818" spans="1:3">
      <c r="A1818">
        <v>7081</v>
      </c>
      <c r="B1818"/>
      <c r="C1818">
        <v>9</v>
      </c>
    </row>
    <row r="1819" spans="1:3">
      <c r="A1819">
        <v>7082</v>
      </c>
      <c r="B1819"/>
      <c r="C1819">
        <v>10</v>
      </c>
    </row>
    <row r="1820" spans="1:3">
      <c r="A1820">
        <v>7083</v>
      </c>
      <c r="B1820"/>
      <c r="C1820">
        <v>10</v>
      </c>
    </row>
    <row r="1821" spans="1:3">
      <c r="A1821">
        <v>7084</v>
      </c>
      <c r="B1821"/>
      <c r="C1821">
        <v>10</v>
      </c>
    </row>
    <row r="1822" spans="1:3">
      <c r="A1822">
        <v>7085</v>
      </c>
      <c r="B1822"/>
      <c r="C1822">
        <v>10</v>
      </c>
    </row>
    <row r="1823" spans="1:3">
      <c r="A1823">
        <v>7086</v>
      </c>
      <c r="B1823"/>
      <c r="C1823">
        <v>10</v>
      </c>
    </row>
    <row r="1824" spans="1:3">
      <c r="A1824">
        <v>7087</v>
      </c>
      <c r="B1824"/>
      <c r="C1824">
        <v>10</v>
      </c>
    </row>
    <row r="1825" spans="1:3">
      <c r="A1825">
        <v>7090</v>
      </c>
      <c r="B1825"/>
      <c r="C1825">
        <v>9</v>
      </c>
    </row>
    <row r="1826" spans="1:3">
      <c r="A1826">
        <v>7091</v>
      </c>
      <c r="B1826"/>
      <c r="C1826">
        <v>10</v>
      </c>
    </row>
    <row r="1827" spans="1:3">
      <c r="A1827">
        <v>7092</v>
      </c>
      <c r="B1827"/>
      <c r="C1827">
        <v>10</v>
      </c>
    </row>
    <row r="1828" spans="1:3">
      <c r="A1828">
        <v>7093</v>
      </c>
      <c r="B1828"/>
      <c r="C1828">
        <v>10</v>
      </c>
    </row>
    <row r="1829" spans="1:3">
      <c r="A1829">
        <v>7094</v>
      </c>
      <c r="B1829"/>
      <c r="C1829">
        <v>10</v>
      </c>
    </row>
    <row r="1830" spans="1:3">
      <c r="A1830">
        <v>7095</v>
      </c>
      <c r="B1830"/>
      <c r="C1830">
        <v>10</v>
      </c>
    </row>
    <row r="1831" spans="1:3">
      <c r="A1831">
        <v>7097</v>
      </c>
      <c r="B1831"/>
      <c r="C1831">
        <v>10</v>
      </c>
    </row>
    <row r="1832" spans="1:3">
      <c r="A1832">
        <v>7098</v>
      </c>
      <c r="B1832"/>
      <c r="C1832">
        <v>10</v>
      </c>
    </row>
    <row r="1833" spans="1:3">
      <c r="A1833">
        <v>7099</v>
      </c>
      <c r="B1833"/>
      <c r="C1833">
        <v>10</v>
      </c>
    </row>
    <row r="1834" spans="1:3">
      <c r="A1834">
        <v>7100</v>
      </c>
      <c r="B1834"/>
      <c r="C1834">
        <v>10</v>
      </c>
    </row>
    <row r="1835" spans="1:3">
      <c r="A1835">
        <v>7121</v>
      </c>
      <c r="B1835"/>
      <c r="C1835">
        <v>10</v>
      </c>
    </row>
    <row r="1836" spans="1:3">
      <c r="A1836">
        <v>7122</v>
      </c>
      <c r="B1836"/>
      <c r="C1836">
        <v>9</v>
      </c>
    </row>
    <row r="1837" spans="1:3">
      <c r="A1837">
        <v>7130</v>
      </c>
      <c r="B1837"/>
      <c r="C1837">
        <v>9</v>
      </c>
    </row>
    <row r="1838" spans="1:3">
      <c r="A1838">
        <v>7131</v>
      </c>
      <c r="B1838"/>
      <c r="C1838">
        <v>9</v>
      </c>
    </row>
    <row r="1839" spans="1:3">
      <c r="A1839">
        <v>7132</v>
      </c>
      <c r="B1839"/>
      <c r="C1839">
        <v>10</v>
      </c>
    </row>
    <row r="1840" spans="1:3">
      <c r="A1840">
        <v>7133</v>
      </c>
      <c r="B1840"/>
      <c r="C1840">
        <v>10</v>
      </c>
    </row>
    <row r="1841" spans="1:3">
      <c r="A1841">
        <v>7134</v>
      </c>
      <c r="B1841"/>
      <c r="C1841">
        <v>10</v>
      </c>
    </row>
    <row r="1842" spans="1:3">
      <c r="A1842">
        <v>7135</v>
      </c>
      <c r="B1842"/>
      <c r="C1842">
        <v>10</v>
      </c>
    </row>
    <row r="1843" spans="1:3">
      <c r="A1843">
        <v>7136</v>
      </c>
      <c r="B1843"/>
      <c r="C1843">
        <v>10</v>
      </c>
    </row>
    <row r="1844" spans="1:3">
      <c r="A1844">
        <v>7140</v>
      </c>
      <c r="B1844"/>
      <c r="C1844">
        <v>9</v>
      </c>
    </row>
    <row r="1845" spans="1:3">
      <c r="A1845">
        <v>7142</v>
      </c>
      <c r="B1845"/>
      <c r="C1845">
        <v>10</v>
      </c>
    </row>
    <row r="1846" spans="1:3">
      <c r="A1846">
        <v>7143</v>
      </c>
      <c r="B1846"/>
      <c r="C1846">
        <v>10</v>
      </c>
    </row>
    <row r="1847" spans="1:3">
      <c r="A1847">
        <v>7144</v>
      </c>
      <c r="B1847"/>
      <c r="C1847">
        <v>10</v>
      </c>
    </row>
    <row r="1848" spans="1:3">
      <c r="A1848">
        <v>7145</v>
      </c>
      <c r="B1848"/>
      <c r="C1848">
        <v>10</v>
      </c>
    </row>
    <row r="1849" spans="1:3">
      <c r="A1849">
        <v>7146</v>
      </c>
      <c r="B1849"/>
      <c r="C1849">
        <v>9</v>
      </c>
    </row>
    <row r="1850" spans="1:3">
      <c r="A1850">
        <v>7147</v>
      </c>
      <c r="B1850"/>
      <c r="C1850">
        <v>10</v>
      </c>
    </row>
    <row r="1851" spans="1:3">
      <c r="A1851">
        <v>7148</v>
      </c>
      <c r="B1851"/>
      <c r="C1851">
        <v>10</v>
      </c>
    </row>
    <row r="1852" spans="1:3">
      <c r="A1852">
        <v>7149</v>
      </c>
      <c r="B1852"/>
      <c r="C1852">
        <v>10</v>
      </c>
    </row>
    <row r="1853" spans="1:3">
      <c r="A1853">
        <v>7150</v>
      </c>
      <c r="B1853"/>
      <c r="C1853">
        <v>9</v>
      </c>
    </row>
    <row r="1854" spans="1:3">
      <c r="A1854">
        <v>7158</v>
      </c>
      <c r="B1854"/>
      <c r="C1854">
        <v>10</v>
      </c>
    </row>
    <row r="1855" spans="1:3">
      <c r="A1855">
        <v>7159</v>
      </c>
      <c r="B1855"/>
      <c r="C1855">
        <v>10</v>
      </c>
    </row>
    <row r="1856" spans="1:3">
      <c r="A1856">
        <v>7161</v>
      </c>
      <c r="B1856"/>
      <c r="C1856">
        <v>10</v>
      </c>
    </row>
    <row r="1857" spans="1:3">
      <c r="A1857">
        <v>7162</v>
      </c>
      <c r="B1857"/>
      <c r="C1857">
        <v>10</v>
      </c>
    </row>
    <row r="1858" spans="1:3">
      <c r="A1858">
        <v>7163</v>
      </c>
      <c r="B1858"/>
      <c r="C1858">
        <v>10</v>
      </c>
    </row>
    <row r="1859" spans="1:3">
      <c r="A1859">
        <v>7164</v>
      </c>
      <c r="B1859"/>
      <c r="C1859">
        <v>10</v>
      </c>
    </row>
    <row r="1860" spans="1:3">
      <c r="A1860">
        <v>7165</v>
      </c>
      <c r="B1860"/>
      <c r="C1860">
        <v>10</v>
      </c>
    </row>
    <row r="1861" spans="1:3">
      <c r="A1861">
        <v>7171</v>
      </c>
      <c r="B1861"/>
      <c r="C1861">
        <v>10</v>
      </c>
    </row>
    <row r="1862" spans="1:3">
      <c r="A1862">
        <v>7172</v>
      </c>
      <c r="B1862"/>
      <c r="C1862">
        <v>10</v>
      </c>
    </row>
    <row r="1863" spans="1:3">
      <c r="A1863">
        <v>7173</v>
      </c>
      <c r="B1863"/>
      <c r="C1863">
        <v>10</v>
      </c>
    </row>
    <row r="1864" spans="1:3">
      <c r="A1864">
        <v>7174</v>
      </c>
      <c r="B1864"/>
      <c r="C1864">
        <v>10</v>
      </c>
    </row>
    <row r="1865" spans="1:3">
      <c r="A1865">
        <v>7175</v>
      </c>
      <c r="B1865"/>
      <c r="C1865">
        <v>10</v>
      </c>
    </row>
    <row r="1866" spans="1:3">
      <c r="A1866">
        <v>7176</v>
      </c>
      <c r="B1866"/>
      <c r="C1866">
        <v>10</v>
      </c>
    </row>
    <row r="1867" spans="1:3">
      <c r="A1867">
        <v>7181</v>
      </c>
      <c r="B1867"/>
      <c r="C1867">
        <v>10</v>
      </c>
    </row>
    <row r="1868" spans="1:3">
      <c r="A1868">
        <v>7182</v>
      </c>
      <c r="B1868"/>
      <c r="C1868">
        <v>10</v>
      </c>
    </row>
    <row r="1869" spans="1:3">
      <c r="A1869">
        <v>7183</v>
      </c>
      <c r="B1869"/>
      <c r="C1869">
        <v>10</v>
      </c>
    </row>
    <row r="1870" spans="1:3">
      <c r="A1870">
        <v>7184</v>
      </c>
      <c r="B1870"/>
      <c r="C1870">
        <v>10</v>
      </c>
    </row>
    <row r="1871" spans="1:3">
      <c r="A1871">
        <v>7185</v>
      </c>
      <c r="B1871"/>
      <c r="C1871">
        <v>10</v>
      </c>
    </row>
    <row r="1872" spans="1:3">
      <c r="A1872">
        <v>7186</v>
      </c>
      <c r="B1872"/>
      <c r="C1872">
        <v>10</v>
      </c>
    </row>
    <row r="1873" spans="1:3">
      <c r="A1873">
        <v>7187</v>
      </c>
      <c r="B1873"/>
      <c r="C1873">
        <v>9</v>
      </c>
    </row>
    <row r="1874" spans="1:3">
      <c r="A1874">
        <v>7188</v>
      </c>
      <c r="B1874"/>
      <c r="C1874">
        <v>10</v>
      </c>
    </row>
    <row r="1875" spans="1:3">
      <c r="A1875">
        <v>7191</v>
      </c>
      <c r="B1875"/>
      <c r="C1875">
        <v>10</v>
      </c>
    </row>
    <row r="1876" spans="1:3">
      <c r="A1876">
        <v>7192</v>
      </c>
      <c r="B1876"/>
      <c r="C1876">
        <v>10</v>
      </c>
    </row>
    <row r="1877" spans="1:3">
      <c r="A1877">
        <v>7193</v>
      </c>
      <c r="B1877"/>
      <c r="C1877">
        <v>10</v>
      </c>
    </row>
    <row r="1878" spans="1:3">
      <c r="A1878">
        <v>7194</v>
      </c>
      <c r="B1878"/>
      <c r="C1878">
        <v>10</v>
      </c>
    </row>
    <row r="1879" spans="1:3">
      <c r="A1879">
        <v>7195</v>
      </c>
      <c r="B1879"/>
      <c r="C1879">
        <v>10</v>
      </c>
    </row>
    <row r="1880" spans="1:3">
      <c r="A1880">
        <v>7200</v>
      </c>
      <c r="B1880"/>
      <c r="C1880">
        <v>9</v>
      </c>
    </row>
    <row r="1881" spans="1:3">
      <c r="A1881">
        <v>7211</v>
      </c>
      <c r="B1881"/>
      <c r="C1881">
        <v>10</v>
      </c>
    </row>
    <row r="1882" spans="1:3">
      <c r="A1882">
        <v>7212</v>
      </c>
      <c r="B1882"/>
      <c r="C1882">
        <v>10</v>
      </c>
    </row>
    <row r="1883" spans="1:3">
      <c r="A1883">
        <v>7213</v>
      </c>
      <c r="B1883"/>
      <c r="C1883">
        <v>10</v>
      </c>
    </row>
    <row r="1884" spans="1:3">
      <c r="A1884">
        <v>7214</v>
      </c>
      <c r="B1884"/>
      <c r="C1884">
        <v>10</v>
      </c>
    </row>
    <row r="1885" spans="1:3">
      <c r="A1885">
        <v>7215</v>
      </c>
      <c r="B1885"/>
      <c r="C1885">
        <v>10</v>
      </c>
    </row>
    <row r="1886" spans="1:3">
      <c r="A1886">
        <v>7224</v>
      </c>
      <c r="B1886"/>
      <c r="C1886">
        <v>10</v>
      </c>
    </row>
    <row r="1887" spans="1:3">
      <c r="A1887">
        <v>7225</v>
      </c>
      <c r="B1887"/>
      <c r="C1887">
        <v>10</v>
      </c>
    </row>
    <row r="1888" spans="1:3">
      <c r="A1888">
        <v>7226</v>
      </c>
      <c r="B1888"/>
      <c r="C1888">
        <v>10</v>
      </c>
    </row>
    <row r="1889" spans="1:3">
      <c r="A1889">
        <v>7227</v>
      </c>
      <c r="B1889"/>
      <c r="C1889">
        <v>10</v>
      </c>
    </row>
    <row r="1890" spans="1:3">
      <c r="A1890">
        <v>7228</v>
      </c>
      <c r="B1890"/>
      <c r="C1890">
        <v>10</v>
      </c>
    </row>
    <row r="1891" spans="1:3">
      <c r="A1891">
        <v>7251</v>
      </c>
      <c r="B1891"/>
      <c r="C1891">
        <v>10</v>
      </c>
    </row>
    <row r="1892" spans="1:3">
      <c r="A1892">
        <v>7252</v>
      </c>
      <c r="B1892"/>
      <c r="C1892">
        <v>10</v>
      </c>
    </row>
    <row r="1893" spans="1:3">
      <c r="A1893">
        <v>7253</v>
      </c>
      <c r="B1893"/>
      <c r="C1893">
        <v>10</v>
      </c>
    </row>
    <row r="1894" spans="1:3">
      <c r="A1894">
        <v>7255</v>
      </c>
      <c r="B1894"/>
      <c r="C1894">
        <v>10</v>
      </c>
    </row>
    <row r="1895" spans="1:3">
      <c r="A1895">
        <v>7256</v>
      </c>
      <c r="B1895"/>
      <c r="C1895">
        <v>10</v>
      </c>
    </row>
    <row r="1896" spans="1:3">
      <c r="A1896">
        <v>7257</v>
      </c>
      <c r="B1896"/>
      <c r="C1896">
        <v>10</v>
      </c>
    </row>
    <row r="1897" spans="1:3">
      <c r="A1897">
        <v>7258</v>
      </c>
      <c r="B1897"/>
      <c r="C1897">
        <v>10</v>
      </c>
    </row>
    <row r="1898" spans="1:3">
      <c r="A1898">
        <v>7261</v>
      </c>
      <c r="B1898"/>
      <c r="C1898">
        <v>10</v>
      </c>
    </row>
    <row r="1899" spans="1:3">
      <c r="A1899">
        <v>7271</v>
      </c>
      <c r="B1899"/>
      <c r="C1899">
        <v>10</v>
      </c>
    </row>
    <row r="1900" spans="1:3">
      <c r="A1900">
        <v>7272</v>
      </c>
      <c r="B1900"/>
      <c r="C1900">
        <v>10</v>
      </c>
    </row>
    <row r="1901" spans="1:3">
      <c r="A1901">
        <v>7273</v>
      </c>
      <c r="B1901"/>
      <c r="C1901">
        <v>10</v>
      </c>
    </row>
    <row r="1902" spans="1:3">
      <c r="A1902">
        <v>7274</v>
      </c>
      <c r="B1902"/>
      <c r="C1902">
        <v>10</v>
      </c>
    </row>
    <row r="1903" spans="1:3">
      <c r="A1903">
        <v>7275</v>
      </c>
      <c r="B1903"/>
      <c r="C1903">
        <v>10</v>
      </c>
    </row>
    <row r="1904" spans="1:3">
      <c r="A1904">
        <v>7276</v>
      </c>
      <c r="B1904"/>
      <c r="C1904">
        <v>10</v>
      </c>
    </row>
    <row r="1905" spans="1:3">
      <c r="A1905">
        <v>7279</v>
      </c>
      <c r="B1905"/>
      <c r="C1905">
        <v>10</v>
      </c>
    </row>
    <row r="1906" spans="1:3">
      <c r="A1906">
        <v>7281</v>
      </c>
      <c r="B1906"/>
      <c r="C1906">
        <v>10</v>
      </c>
    </row>
    <row r="1907" spans="1:3">
      <c r="A1907">
        <v>7282</v>
      </c>
      <c r="B1907"/>
      <c r="C1907">
        <v>10</v>
      </c>
    </row>
    <row r="1908" spans="1:3">
      <c r="A1908">
        <v>7283</v>
      </c>
      <c r="B1908"/>
      <c r="C1908">
        <v>10</v>
      </c>
    </row>
    <row r="1909" spans="1:3">
      <c r="A1909">
        <v>7284</v>
      </c>
      <c r="B1909"/>
      <c r="C1909">
        <v>10</v>
      </c>
    </row>
    <row r="1910" spans="1:3">
      <c r="A1910">
        <v>7285</v>
      </c>
      <c r="B1910"/>
      <c r="C1910">
        <v>10</v>
      </c>
    </row>
    <row r="1911" spans="1:3">
      <c r="A1911">
        <v>7300</v>
      </c>
      <c r="B1911"/>
      <c r="C1911">
        <v>8</v>
      </c>
    </row>
    <row r="1912" spans="1:3">
      <c r="A1912">
        <v>7304</v>
      </c>
      <c r="B1912"/>
      <c r="C1912">
        <v>9</v>
      </c>
    </row>
    <row r="1913" spans="1:3">
      <c r="A1913">
        <v>7305</v>
      </c>
      <c r="B1913"/>
      <c r="C1913">
        <v>9</v>
      </c>
    </row>
    <row r="1914" spans="1:3">
      <c r="A1914">
        <v>7331</v>
      </c>
      <c r="B1914"/>
      <c r="C1914">
        <v>9</v>
      </c>
    </row>
    <row r="1915" spans="1:3">
      <c r="A1915">
        <v>7332</v>
      </c>
      <c r="B1915"/>
      <c r="C1915">
        <v>9</v>
      </c>
    </row>
    <row r="1916" spans="1:3">
      <c r="A1916">
        <v>7333</v>
      </c>
      <c r="B1916"/>
      <c r="C1916">
        <v>9</v>
      </c>
    </row>
    <row r="1917" spans="1:3">
      <c r="A1917">
        <v>7334</v>
      </c>
      <c r="B1917"/>
      <c r="C1917">
        <v>9</v>
      </c>
    </row>
    <row r="1918" spans="1:3">
      <c r="A1918">
        <v>7341</v>
      </c>
      <c r="B1918"/>
      <c r="C1918">
        <v>10</v>
      </c>
    </row>
    <row r="1919" spans="1:3">
      <c r="A1919">
        <v>7342</v>
      </c>
      <c r="B1919"/>
      <c r="C1919">
        <v>9</v>
      </c>
    </row>
    <row r="1920" spans="1:3">
      <c r="A1920">
        <v>7343</v>
      </c>
      <c r="B1920"/>
      <c r="C1920">
        <v>9</v>
      </c>
    </row>
    <row r="1921" spans="1:3">
      <c r="A1921">
        <v>7344</v>
      </c>
      <c r="B1921"/>
      <c r="C1921">
        <v>9</v>
      </c>
    </row>
    <row r="1922" spans="1:3">
      <c r="A1922">
        <v>7345</v>
      </c>
      <c r="B1922"/>
      <c r="C1922">
        <v>9</v>
      </c>
    </row>
    <row r="1923" spans="1:3">
      <c r="A1923">
        <v>7346</v>
      </c>
      <c r="B1923"/>
      <c r="C1923">
        <v>9</v>
      </c>
    </row>
    <row r="1924" spans="1:3">
      <c r="A1924">
        <v>7347</v>
      </c>
      <c r="B1924"/>
      <c r="C1924">
        <v>9</v>
      </c>
    </row>
    <row r="1925" spans="1:3">
      <c r="A1925">
        <v>7348</v>
      </c>
      <c r="B1925"/>
      <c r="C1925">
        <v>9</v>
      </c>
    </row>
    <row r="1926" spans="1:3">
      <c r="A1926">
        <v>7349</v>
      </c>
      <c r="B1926"/>
      <c r="C1926">
        <v>8</v>
      </c>
    </row>
    <row r="1927" spans="1:3">
      <c r="A1927">
        <v>7351</v>
      </c>
      <c r="B1927"/>
      <c r="C1927">
        <v>8</v>
      </c>
    </row>
    <row r="1928" spans="1:3">
      <c r="A1928">
        <v>7352</v>
      </c>
      <c r="B1928"/>
      <c r="C1928">
        <v>10</v>
      </c>
    </row>
    <row r="1929" spans="1:3">
      <c r="A1929">
        <v>7353</v>
      </c>
      <c r="B1929"/>
      <c r="C1929">
        <v>10</v>
      </c>
    </row>
    <row r="1930" spans="1:3">
      <c r="A1930">
        <v>7354</v>
      </c>
      <c r="B1930"/>
      <c r="C1930">
        <v>10</v>
      </c>
    </row>
    <row r="1931" spans="1:3">
      <c r="A1931">
        <v>7355</v>
      </c>
      <c r="B1931"/>
      <c r="C1931">
        <v>9</v>
      </c>
    </row>
    <row r="1932" spans="1:3">
      <c r="A1932">
        <v>7356</v>
      </c>
      <c r="B1932"/>
      <c r="C1932">
        <v>10</v>
      </c>
    </row>
    <row r="1933" spans="1:3">
      <c r="A1933">
        <v>7357</v>
      </c>
      <c r="B1933"/>
      <c r="C1933">
        <v>10</v>
      </c>
    </row>
    <row r="1934" spans="1:3">
      <c r="A1934">
        <v>7361</v>
      </c>
      <c r="B1934"/>
      <c r="C1934">
        <v>9</v>
      </c>
    </row>
    <row r="1935" spans="1:3">
      <c r="A1935">
        <v>7362</v>
      </c>
      <c r="B1935"/>
      <c r="C1935">
        <v>9</v>
      </c>
    </row>
    <row r="1936" spans="1:3">
      <c r="A1936">
        <v>7370</v>
      </c>
      <c r="B1936"/>
      <c r="C1936">
        <v>8</v>
      </c>
    </row>
    <row r="1937" spans="1:3">
      <c r="A1937">
        <v>7381</v>
      </c>
      <c r="B1937"/>
      <c r="C1937">
        <v>9</v>
      </c>
    </row>
    <row r="1938" spans="1:3">
      <c r="A1938">
        <v>7383</v>
      </c>
      <c r="B1938"/>
      <c r="C1938">
        <v>9</v>
      </c>
    </row>
    <row r="1939" spans="1:3">
      <c r="A1939">
        <v>7384</v>
      </c>
      <c r="B1939"/>
      <c r="C1939">
        <v>9</v>
      </c>
    </row>
    <row r="1940" spans="1:3">
      <c r="A1940">
        <v>7385</v>
      </c>
      <c r="B1940"/>
      <c r="C1940">
        <v>9</v>
      </c>
    </row>
    <row r="1941" spans="1:3">
      <c r="A1941">
        <v>7386</v>
      </c>
      <c r="B1941"/>
      <c r="C1941">
        <v>9</v>
      </c>
    </row>
    <row r="1942" spans="1:3">
      <c r="A1942">
        <v>7391</v>
      </c>
      <c r="B1942"/>
      <c r="C1942">
        <v>9</v>
      </c>
    </row>
    <row r="1943" spans="1:3">
      <c r="A1943">
        <v>7393</v>
      </c>
      <c r="B1943"/>
      <c r="C1943">
        <v>9</v>
      </c>
    </row>
    <row r="1944" spans="1:3">
      <c r="A1944">
        <v>7394</v>
      </c>
      <c r="B1944"/>
      <c r="C1944">
        <v>9</v>
      </c>
    </row>
    <row r="1945" spans="1:3">
      <c r="A1945">
        <v>7396</v>
      </c>
      <c r="B1945"/>
      <c r="C1945">
        <v>8</v>
      </c>
    </row>
    <row r="1946" spans="1:3">
      <c r="A1946">
        <v>7400</v>
      </c>
      <c r="B1946"/>
      <c r="C1946">
        <v>7</v>
      </c>
    </row>
    <row r="1947" spans="1:3">
      <c r="A1947">
        <v>7431</v>
      </c>
      <c r="B1947"/>
      <c r="C1947">
        <v>10</v>
      </c>
    </row>
    <row r="1948" spans="1:3">
      <c r="A1948">
        <v>7432</v>
      </c>
      <c r="B1948"/>
      <c r="C1948">
        <v>10</v>
      </c>
    </row>
    <row r="1949" spans="1:3">
      <c r="A1949">
        <v>7434</v>
      </c>
      <c r="B1949"/>
      <c r="C1949">
        <v>10</v>
      </c>
    </row>
    <row r="1950" spans="1:3">
      <c r="A1950">
        <v>7435</v>
      </c>
      <c r="B1950"/>
      <c r="C1950">
        <v>10</v>
      </c>
    </row>
    <row r="1951" spans="1:3">
      <c r="A1951">
        <v>7436</v>
      </c>
      <c r="B1951"/>
      <c r="C1951">
        <v>10</v>
      </c>
    </row>
    <row r="1952" spans="1:3">
      <c r="A1952">
        <v>7439</v>
      </c>
      <c r="B1952"/>
      <c r="C1952">
        <v>10</v>
      </c>
    </row>
    <row r="1953" spans="1:3">
      <c r="A1953">
        <v>7441</v>
      </c>
      <c r="B1953"/>
      <c r="C1953">
        <v>10</v>
      </c>
    </row>
    <row r="1954" spans="1:3">
      <c r="A1954">
        <v>7442</v>
      </c>
      <c r="B1954"/>
      <c r="C1954">
        <v>10</v>
      </c>
    </row>
    <row r="1955" spans="1:3">
      <c r="A1955">
        <v>7443</v>
      </c>
      <c r="B1955"/>
      <c r="C1955">
        <v>10</v>
      </c>
    </row>
    <row r="1956" spans="1:3">
      <c r="A1956">
        <v>7444</v>
      </c>
      <c r="B1956"/>
      <c r="C1956">
        <v>10</v>
      </c>
    </row>
    <row r="1957" spans="1:3">
      <c r="A1957">
        <v>7451</v>
      </c>
      <c r="B1957"/>
      <c r="C1957">
        <v>7</v>
      </c>
    </row>
    <row r="1958" spans="1:3">
      <c r="A1958">
        <v>7452</v>
      </c>
      <c r="B1958"/>
      <c r="C1958">
        <v>10</v>
      </c>
    </row>
    <row r="1959" spans="1:3">
      <c r="A1959">
        <v>7453</v>
      </c>
      <c r="B1959"/>
      <c r="C1959">
        <v>10</v>
      </c>
    </row>
    <row r="1960" spans="1:3">
      <c r="A1960">
        <v>7454</v>
      </c>
      <c r="B1960"/>
      <c r="C1960">
        <v>10</v>
      </c>
    </row>
    <row r="1961" spans="1:3">
      <c r="A1961">
        <v>7455</v>
      </c>
      <c r="B1961"/>
      <c r="C1961">
        <v>10</v>
      </c>
    </row>
    <row r="1962" spans="1:3">
      <c r="A1962">
        <v>7456</v>
      </c>
      <c r="B1962"/>
      <c r="C1962">
        <v>10</v>
      </c>
    </row>
    <row r="1963" spans="1:3">
      <c r="A1963">
        <v>7457</v>
      </c>
      <c r="B1963"/>
      <c r="C1963">
        <v>10</v>
      </c>
    </row>
    <row r="1964" spans="1:3">
      <c r="A1964">
        <v>7458</v>
      </c>
      <c r="B1964"/>
      <c r="C1964">
        <v>10</v>
      </c>
    </row>
    <row r="1965" spans="1:3">
      <c r="A1965">
        <v>7461</v>
      </c>
      <c r="B1965"/>
      <c r="C1965">
        <v>7</v>
      </c>
    </row>
    <row r="1966" spans="1:3">
      <c r="A1966">
        <v>7463</v>
      </c>
      <c r="B1966"/>
      <c r="C1966">
        <v>10</v>
      </c>
    </row>
    <row r="1967" spans="1:3">
      <c r="A1967">
        <v>7464</v>
      </c>
      <c r="B1967"/>
      <c r="C1967">
        <v>10</v>
      </c>
    </row>
    <row r="1968" spans="1:3">
      <c r="A1968">
        <v>7465</v>
      </c>
      <c r="B1968"/>
      <c r="C1968">
        <v>10</v>
      </c>
    </row>
    <row r="1969" spans="1:3">
      <c r="A1969">
        <v>7471</v>
      </c>
      <c r="B1969"/>
      <c r="C1969">
        <v>10</v>
      </c>
    </row>
    <row r="1970" spans="1:3">
      <c r="A1970">
        <v>7472</v>
      </c>
      <c r="B1970"/>
      <c r="C1970">
        <v>10</v>
      </c>
    </row>
    <row r="1971" spans="1:3">
      <c r="A1971">
        <v>7473</v>
      </c>
      <c r="B1971"/>
      <c r="C1971">
        <v>10</v>
      </c>
    </row>
    <row r="1972" spans="1:3">
      <c r="A1972">
        <v>7474</v>
      </c>
      <c r="B1972"/>
      <c r="C1972">
        <v>10</v>
      </c>
    </row>
    <row r="1973" spans="1:3">
      <c r="A1973">
        <v>7475</v>
      </c>
      <c r="B1973"/>
      <c r="C1973">
        <v>10</v>
      </c>
    </row>
    <row r="1974" spans="1:3">
      <c r="A1974">
        <v>7476</v>
      </c>
      <c r="B1974"/>
      <c r="C1974">
        <v>10</v>
      </c>
    </row>
    <row r="1975" spans="1:3">
      <c r="A1975">
        <v>7477</v>
      </c>
      <c r="B1975"/>
      <c r="C1975">
        <v>10</v>
      </c>
    </row>
    <row r="1976" spans="1:3">
      <c r="A1976">
        <v>7478</v>
      </c>
      <c r="B1976"/>
      <c r="C1976">
        <v>10</v>
      </c>
    </row>
    <row r="1977" spans="1:3">
      <c r="A1977">
        <v>7479</v>
      </c>
      <c r="B1977"/>
      <c r="C1977">
        <v>10</v>
      </c>
    </row>
    <row r="1978" spans="1:3">
      <c r="A1978">
        <v>7500</v>
      </c>
      <c r="B1978"/>
      <c r="C1978">
        <v>9</v>
      </c>
    </row>
    <row r="1979" spans="1:3">
      <c r="A1979">
        <v>7511</v>
      </c>
      <c r="B1979"/>
      <c r="C1979">
        <v>10</v>
      </c>
    </row>
    <row r="1980" spans="1:3">
      <c r="A1980">
        <v>7512</v>
      </c>
      <c r="B1980"/>
      <c r="C1980">
        <v>10</v>
      </c>
    </row>
    <row r="1981" spans="1:3">
      <c r="A1981">
        <v>7513</v>
      </c>
      <c r="B1981"/>
      <c r="C1981">
        <v>10</v>
      </c>
    </row>
    <row r="1982" spans="1:3">
      <c r="A1982">
        <v>7514</v>
      </c>
      <c r="B1982"/>
      <c r="C1982">
        <v>10</v>
      </c>
    </row>
    <row r="1983" spans="1:3">
      <c r="A1983">
        <v>7515</v>
      </c>
      <c r="B1983"/>
      <c r="C1983">
        <v>10</v>
      </c>
    </row>
    <row r="1984" spans="1:3">
      <c r="A1984">
        <v>7516</v>
      </c>
      <c r="B1984"/>
      <c r="C1984">
        <v>10</v>
      </c>
    </row>
    <row r="1985" spans="1:3">
      <c r="A1985">
        <v>7517</v>
      </c>
      <c r="B1985"/>
      <c r="C1985">
        <v>10</v>
      </c>
    </row>
    <row r="1986" spans="1:3">
      <c r="A1986">
        <v>7521</v>
      </c>
      <c r="B1986"/>
      <c r="C1986">
        <v>9</v>
      </c>
    </row>
    <row r="1987" spans="1:3">
      <c r="A1987">
        <v>7522</v>
      </c>
      <c r="B1987"/>
      <c r="C1987">
        <v>10</v>
      </c>
    </row>
    <row r="1988" spans="1:3">
      <c r="A1988">
        <v>7523</v>
      </c>
      <c r="B1988"/>
      <c r="C1988">
        <v>10</v>
      </c>
    </row>
    <row r="1989" spans="1:3">
      <c r="A1989">
        <v>7524</v>
      </c>
      <c r="B1989"/>
      <c r="C1989">
        <v>10</v>
      </c>
    </row>
    <row r="1990" spans="1:3">
      <c r="A1990">
        <v>7525</v>
      </c>
      <c r="B1990"/>
      <c r="C1990">
        <v>10</v>
      </c>
    </row>
    <row r="1991" spans="1:3">
      <c r="A1991">
        <v>7526</v>
      </c>
      <c r="B1991"/>
      <c r="C1991">
        <v>10</v>
      </c>
    </row>
    <row r="1992" spans="1:3">
      <c r="A1992">
        <v>7527</v>
      </c>
      <c r="B1992"/>
      <c r="C1992">
        <v>10</v>
      </c>
    </row>
    <row r="1993" spans="1:3">
      <c r="A1993">
        <v>7530</v>
      </c>
      <c r="B1993"/>
      <c r="C1993">
        <v>10</v>
      </c>
    </row>
    <row r="1994" spans="1:3">
      <c r="A1994">
        <v>7532</v>
      </c>
      <c r="B1994"/>
      <c r="C1994">
        <v>10</v>
      </c>
    </row>
    <row r="1995" spans="1:3">
      <c r="A1995">
        <v>7533</v>
      </c>
      <c r="B1995"/>
      <c r="C1995">
        <v>10</v>
      </c>
    </row>
    <row r="1996" spans="1:3">
      <c r="A1996">
        <v>7534</v>
      </c>
      <c r="B1996"/>
      <c r="C1996">
        <v>10</v>
      </c>
    </row>
    <row r="1997" spans="1:3">
      <c r="A1997">
        <v>7535</v>
      </c>
      <c r="B1997"/>
      <c r="C1997">
        <v>10</v>
      </c>
    </row>
    <row r="1998" spans="1:3">
      <c r="A1998">
        <v>7536</v>
      </c>
      <c r="B1998"/>
      <c r="C1998">
        <v>10</v>
      </c>
    </row>
    <row r="1999" spans="1:3">
      <c r="A1999">
        <v>7537</v>
      </c>
      <c r="B1999"/>
      <c r="C1999">
        <v>10</v>
      </c>
    </row>
    <row r="2000" spans="1:3">
      <c r="A2000">
        <v>7538</v>
      </c>
      <c r="B2000"/>
      <c r="C2000">
        <v>10</v>
      </c>
    </row>
    <row r="2001" spans="1:3">
      <c r="A2001">
        <v>7539</v>
      </c>
      <c r="B2001"/>
      <c r="C2001">
        <v>10</v>
      </c>
    </row>
    <row r="2002" spans="1:3">
      <c r="A2002">
        <v>7541</v>
      </c>
      <c r="B2002"/>
      <c r="C2002">
        <v>10</v>
      </c>
    </row>
    <row r="2003" spans="1:3">
      <c r="A2003">
        <v>7542</v>
      </c>
      <c r="B2003"/>
      <c r="C2003">
        <v>10</v>
      </c>
    </row>
    <row r="2004" spans="1:3">
      <c r="A2004">
        <v>7543</v>
      </c>
      <c r="B2004"/>
      <c r="C2004">
        <v>10</v>
      </c>
    </row>
    <row r="2005" spans="1:3">
      <c r="A2005">
        <v>7544</v>
      </c>
      <c r="B2005"/>
      <c r="C2005">
        <v>10</v>
      </c>
    </row>
    <row r="2006" spans="1:3">
      <c r="A2006">
        <v>7545</v>
      </c>
      <c r="B2006"/>
      <c r="C2006">
        <v>10</v>
      </c>
    </row>
    <row r="2007" spans="1:3">
      <c r="A2007">
        <v>7551</v>
      </c>
      <c r="B2007"/>
      <c r="C2007">
        <v>10</v>
      </c>
    </row>
    <row r="2008" spans="1:3">
      <c r="A2008">
        <v>7552</v>
      </c>
      <c r="B2008"/>
      <c r="C2008">
        <v>10</v>
      </c>
    </row>
    <row r="2009" spans="1:3">
      <c r="A2009">
        <v>7553</v>
      </c>
      <c r="B2009"/>
      <c r="C2009">
        <v>10</v>
      </c>
    </row>
    <row r="2010" spans="1:3">
      <c r="A2010">
        <v>7555</v>
      </c>
      <c r="B2010"/>
      <c r="C2010">
        <v>10</v>
      </c>
    </row>
    <row r="2011" spans="1:3">
      <c r="A2011">
        <v>7556</v>
      </c>
      <c r="B2011"/>
      <c r="C2011">
        <v>10</v>
      </c>
    </row>
    <row r="2012" spans="1:3">
      <c r="A2012">
        <v>7557</v>
      </c>
      <c r="B2012"/>
      <c r="C2012">
        <v>10</v>
      </c>
    </row>
    <row r="2013" spans="1:3">
      <c r="A2013">
        <v>7561</v>
      </c>
      <c r="B2013"/>
      <c r="C2013">
        <v>10</v>
      </c>
    </row>
    <row r="2014" spans="1:3">
      <c r="A2014">
        <v>7562</v>
      </c>
      <c r="B2014"/>
      <c r="C2014">
        <v>10</v>
      </c>
    </row>
    <row r="2015" spans="1:3">
      <c r="A2015">
        <v>7563</v>
      </c>
      <c r="B2015"/>
      <c r="C2015">
        <v>10</v>
      </c>
    </row>
    <row r="2016" spans="1:3">
      <c r="A2016">
        <v>7564</v>
      </c>
      <c r="B2016"/>
      <c r="C2016">
        <v>10</v>
      </c>
    </row>
    <row r="2017" spans="1:3">
      <c r="A2017">
        <v>7570</v>
      </c>
      <c r="B2017"/>
      <c r="C2017">
        <v>10</v>
      </c>
    </row>
    <row r="2018" spans="1:3">
      <c r="A2018">
        <v>7582</v>
      </c>
      <c r="B2018"/>
      <c r="C2018">
        <v>10</v>
      </c>
    </row>
    <row r="2019" spans="1:3">
      <c r="A2019">
        <v>7584</v>
      </c>
      <c r="B2019"/>
      <c r="C2019">
        <v>10</v>
      </c>
    </row>
    <row r="2020" spans="1:3">
      <c r="A2020">
        <v>7585</v>
      </c>
      <c r="B2020"/>
      <c r="C2020">
        <v>10</v>
      </c>
    </row>
    <row r="2021" spans="1:3">
      <c r="A2021">
        <v>7586</v>
      </c>
      <c r="B2021"/>
      <c r="C2021">
        <v>10</v>
      </c>
    </row>
    <row r="2022" spans="1:3">
      <c r="A2022">
        <v>7587</v>
      </c>
      <c r="B2022"/>
      <c r="C2022">
        <v>10</v>
      </c>
    </row>
    <row r="2023" spans="1:3">
      <c r="A2023">
        <v>7588</v>
      </c>
      <c r="B2023"/>
      <c r="C2023">
        <v>10</v>
      </c>
    </row>
    <row r="2024" spans="1:3">
      <c r="A2024">
        <v>7589</v>
      </c>
      <c r="B2024"/>
      <c r="C2024">
        <v>10</v>
      </c>
    </row>
    <row r="2025" spans="1:3">
      <c r="A2025">
        <v>7602</v>
      </c>
      <c r="B2025"/>
      <c r="C2025">
        <v>6</v>
      </c>
    </row>
    <row r="2026" spans="1:3">
      <c r="A2026">
        <v>7616</v>
      </c>
      <c r="B2026"/>
      <c r="C2026">
        <v>6</v>
      </c>
    </row>
    <row r="2027" spans="1:3">
      <c r="A2027">
        <v>7621</v>
      </c>
      <c r="B2027"/>
      <c r="C2027">
        <v>6</v>
      </c>
    </row>
    <row r="2028" spans="1:3">
      <c r="A2028">
        <v>7622</v>
      </c>
      <c r="B2028"/>
      <c r="C2028">
        <v>6</v>
      </c>
    </row>
    <row r="2029" spans="1:3">
      <c r="A2029">
        <v>7623</v>
      </c>
      <c r="B2029"/>
      <c r="C2029">
        <v>6</v>
      </c>
    </row>
    <row r="2030" spans="1:3">
      <c r="A2030">
        <v>7624</v>
      </c>
      <c r="B2030"/>
      <c r="C2030">
        <v>6</v>
      </c>
    </row>
    <row r="2031" spans="1:3">
      <c r="A2031">
        <v>7625</v>
      </c>
      <c r="B2031"/>
      <c r="C2031">
        <v>6</v>
      </c>
    </row>
    <row r="2032" spans="1:3">
      <c r="A2032">
        <v>7626</v>
      </c>
      <c r="B2032"/>
      <c r="C2032">
        <v>6</v>
      </c>
    </row>
    <row r="2033" spans="1:3">
      <c r="A2033">
        <v>7627</v>
      </c>
      <c r="B2033"/>
      <c r="C2033">
        <v>6</v>
      </c>
    </row>
    <row r="2034" spans="1:3">
      <c r="A2034">
        <v>7628</v>
      </c>
      <c r="B2034"/>
      <c r="C2034">
        <v>6</v>
      </c>
    </row>
    <row r="2035" spans="1:3">
      <c r="A2035">
        <v>7629</v>
      </c>
      <c r="B2035"/>
      <c r="C2035">
        <v>6</v>
      </c>
    </row>
    <row r="2036" spans="1:3">
      <c r="A2036">
        <v>7630</v>
      </c>
      <c r="B2036"/>
      <c r="C2036">
        <v>6</v>
      </c>
    </row>
    <row r="2037" spans="1:3">
      <c r="A2037">
        <v>7631</v>
      </c>
      <c r="B2037"/>
      <c r="C2037">
        <v>6</v>
      </c>
    </row>
    <row r="2038" spans="1:3">
      <c r="A2038">
        <v>7632</v>
      </c>
      <c r="B2038"/>
      <c r="C2038">
        <v>6</v>
      </c>
    </row>
    <row r="2039" spans="1:3">
      <c r="A2039">
        <v>7633</v>
      </c>
      <c r="B2039"/>
      <c r="C2039">
        <v>6</v>
      </c>
    </row>
    <row r="2040" spans="1:3">
      <c r="A2040">
        <v>7634</v>
      </c>
      <c r="B2040"/>
      <c r="C2040">
        <v>6</v>
      </c>
    </row>
    <row r="2041" spans="1:3">
      <c r="A2041">
        <v>7635</v>
      </c>
      <c r="B2041"/>
      <c r="C2041">
        <v>6</v>
      </c>
    </row>
    <row r="2042" spans="1:3">
      <c r="A2042">
        <v>7636</v>
      </c>
      <c r="B2042"/>
      <c r="C2042">
        <v>6</v>
      </c>
    </row>
    <row r="2043" spans="1:3">
      <c r="A2043">
        <v>7639</v>
      </c>
      <c r="B2043"/>
      <c r="C2043">
        <v>6</v>
      </c>
    </row>
    <row r="2044" spans="1:3">
      <c r="A2044">
        <v>7661</v>
      </c>
      <c r="B2044"/>
      <c r="C2044">
        <v>9</v>
      </c>
    </row>
    <row r="2045" spans="1:3">
      <c r="A2045">
        <v>7663</v>
      </c>
      <c r="B2045"/>
      <c r="C2045">
        <v>9</v>
      </c>
    </row>
    <row r="2046" spans="1:3">
      <c r="A2046">
        <v>7664</v>
      </c>
      <c r="B2046"/>
      <c r="C2046">
        <v>9</v>
      </c>
    </row>
    <row r="2047" spans="1:3">
      <c r="A2047">
        <v>7666</v>
      </c>
      <c r="B2047"/>
      <c r="C2047">
        <v>8</v>
      </c>
    </row>
    <row r="2048" spans="1:3">
      <c r="A2048">
        <v>7668</v>
      </c>
      <c r="B2048"/>
      <c r="C2048">
        <v>8</v>
      </c>
    </row>
    <row r="2049" spans="1:3">
      <c r="A2049">
        <v>7671</v>
      </c>
      <c r="B2049"/>
      <c r="C2049">
        <v>9</v>
      </c>
    </row>
    <row r="2050" spans="1:3">
      <c r="A2050">
        <v>7672</v>
      </c>
      <c r="B2050"/>
      <c r="C2050">
        <v>9</v>
      </c>
    </row>
    <row r="2051" spans="1:3">
      <c r="A2051">
        <v>7673</v>
      </c>
      <c r="B2051"/>
      <c r="C2051">
        <v>9</v>
      </c>
    </row>
    <row r="2052" spans="1:3">
      <c r="A2052">
        <v>7675</v>
      </c>
      <c r="B2052"/>
      <c r="C2052">
        <v>9</v>
      </c>
    </row>
    <row r="2053" spans="1:3">
      <c r="A2053">
        <v>7677</v>
      </c>
      <c r="B2053"/>
      <c r="C2053">
        <v>9</v>
      </c>
    </row>
    <row r="2054" spans="1:3">
      <c r="A2054">
        <v>7678</v>
      </c>
      <c r="B2054"/>
      <c r="C2054">
        <v>9</v>
      </c>
    </row>
    <row r="2055" spans="1:3">
      <c r="A2055">
        <v>7681</v>
      </c>
      <c r="B2055"/>
      <c r="C2055">
        <v>9</v>
      </c>
    </row>
    <row r="2056" spans="1:3">
      <c r="A2056">
        <v>7682</v>
      </c>
      <c r="B2056"/>
      <c r="C2056">
        <v>9</v>
      </c>
    </row>
    <row r="2057" spans="1:3">
      <c r="A2057">
        <v>7683</v>
      </c>
      <c r="B2057"/>
      <c r="C2057">
        <v>9</v>
      </c>
    </row>
    <row r="2058" spans="1:3">
      <c r="A2058">
        <v>7691</v>
      </c>
      <c r="B2058"/>
      <c r="C2058">
        <v>6</v>
      </c>
    </row>
    <row r="2059" spans="1:3">
      <c r="A2059">
        <v>7693</v>
      </c>
      <c r="B2059"/>
      <c r="C2059">
        <v>6</v>
      </c>
    </row>
    <row r="2060" spans="1:3">
      <c r="A2060">
        <v>7694</v>
      </c>
      <c r="B2060"/>
      <c r="C2060">
        <v>9</v>
      </c>
    </row>
    <row r="2061" spans="1:3">
      <c r="A2061">
        <v>7695</v>
      </c>
      <c r="B2061"/>
      <c r="C2061">
        <v>9</v>
      </c>
    </row>
    <row r="2062" spans="1:3">
      <c r="A2062">
        <v>7696</v>
      </c>
      <c r="B2062"/>
      <c r="C2062">
        <v>8</v>
      </c>
    </row>
    <row r="2063" spans="1:3">
      <c r="A2063">
        <v>7700</v>
      </c>
      <c r="B2063"/>
      <c r="C2063">
        <v>8</v>
      </c>
    </row>
    <row r="2064" spans="1:3">
      <c r="A2064">
        <v>7711</v>
      </c>
      <c r="B2064"/>
      <c r="C2064">
        <v>9</v>
      </c>
    </row>
    <row r="2065" spans="1:3">
      <c r="A2065">
        <v>7712</v>
      </c>
      <c r="B2065"/>
      <c r="C2065">
        <v>9</v>
      </c>
    </row>
    <row r="2066" spans="1:3">
      <c r="A2066">
        <v>7714</v>
      </c>
      <c r="B2066"/>
      <c r="C2066">
        <v>8</v>
      </c>
    </row>
    <row r="2067" spans="1:3">
      <c r="A2067">
        <v>7715</v>
      </c>
      <c r="B2067"/>
      <c r="C2067">
        <v>8</v>
      </c>
    </row>
    <row r="2068" spans="1:3">
      <c r="A2068">
        <v>7716</v>
      </c>
      <c r="B2068"/>
      <c r="C2068">
        <v>9</v>
      </c>
    </row>
    <row r="2069" spans="1:3">
      <c r="A2069">
        <v>7717</v>
      </c>
      <c r="B2069"/>
      <c r="C2069">
        <v>9</v>
      </c>
    </row>
    <row r="2070" spans="1:3">
      <c r="A2070">
        <v>7718</v>
      </c>
      <c r="B2070"/>
      <c r="C2070">
        <v>9</v>
      </c>
    </row>
    <row r="2071" spans="1:3">
      <c r="A2071">
        <v>7720</v>
      </c>
      <c r="B2071"/>
      <c r="C2071">
        <v>8</v>
      </c>
    </row>
    <row r="2072" spans="1:3">
      <c r="A2072">
        <v>7723</v>
      </c>
      <c r="B2072"/>
      <c r="C2072">
        <v>9</v>
      </c>
    </row>
    <row r="2073" spans="1:3">
      <c r="A2073">
        <v>7724</v>
      </c>
      <c r="B2073"/>
      <c r="C2073">
        <v>9</v>
      </c>
    </row>
    <row r="2074" spans="1:3">
      <c r="A2074">
        <v>7725</v>
      </c>
      <c r="B2074"/>
      <c r="C2074">
        <v>9</v>
      </c>
    </row>
    <row r="2075" spans="1:3">
      <c r="A2075">
        <v>7726</v>
      </c>
      <c r="B2075"/>
      <c r="C2075">
        <v>9</v>
      </c>
    </row>
    <row r="2076" spans="1:3">
      <c r="A2076">
        <v>7727</v>
      </c>
      <c r="B2076"/>
      <c r="C2076">
        <v>9</v>
      </c>
    </row>
    <row r="2077" spans="1:3">
      <c r="A2077">
        <v>7728</v>
      </c>
      <c r="B2077"/>
      <c r="C2077">
        <v>9</v>
      </c>
    </row>
    <row r="2078" spans="1:3">
      <c r="A2078">
        <v>7731</v>
      </c>
      <c r="B2078"/>
      <c r="C2078">
        <v>9</v>
      </c>
    </row>
    <row r="2079" spans="1:3">
      <c r="A2079">
        <v>7732</v>
      </c>
      <c r="B2079"/>
      <c r="C2079">
        <v>9</v>
      </c>
    </row>
    <row r="2080" spans="1:3">
      <c r="A2080">
        <v>7733</v>
      </c>
      <c r="B2080"/>
      <c r="C2080">
        <v>9</v>
      </c>
    </row>
    <row r="2081" spans="1:3">
      <c r="A2081">
        <v>7735</v>
      </c>
      <c r="B2081"/>
      <c r="C2081">
        <v>9</v>
      </c>
    </row>
    <row r="2082" spans="1:3">
      <c r="A2082">
        <v>7737</v>
      </c>
      <c r="B2082"/>
      <c r="C2082">
        <v>9</v>
      </c>
    </row>
    <row r="2083" spans="1:3">
      <c r="A2083">
        <v>7741</v>
      </c>
      <c r="B2083"/>
      <c r="C2083">
        <v>8</v>
      </c>
    </row>
    <row r="2084" spans="1:3">
      <c r="A2084">
        <v>7742</v>
      </c>
      <c r="B2084"/>
      <c r="C2084">
        <v>8</v>
      </c>
    </row>
    <row r="2085" spans="1:3">
      <c r="A2085">
        <v>7743</v>
      </c>
      <c r="B2085"/>
      <c r="C2085">
        <v>9</v>
      </c>
    </row>
    <row r="2086" spans="1:3">
      <c r="A2086">
        <v>7744</v>
      </c>
      <c r="B2086"/>
      <c r="C2086">
        <v>9</v>
      </c>
    </row>
    <row r="2087" spans="1:3">
      <c r="A2087">
        <v>7745</v>
      </c>
      <c r="B2087"/>
      <c r="C2087">
        <v>9</v>
      </c>
    </row>
    <row r="2088" spans="1:3">
      <c r="A2088">
        <v>7747</v>
      </c>
      <c r="B2088"/>
      <c r="C2088">
        <v>9</v>
      </c>
    </row>
    <row r="2089" spans="1:3">
      <c r="A2089">
        <v>7751</v>
      </c>
      <c r="B2089"/>
      <c r="C2089">
        <v>8</v>
      </c>
    </row>
    <row r="2090" spans="1:3">
      <c r="A2090">
        <v>7752</v>
      </c>
      <c r="B2090"/>
      <c r="C2090">
        <v>9</v>
      </c>
    </row>
    <row r="2091" spans="1:3">
      <c r="A2091">
        <v>7753</v>
      </c>
      <c r="B2091"/>
      <c r="C2091">
        <v>9</v>
      </c>
    </row>
    <row r="2092" spans="1:3">
      <c r="A2092">
        <v>7754</v>
      </c>
      <c r="B2092"/>
      <c r="C2092">
        <v>8</v>
      </c>
    </row>
    <row r="2093" spans="1:3">
      <c r="A2093">
        <v>7755</v>
      </c>
      <c r="B2093"/>
      <c r="C2093">
        <v>9</v>
      </c>
    </row>
    <row r="2094" spans="1:3">
      <c r="A2094">
        <v>7756</v>
      </c>
      <c r="B2094"/>
      <c r="C2094">
        <v>9</v>
      </c>
    </row>
    <row r="2095" spans="1:3">
      <c r="A2095">
        <v>7757</v>
      </c>
      <c r="B2095"/>
      <c r="C2095">
        <v>9</v>
      </c>
    </row>
    <row r="2096" spans="1:3">
      <c r="A2096">
        <v>7759</v>
      </c>
      <c r="B2096"/>
      <c r="C2096">
        <v>8</v>
      </c>
    </row>
    <row r="2097" spans="1:3">
      <c r="A2097">
        <v>7761</v>
      </c>
      <c r="B2097"/>
      <c r="C2097">
        <v>8</v>
      </c>
    </row>
    <row r="2098" spans="1:3">
      <c r="A2098">
        <v>7762</v>
      </c>
      <c r="B2098"/>
      <c r="C2098">
        <v>8</v>
      </c>
    </row>
    <row r="2099" spans="1:3">
      <c r="A2099">
        <v>7763</v>
      </c>
      <c r="B2099"/>
      <c r="C2099">
        <v>9</v>
      </c>
    </row>
    <row r="2100" spans="1:3">
      <c r="A2100">
        <v>7766</v>
      </c>
      <c r="B2100"/>
      <c r="C2100">
        <v>9</v>
      </c>
    </row>
    <row r="2101" spans="1:3">
      <c r="A2101">
        <v>7768</v>
      </c>
      <c r="B2101"/>
      <c r="C2101">
        <v>9</v>
      </c>
    </row>
    <row r="2102" spans="1:3">
      <c r="A2102">
        <v>7771</v>
      </c>
      <c r="B2102"/>
      <c r="C2102">
        <v>9</v>
      </c>
    </row>
    <row r="2103" spans="1:3">
      <c r="A2103">
        <v>7772</v>
      </c>
      <c r="B2103"/>
      <c r="C2103">
        <v>9</v>
      </c>
    </row>
    <row r="2104" spans="1:3">
      <c r="A2104">
        <v>7773</v>
      </c>
      <c r="B2104"/>
      <c r="C2104">
        <v>8</v>
      </c>
    </row>
    <row r="2105" spans="1:3">
      <c r="A2105">
        <v>7774</v>
      </c>
      <c r="B2105"/>
      <c r="C2105">
        <v>9</v>
      </c>
    </row>
    <row r="2106" spans="1:3">
      <c r="A2106">
        <v>7775</v>
      </c>
      <c r="B2106"/>
      <c r="C2106">
        <v>9</v>
      </c>
    </row>
    <row r="2107" spans="1:3">
      <c r="A2107">
        <v>7781</v>
      </c>
      <c r="B2107"/>
      <c r="C2107">
        <v>9</v>
      </c>
    </row>
    <row r="2108" spans="1:3">
      <c r="A2108">
        <v>7782</v>
      </c>
      <c r="B2108"/>
      <c r="C2108">
        <v>9</v>
      </c>
    </row>
    <row r="2109" spans="1:3">
      <c r="A2109">
        <v>7783</v>
      </c>
      <c r="B2109"/>
      <c r="C2109">
        <v>9</v>
      </c>
    </row>
    <row r="2110" spans="1:3">
      <c r="A2110">
        <v>7784</v>
      </c>
      <c r="B2110"/>
      <c r="C2110">
        <v>9</v>
      </c>
    </row>
    <row r="2111" spans="1:3">
      <c r="A2111">
        <v>7785</v>
      </c>
      <c r="B2111"/>
      <c r="C2111">
        <v>9</v>
      </c>
    </row>
    <row r="2112" spans="1:3">
      <c r="A2112">
        <v>7800</v>
      </c>
      <c r="B2112"/>
      <c r="C2112">
        <v>8</v>
      </c>
    </row>
    <row r="2113" spans="1:3">
      <c r="A2113">
        <v>7811</v>
      </c>
      <c r="B2113"/>
      <c r="C2113">
        <v>9</v>
      </c>
    </row>
    <row r="2114" spans="1:3">
      <c r="A2114">
        <v>7812</v>
      </c>
      <c r="B2114"/>
      <c r="C2114">
        <v>9</v>
      </c>
    </row>
    <row r="2115" spans="1:3">
      <c r="A2115">
        <v>7813</v>
      </c>
      <c r="B2115"/>
      <c r="C2115">
        <v>9</v>
      </c>
    </row>
    <row r="2116" spans="1:3">
      <c r="A2116">
        <v>7814</v>
      </c>
      <c r="B2116"/>
      <c r="C2116">
        <v>9</v>
      </c>
    </row>
    <row r="2117" spans="1:3">
      <c r="A2117">
        <v>7815</v>
      </c>
      <c r="B2117"/>
      <c r="C2117">
        <v>8</v>
      </c>
    </row>
    <row r="2118" spans="1:3">
      <c r="A2118">
        <v>7817</v>
      </c>
      <c r="B2118"/>
      <c r="C2118">
        <v>9</v>
      </c>
    </row>
    <row r="2119" spans="1:3">
      <c r="A2119">
        <v>7822</v>
      </c>
      <c r="B2119"/>
      <c r="C2119">
        <v>9</v>
      </c>
    </row>
    <row r="2120" spans="1:3">
      <c r="A2120">
        <v>7823</v>
      </c>
      <c r="B2120"/>
      <c r="C2120">
        <v>9</v>
      </c>
    </row>
    <row r="2121" spans="1:3">
      <c r="A2121">
        <v>7824</v>
      </c>
      <c r="B2121"/>
      <c r="C2121">
        <v>9</v>
      </c>
    </row>
    <row r="2122" spans="1:3">
      <c r="A2122">
        <v>7825</v>
      </c>
      <c r="B2122"/>
      <c r="C2122">
        <v>9</v>
      </c>
    </row>
    <row r="2123" spans="1:3">
      <c r="A2123">
        <v>7826</v>
      </c>
      <c r="B2123"/>
      <c r="C2123">
        <v>9</v>
      </c>
    </row>
    <row r="2124" spans="1:3">
      <c r="A2124">
        <v>7827</v>
      </c>
      <c r="B2124"/>
      <c r="C2124">
        <v>9</v>
      </c>
    </row>
    <row r="2125" spans="1:3">
      <c r="A2125">
        <v>7831</v>
      </c>
      <c r="B2125"/>
      <c r="C2125">
        <v>8</v>
      </c>
    </row>
    <row r="2126" spans="1:3">
      <c r="A2126">
        <v>7833</v>
      </c>
      <c r="B2126"/>
      <c r="C2126">
        <v>8</v>
      </c>
    </row>
    <row r="2127" spans="1:3">
      <c r="A2127">
        <v>7834</v>
      </c>
      <c r="B2127"/>
      <c r="C2127">
        <v>9</v>
      </c>
    </row>
    <row r="2128" spans="1:3">
      <c r="A2128">
        <v>7836</v>
      </c>
      <c r="B2128"/>
      <c r="C2128">
        <v>9</v>
      </c>
    </row>
    <row r="2129" spans="1:3">
      <c r="A2129">
        <v>7837</v>
      </c>
      <c r="B2129"/>
      <c r="C2129">
        <v>9</v>
      </c>
    </row>
    <row r="2130" spans="1:3">
      <c r="A2130">
        <v>7838</v>
      </c>
      <c r="B2130"/>
      <c r="C2130">
        <v>8</v>
      </c>
    </row>
    <row r="2131" spans="1:3">
      <c r="A2131">
        <v>7839</v>
      </c>
      <c r="B2131"/>
      <c r="C2131">
        <v>9</v>
      </c>
    </row>
    <row r="2132" spans="1:3">
      <c r="A2132">
        <v>7841</v>
      </c>
      <c r="B2132"/>
      <c r="C2132">
        <v>9</v>
      </c>
    </row>
    <row r="2133" spans="1:3">
      <c r="A2133">
        <v>7843</v>
      </c>
      <c r="B2133"/>
      <c r="C2133">
        <v>9</v>
      </c>
    </row>
    <row r="2134" spans="1:3">
      <c r="A2134">
        <v>7846</v>
      </c>
      <c r="B2134"/>
      <c r="C2134">
        <v>9</v>
      </c>
    </row>
    <row r="2135" spans="1:3">
      <c r="A2135">
        <v>7847</v>
      </c>
      <c r="B2135"/>
      <c r="C2135">
        <v>9</v>
      </c>
    </row>
    <row r="2136" spans="1:3">
      <c r="A2136">
        <v>7849</v>
      </c>
      <c r="B2136"/>
      <c r="C2136">
        <v>10</v>
      </c>
    </row>
    <row r="2137" spans="1:3">
      <c r="A2137">
        <v>7850</v>
      </c>
      <c r="B2137"/>
      <c r="C2137">
        <v>10</v>
      </c>
    </row>
    <row r="2138" spans="1:3">
      <c r="A2138">
        <v>7851</v>
      </c>
      <c r="B2138"/>
      <c r="C2138">
        <v>9</v>
      </c>
    </row>
    <row r="2139" spans="1:3">
      <c r="A2139">
        <v>7853</v>
      </c>
      <c r="B2139"/>
      <c r="C2139">
        <v>9</v>
      </c>
    </row>
    <row r="2140" spans="1:3">
      <c r="A2140">
        <v>7854</v>
      </c>
      <c r="B2140"/>
      <c r="C2140">
        <v>9</v>
      </c>
    </row>
    <row r="2141" spans="1:3">
      <c r="A2141">
        <v>7900</v>
      </c>
      <c r="B2141"/>
      <c r="C2141">
        <v>8</v>
      </c>
    </row>
    <row r="2142" spans="1:3">
      <c r="A2142">
        <v>7912</v>
      </c>
      <c r="B2142"/>
      <c r="C2142">
        <v>9</v>
      </c>
    </row>
    <row r="2143" spans="1:3">
      <c r="A2143">
        <v>7913</v>
      </c>
      <c r="B2143"/>
      <c r="C2143">
        <v>9</v>
      </c>
    </row>
    <row r="2144" spans="1:3">
      <c r="A2144">
        <v>7914</v>
      </c>
      <c r="B2144"/>
      <c r="C2144">
        <v>9</v>
      </c>
    </row>
    <row r="2145" spans="1:3">
      <c r="A2145">
        <v>7915</v>
      </c>
      <c r="B2145"/>
      <c r="C2145">
        <v>9</v>
      </c>
    </row>
    <row r="2146" spans="1:3">
      <c r="A2146">
        <v>7918</v>
      </c>
      <c r="B2146"/>
      <c r="C2146">
        <v>10</v>
      </c>
    </row>
    <row r="2147" spans="1:3">
      <c r="A2147">
        <v>7921</v>
      </c>
      <c r="B2147"/>
      <c r="C2147">
        <v>9</v>
      </c>
    </row>
    <row r="2148" spans="1:3">
      <c r="A2148">
        <v>7922</v>
      </c>
      <c r="B2148"/>
      <c r="C2148">
        <v>9</v>
      </c>
    </row>
    <row r="2149" spans="1:3">
      <c r="A2149">
        <v>7923</v>
      </c>
      <c r="B2149"/>
      <c r="C2149">
        <v>9</v>
      </c>
    </row>
    <row r="2150" spans="1:3">
      <c r="A2150">
        <v>7924</v>
      </c>
      <c r="B2150"/>
      <c r="C2150">
        <v>9</v>
      </c>
    </row>
    <row r="2151" spans="1:3">
      <c r="A2151">
        <v>7925</v>
      </c>
      <c r="B2151"/>
      <c r="C2151">
        <v>9</v>
      </c>
    </row>
    <row r="2152" spans="1:3">
      <c r="A2152">
        <v>7926</v>
      </c>
      <c r="B2152"/>
      <c r="C2152">
        <v>9</v>
      </c>
    </row>
    <row r="2153" spans="1:3">
      <c r="A2153">
        <v>7932</v>
      </c>
      <c r="B2153"/>
      <c r="C2153">
        <v>9</v>
      </c>
    </row>
    <row r="2154" spans="1:3">
      <c r="A2154">
        <v>7934</v>
      </c>
      <c r="B2154"/>
      <c r="C2154">
        <v>9</v>
      </c>
    </row>
    <row r="2155" spans="1:3">
      <c r="A2155">
        <v>7935</v>
      </c>
      <c r="B2155"/>
      <c r="C2155">
        <v>9</v>
      </c>
    </row>
    <row r="2156" spans="1:3">
      <c r="A2156">
        <v>7936</v>
      </c>
      <c r="B2156"/>
      <c r="C2156">
        <v>9</v>
      </c>
    </row>
    <row r="2157" spans="1:3">
      <c r="A2157">
        <v>7937</v>
      </c>
      <c r="B2157"/>
      <c r="C2157">
        <v>9</v>
      </c>
    </row>
    <row r="2158" spans="1:3">
      <c r="A2158">
        <v>7940</v>
      </c>
      <c r="B2158"/>
      <c r="C2158">
        <v>8</v>
      </c>
    </row>
    <row r="2159" spans="1:3">
      <c r="A2159">
        <v>7951</v>
      </c>
      <c r="B2159"/>
      <c r="C2159">
        <v>9</v>
      </c>
    </row>
    <row r="2160" spans="1:3">
      <c r="A2160">
        <v>7953</v>
      </c>
      <c r="B2160"/>
      <c r="C2160">
        <v>9</v>
      </c>
    </row>
    <row r="2161" spans="1:3">
      <c r="A2161">
        <v>7954</v>
      </c>
      <c r="B2161"/>
      <c r="C2161">
        <v>9</v>
      </c>
    </row>
    <row r="2162" spans="1:3">
      <c r="A2162">
        <v>7957</v>
      </c>
      <c r="B2162"/>
      <c r="C2162">
        <v>9</v>
      </c>
    </row>
    <row r="2163" spans="1:3">
      <c r="A2163">
        <v>7958</v>
      </c>
      <c r="B2163"/>
      <c r="C2163">
        <v>9</v>
      </c>
    </row>
    <row r="2164" spans="1:3">
      <c r="A2164">
        <v>7960</v>
      </c>
      <c r="B2164"/>
      <c r="C2164">
        <v>8</v>
      </c>
    </row>
    <row r="2165" spans="1:3">
      <c r="A2165">
        <v>7964</v>
      </c>
      <c r="B2165"/>
      <c r="C2165">
        <v>9</v>
      </c>
    </row>
    <row r="2166" spans="1:3">
      <c r="A2166">
        <v>7966</v>
      </c>
      <c r="B2166"/>
      <c r="C2166">
        <v>9</v>
      </c>
    </row>
    <row r="2167" spans="1:3">
      <c r="A2167">
        <v>7967</v>
      </c>
      <c r="B2167"/>
      <c r="C2167">
        <v>9</v>
      </c>
    </row>
    <row r="2168" spans="1:3">
      <c r="A2168">
        <v>7968</v>
      </c>
      <c r="B2168"/>
      <c r="C2168">
        <v>9</v>
      </c>
    </row>
    <row r="2169" spans="1:3">
      <c r="A2169">
        <v>7971</v>
      </c>
      <c r="B2169"/>
      <c r="C2169">
        <v>9</v>
      </c>
    </row>
    <row r="2170" spans="1:3">
      <c r="A2170">
        <v>7972</v>
      </c>
      <c r="B2170"/>
      <c r="C2170">
        <v>9</v>
      </c>
    </row>
    <row r="2171" spans="1:3">
      <c r="A2171">
        <v>7973</v>
      </c>
      <c r="B2171"/>
      <c r="C2171">
        <v>9</v>
      </c>
    </row>
    <row r="2172" spans="1:3">
      <c r="A2172">
        <v>7975</v>
      </c>
      <c r="B2172"/>
      <c r="C2172">
        <v>9</v>
      </c>
    </row>
    <row r="2173" spans="1:3">
      <c r="A2173">
        <v>7976</v>
      </c>
      <c r="B2173"/>
      <c r="C2173">
        <v>9</v>
      </c>
    </row>
    <row r="2174" spans="1:3">
      <c r="A2174">
        <v>7977</v>
      </c>
      <c r="B2174"/>
      <c r="C2174">
        <v>10</v>
      </c>
    </row>
    <row r="2175" spans="1:3">
      <c r="A2175">
        <v>7979</v>
      </c>
      <c r="B2175"/>
      <c r="C2175">
        <v>10</v>
      </c>
    </row>
    <row r="2176" spans="1:3">
      <c r="A2176">
        <v>7980</v>
      </c>
      <c r="B2176"/>
      <c r="C2176">
        <v>9</v>
      </c>
    </row>
    <row r="2177" spans="1:3">
      <c r="A2177">
        <v>7981</v>
      </c>
      <c r="B2177"/>
      <c r="C2177">
        <v>9</v>
      </c>
    </row>
    <row r="2178" spans="1:3">
      <c r="A2178">
        <v>7985</v>
      </c>
      <c r="B2178"/>
      <c r="C2178">
        <v>9</v>
      </c>
    </row>
    <row r="2179" spans="1:3">
      <c r="A2179">
        <v>7987</v>
      </c>
      <c r="B2179"/>
      <c r="C2179">
        <v>10</v>
      </c>
    </row>
    <row r="2180" spans="1:3">
      <c r="A2180">
        <v>7988</v>
      </c>
      <c r="B2180"/>
      <c r="C2180">
        <v>10</v>
      </c>
    </row>
    <row r="2181" spans="1:3">
      <c r="A2181">
        <v>8000</v>
      </c>
      <c r="B2181"/>
      <c r="C2181">
        <v>8</v>
      </c>
    </row>
    <row r="2182" spans="1:3">
      <c r="A2182">
        <v>8019</v>
      </c>
      <c r="B2182"/>
      <c r="C2182">
        <v>8</v>
      </c>
    </row>
    <row r="2183" spans="1:3">
      <c r="A2183">
        <v>8041</v>
      </c>
      <c r="B2183"/>
      <c r="C2183">
        <v>12</v>
      </c>
    </row>
    <row r="2184" spans="1:3">
      <c r="A2184">
        <v>8042</v>
      </c>
      <c r="B2184"/>
      <c r="C2184">
        <v>12</v>
      </c>
    </row>
    <row r="2185" spans="1:3">
      <c r="A2185">
        <v>8043</v>
      </c>
      <c r="B2185"/>
      <c r="C2185">
        <v>11</v>
      </c>
    </row>
    <row r="2186" spans="1:3">
      <c r="A2186">
        <v>8044</v>
      </c>
      <c r="B2186"/>
      <c r="C2186">
        <v>11</v>
      </c>
    </row>
    <row r="2187" spans="1:3">
      <c r="A2187">
        <v>8045</v>
      </c>
      <c r="B2187"/>
      <c r="C2187">
        <v>12</v>
      </c>
    </row>
    <row r="2188" spans="1:3">
      <c r="A2188">
        <v>8046</v>
      </c>
      <c r="B2188"/>
      <c r="C2188">
        <v>12</v>
      </c>
    </row>
    <row r="2189" spans="1:3">
      <c r="A2189">
        <v>8051</v>
      </c>
      <c r="B2189"/>
      <c r="C2189">
        <v>12</v>
      </c>
    </row>
    <row r="2190" spans="1:3">
      <c r="A2190">
        <v>8052</v>
      </c>
      <c r="B2190"/>
      <c r="C2190">
        <v>12</v>
      </c>
    </row>
    <row r="2191" spans="1:3">
      <c r="A2191">
        <v>8053</v>
      </c>
      <c r="B2191"/>
      <c r="C2191">
        <v>11</v>
      </c>
    </row>
    <row r="2192" spans="1:3">
      <c r="A2192">
        <v>8054</v>
      </c>
      <c r="B2192"/>
      <c r="C2192">
        <v>12</v>
      </c>
    </row>
    <row r="2193" spans="1:3">
      <c r="A2193">
        <v>8055</v>
      </c>
      <c r="B2193"/>
      <c r="C2193">
        <v>12</v>
      </c>
    </row>
    <row r="2194" spans="1:3">
      <c r="A2194">
        <v>8056</v>
      </c>
      <c r="B2194"/>
      <c r="C2194">
        <v>12</v>
      </c>
    </row>
    <row r="2195" spans="1:3">
      <c r="A2195">
        <v>8060</v>
      </c>
      <c r="B2195"/>
      <c r="C2195">
        <v>11</v>
      </c>
    </row>
    <row r="2196" spans="1:3">
      <c r="A2196">
        <v>8065</v>
      </c>
      <c r="B2196"/>
      <c r="C2196">
        <v>12</v>
      </c>
    </row>
    <row r="2197" spans="1:3">
      <c r="A2197">
        <v>8066</v>
      </c>
      <c r="B2197"/>
      <c r="C2197">
        <v>12</v>
      </c>
    </row>
    <row r="2198" spans="1:3">
      <c r="A2198">
        <v>8071</v>
      </c>
      <c r="B2198"/>
      <c r="C2198">
        <v>12</v>
      </c>
    </row>
    <row r="2199" spans="1:3">
      <c r="A2199">
        <v>8072</v>
      </c>
      <c r="B2199"/>
      <c r="C2199">
        <v>12</v>
      </c>
    </row>
    <row r="2200" spans="1:3">
      <c r="A2200">
        <v>8073</v>
      </c>
      <c r="B2200"/>
      <c r="C2200">
        <v>12</v>
      </c>
    </row>
    <row r="2201" spans="1:3">
      <c r="A2201">
        <v>8074</v>
      </c>
      <c r="B2201"/>
      <c r="C2201">
        <v>11</v>
      </c>
    </row>
    <row r="2202" spans="1:3">
      <c r="A2202">
        <v>8080</v>
      </c>
      <c r="B2202"/>
      <c r="C2202">
        <v>12</v>
      </c>
    </row>
    <row r="2203" spans="1:3">
      <c r="A2203">
        <v>8081</v>
      </c>
      <c r="B2203"/>
      <c r="C2203">
        <v>12</v>
      </c>
    </row>
    <row r="2204" spans="1:3">
      <c r="A2204">
        <v>8082</v>
      </c>
      <c r="B2204"/>
      <c r="C2204">
        <v>12</v>
      </c>
    </row>
    <row r="2205" spans="1:3">
      <c r="A2205">
        <v>8083</v>
      </c>
      <c r="B2205"/>
      <c r="C2205">
        <v>12</v>
      </c>
    </row>
    <row r="2206" spans="1:3">
      <c r="A2206">
        <v>8085</v>
      </c>
      <c r="B2206"/>
      <c r="C2206">
        <v>12</v>
      </c>
    </row>
    <row r="2207" spans="1:3">
      <c r="A2207">
        <v>8086</v>
      </c>
      <c r="B2207"/>
      <c r="C2207">
        <v>11</v>
      </c>
    </row>
    <row r="2208" spans="1:3">
      <c r="A2208">
        <v>8087</v>
      </c>
      <c r="B2208"/>
      <c r="C2208">
        <v>12</v>
      </c>
    </row>
    <row r="2209" spans="1:3">
      <c r="A2209">
        <v>8088</v>
      </c>
      <c r="B2209"/>
      <c r="C2209">
        <v>12</v>
      </c>
    </row>
    <row r="2210" spans="1:3">
      <c r="A2210">
        <v>8089</v>
      </c>
      <c r="B2210"/>
      <c r="C2210">
        <v>12</v>
      </c>
    </row>
    <row r="2211" spans="1:3">
      <c r="A2211">
        <v>8092</v>
      </c>
      <c r="B2211"/>
      <c r="C2211">
        <v>12</v>
      </c>
    </row>
    <row r="2212" spans="1:3">
      <c r="A2212">
        <v>8093</v>
      </c>
      <c r="B2212"/>
      <c r="C2212">
        <v>12</v>
      </c>
    </row>
    <row r="2213" spans="1:3">
      <c r="A2213">
        <v>8095</v>
      </c>
      <c r="B2213"/>
      <c r="C2213">
        <v>12</v>
      </c>
    </row>
    <row r="2214" spans="1:3">
      <c r="A2214">
        <v>8096</v>
      </c>
      <c r="B2214"/>
      <c r="C2214">
        <v>11</v>
      </c>
    </row>
    <row r="2215" spans="1:3">
      <c r="A2215">
        <v>8097</v>
      </c>
      <c r="B2215"/>
      <c r="C2215">
        <v>11</v>
      </c>
    </row>
    <row r="2216" spans="1:3">
      <c r="A2216">
        <v>8100</v>
      </c>
      <c r="B2216"/>
      <c r="C2216">
        <v>9</v>
      </c>
    </row>
    <row r="2217" spans="1:3">
      <c r="A2217">
        <v>8105</v>
      </c>
      <c r="B2217"/>
      <c r="C2217">
        <v>9</v>
      </c>
    </row>
    <row r="2218" spans="1:3">
      <c r="A2218">
        <v>8109</v>
      </c>
      <c r="B2218"/>
      <c r="C2218">
        <v>10</v>
      </c>
    </row>
    <row r="2219" spans="1:3">
      <c r="A2219">
        <v>8111</v>
      </c>
      <c r="B2219"/>
      <c r="C2219">
        <v>12</v>
      </c>
    </row>
    <row r="2220" spans="1:3">
      <c r="A2220">
        <v>8112</v>
      </c>
      <c r="B2220"/>
      <c r="C2220">
        <v>12</v>
      </c>
    </row>
    <row r="2221" spans="1:3">
      <c r="A2221">
        <v>8121</v>
      </c>
      <c r="B2221"/>
      <c r="C2221">
        <v>12</v>
      </c>
    </row>
    <row r="2222" spans="1:3">
      <c r="A2222">
        <v>8122</v>
      </c>
      <c r="B2222"/>
      <c r="C2222">
        <v>12</v>
      </c>
    </row>
    <row r="2223" spans="1:3">
      <c r="A2223">
        <v>8123</v>
      </c>
      <c r="B2223"/>
      <c r="C2223">
        <v>12</v>
      </c>
    </row>
    <row r="2224" spans="1:3">
      <c r="A2224">
        <v>8124</v>
      </c>
      <c r="B2224"/>
      <c r="C2224">
        <v>12</v>
      </c>
    </row>
    <row r="2225" spans="1:3">
      <c r="A2225">
        <v>8125</v>
      </c>
      <c r="B2225"/>
      <c r="C2225">
        <v>12</v>
      </c>
    </row>
    <row r="2226" spans="1:3">
      <c r="A2226">
        <v>8126</v>
      </c>
      <c r="B2226"/>
      <c r="C2226">
        <v>12</v>
      </c>
    </row>
    <row r="2227" spans="1:3">
      <c r="A2227">
        <v>8127</v>
      </c>
      <c r="B2227"/>
      <c r="C2227">
        <v>12</v>
      </c>
    </row>
    <row r="2228" spans="1:3">
      <c r="A2228">
        <v>8128</v>
      </c>
      <c r="B2228"/>
      <c r="C2228">
        <v>12</v>
      </c>
    </row>
    <row r="2229" spans="1:3">
      <c r="A2229">
        <v>8130</v>
      </c>
      <c r="B2229"/>
      <c r="C2229">
        <v>12</v>
      </c>
    </row>
    <row r="2230" spans="1:3">
      <c r="A2230">
        <v>8131</v>
      </c>
      <c r="B2230"/>
      <c r="C2230">
        <v>12</v>
      </c>
    </row>
    <row r="2231" spans="1:3">
      <c r="A2231">
        <v>8132</v>
      </c>
      <c r="B2231"/>
      <c r="C2231">
        <v>12</v>
      </c>
    </row>
    <row r="2232" spans="1:3">
      <c r="A2232">
        <v>8133</v>
      </c>
      <c r="B2232"/>
      <c r="C2232">
        <v>12</v>
      </c>
    </row>
    <row r="2233" spans="1:3">
      <c r="A2233">
        <v>8134</v>
      </c>
      <c r="B2233"/>
      <c r="C2233">
        <v>12</v>
      </c>
    </row>
    <row r="2234" spans="1:3">
      <c r="A2234">
        <v>8135</v>
      </c>
      <c r="B2234"/>
      <c r="C2234">
        <v>12</v>
      </c>
    </row>
    <row r="2235" spans="1:3">
      <c r="A2235">
        <v>8136</v>
      </c>
      <c r="B2235"/>
      <c r="C2235">
        <v>12</v>
      </c>
    </row>
    <row r="2236" spans="1:3">
      <c r="A2236">
        <v>8137</v>
      </c>
      <c r="B2236"/>
      <c r="C2236">
        <v>12</v>
      </c>
    </row>
    <row r="2237" spans="1:3">
      <c r="A2237">
        <v>8138</v>
      </c>
      <c r="B2237"/>
      <c r="C2237">
        <v>12</v>
      </c>
    </row>
    <row r="2238" spans="1:3">
      <c r="A2238">
        <v>8142</v>
      </c>
      <c r="B2238"/>
      <c r="C2238">
        <v>11</v>
      </c>
    </row>
    <row r="2239" spans="1:3">
      <c r="A2239">
        <v>8143</v>
      </c>
      <c r="B2239"/>
      <c r="C2239">
        <v>11</v>
      </c>
    </row>
    <row r="2240" spans="1:3">
      <c r="A2240">
        <v>8144</v>
      </c>
      <c r="B2240"/>
      <c r="C2240">
        <v>12</v>
      </c>
    </row>
    <row r="2241" spans="1:3">
      <c r="A2241">
        <v>8145</v>
      </c>
      <c r="B2241"/>
      <c r="C2241">
        <v>12</v>
      </c>
    </row>
    <row r="2242" spans="1:3">
      <c r="A2242">
        <v>8146</v>
      </c>
      <c r="B2242"/>
      <c r="C2242">
        <v>11</v>
      </c>
    </row>
    <row r="2243" spans="1:3">
      <c r="A2243">
        <v>8151</v>
      </c>
      <c r="B2243"/>
      <c r="C2243">
        <v>11</v>
      </c>
    </row>
    <row r="2244" spans="1:3">
      <c r="A2244">
        <v>8152</v>
      </c>
      <c r="B2244"/>
      <c r="C2244">
        <v>11</v>
      </c>
    </row>
    <row r="2245" spans="1:3">
      <c r="A2245">
        <v>8154</v>
      </c>
      <c r="B2245"/>
      <c r="C2245">
        <v>12</v>
      </c>
    </row>
    <row r="2246" spans="1:3">
      <c r="A2246">
        <v>8156</v>
      </c>
      <c r="B2246"/>
      <c r="C2246">
        <v>12</v>
      </c>
    </row>
    <row r="2247" spans="1:3">
      <c r="A2247">
        <v>8157</v>
      </c>
      <c r="B2247"/>
      <c r="C2247">
        <v>12</v>
      </c>
    </row>
    <row r="2248" spans="1:3">
      <c r="A2248">
        <v>8161</v>
      </c>
      <c r="B2248"/>
      <c r="C2248">
        <v>10</v>
      </c>
    </row>
    <row r="2249" spans="1:3">
      <c r="A2249">
        <v>8162</v>
      </c>
      <c r="B2249"/>
      <c r="C2249">
        <v>10</v>
      </c>
    </row>
    <row r="2250" spans="1:3">
      <c r="A2250">
        <v>8163</v>
      </c>
      <c r="B2250"/>
      <c r="C2250">
        <v>10</v>
      </c>
    </row>
    <row r="2251" spans="1:3">
      <c r="A2251">
        <v>8164</v>
      </c>
      <c r="B2251"/>
      <c r="C2251">
        <v>10</v>
      </c>
    </row>
    <row r="2252" spans="1:3">
      <c r="A2252">
        <v>8171</v>
      </c>
      <c r="B2252"/>
      <c r="C2252">
        <v>10</v>
      </c>
    </row>
    <row r="2253" spans="1:3">
      <c r="A2253">
        <v>8172</v>
      </c>
      <c r="B2253"/>
      <c r="C2253">
        <v>10</v>
      </c>
    </row>
    <row r="2254" spans="1:3">
      <c r="A2254">
        <v>8174</v>
      </c>
      <c r="B2254"/>
      <c r="C2254">
        <v>10</v>
      </c>
    </row>
    <row r="2255" spans="1:3">
      <c r="A2255">
        <v>8175</v>
      </c>
      <c r="B2255"/>
      <c r="C2255">
        <v>9</v>
      </c>
    </row>
    <row r="2256" spans="1:3">
      <c r="A2256">
        <v>8181</v>
      </c>
      <c r="B2256"/>
      <c r="C2256">
        <v>10</v>
      </c>
    </row>
    <row r="2257" spans="1:3">
      <c r="A2257">
        <v>8182</v>
      </c>
      <c r="B2257"/>
      <c r="C2257">
        <v>10</v>
      </c>
    </row>
    <row r="2258" spans="1:3">
      <c r="A2258">
        <v>8183</v>
      </c>
      <c r="B2258"/>
      <c r="C2258">
        <v>10</v>
      </c>
    </row>
    <row r="2259" spans="1:3">
      <c r="A2259">
        <v>8184</v>
      </c>
      <c r="B2259"/>
      <c r="C2259">
        <v>9</v>
      </c>
    </row>
    <row r="2260" spans="1:3">
      <c r="A2260">
        <v>8191</v>
      </c>
      <c r="B2260"/>
      <c r="C2260">
        <v>10</v>
      </c>
    </row>
    <row r="2261" spans="1:3">
      <c r="A2261">
        <v>8192</v>
      </c>
      <c r="B2261"/>
      <c r="C2261">
        <v>10</v>
      </c>
    </row>
    <row r="2262" spans="1:3">
      <c r="A2262">
        <v>8193</v>
      </c>
      <c r="B2262"/>
      <c r="C2262">
        <v>10</v>
      </c>
    </row>
    <row r="2263" spans="1:3">
      <c r="A2263">
        <v>8194</v>
      </c>
      <c r="B2263"/>
      <c r="C2263">
        <v>10</v>
      </c>
    </row>
    <row r="2264" spans="1:3">
      <c r="A2264">
        <v>8195</v>
      </c>
      <c r="B2264"/>
      <c r="C2264">
        <v>10</v>
      </c>
    </row>
    <row r="2265" spans="1:3">
      <c r="A2265">
        <v>8196</v>
      </c>
      <c r="B2265"/>
      <c r="C2265">
        <v>9</v>
      </c>
    </row>
    <row r="2266" spans="1:3">
      <c r="A2266">
        <v>8200</v>
      </c>
      <c r="B2266"/>
      <c r="C2266">
        <v>8</v>
      </c>
    </row>
    <row r="2267" spans="1:3">
      <c r="A2267">
        <v>8220</v>
      </c>
      <c r="B2267"/>
      <c r="C2267">
        <v>9</v>
      </c>
    </row>
    <row r="2268" spans="1:3">
      <c r="A2268">
        <v>8223</v>
      </c>
      <c r="B2268"/>
      <c r="C2268">
        <v>9</v>
      </c>
    </row>
    <row r="2269" spans="1:3">
      <c r="A2269">
        <v>8225</v>
      </c>
      <c r="B2269"/>
      <c r="C2269">
        <v>10</v>
      </c>
    </row>
    <row r="2270" spans="1:3">
      <c r="A2270">
        <v>8226</v>
      </c>
      <c r="B2270"/>
      <c r="C2270">
        <v>10</v>
      </c>
    </row>
    <row r="2271" spans="1:3">
      <c r="A2271">
        <v>8227</v>
      </c>
      <c r="B2271"/>
      <c r="C2271">
        <v>10</v>
      </c>
    </row>
    <row r="2272" spans="1:3">
      <c r="A2272">
        <v>8228</v>
      </c>
      <c r="B2272"/>
      <c r="C2272">
        <v>10</v>
      </c>
    </row>
    <row r="2273" spans="1:3">
      <c r="A2273">
        <v>8229</v>
      </c>
      <c r="B2273"/>
      <c r="C2273">
        <v>9</v>
      </c>
    </row>
    <row r="2274" spans="1:3">
      <c r="A2274">
        <v>8230</v>
      </c>
      <c r="B2274"/>
      <c r="C2274">
        <v>9</v>
      </c>
    </row>
    <row r="2275" spans="1:3">
      <c r="A2275">
        <v>8233</v>
      </c>
      <c r="B2275"/>
      <c r="C2275">
        <v>10</v>
      </c>
    </row>
    <row r="2276" spans="1:3">
      <c r="A2276">
        <v>8237</v>
      </c>
      <c r="B2276"/>
      <c r="C2276">
        <v>10</v>
      </c>
    </row>
    <row r="2277" spans="1:3">
      <c r="A2277">
        <v>8241</v>
      </c>
      <c r="B2277"/>
      <c r="C2277">
        <v>10</v>
      </c>
    </row>
    <row r="2278" spans="1:3">
      <c r="A2278">
        <v>8242</v>
      </c>
      <c r="B2278"/>
      <c r="C2278">
        <v>10</v>
      </c>
    </row>
    <row r="2279" spans="1:3">
      <c r="A2279">
        <v>8243</v>
      </c>
      <c r="B2279"/>
      <c r="C2279">
        <v>10</v>
      </c>
    </row>
    <row r="2280" spans="1:3">
      <c r="A2280">
        <v>8244</v>
      </c>
      <c r="B2280"/>
      <c r="C2280">
        <v>10</v>
      </c>
    </row>
    <row r="2281" spans="1:3">
      <c r="A2281">
        <v>8245</v>
      </c>
      <c r="B2281"/>
      <c r="C2281">
        <v>10</v>
      </c>
    </row>
    <row r="2282" spans="1:3">
      <c r="A2282">
        <v>8246</v>
      </c>
      <c r="B2282"/>
      <c r="C2282">
        <v>10</v>
      </c>
    </row>
    <row r="2283" spans="1:3">
      <c r="A2283">
        <v>8247</v>
      </c>
      <c r="B2283"/>
      <c r="C2283">
        <v>10</v>
      </c>
    </row>
    <row r="2284" spans="1:3">
      <c r="A2284">
        <v>8248</v>
      </c>
      <c r="B2284"/>
      <c r="C2284">
        <v>10</v>
      </c>
    </row>
    <row r="2285" spans="1:3">
      <c r="A2285">
        <v>8251</v>
      </c>
      <c r="B2285"/>
      <c r="C2285">
        <v>10</v>
      </c>
    </row>
    <row r="2286" spans="1:3">
      <c r="A2286">
        <v>8252</v>
      </c>
      <c r="B2286"/>
      <c r="C2286">
        <v>10</v>
      </c>
    </row>
    <row r="2287" spans="1:3">
      <c r="A2287">
        <v>8253</v>
      </c>
      <c r="B2287"/>
      <c r="C2287">
        <v>10</v>
      </c>
    </row>
    <row r="2288" spans="1:3">
      <c r="A2288">
        <v>8254</v>
      </c>
      <c r="B2288"/>
      <c r="C2288">
        <v>10</v>
      </c>
    </row>
    <row r="2289" spans="1:3">
      <c r="A2289">
        <v>8255</v>
      </c>
      <c r="B2289"/>
      <c r="C2289">
        <v>10</v>
      </c>
    </row>
    <row r="2290" spans="1:3">
      <c r="A2290">
        <v>8256</v>
      </c>
      <c r="B2290"/>
      <c r="C2290">
        <v>10</v>
      </c>
    </row>
    <row r="2291" spans="1:3">
      <c r="A2291">
        <v>8257</v>
      </c>
      <c r="B2291"/>
      <c r="C2291">
        <v>10</v>
      </c>
    </row>
    <row r="2292" spans="1:3">
      <c r="A2292">
        <v>8258</v>
      </c>
      <c r="B2292"/>
      <c r="C2292">
        <v>10</v>
      </c>
    </row>
    <row r="2293" spans="1:3">
      <c r="A2293">
        <v>8261</v>
      </c>
      <c r="B2293"/>
      <c r="C2293">
        <v>10</v>
      </c>
    </row>
    <row r="2294" spans="1:3">
      <c r="A2294">
        <v>8263</v>
      </c>
      <c r="B2294"/>
      <c r="C2294">
        <v>10</v>
      </c>
    </row>
    <row r="2295" spans="1:3">
      <c r="A2295">
        <v>8264</v>
      </c>
      <c r="B2295"/>
      <c r="C2295">
        <v>10</v>
      </c>
    </row>
    <row r="2296" spans="1:3">
      <c r="A2296">
        <v>8265</v>
      </c>
      <c r="B2296"/>
      <c r="C2296">
        <v>10</v>
      </c>
    </row>
    <row r="2297" spans="1:3">
      <c r="A2297">
        <v>8271</v>
      </c>
      <c r="B2297"/>
      <c r="C2297">
        <v>10</v>
      </c>
    </row>
    <row r="2298" spans="1:3">
      <c r="A2298">
        <v>8272</v>
      </c>
      <c r="B2298"/>
      <c r="C2298">
        <v>10</v>
      </c>
    </row>
    <row r="2299" spans="1:3">
      <c r="A2299">
        <v>8273</v>
      </c>
      <c r="B2299"/>
      <c r="C2299">
        <v>10</v>
      </c>
    </row>
    <row r="2300" spans="1:3">
      <c r="A2300">
        <v>8274</v>
      </c>
      <c r="B2300"/>
      <c r="C2300">
        <v>10</v>
      </c>
    </row>
    <row r="2301" spans="1:3">
      <c r="A2301">
        <v>8275</v>
      </c>
      <c r="B2301"/>
      <c r="C2301">
        <v>10</v>
      </c>
    </row>
    <row r="2302" spans="1:3">
      <c r="A2302">
        <v>8281</v>
      </c>
      <c r="B2302"/>
      <c r="C2302">
        <v>10</v>
      </c>
    </row>
    <row r="2303" spans="1:3">
      <c r="A2303">
        <v>8282</v>
      </c>
      <c r="B2303"/>
      <c r="C2303">
        <v>10</v>
      </c>
    </row>
    <row r="2304" spans="1:3">
      <c r="A2304">
        <v>8283</v>
      </c>
      <c r="B2304"/>
      <c r="C2304">
        <v>10</v>
      </c>
    </row>
    <row r="2305" spans="1:3">
      <c r="A2305">
        <v>8284</v>
      </c>
      <c r="B2305"/>
      <c r="C2305">
        <v>10</v>
      </c>
    </row>
    <row r="2306" spans="1:3">
      <c r="A2306">
        <v>8286</v>
      </c>
      <c r="B2306"/>
      <c r="C2306">
        <v>10</v>
      </c>
    </row>
    <row r="2307" spans="1:3">
      <c r="A2307">
        <v>8291</v>
      </c>
      <c r="B2307"/>
      <c r="C2307">
        <v>10</v>
      </c>
    </row>
    <row r="2308" spans="1:3">
      <c r="A2308">
        <v>8292</v>
      </c>
      <c r="B2308"/>
      <c r="C2308">
        <v>10</v>
      </c>
    </row>
    <row r="2309" spans="1:3">
      <c r="A2309">
        <v>8294</v>
      </c>
      <c r="B2309"/>
      <c r="C2309">
        <v>10</v>
      </c>
    </row>
    <row r="2310" spans="1:3">
      <c r="A2310">
        <v>8295</v>
      </c>
      <c r="B2310"/>
      <c r="C2310">
        <v>10</v>
      </c>
    </row>
    <row r="2311" spans="1:3">
      <c r="A2311">
        <v>8296</v>
      </c>
      <c r="B2311"/>
      <c r="C2311">
        <v>10</v>
      </c>
    </row>
    <row r="2312" spans="1:3">
      <c r="A2312">
        <v>8297</v>
      </c>
      <c r="B2312"/>
      <c r="C2312">
        <v>9</v>
      </c>
    </row>
    <row r="2313" spans="1:3">
      <c r="A2313">
        <v>8300</v>
      </c>
      <c r="B2313"/>
      <c r="C2313">
        <v>9</v>
      </c>
    </row>
    <row r="2314" spans="1:3">
      <c r="A2314">
        <v>8308</v>
      </c>
      <c r="B2314"/>
      <c r="C2314">
        <v>10</v>
      </c>
    </row>
    <row r="2315" spans="1:3">
      <c r="A2315">
        <v>8311</v>
      </c>
      <c r="B2315"/>
      <c r="C2315">
        <v>10</v>
      </c>
    </row>
    <row r="2316" spans="1:3">
      <c r="A2316">
        <v>8312</v>
      </c>
      <c r="B2316"/>
      <c r="C2316">
        <v>10</v>
      </c>
    </row>
    <row r="2317" spans="1:3">
      <c r="A2317">
        <v>8313</v>
      </c>
      <c r="B2317"/>
      <c r="C2317">
        <v>10</v>
      </c>
    </row>
    <row r="2318" spans="1:3">
      <c r="A2318">
        <v>8314</v>
      </c>
      <c r="B2318"/>
      <c r="C2318">
        <v>9</v>
      </c>
    </row>
    <row r="2319" spans="1:3">
      <c r="A2319">
        <v>8315</v>
      </c>
      <c r="B2319"/>
      <c r="C2319">
        <v>9</v>
      </c>
    </row>
    <row r="2320" spans="1:3">
      <c r="A2320">
        <v>8316</v>
      </c>
      <c r="B2320"/>
      <c r="C2320">
        <v>10</v>
      </c>
    </row>
    <row r="2321" spans="1:3">
      <c r="A2321">
        <v>8317</v>
      </c>
      <c r="B2321"/>
      <c r="C2321">
        <v>10</v>
      </c>
    </row>
    <row r="2322" spans="1:3">
      <c r="A2322">
        <v>8318</v>
      </c>
      <c r="B2322"/>
      <c r="C2322">
        <v>10</v>
      </c>
    </row>
    <row r="2323" spans="1:3">
      <c r="A2323">
        <v>8319</v>
      </c>
      <c r="B2323"/>
      <c r="C2323">
        <v>10</v>
      </c>
    </row>
    <row r="2324" spans="1:3">
      <c r="A2324">
        <v>8321</v>
      </c>
      <c r="B2324"/>
      <c r="C2324">
        <v>10</v>
      </c>
    </row>
    <row r="2325" spans="1:3">
      <c r="A2325">
        <v>8330</v>
      </c>
      <c r="B2325"/>
      <c r="C2325">
        <v>10</v>
      </c>
    </row>
    <row r="2326" spans="1:3">
      <c r="A2326">
        <v>8341</v>
      </c>
      <c r="B2326"/>
      <c r="C2326">
        <v>10</v>
      </c>
    </row>
    <row r="2327" spans="1:3">
      <c r="A2327">
        <v>8342</v>
      </c>
      <c r="B2327"/>
      <c r="C2327">
        <v>10</v>
      </c>
    </row>
    <row r="2328" spans="1:3">
      <c r="A2328">
        <v>8344</v>
      </c>
      <c r="B2328"/>
      <c r="C2328">
        <v>10</v>
      </c>
    </row>
    <row r="2329" spans="1:3">
      <c r="A2329">
        <v>8345</v>
      </c>
      <c r="B2329"/>
      <c r="C2329">
        <v>10</v>
      </c>
    </row>
    <row r="2330" spans="1:3">
      <c r="A2330">
        <v>8346</v>
      </c>
      <c r="B2330"/>
      <c r="C2330">
        <v>10</v>
      </c>
    </row>
    <row r="2331" spans="1:3">
      <c r="A2331">
        <v>8347</v>
      </c>
      <c r="B2331"/>
      <c r="C2331">
        <v>10</v>
      </c>
    </row>
    <row r="2332" spans="1:3">
      <c r="A2332">
        <v>8348</v>
      </c>
      <c r="B2332"/>
      <c r="C2332">
        <v>10</v>
      </c>
    </row>
    <row r="2333" spans="1:3">
      <c r="A2333">
        <v>8349</v>
      </c>
      <c r="B2333"/>
      <c r="C2333">
        <v>10</v>
      </c>
    </row>
    <row r="2334" spans="1:3">
      <c r="A2334">
        <v>8351</v>
      </c>
      <c r="B2334"/>
      <c r="C2334">
        <v>10</v>
      </c>
    </row>
    <row r="2335" spans="1:3">
      <c r="A2335">
        <v>8352</v>
      </c>
      <c r="B2335"/>
      <c r="C2335">
        <v>10</v>
      </c>
    </row>
    <row r="2336" spans="1:3">
      <c r="A2336">
        <v>8353</v>
      </c>
      <c r="B2336"/>
      <c r="C2336">
        <v>10</v>
      </c>
    </row>
    <row r="2337" spans="1:3">
      <c r="A2337">
        <v>8354</v>
      </c>
      <c r="B2337"/>
      <c r="C2337">
        <v>10</v>
      </c>
    </row>
    <row r="2338" spans="1:3">
      <c r="A2338">
        <v>8355</v>
      </c>
      <c r="B2338"/>
      <c r="C2338">
        <v>10</v>
      </c>
    </row>
    <row r="2339" spans="1:3">
      <c r="A2339">
        <v>8356</v>
      </c>
      <c r="B2339"/>
      <c r="C2339">
        <v>10</v>
      </c>
    </row>
    <row r="2340" spans="1:3">
      <c r="A2340">
        <v>8357</v>
      </c>
      <c r="B2340"/>
      <c r="C2340">
        <v>10</v>
      </c>
    </row>
    <row r="2341" spans="1:3">
      <c r="A2341">
        <v>8360</v>
      </c>
      <c r="B2341"/>
      <c r="C2341">
        <v>9</v>
      </c>
    </row>
    <row r="2342" spans="1:3">
      <c r="A2342">
        <v>8371</v>
      </c>
      <c r="B2342"/>
      <c r="C2342">
        <v>10</v>
      </c>
    </row>
    <row r="2343" spans="1:3">
      <c r="A2343">
        <v>8372</v>
      </c>
      <c r="B2343"/>
      <c r="C2343">
        <v>9</v>
      </c>
    </row>
    <row r="2344" spans="1:3">
      <c r="A2344">
        <v>8373</v>
      </c>
      <c r="B2344"/>
      <c r="C2344">
        <v>10</v>
      </c>
    </row>
    <row r="2345" spans="1:3">
      <c r="A2345">
        <v>8380</v>
      </c>
      <c r="B2345"/>
      <c r="C2345">
        <v>9</v>
      </c>
    </row>
    <row r="2346" spans="1:3">
      <c r="A2346">
        <v>8391</v>
      </c>
      <c r="B2346"/>
      <c r="C2346">
        <v>10</v>
      </c>
    </row>
    <row r="2347" spans="1:3">
      <c r="A2347">
        <v>8392</v>
      </c>
      <c r="B2347"/>
      <c r="C2347">
        <v>10</v>
      </c>
    </row>
    <row r="2348" spans="1:3">
      <c r="A2348">
        <v>8393</v>
      </c>
      <c r="B2348"/>
      <c r="C2348">
        <v>10</v>
      </c>
    </row>
    <row r="2349" spans="1:3">
      <c r="A2349">
        <v>8394</v>
      </c>
      <c r="B2349"/>
      <c r="C2349">
        <v>9</v>
      </c>
    </row>
    <row r="2350" spans="1:3">
      <c r="A2350">
        <v>8395</v>
      </c>
      <c r="B2350"/>
      <c r="C2350">
        <v>9</v>
      </c>
    </row>
    <row r="2351" spans="1:3">
      <c r="A2351">
        <v>8400</v>
      </c>
      <c r="B2351"/>
      <c r="C2351">
        <v>9</v>
      </c>
    </row>
    <row r="2352" spans="1:3">
      <c r="A2352">
        <v>8409</v>
      </c>
      <c r="B2352"/>
      <c r="C2352">
        <v>10</v>
      </c>
    </row>
    <row r="2353" spans="1:3">
      <c r="A2353">
        <v>8411</v>
      </c>
      <c r="B2353"/>
      <c r="C2353">
        <v>8</v>
      </c>
    </row>
    <row r="2354" spans="1:3">
      <c r="A2354">
        <v>8412</v>
      </c>
      <c r="B2354"/>
      <c r="C2354">
        <v>8</v>
      </c>
    </row>
    <row r="2355" spans="1:3">
      <c r="A2355">
        <v>8413</v>
      </c>
      <c r="B2355"/>
      <c r="C2355">
        <v>10</v>
      </c>
    </row>
    <row r="2356" spans="1:3">
      <c r="A2356">
        <v>8414</v>
      </c>
      <c r="B2356"/>
      <c r="C2356">
        <v>10</v>
      </c>
    </row>
    <row r="2357" spans="1:3">
      <c r="A2357">
        <v>8415</v>
      </c>
      <c r="B2357"/>
      <c r="C2357">
        <v>10</v>
      </c>
    </row>
    <row r="2358" spans="1:3">
      <c r="A2358">
        <v>8416</v>
      </c>
      <c r="B2358"/>
      <c r="C2358">
        <v>10</v>
      </c>
    </row>
    <row r="2359" spans="1:3">
      <c r="A2359">
        <v>8417</v>
      </c>
      <c r="B2359"/>
      <c r="C2359">
        <v>10</v>
      </c>
    </row>
    <row r="2360" spans="1:3">
      <c r="A2360">
        <v>8418</v>
      </c>
      <c r="B2360"/>
      <c r="C2360">
        <v>10</v>
      </c>
    </row>
    <row r="2361" spans="1:3">
      <c r="A2361">
        <v>8419</v>
      </c>
      <c r="B2361"/>
      <c r="C2361">
        <v>10</v>
      </c>
    </row>
    <row r="2362" spans="1:3">
      <c r="A2362">
        <v>8420</v>
      </c>
      <c r="B2362"/>
      <c r="C2362">
        <v>9</v>
      </c>
    </row>
    <row r="2363" spans="1:3">
      <c r="A2363">
        <v>8422</v>
      </c>
      <c r="B2363"/>
      <c r="C2363">
        <v>10</v>
      </c>
    </row>
    <row r="2364" spans="1:3">
      <c r="A2364">
        <v>8423</v>
      </c>
      <c r="B2364"/>
      <c r="C2364">
        <v>10</v>
      </c>
    </row>
    <row r="2365" spans="1:3">
      <c r="A2365">
        <v>8424</v>
      </c>
      <c r="B2365"/>
      <c r="C2365">
        <v>10</v>
      </c>
    </row>
    <row r="2366" spans="1:3">
      <c r="A2366">
        <v>8425</v>
      </c>
      <c r="B2366"/>
      <c r="C2366">
        <v>10</v>
      </c>
    </row>
    <row r="2367" spans="1:3">
      <c r="A2367">
        <v>8426</v>
      </c>
      <c r="B2367"/>
      <c r="C2367">
        <v>10</v>
      </c>
    </row>
    <row r="2368" spans="1:3">
      <c r="A2368">
        <v>8427</v>
      </c>
      <c r="B2368"/>
      <c r="C2368">
        <v>10</v>
      </c>
    </row>
    <row r="2369" spans="1:3">
      <c r="A2369">
        <v>8428</v>
      </c>
      <c r="B2369"/>
      <c r="C2369">
        <v>10</v>
      </c>
    </row>
    <row r="2370" spans="1:3">
      <c r="A2370">
        <v>8429</v>
      </c>
      <c r="B2370"/>
      <c r="C2370">
        <v>10</v>
      </c>
    </row>
    <row r="2371" spans="1:3">
      <c r="A2371">
        <v>8430</v>
      </c>
      <c r="B2371"/>
      <c r="C2371">
        <v>10</v>
      </c>
    </row>
    <row r="2372" spans="1:3">
      <c r="A2372">
        <v>8431</v>
      </c>
      <c r="B2372"/>
      <c r="C2372">
        <v>10</v>
      </c>
    </row>
    <row r="2373" spans="1:3">
      <c r="A2373">
        <v>8432</v>
      </c>
      <c r="B2373"/>
      <c r="C2373">
        <v>10</v>
      </c>
    </row>
    <row r="2374" spans="1:3">
      <c r="A2374">
        <v>8433</v>
      </c>
      <c r="B2374"/>
      <c r="C2374">
        <v>10</v>
      </c>
    </row>
    <row r="2375" spans="1:3">
      <c r="A2375">
        <v>8434</v>
      </c>
      <c r="B2375"/>
      <c r="C2375">
        <v>10</v>
      </c>
    </row>
    <row r="2376" spans="1:3">
      <c r="A2376">
        <v>8435</v>
      </c>
      <c r="B2376"/>
      <c r="C2376">
        <v>10</v>
      </c>
    </row>
    <row r="2377" spans="1:3">
      <c r="A2377">
        <v>8438</v>
      </c>
      <c r="B2377"/>
      <c r="C2377">
        <v>10</v>
      </c>
    </row>
    <row r="2378" spans="1:3">
      <c r="A2378">
        <v>8439</v>
      </c>
      <c r="B2378"/>
      <c r="C2378">
        <v>10</v>
      </c>
    </row>
    <row r="2379" spans="1:3">
      <c r="A2379">
        <v>8440</v>
      </c>
      <c r="B2379"/>
      <c r="C2379">
        <v>9</v>
      </c>
    </row>
    <row r="2380" spans="1:3">
      <c r="A2380">
        <v>8441</v>
      </c>
      <c r="B2380"/>
      <c r="C2380">
        <v>10</v>
      </c>
    </row>
    <row r="2381" spans="1:3">
      <c r="A2381">
        <v>8442</v>
      </c>
      <c r="B2381"/>
      <c r="C2381">
        <v>10</v>
      </c>
    </row>
    <row r="2382" spans="1:3">
      <c r="A2382">
        <v>8443</v>
      </c>
      <c r="B2382"/>
      <c r="C2382">
        <v>10</v>
      </c>
    </row>
    <row r="2383" spans="1:3">
      <c r="A2383">
        <v>8444</v>
      </c>
      <c r="B2383"/>
      <c r="C2383">
        <v>10</v>
      </c>
    </row>
    <row r="2384" spans="1:3">
      <c r="A2384">
        <v>8445</v>
      </c>
      <c r="B2384"/>
      <c r="C2384">
        <v>10</v>
      </c>
    </row>
    <row r="2385" spans="1:3">
      <c r="A2385">
        <v>8446</v>
      </c>
      <c r="B2385"/>
      <c r="C2385">
        <v>10</v>
      </c>
    </row>
    <row r="2386" spans="1:3">
      <c r="A2386">
        <v>8447</v>
      </c>
      <c r="B2386"/>
      <c r="C2386">
        <v>9</v>
      </c>
    </row>
    <row r="2387" spans="1:3">
      <c r="A2387">
        <v>8448</v>
      </c>
      <c r="B2387"/>
      <c r="C2387">
        <v>9</v>
      </c>
    </row>
    <row r="2388" spans="1:3">
      <c r="A2388">
        <v>8449</v>
      </c>
      <c r="B2388"/>
      <c r="C2388">
        <v>10</v>
      </c>
    </row>
    <row r="2389" spans="1:3">
      <c r="A2389">
        <v>8451</v>
      </c>
      <c r="B2389"/>
      <c r="C2389">
        <v>9</v>
      </c>
    </row>
    <row r="2390" spans="1:3">
      <c r="A2390">
        <v>8452</v>
      </c>
      <c r="B2390"/>
      <c r="C2390">
        <v>10</v>
      </c>
    </row>
    <row r="2391" spans="1:3">
      <c r="A2391">
        <v>8454</v>
      </c>
      <c r="B2391"/>
      <c r="C2391">
        <v>10</v>
      </c>
    </row>
    <row r="2392" spans="1:3">
      <c r="A2392">
        <v>8455</v>
      </c>
      <c r="B2392"/>
      <c r="C2392">
        <v>10</v>
      </c>
    </row>
    <row r="2393" spans="1:3">
      <c r="A2393">
        <v>8456</v>
      </c>
      <c r="B2393"/>
      <c r="C2393">
        <v>10</v>
      </c>
    </row>
    <row r="2394" spans="1:3">
      <c r="A2394">
        <v>8457</v>
      </c>
      <c r="B2394"/>
      <c r="C2394">
        <v>10</v>
      </c>
    </row>
    <row r="2395" spans="1:3">
      <c r="A2395">
        <v>8458</v>
      </c>
      <c r="B2395"/>
      <c r="C2395">
        <v>10</v>
      </c>
    </row>
    <row r="2396" spans="1:3">
      <c r="A2396">
        <v>8460</v>
      </c>
      <c r="B2396"/>
      <c r="C2396">
        <v>10</v>
      </c>
    </row>
    <row r="2397" spans="1:3">
      <c r="A2397">
        <v>8468</v>
      </c>
      <c r="B2397"/>
      <c r="C2397">
        <v>10</v>
      </c>
    </row>
    <row r="2398" spans="1:3">
      <c r="A2398">
        <v>8469</v>
      </c>
      <c r="B2398"/>
      <c r="C2398">
        <v>10</v>
      </c>
    </row>
    <row r="2399" spans="1:3">
      <c r="A2399">
        <v>8471</v>
      </c>
      <c r="B2399"/>
      <c r="C2399">
        <v>10</v>
      </c>
    </row>
    <row r="2400" spans="1:3">
      <c r="A2400">
        <v>8473</v>
      </c>
      <c r="B2400"/>
      <c r="C2400">
        <v>10</v>
      </c>
    </row>
    <row r="2401" spans="1:3">
      <c r="A2401">
        <v>8474</v>
      </c>
      <c r="B2401"/>
      <c r="C2401">
        <v>10</v>
      </c>
    </row>
    <row r="2402" spans="1:3">
      <c r="A2402">
        <v>8475</v>
      </c>
      <c r="B2402"/>
      <c r="C2402">
        <v>10</v>
      </c>
    </row>
    <row r="2403" spans="1:3">
      <c r="A2403">
        <v>8476</v>
      </c>
      <c r="B2403"/>
      <c r="C2403">
        <v>10</v>
      </c>
    </row>
    <row r="2404" spans="1:3">
      <c r="A2404">
        <v>8477</v>
      </c>
      <c r="B2404"/>
      <c r="C2404">
        <v>10</v>
      </c>
    </row>
    <row r="2405" spans="1:3">
      <c r="A2405">
        <v>8478</v>
      </c>
      <c r="B2405"/>
      <c r="C2405">
        <v>10</v>
      </c>
    </row>
    <row r="2406" spans="1:3">
      <c r="A2406">
        <v>8479</v>
      </c>
      <c r="B2406"/>
      <c r="C2406">
        <v>10</v>
      </c>
    </row>
    <row r="2407" spans="1:3">
      <c r="A2407">
        <v>8481</v>
      </c>
      <c r="B2407"/>
      <c r="C2407">
        <v>10</v>
      </c>
    </row>
    <row r="2408" spans="1:3">
      <c r="A2408">
        <v>8482</v>
      </c>
      <c r="B2408"/>
      <c r="C2408">
        <v>10</v>
      </c>
    </row>
    <row r="2409" spans="1:3">
      <c r="A2409">
        <v>8483</v>
      </c>
      <c r="B2409"/>
      <c r="C2409">
        <v>10</v>
      </c>
    </row>
    <row r="2410" spans="1:3">
      <c r="A2410">
        <v>8484</v>
      </c>
      <c r="B2410"/>
      <c r="C2410">
        <v>10</v>
      </c>
    </row>
    <row r="2411" spans="1:3">
      <c r="A2411">
        <v>8485</v>
      </c>
      <c r="B2411"/>
      <c r="C2411">
        <v>10</v>
      </c>
    </row>
    <row r="2412" spans="1:3">
      <c r="A2412">
        <v>8491</v>
      </c>
      <c r="B2412"/>
      <c r="C2412">
        <v>10</v>
      </c>
    </row>
    <row r="2413" spans="1:3">
      <c r="A2413">
        <v>8492</v>
      </c>
      <c r="B2413"/>
      <c r="C2413">
        <v>10</v>
      </c>
    </row>
    <row r="2414" spans="1:3">
      <c r="A2414">
        <v>8493</v>
      </c>
      <c r="B2414"/>
      <c r="C2414">
        <v>10</v>
      </c>
    </row>
    <row r="2415" spans="1:3">
      <c r="A2415">
        <v>8494</v>
      </c>
      <c r="B2415"/>
      <c r="C2415">
        <v>10</v>
      </c>
    </row>
    <row r="2416" spans="1:3">
      <c r="A2416">
        <v>8495</v>
      </c>
      <c r="B2416"/>
      <c r="C2416">
        <v>10</v>
      </c>
    </row>
    <row r="2417" spans="1:3">
      <c r="A2417">
        <v>8496</v>
      </c>
      <c r="B2417"/>
      <c r="C2417">
        <v>10</v>
      </c>
    </row>
    <row r="2418" spans="1:3">
      <c r="A2418">
        <v>8497</v>
      </c>
      <c r="B2418"/>
      <c r="C2418">
        <v>10</v>
      </c>
    </row>
    <row r="2419" spans="1:3">
      <c r="A2419">
        <v>8500</v>
      </c>
      <c r="B2419"/>
      <c r="C2419">
        <v>9</v>
      </c>
    </row>
    <row r="2420" spans="1:3">
      <c r="A2420">
        <v>8511</v>
      </c>
      <c r="B2420"/>
      <c r="C2420">
        <v>9</v>
      </c>
    </row>
    <row r="2421" spans="1:3">
      <c r="A2421">
        <v>8512</v>
      </c>
      <c r="B2421"/>
      <c r="C2421">
        <v>10</v>
      </c>
    </row>
    <row r="2422" spans="1:3">
      <c r="A2422">
        <v>8513</v>
      </c>
      <c r="B2422"/>
      <c r="C2422">
        <v>10</v>
      </c>
    </row>
    <row r="2423" spans="1:3">
      <c r="A2423">
        <v>8514</v>
      </c>
      <c r="B2423"/>
      <c r="C2423">
        <v>10</v>
      </c>
    </row>
    <row r="2424" spans="1:3">
      <c r="A2424">
        <v>8515</v>
      </c>
      <c r="B2424"/>
      <c r="C2424">
        <v>10</v>
      </c>
    </row>
    <row r="2425" spans="1:3">
      <c r="A2425">
        <v>8516</v>
      </c>
      <c r="B2425"/>
      <c r="C2425">
        <v>10</v>
      </c>
    </row>
    <row r="2426" spans="1:3">
      <c r="A2426">
        <v>8517</v>
      </c>
      <c r="B2426"/>
      <c r="C2426">
        <v>10</v>
      </c>
    </row>
    <row r="2427" spans="1:3">
      <c r="A2427">
        <v>8518</v>
      </c>
      <c r="B2427"/>
      <c r="C2427">
        <v>10</v>
      </c>
    </row>
    <row r="2428" spans="1:3">
      <c r="A2428">
        <v>8521</v>
      </c>
      <c r="B2428"/>
      <c r="C2428">
        <v>10</v>
      </c>
    </row>
    <row r="2429" spans="1:3">
      <c r="A2429">
        <v>8522</v>
      </c>
      <c r="B2429"/>
      <c r="C2429">
        <v>10</v>
      </c>
    </row>
    <row r="2430" spans="1:3">
      <c r="A2430">
        <v>8523</v>
      </c>
      <c r="B2430"/>
      <c r="C2430">
        <v>10</v>
      </c>
    </row>
    <row r="2431" spans="1:3">
      <c r="A2431">
        <v>8531</v>
      </c>
      <c r="B2431"/>
      <c r="C2431">
        <v>10</v>
      </c>
    </row>
    <row r="2432" spans="1:3">
      <c r="A2432">
        <v>8532</v>
      </c>
      <c r="B2432"/>
      <c r="C2432">
        <v>10</v>
      </c>
    </row>
    <row r="2433" spans="1:3">
      <c r="A2433">
        <v>8533</v>
      </c>
      <c r="B2433"/>
      <c r="C2433">
        <v>10</v>
      </c>
    </row>
    <row r="2434" spans="1:3">
      <c r="A2434">
        <v>8541</v>
      </c>
      <c r="B2434"/>
      <c r="C2434">
        <v>10</v>
      </c>
    </row>
    <row r="2435" spans="1:3">
      <c r="A2435">
        <v>8542</v>
      </c>
      <c r="B2435"/>
      <c r="C2435">
        <v>10</v>
      </c>
    </row>
    <row r="2436" spans="1:3">
      <c r="A2436">
        <v>8543</v>
      </c>
      <c r="B2436"/>
      <c r="C2436">
        <v>10</v>
      </c>
    </row>
    <row r="2437" spans="1:3">
      <c r="A2437">
        <v>8551</v>
      </c>
      <c r="B2437"/>
      <c r="C2437">
        <v>10</v>
      </c>
    </row>
    <row r="2438" spans="1:3">
      <c r="A2438">
        <v>8552</v>
      </c>
      <c r="B2438"/>
      <c r="C2438">
        <v>10</v>
      </c>
    </row>
    <row r="2439" spans="1:3">
      <c r="A2439">
        <v>8553</v>
      </c>
      <c r="B2439"/>
      <c r="C2439">
        <v>10</v>
      </c>
    </row>
    <row r="2440" spans="1:3">
      <c r="A2440">
        <v>8554</v>
      </c>
      <c r="B2440"/>
      <c r="C2440">
        <v>10</v>
      </c>
    </row>
    <row r="2441" spans="1:3">
      <c r="A2441">
        <v>8555</v>
      </c>
      <c r="B2441"/>
      <c r="C2441">
        <v>10</v>
      </c>
    </row>
    <row r="2442" spans="1:3">
      <c r="A2442">
        <v>8556</v>
      </c>
      <c r="B2442"/>
      <c r="C2442">
        <v>10</v>
      </c>
    </row>
    <row r="2443" spans="1:3">
      <c r="A2443">
        <v>8557</v>
      </c>
      <c r="B2443"/>
      <c r="C2443">
        <v>10</v>
      </c>
    </row>
    <row r="2444" spans="1:3">
      <c r="A2444">
        <v>8558</v>
      </c>
      <c r="B2444"/>
      <c r="C2444">
        <v>10</v>
      </c>
    </row>
    <row r="2445" spans="1:3">
      <c r="A2445">
        <v>8561</v>
      </c>
      <c r="B2445"/>
      <c r="C2445">
        <v>10</v>
      </c>
    </row>
    <row r="2446" spans="1:3">
      <c r="A2446">
        <v>8562</v>
      </c>
      <c r="B2446"/>
      <c r="C2446">
        <v>10</v>
      </c>
    </row>
    <row r="2447" spans="1:3">
      <c r="A2447">
        <v>8563</v>
      </c>
      <c r="B2447"/>
      <c r="C2447">
        <v>10</v>
      </c>
    </row>
    <row r="2448" spans="1:3">
      <c r="A2448">
        <v>8564</v>
      </c>
      <c r="B2448"/>
      <c r="C2448">
        <v>10</v>
      </c>
    </row>
    <row r="2449" spans="1:3">
      <c r="A2449">
        <v>8565</v>
      </c>
      <c r="B2449"/>
      <c r="C2449">
        <v>10</v>
      </c>
    </row>
    <row r="2450" spans="1:3">
      <c r="A2450">
        <v>8571</v>
      </c>
      <c r="B2450"/>
      <c r="C2450">
        <v>10</v>
      </c>
    </row>
    <row r="2451" spans="1:3">
      <c r="A2451">
        <v>8572</v>
      </c>
      <c r="B2451"/>
      <c r="C2451">
        <v>10</v>
      </c>
    </row>
    <row r="2452" spans="1:3">
      <c r="A2452">
        <v>8581</v>
      </c>
      <c r="B2452"/>
      <c r="C2452">
        <v>10</v>
      </c>
    </row>
    <row r="2453" spans="1:3">
      <c r="A2453">
        <v>8582</v>
      </c>
      <c r="B2453"/>
      <c r="C2453">
        <v>10</v>
      </c>
    </row>
    <row r="2454" spans="1:3">
      <c r="A2454">
        <v>8591</v>
      </c>
      <c r="B2454"/>
      <c r="C2454">
        <v>9</v>
      </c>
    </row>
    <row r="2455" spans="1:3">
      <c r="A2455">
        <v>8592</v>
      </c>
      <c r="B2455"/>
      <c r="C2455">
        <v>10</v>
      </c>
    </row>
    <row r="2456" spans="1:3">
      <c r="A2456">
        <v>8593</v>
      </c>
      <c r="B2456"/>
      <c r="C2456">
        <v>10</v>
      </c>
    </row>
    <row r="2457" spans="1:3">
      <c r="A2457">
        <v>8594</v>
      </c>
      <c r="B2457"/>
      <c r="C2457">
        <v>10</v>
      </c>
    </row>
    <row r="2458" spans="1:3">
      <c r="A2458">
        <v>8595</v>
      </c>
      <c r="B2458"/>
      <c r="C2458">
        <v>10</v>
      </c>
    </row>
    <row r="2459" spans="1:3">
      <c r="A2459">
        <v>8596</v>
      </c>
      <c r="B2459"/>
      <c r="C2459">
        <v>10</v>
      </c>
    </row>
    <row r="2460" spans="1:3">
      <c r="A2460">
        <v>8597</v>
      </c>
      <c r="B2460"/>
      <c r="C2460">
        <v>10</v>
      </c>
    </row>
    <row r="2461" spans="1:3">
      <c r="A2461">
        <v>8598</v>
      </c>
      <c r="B2461"/>
      <c r="C2461">
        <v>9</v>
      </c>
    </row>
    <row r="2462" spans="1:3">
      <c r="A2462">
        <v>8600</v>
      </c>
      <c r="B2462"/>
      <c r="C2462">
        <v>9</v>
      </c>
    </row>
    <row r="2463" spans="1:3">
      <c r="A2463">
        <v>8612</v>
      </c>
      <c r="B2463"/>
      <c r="C2463">
        <v>10</v>
      </c>
    </row>
    <row r="2464" spans="1:3">
      <c r="A2464">
        <v>8613</v>
      </c>
      <c r="B2464"/>
      <c r="C2464">
        <v>10</v>
      </c>
    </row>
    <row r="2465" spans="1:3">
      <c r="A2465">
        <v>8614</v>
      </c>
      <c r="B2465"/>
      <c r="C2465">
        <v>10</v>
      </c>
    </row>
    <row r="2466" spans="1:3">
      <c r="A2466">
        <v>8617</v>
      </c>
      <c r="B2466"/>
      <c r="C2466">
        <v>10</v>
      </c>
    </row>
    <row r="2467" spans="1:3">
      <c r="A2467">
        <v>8618</v>
      </c>
      <c r="B2467"/>
      <c r="C2467">
        <v>10</v>
      </c>
    </row>
    <row r="2468" spans="1:3">
      <c r="A2468">
        <v>8619</v>
      </c>
      <c r="B2468"/>
      <c r="C2468">
        <v>10</v>
      </c>
    </row>
    <row r="2469" spans="1:3">
      <c r="A2469">
        <v>8621</v>
      </c>
      <c r="B2469"/>
      <c r="C2469">
        <v>10</v>
      </c>
    </row>
    <row r="2470" spans="1:3">
      <c r="A2470">
        <v>8622</v>
      </c>
      <c r="B2470"/>
      <c r="C2470">
        <v>10</v>
      </c>
    </row>
    <row r="2471" spans="1:3">
      <c r="A2471">
        <v>8623</v>
      </c>
      <c r="B2471"/>
      <c r="C2471">
        <v>9</v>
      </c>
    </row>
    <row r="2472" spans="1:3">
      <c r="A2472">
        <v>8624</v>
      </c>
      <c r="B2472"/>
      <c r="C2472">
        <v>10</v>
      </c>
    </row>
    <row r="2473" spans="1:3">
      <c r="A2473">
        <v>8625</v>
      </c>
      <c r="B2473"/>
      <c r="C2473">
        <v>10</v>
      </c>
    </row>
    <row r="2474" spans="1:3">
      <c r="A2474">
        <v>8626</v>
      </c>
      <c r="B2474"/>
      <c r="C2474">
        <v>10</v>
      </c>
    </row>
    <row r="2475" spans="1:3">
      <c r="A2475">
        <v>8627</v>
      </c>
      <c r="B2475"/>
      <c r="C2475">
        <v>10</v>
      </c>
    </row>
    <row r="2476" spans="1:3">
      <c r="A2476">
        <v>8628</v>
      </c>
      <c r="B2476"/>
      <c r="C2476">
        <v>10</v>
      </c>
    </row>
    <row r="2477" spans="1:3">
      <c r="A2477">
        <v>8630</v>
      </c>
      <c r="B2477"/>
      <c r="C2477">
        <v>9</v>
      </c>
    </row>
    <row r="2478" spans="1:3">
      <c r="A2478">
        <v>8635</v>
      </c>
      <c r="B2478"/>
      <c r="C2478">
        <v>10</v>
      </c>
    </row>
    <row r="2479" spans="1:3">
      <c r="A2479">
        <v>8636</v>
      </c>
      <c r="B2479"/>
      <c r="C2479">
        <v>10</v>
      </c>
    </row>
    <row r="2480" spans="1:3">
      <c r="A2480">
        <v>8637</v>
      </c>
      <c r="B2480"/>
      <c r="C2480">
        <v>10</v>
      </c>
    </row>
    <row r="2481" spans="1:3">
      <c r="A2481">
        <v>8638</v>
      </c>
      <c r="B2481"/>
      <c r="C2481">
        <v>9</v>
      </c>
    </row>
    <row r="2482" spans="1:3">
      <c r="A2482">
        <v>8640</v>
      </c>
      <c r="B2482"/>
      <c r="C2482">
        <v>10</v>
      </c>
    </row>
    <row r="2483" spans="1:3">
      <c r="A2483">
        <v>8646</v>
      </c>
      <c r="B2483"/>
      <c r="C2483">
        <v>10</v>
      </c>
    </row>
    <row r="2484" spans="1:3">
      <c r="A2484">
        <v>8647</v>
      </c>
      <c r="B2484"/>
      <c r="C2484">
        <v>10</v>
      </c>
    </row>
    <row r="2485" spans="1:3">
      <c r="A2485">
        <v>8648</v>
      </c>
      <c r="B2485"/>
      <c r="C2485">
        <v>10</v>
      </c>
    </row>
    <row r="2486" spans="1:3">
      <c r="A2486">
        <v>8649</v>
      </c>
      <c r="B2486"/>
      <c r="C2486">
        <v>10</v>
      </c>
    </row>
    <row r="2487" spans="1:3">
      <c r="A2487">
        <v>8651</v>
      </c>
      <c r="B2487"/>
      <c r="C2487">
        <v>10</v>
      </c>
    </row>
    <row r="2488" spans="1:3">
      <c r="A2488">
        <v>8652</v>
      </c>
      <c r="B2488"/>
      <c r="C2488">
        <v>10</v>
      </c>
    </row>
    <row r="2489" spans="1:3">
      <c r="A2489">
        <v>8653</v>
      </c>
      <c r="B2489"/>
      <c r="C2489">
        <v>10</v>
      </c>
    </row>
    <row r="2490" spans="1:3">
      <c r="A2490">
        <v>8654</v>
      </c>
      <c r="B2490"/>
      <c r="C2490">
        <v>10</v>
      </c>
    </row>
    <row r="2491" spans="1:3">
      <c r="A2491">
        <v>8655</v>
      </c>
      <c r="B2491"/>
      <c r="C2491">
        <v>10</v>
      </c>
    </row>
    <row r="2492" spans="1:3">
      <c r="A2492">
        <v>8656</v>
      </c>
      <c r="B2492"/>
      <c r="C2492">
        <v>10</v>
      </c>
    </row>
    <row r="2493" spans="1:3">
      <c r="A2493">
        <v>8658</v>
      </c>
      <c r="B2493"/>
      <c r="C2493">
        <v>10</v>
      </c>
    </row>
    <row r="2494" spans="1:3">
      <c r="A2494">
        <v>8660</v>
      </c>
      <c r="B2494"/>
      <c r="C2494">
        <v>9</v>
      </c>
    </row>
    <row r="2495" spans="1:3">
      <c r="A2495">
        <v>8666</v>
      </c>
      <c r="B2495"/>
      <c r="C2495">
        <v>10</v>
      </c>
    </row>
    <row r="2496" spans="1:3">
      <c r="A2496">
        <v>8667</v>
      </c>
      <c r="B2496"/>
      <c r="C2496">
        <v>10</v>
      </c>
    </row>
    <row r="2497" spans="1:3">
      <c r="A2497">
        <v>8668</v>
      </c>
      <c r="B2497"/>
      <c r="C2497">
        <v>10</v>
      </c>
    </row>
    <row r="2498" spans="1:3">
      <c r="A2498">
        <v>8669</v>
      </c>
      <c r="B2498"/>
      <c r="C2498">
        <v>10</v>
      </c>
    </row>
    <row r="2499" spans="1:3">
      <c r="A2499">
        <v>8671</v>
      </c>
      <c r="B2499"/>
      <c r="C2499">
        <v>10</v>
      </c>
    </row>
    <row r="2500" spans="1:3">
      <c r="A2500">
        <v>8672</v>
      </c>
      <c r="B2500"/>
      <c r="C2500">
        <v>10</v>
      </c>
    </row>
    <row r="2501" spans="1:3">
      <c r="A2501">
        <v>8673</v>
      </c>
      <c r="B2501"/>
      <c r="C2501">
        <v>10</v>
      </c>
    </row>
    <row r="2502" spans="1:3">
      <c r="A2502">
        <v>8674</v>
      </c>
      <c r="B2502"/>
      <c r="C2502">
        <v>10</v>
      </c>
    </row>
    <row r="2503" spans="1:3">
      <c r="A2503">
        <v>8675</v>
      </c>
      <c r="B2503"/>
      <c r="C2503">
        <v>10</v>
      </c>
    </row>
    <row r="2504" spans="1:3">
      <c r="A2504">
        <v>8676</v>
      </c>
      <c r="B2504"/>
      <c r="C2504">
        <v>10</v>
      </c>
    </row>
    <row r="2505" spans="1:3">
      <c r="A2505">
        <v>8681</v>
      </c>
      <c r="B2505"/>
      <c r="C2505">
        <v>10</v>
      </c>
    </row>
    <row r="2506" spans="1:3">
      <c r="A2506">
        <v>8683</v>
      </c>
      <c r="B2506"/>
      <c r="C2506">
        <v>10</v>
      </c>
    </row>
    <row r="2507" spans="1:3">
      <c r="A2507">
        <v>8684</v>
      </c>
      <c r="B2507"/>
      <c r="C2507">
        <v>10</v>
      </c>
    </row>
    <row r="2508" spans="1:3">
      <c r="A2508">
        <v>8685</v>
      </c>
      <c r="B2508"/>
      <c r="C2508">
        <v>10</v>
      </c>
    </row>
    <row r="2509" spans="1:3">
      <c r="A2509">
        <v>8691</v>
      </c>
      <c r="B2509"/>
      <c r="C2509">
        <v>9</v>
      </c>
    </row>
    <row r="2510" spans="1:3">
      <c r="A2510">
        <v>8692</v>
      </c>
      <c r="B2510"/>
      <c r="C2510">
        <v>10</v>
      </c>
    </row>
    <row r="2511" spans="1:3">
      <c r="A2511">
        <v>8693</v>
      </c>
      <c r="B2511"/>
      <c r="C2511">
        <v>10</v>
      </c>
    </row>
    <row r="2512" spans="1:3">
      <c r="A2512">
        <v>8694</v>
      </c>
      <c r="B2512"/>
      <c r="C2512">
        <v>10</v>
      </c>
    </row>
    <row r="2513" spans="1:3">
      <c r="A2513">
        <v>8695</v>
      </c>
      <c r="B2513"/>
      <c r="C2513">
        <v>10</v>
      </c>
    </row>
    <row r="2514" spans="1:3">
      <c r="A2514">
        <v>8696</v>
      </c>
      <c r="B2514"/>
      <c r="C2514">
        <v>10</v>
      </c>
    </row>
    <row r="2515" spans="1:3">
      <c r="A2515">
        <v>8697</v>
      </c>
      <c r="B2515"/>
      <c r="C2515">
        <v>10</v>
      </c>
    </row>
    <row r="2516" spans="1:3">
      <c r="A2516">
        <v>8698</v>
      </c>
      <c r="B2516"/>
      <c r="C2516">
        <v>10</v>
      </c>
    </row>
    <row r="2517" spans="1:3">
      <c r="A2517">
        <v>8699</v>
      </c>
      <c r="B2517"/>
      <c r="C2517">
        <v>10</v>
      </c>
    </row>
    <row r="2518" spans="1:3">
      <c r="A2518">
        <v>8700</v>
      </c>
      <c r="B2518"/>
      <c r="C2518">
        <v>10</v>
      </c>
    </row>
    <row r="2519" spans="1:3">
      <c r="A2519">
        <v>8705</v>
      </c>
      <c r="B2519"/>
      <c r="C2519">
        <v>10</v>
      </c>
    </row>
    <row r="2520" spans="1:3">
      <c r="A2520">
        <v>8706</v>
      </c>
      <c r="B2520"/>
      <c r="C2520">
        <v>10</v>
      </c>
    </row>
    <row r="2521" spans="1:3">
      <c r="A2521">
        <v>8707</v>
      </c>
      <c r="B2521"/>
      <c r="C2521">
        <v>10</v>
      </c>
    </row>
    <row r="2522" spans="1:3">
      <c r="A2522">
        <v>8708</v>
      </c>
      <c r="B2522"/>
      <c r="C2522">
        <v>10</v>
      </c>
    </row>
    <row r="2523" spans="1:3">
      <c r="A2523">
        <v>8709</v>
      </c>
      <c r="B2523"/>
      <c r="C2523">
        <v>10</v>
      </c>
    </row>
    <row r="2524" spans="1:3">
      <c r="A2524">
        <v>8710</v>
      </c>
      <c r="B2524"/>
      <c r="C2524">
        <v>10</v>
      </c>
    </row>
    <row r="2525" spans="1:3">
      <c r="A2525">
        <v>8711</v>
      </c>
      <c r="B2525"/>
      <c r="C2525">
        <v>10</v>
      </c>
    </row>
    <row r="2526" spans="1:3">
      <c r="A2526">
        <v>8712</v>
      </c>
      <c r="B2526"/>
      <c r="C2526">
        <v>10</v>
      </c>
    </row>
    <row r="2527" spans="1:3">
      <c r="A2527">
        <v>8713</v>
      </c>
      <c r="B2527"/>
      <c r="C2527">
        <v>10</v>
      </c>
    </row>
    <row r="2528" spans="1:3">
      <c r="A2528">
        <v>8714</v>
      </c>
      <c r="B2528"/>
      <c r="C2528">
        <v>10</v>
      </c>
    </row>
    <row r="2529" spans="1:3">
      <c r="A2529">
        <v>8716</v>
      </c>
      <c r="B2529"/>
      <c r="C2529">
        <v>10</v>
      </c>
    </row>
    <row r="2530" spans="1:3">
      <c r="A2530">
        <v>8717</v>
      </c>
      <c r="B2530"/>
      <c r="C2530">
        <v>10</v>
      </c>
    </row>
    <row r="2531" spans="1:3">
      <c r="A2531">
        <v>8718</v>
      </c>
      <c r="B2531"/>
      <c r="C2531">
        <v>10</v>
      </c>
    </row>
    <row r="2532" spans="1:3">
      <c r="A2532">
        <v>8719</v>
      </c>
      <c r="B2532"/>
      <c r="C2532">
        <v>10</v>
      </c>
    </row>
    <row r="2533" spans="1:3">
      <c r="A2533">
        <v>8721</v>
      </c>
      <c r="B2533"/>
      <c r="C2533">
        <v>10</v>
      </c>
    </row>
    <row r="2534" spans="1:3">
      <c r="A2534">
        <v>8722</v>
      </c>
      <c r="B2534"/>
      <c r="C2534">
        <v>10</v>
      </c>
    </row>
    <row r="2535" spans="1:3">
      <c r="A2535">
        <v>8723</v>
      </c>
      <c r="B2535"/>
      <c r="C2535">
        <v>10</v>
      </c>
    </row>
    <row r="2536" spans="1:3">
      <c r="A2536">
        <v>8724</v>
      </c>
      <c r="B2536"/>
      <c r="C2536">
        <v>10</v>
      </c>
    </row>
    <row r="2537" spans="1:3">
      <c r="A2537">
        <v>8725</v>
      </c>
      <c r="B2537"/>
      <c r="C2537">
        <v>10</v>
      </c>
    </row>
    <row r="2538" spans="1:3">
      <c r="A2538">
        <v>8726</v>
      </c>
      <c r="B2538"/>
      <c r="C2538">
        <v>10</v>
      </c>
    </row>
    <row r="2539" spans="1:3">
      <c r="A2539">
        <v>8728</v>
      </c>
      <c r="B2539"/>
      <c r="C2539">
        <v>10</v>
      </c>
    </row>
    <row r="2540" spans="1:3">
      <c r="A2540">
        <v>8731</v>
      </c>
      <c r="B2540"/>
      <c r="C2540">
        <v>10</v>
      </c>
    </row>
    <row r="2541" spans="1:3">
      <c r="A2541">
        <v>8732</v>
      </c>
      <c r="B2541"/>
      <c r="C2541">
        <v>10</v>
      </c>
    </row>
    <row r="2542" spans="1:3">
      <c r="A2542">
        <v>8733</v>
      </c>
      <c r="B2542"/>
      <c r="C2542">
        <v>10</v>
      </c>
    </row>
    <row r="2543" spans="1:3">
      <c r="A2543">
        <v>8734</v>
      </c>
      <c r="B2543"/>
      <c r="C2543">
        <v>10</v>
      </c>
    </row>
    <row r="2544" spans="1:3">
      <c r="A2544">
        <v>8735</v>
      </c>
      <c r="B2544"/>
      <c r="C2544">
        <v>10</v>
      </c>
    </row>
    <row r="2545" spans="1:3">
      <c r="A2545">
        <v>8736</v>
      </c>
      <c r="B2545"/>
      <c r="C2545">
        <v>10</v>
      </c>
    </row>
    <row r="2546" spans="1:3">
      <c r="A2546">
        <v>8737</v>
      </c>
      <c r="B2546"/>
      <c r="C2546">
        <v>10</v>
      </c>
    </row>
    <row r="2547" spans="1:3">
      <c r="A2547">
        <v>8738</v>
      </c>
      <c r="B2547"/>
      <c r="C2547">
        <v>10</v>
      </c>
    </row>
    <row r="2548" spans="1:3">
      <c r="A2548">
        <v>8739</v>
      </c>
      <c r="B2548"/>
      <c r="C2548">
        <v>10</v>
      </c>
    </row>
    <row r="2549" spans="1:3">
      <c r="A2549">
        <v>8741</v>
      </c>
      <c r="B2549"/>
      <c r="C2549">
        <v>10</v>
      </c>
    </row>
    <row r="2550" spans="1:3">
      <c r="A2550">
        <v>8742</v>
      </c>
      <c r="B2550"/>
      <c r="C2550">
        <v>10</v>
      </c>
    </row>
    <row r="2551" spans="1:3">
      <c r="A2551">
        <v>8743</v>
      </c>
      <c r="B2551"/>
      <c r="C2551">
        <v>10</v>
      </c>
    </row>
    <row r="2552" spans="1:3">
      <c r="A2552">
        <v>8744</v>
      </c>
      <c r="B2552"/>
      <c r="C2552">
        <v>10</v>
      </c>
    </row>
    <row r="2553" spans="1:3">
      <c r="A2553">
        <v>8745</v>
      </c>
      <c r="B2553"/>
      <c r="C2553">
        <v>10</v>
      </c>
    </row>
    <row r="2554" spans="1:3">
      <c r="A2554">
        <v>8746</v>
      </c>
      <c r="B2554"/>
      <c r="C2554">
        <v>10</v>
      </c>
    </row>
    <row r="2555" spans="1:3">
      <c r="A2555">
        <v>8747</v>
      </c>
      <c r="B2555"/>
      <c r="C2555">
        <v>10</v>
      </c>
    </row>
    <row r="2556" spans="1:3">
      <c r="A2556">
        <v>8749</v>
      </c>
      <c r="B2556"/>
      <c r="C2556">
        <v>9</v>
      </c>
    </row>
    <row r="2557" spans="1:3">
      <c r="A2557">
        <v>8751</v>
      </c>
      <c r="B2557"/>
      <c r="C2557">
        <v>10</v>
      </c>
    </row>
    <row r="2558" spans="1:3">
      <c r="A2558">
        <v>8752</v>
      </c>
      <c r="B2558"/>
      <c r="C2558">
        <v>10</v>
      </c>
    </row>
    <row r="2559" spans="1:3">
      <c r="A2559">
        <v>8753</v>
      </c>
      <c r="B2559"/>
      <c r="C2559">
        <v>10</v>
      </c>
    </row>
    <row r="2560" spans="1:3">
      <c r="A2560">
        <v>8754</v>
      </c>
      <c r="B2560"/>
      <c r="C2560">
        <v>10</v>
      </c>
    </row>
    <row r="2561" spans="1:3">
      <c r="A2561">
        <v>8756</v>
      </c>
      <c r="B2561"/>
      <c r="C2561">
        <v>10</v>
      </c>
    </row>
    <row r="2562" spans="1:3">
      <c r="A2562">
        <v>8761</v>
      </c>
      <c r="B2562"/>
      <c r="C2562">
        <v>10</v>
      </c>
    </row>
    <row r="2563" spans="1:3">
      <c r="A2563">
        <v>8762</v>
      </c>
      <c r="B2563"/>
      <c r="C2563">
        <v>10</v>
      </c>
    </row>
    <row r="2564" spans="1:3">
      <c r="A2564">
        <v>8764</v>
      </c>
      <c r="B2564"/>
      <c r="C2564">
        <v>10</v>
      </c>
    </row>
    <row r="2565" spans="1:3">
      <c r="A2565">
        <v>8765</v>
      </c>
      <c r="B2565"/>
      <c r="C2565">
        <v>10</v>
      </c>
    </row>
    <row r="2566" spans="1:3">
      <c r="A2566">
        <v>8767</v>
      </c>
      <c r="B2566"/>
      <c r="C2566">
        <v>10</v>
      </c>
    </row>
    <row r="2567" spans="1:3">
      <c r="A2567">
        <v>8771</v>
      </c>
      <c r="B2567"/>
      <c r="C2567">
        <v>10</v>
      </c>
    </row>
    <row r="2568" spans="1:3">
      <c r="A2568">
        <v>8772</v>
      </c>
      <c r="B2568"/>
      <c r="C2568">
        <v>10</v>
      </c>
    </row>
    <row r="2569" spans="1:3">
      <c r="A2569">
        <v>8773</v>
      </c>
      <c r="B2569"/>
      <c r="C2569">
        <v>10</v>
      </c>
    </row>
    <row r="2570" spans="1:3">
      <c r="A2570">
        <v>8774</v>
      </c>
      <c r="B2570"/>
      <c r="C2570">
        <v>10</v>
      </c>
    </row>
    <row r="2571" spans="1:3">
      <c r="A2571">
        <v>8776</v>
      </c>
      <c r="B2571"/>
      <c r="C2571">
        <v>10</v>
      </c>
    </row>
    <row r="2572" spans="1:3">
      <c r="A2572">
        <v>8777</v>
      </c>
      <c r="B2572"/>
      <c r="C2572">
        <v>10</v>
      </c>
    </row>
    <row r="2573" spans="1:3">
      <c r="A2573">
        <v>8778</v>
      </c>
      <c r="B2573"/>
      <c r="C2573">
        <v>10</v>
      </c>
    </row>
    <row r="2574" spans="1:3">
      <c r="A2574">
        <v>8782</v>
      </c>
      <c r="B2574"/>
      <c r="C2574">
        <v>10</v>
      </c>
    </row>
    <row r="2575" spans="1:3">
      <c r="A2575">
        <v>8784</v>
      </c>
      <c r="B2575"/>
      <c r="C2575">
        <v>10</v>
      </c>
    </row>
    <row r="2576" spans="1:3">
      <c r="A2576">
        <v>8785</v>
      </c>
      <c r="B2576"/>
      <c r="C2576">
        <v>9</v>
      </c>
    </row>
    <row r="2577" spans="1:3">
      <c r="A2577">
        <v>8788</v>
      </c>
      <c r="B2577"/>
      <c r="C2577">
        <v>10</v>
      </c>
    </row>
    <row r="2578" spans="1:3">
      <c r="A2578">
        <v>8789</v>
      </c>
      <c r="B2578"/>
      <c r="C2578">
        <v>9</v>
      </c>
    </row>
    <row r="2579" spans="1:3">
      <c r="A2579">
        <v>8790</v>
      </c>
      <c r="B2579"/>
      <c r="C2579">
        <v>9</v>
      </c>
    </row>
    <row r="2580" spans="1:3">
      <c r="A2580">
        <v>8792</v>
      </c>
      <c r="B2580"/>
      <c r="C2580">
        <v>10</v>
      </c>
    </row>
    <row r="2581" spans="1:3">
      <c r="A2581">
        <v>8793</v>
      </c>
      <c r="B2581"/>
      <c r="C2581">
        <v>10</v>
      </c>
    </row>
    <row r="2582" spans="1:3">
      <c r="A2582">
        <v>8795</v>
      </c>
      <c r="B2582"/>
      <c r="C2582">
        <v>9</v>
      </c>
    </row>
    <row r="2583" spans="1:3">
      <c r="A2583">
        <v>8796</v>
      </c>
      <c r="B2583"/>
      <c r="C2583">
        <v>10</v>
      </c>
    </row>
    <row r="2584" spans="1:3">
      <c r="A2584">
        <v>8797</v>
      </c>
      <c r="B2584"/>
      <c r="C2584">
        <v>10</v>
      </c>
    </row>
    <row r="2585" spans="1:3">
      <c r="A2585">
        <v>8798</v>
      </c>
      <c r="B2585"/>
      <c r="C2585">
        <v>10</v>
      </c>
    </row>
    <row r="2586" spans="1:3">
      <c r="A2586">
        <v>8799</v>
      </c>
      <c r="B2586"/>
      <c r="C2586">
        <v>10</v>
      </c>
    </row>
    <row r="2587" spans="1:3">
      <c r="A2587">
        <v>8800</v>
      </c>
      <c r="B2587"/>
      <c r="C2587">
        <v>8</v>
      </c>
    </row>
    <row r="2588" spans="1:3">
      <c r="A2588">
        <v>8808</v>
      </c>
      <c r="B2588"/>
      <c r="C2588">
        <v>8</v>
      </c>
    </row>
    <row r="2589" spans="1:3">
      <c r="A2589">
        <v>8809</v>
      </c>
      <c r="B2589"/>
      <c r="C2589">
        <v>8</v>
      </c>
    </row>
    <row r="2590" spans="1:3">
      <c r="A2590">
        <v>8821</v>
      </c>
      <c r="B2590"/>
      <c r="C2590">
        <v>10</v>
      </c>
    </row>
    <row r="2591" spans="1:3">
      <c r="A2591">
        <v>8822</v>
      </c>
      <c r="B2591"/>
      <c r="C2591">
        <v>10</v>
      </c>
    </row>
    <row r="2592" spans="1:3">
      <c r="A2592">
        <v>8824</v>
      </c>
      <c r="B2592"/>
      <c r="C2592">
        <v>10</v>
      </c>
    </row>
    <row r="2593" spans="1:3">
      <c r="A2593">
        <v>8825</v>
      </c>
      <c r="B2593"/>
      <c r="C2593">
        <v>10</v>
      </c>
    </row>
    <row r="2594" spans="1:3">
      <c r="A2594">
        <v>8827</v>
      </c>
      <c r="B2594"/>
      <c r="C2594">
        <v>10</v>
      </c>
    </row>
    <row r="2595" spans="1:3">
      <c r="A2595">
        <v>8831</v>
      </c>
      <c r="B2595"/>
      <c r="C2595">
        <v>8</v>
      </c>
    </row>
    <row r="2596" spans="1:3">
      <c r="A2596">
        <v>8832</v>
      </c>
      <c r="B2596"/>
      <c r="C2596">
        <v>6</v>
      </c>
    </row>
    <row r="2597" spans="1:3">
      <c r="A2597">
        <v>8834</v>
      </c>
      <c r="B2597"/>
      <c r="C2597">
        <v>9</v>
      </c>
    </row>
    <row r="2598" spans="1:3">
      <c r="A2598">
        <v>8835</v>
      </c>
      <c r="B2598"/>
      <c r="C2598">
        <v>9</v>
      </c>
    </row>
    <row r="2599" spans="1:3">
      <c r="A2599">
        <v>8840</v>
      </c>
      <c r="B2599"/>
      <c r="C2599">
        <v>10</v>
      </c>
    </row>
    <row r="2600" spans="1:3">
      <c r="A2600">
        <v>8849</v>
      </c>
      <c r="B2600"/>
      <c r="C2600">
        <v>10</v>
      </c>
    </row>
    <row r="2601" spans="1:3">
      <c r="A2601">
        <v>8851</v>
      </c>
      <c r="B2601"/>
      <c r="C2601">
        <v>10</v>
      </c>
    </row>
    <row r="2602" spans="1:3">
      <c r="A2602">
        <v>8852</v>
      </c>
      <c r="B2602"/>
      <c r="C2602">
        <v>10</v>
      </c>
    </row>
    <row r="2603" spans="1:3">
      <c r="A2603">
        <v>8853</v>
      </c>
      <c r="B2603"/>
      <c r="C2603">
        <v>10</v>
      </c>
    </row>
    <row r="2604" spans="1:3">
      <c r="A2604">
        <v>8854</v>
      </c>
      <c r="B2604"/>
      <c r="C2604">
        <v>10</v>
      </c>
    </row>
    <row r="2605" spans="1:3">
      <c r="A2605">
        <v>8855</v>
      </c>
      <c r="B2605"/>
      <c r="C2605">
        <v>10</v>
      </c>
    </row>
    <row r="2606" spans="1:3">
      <c r="A2606">
        <v>8856</v>
      </c>
      <c r="B2606"/>
      <c r="C2606">
        <v>10</v>
      </c>
    </row>
    <row r="2607" spans="1:3">
      <c r="A2607">
        <v>8857</v>
      </c>
      <c r="B2607"/>
      <c r="C2607">
        <v>10</v>
      </c>
    </row>
    <row r="2608" spans="1:3">
      <c r="A2608">
        <v>8858</v>
      </c>
      <c r="B2608"/>
      <c r="C2608">
        <v>10</v>
      </c>
    </row>
    <row r="2609" spans="1:3">
      <c r="A2609">
        <v>8861</v>
      </c>
      <c r="B2609"/>
      <c r="C2609">
        <v>10</v>
      </c>
    </row>
    <row r="2610" spans="1:3">
      <c r="A2610">
        <v>8862</v>
      </c>
      <c r="B2610"/>
      <c r="C2610">
        <v>9</v>
      </c>
    </row>
    <row r="2611" spans="1:3">
      <c r="A2611">
        <v>8863</v>
      </c>
      <c r="B2611"/>
      <c r="C2611">
        <v>10</v>
      </c>
    </row>
    <row r="2612" spans="1:3">
      <c r="A2612">
        <v>8864</v>
      </c>
      <c r="B2612"/>
      <c r="C2612">
        <v>9</v>
      </c>
    </row>
    <row r="2613" spans="1:3">
      <c r="A2613">
        <v>8865</v>
      </c>
      <c r="B2613"/>
      <c r="C2613">
        <v>10</v>
      </c>
    </row>
    <row r="2614" spans="1:3">
      <c r="A2614">
        <v>8866</v>
      </c>
      <c r="B2614"/>
      <c r="C2614">
        <v>10</v>
      </c>
    </row>
    <row r="2615" spans="1:3">
      <c r="A2615">
        <v>8868</v>
      </c>
      <c r="B2615"/>
      <c r="C2615">
        <v>9</v>
      </c>
    </row>
    <row r="2616" spans="1:3">
      <c r="A2616">
        <v>8872</v>
      </c>
      <c r="B2616"/>
      <c r="C2616">
        <v>10</v>
      </c>
    </row>
    <row r="2617" spans="1:3">
      <c r="A2617">
        <v>8873</v>
      </c>
      <c r="B2617"/>
      <c r="C2617">
        <v>10</v>
      </c>
    </row>
    <row r="2618" spans="1:3">
      <c r="A2618">
        <v>8874</v>
      </c>
      <c r="B2618"/>
      <c r="C2618">
        <v>10</v>
      </c>
    </row>
    <row r="2619" spans="1:3">
      <c r="A2619">
        <v>8876</v>
      </c>
      <c r="B2619"/>
      <c r="C2619">
        <v>10</v>
      </c>
    </row>
    <row r="2620" spans="1:3">
      <c r="A2620">
        <v>8877</v>
      </c>
      <c r="B2620"/>
      <c r="C2620">
        <v>10</v>
      </c>
    </row>
    <row r="2621" spans="1:3">
      <c r="A2621">
        <v>8878</v>
      </c>
      <c r="B2621"/>
      <c r="C2621">
        <v>9</v>
      </c>
    </row>
    <row r="2622" spans="1:3">
      <c r="A2622">
        <v>8879</v>
      </c>
      <c r="B2622"/>
      <c r="C2622">
        <v>10</v>
      </c>
    </row>
    <row r="2623" spans="1:3">
      <c r="A2623">
        <v>8881</v>
      </c>
      <c r="B2623"/>
      <c r="C2623">
        <v>10</v>
      </c>
    </row>
    <row r="2624" spans="1:3">
      <c r="A2624">
        <v>8882</v>
      </c>
      <c r="B2624"/>
      <c r="C2624">
        <v>10</v>
      </c>
    </row>
    <row r="2625" spans="1:3">
      <c r="A2625">
        <v>8883</v>
      </c>
      <c r="B2625"/>
      <c r="C2625">
        <v>10</v>
      </c>
    </row>
    <row r="2626" spans="1:3">
      <c r="A2626">
        <v>8885</v>
      </c>
      <c r="B2626"/>
      <c r="C2626">
        <v>10</v>
      </c>
    </row>
    <row r="2627" spans="1:3">
      <c r="A2627">
        <v>8886</v>
      </c>
      <c r="B2627"/>
      <c r="C2627">
        <v>10</v>
      </c>
    </row>
    <row r="2628" spans="1:3">
      <c r="A2628">
        <v>8887</v>
      </c>
      <c r="B2628"/>
      <c r="C2628">
        <v>9</v>
      </c>
    </row>
    <row r="2629" spans="1:3">
      <c r="A2629">
        <v>8888</v>
      </c>
      <c r="B2629"/>
      <c r="C2629">
        <v>10</v>
      </c>
    </row>
    <row r="2630" spans="1:3">
      <c r="A2630">
        <v>8891</v>
      </c>
      <c r="B2630"/>
      <c r="C2630">
        <v>10</v>
      </c>
    </row>
    <row r="2631" spans="1:3">
      <c r="A2631">
        <v>8893</v>
      </c>
      <c r="B2631"/>
      <c r="C2631">
        <v>10</v>
      </c>
    </row>
    <row r="2632" spans="1:3">
      <c r="A2632">
        <v>8895</v>
      </c>
      <c r="B2632"/>
      <c r="C2632">
        <v>10</v>
      </c>
    </row>
    <row r="2633" spans="1:3">
      <c r="A2633">
        <v>8896</v>
      </c>
      <c r="B2633"/>
      <c r="C2633">
        <v>10</v>
      </c>
    </row>
    <row r="2634" spans="1:3">
      <c r="A2634">
        <v>8897</v>
      </c>
      <c r="B2634"/>
      <c r="C2634">
        <v>10</v>
      </c>
    </row>
    <row r="2635" spans="1:3">
      <c r="A2635">
        <v>8900</v>
      </c>
      <c r="B2635"/>
      <c r="C2635">
        <v>8</v>
      </c>
    </row>
    <row r="2636" spans="1:3">
      <c r="A2636">
        <v>8911</v>
      </c>
      <c r="B2636"/>
      <c r="C2636">
        <v>10</v>
      </c>
    </row>
    <row r="2637" spans="1:3">
      <c r="A2637">
        <v>8912</v>
      </c>
      <c r="B2637"/>
      <c r="C2637">
        <v>10</v>
      </c>
    </row>
    <row r="2638" spans="1:3">
      <c r="A2638">
        <v>8913</v>
      </c>
      <c r="B2638"/>
      <c r="C2638">
        <v>9</v>
      </c>
    </row>
    <row r="2639" spans="1:3">
      <c r="A2639">
        <v>8914</v>
      </c>
      <c r="B2639"/>
      <c r="C2639">
        <v>10</v>
      </c>
    </row>
    <row r="2640" spans="1:3">
      <c r="A2640">
        <v>8915</v>
      </c>
      <c r="B2640"/>
      <c r="C2640">
        <v>10</v>
      </c>
    </row>
    <row r="2641" spans="1:3">
      <c r="A2641">
        <v>8917</v>
      </c>
      <c r="B2641"/>
      <c r="C2641">
        <v>10</v>
      </c>
    </row>
    <row r="2642" spans="1:3">
      <c r="A2642">
        <v>8918</v>
      </c>
      <c r="B2642"/>
      <c r="C2642">
        <v>10</v>
      </c>
    </row>
    <row r="2643" spans="1:3">
      <c r="A2643">
        <v>8919</v>
      </c>
      <c r="B2643"/>
      <c r="C2643">
        <v>10</v>
      </c>
    </row>
    <row r="2644" spans="1:3">
      <c r="A2644">
        <v>8921</v>
      </c>
      <c r="B2644"/>
      <c r="C2644">
        <v>9</v>
      </c>
    </row>
    <row r="2645" spans="1:3">
      <c r="A2645">
        <v>8922</v>
      </c>
      <c r="B2645"/>
      <c r="C2645">
        <v>9</v>
      </c>
    </row>
    <row r="2646" spans="1:3">
      <c r="A2646">
        <v>8923</v>
      </c>
      <c r="B2646"/>
      <c r="C2646">
        <v>10</v>
      </c>
    </row>
    <row r="2647" spans="1:3">
      <c r="A2647">
        <v>8924</v>
      </c>
      <c r="B2647"/>
      <c r="C2647">
        <v>10</v>
      </c>
    </row>
    <row r="2648" spans="1:3">
      <c r="A2648">
        <v>8925</v>
      </c>
      <c r="B2648"/>
      <c r="C2648">
        <v>9</v>
      </c>
    </row>
    <row r="2649" spans="1:3">
      <c r="A2649">
        <v>8926</v>
      </c>
      <c r="B2649"/>
      <c r="C2649">
        <v>10</v>
      </c>
    </row>
    <row r="2650" spans="1:3">
      <c r="A2650">
        <v>8928</v>
      </c>
      <c r="B2650"/>
      <c r="C2650">
        <v>9</v>
      </c>
    </row>
    <row r="2651" spans="1:3">
      <c r="A2651">
        <v>8929</v>
      </c>
      <c r="B2651"/>
      <c r="C2651">
        <v>10</v>
      </c>
    </row>
    <row r="2652" spans="1:3">
      <c r="A2652">
        <v>8931</v>
      </c>
      <c r="B2652"/>
      <c r="C2652">
        <v>10</v>
      </c>
    </row>
    <row r="2653" spans="1:3">
      <c r="A2653">
        <v>8932</v>
      </c>
      <c r="B2653"/>
      <c r="C2653">
        <v>10</v>
      </c>
    </row>
    <row r="2654" spans="1:3">
      <c r="A2654">
        <v>8934</v>
      </c>
      <c r="B2654"/>
      <c r="C2654">
        <v>10</v>
      </c>
    </row>
    <row r="2655" spans="1:3">
      <c r="A2655">
        <v>8935</v>
      </c>
      <c r="B2655"/>
      <c r="C2655">
        <v>10</v>
      </c>
    </row>
    <row r="2656" spans="1:3">
      <c r="A2656">
        <v>8936</v>
      </c>
      <c r="B2656"/>
      <c r="C2656">
        <v>10</v>
      </c>
    </row>
    <row r="2657" spans="1:3">
      <c r="A2657">
        <v>8943</v>
      </c>
      <c r="B2657"/>
      <c r="C2657">
        <v>9</v>
      </c>
    </row>
    <row r="2658" spans="1:3">
      <c r="A2658">
        <v>8944</v>
      </c>
      <c r="B2658"/>
      <c r="C2658">
        <v>9</v>
      </c>
    </row>
    <row r="2659" spans="1:3">
      <c r="A2659">
        <v>8945</v>
      </c>
      <c r="B2659"/>
      <c r="C2659">
        <v>10</v>
      </c>
    </row>
    <row r="2660" spans="1:3">
      <c r="A2660">
        <v>8946</v>
      </c>
      <c r="B2660"/>
      <c r="C2660">
        <v>10</v>
      </c>
    </row>
    <row r="2661" spans="1:3">
      <c r="A2661">
        <v>8947</v>
      </c>
      <c r="B2661"/>
      <c r="C2661">
        <v>10</v>
      </c>
    </row>
    <row r="2662" spans="1:3">
      <c r="A2662">
        <v>8948</v>
      </c>
      <c r="B2662"/>
      <c r="C2662">
        <v>10</v>
      </c>
    </row>
    <row r="2663" spans="1:3">
      <c r="A2663">
        <v>8949</v>
      </c>
      <c r="B2663"/>
      <c r="C2663">
        <v>10</v>
      </c>
    </row>
    <row r="2664" spans="1:3">
      <c r="A2664">
        <v>8951</v>
      </c>
      <c r="B2664"/>
      <c r="C2664">
        <v>10</v>
      </c>
    </row>
    <row r="2665" spans="1:3">
      <c r="A2665">
        <v>8953</v>
      </c>
      <c r="B2665"/>
      <c r="C2665">
        <v>10</v>
      </c>
    </row>
    <row r="2666" spans="1:3">
      <c r="A2666">
        <v>8954</v>
      </c>
      <c r="B2666"/>
      <c r="C2666">
        <v>10</v>
      </c>
    </row>
    <row r="2667" spans="1:3">
      <c r="A2667">
        <v>8956</v>
      </c>
      <c r="B2667"/>
      <c r="C2667">
        <v>10</v>
      </c>
    </row>
    <row r="2668" spans="1:3">
      <c r="A2668">
        <v>8957</v>
      </c>
      <c r="B2668"/>
      <c r="C2668">
        <v>10</v>
      </c>
    </row>
    <row r="2669" spans="1:3">
      <c r="A2669">
        <v>8958</v>
      </c>
      <c r="B2669"/>
      <c r="C2669">
        <v>10</v>
      </c>
    </row>
    <row r="2670" spans="1:3">
      <c r="A2670">
        <v>8960</v>
      </c>
      <c r="B2670"/>
      <c r="C2670">
        <v>9</v>
      </c>
    </row>
    <row r="2671" spans="1:3">
      <c r="A2671">
        <v>8966</v>
      </c>
      <c r="B2671"/>
      <c r="C2671">
        <v>9</v>
      </c>
    </row>
    <row r="2672" spans="1:3">
      <c r="A2672">
        <v>8969</v>
      </c>
      <c r="B2672"/>
      <c r="C2672">
        <v>10</v>
      </c>
    </row>
    <row r="2673" spans="1:3">
      <c r="A2673">
        <v>8971</v>
      </c>
      <c r="B2673"/>
      <c r="C2673">
        <v>10</v>
      </c>
    </row>
    <row r="2674" spans="1:3">
      <c r="A2674">
        <v>8973</v>
      </c>
      <c r="B2674"/>
      <c r="C2674">
        <v>10</v>
      </c>
    </row>
    <row r="2675" spans="1:3">
      <c r="A2675">
        <v>8975</v>
      </c>
      <c r="B2675"/>
      <c r="C2675">
        <v>10</v>
      </c>
    </row>
    <row r="2676" spans="1:3">
      <c r="A2676">
        <v>8976</v>
      </c>
      <c r="B2676"/>
      <c r="C2676">
        <v>10</v>
      </c>
    </row>
    <row r="2677" spans="1:3">
      <c r="A2677">
        <v>8977</v>
      </c>
      <c r="B2677"/>
      <c r="C2677">
        <v>10</v>
      </c>
    </row>
    <row r="2678" spans="1:3">
      <c r="A2678">
        <v>8978</v>
      </c>
      <c r="B2678"/>
      <c r="C2678">
        <v>10</v>
      </c>
    </row>
    <row r="2679" spans="1:3">
      <c r="A2679">
        <v>8981</v>
      </c>
      <c r="B2679"/>
      <c r="C2679">
        <v>9</v>
      </c>
    </row>
    <row r="2680" spans="1:3">
      <c r="A2680">
        <v>8983</v>
      </c>
      <c r="B2680"/>
      <c r="C2680">
        <v>10</v>
      </c>
    </row>
    <row r="2681" spans="1:3">
      <c r="A2681">
        <v>8984</v>
      </c>
      <c r="B2681"/>
      <c r="C2681">
        <v>10</v>
      </c>
    </row>
    <row r="2682" spans="1:3">
      <c r="A2682">
        <v>8985</v>
      </c>
      <c r="B2682"/>
      <c r="C2682">
        <v>10</v>
      </c>
    </row>
    <row r="2683" spans="1:3">
      <c r="A2683">
        <v>8986</v>
      </c>
      <c r="B2683"/>
      <c r="C2683">
        <v>10</v>
      </c>
    </row>
    <row r="2684" spans="1:3">
      <c r="A2684">
        <v>8988</v>
      </c>
      <c r="B2684"/>
      <c r="C2684">
        <v>10</v>
      </c>
    </row>
    <row r="2685" spans="1:3">
      <c r="A2685">
        <v>8989</v>
      </c>
      <c r="B2685"/>
      <c r="C2685">
        <v>10</v>
      </c>
    </row>
    <row r="2686" spans="1:3">
      <c r="A2686">
        <v>8990</v>
      </c>
      <c r="B2686"/>
      <c r="C2686">
        <v>10</v>
      </c>
    </row>
    <row r="2687" spans="1:3">
      <c r="A2687">
        <v>8991</v>
      </c>
      <c r="B2687"/>
      <c r="C2687">
        <v>9</v>
      </c>
    </row>
    <row r="2688" spans="1:3">
      <c r="A2688">
        <v>8992</v>
      </c>
      <c r="B2688"/>
      <c r="C2688">
        <v>9</v>
      </c>
    </row>
    <row r="2689" spans="1:3">
      <c r="A2689">
        <v>8994</v>
      </c>
      <c r="B2689"/>
      <c r="C2689">
        <v>10</v>
      </c>
    </row>
    <row r="2690" spans="1:3">
      <c r="A2690">
        <v>8995</v>
      </c>
      <c r="B2690"/>
      <c r="C2690">
        <v>10</v>
      </c>
    </row>
    <row r="2691" spans="1:3">
      <c r="A2691">
        <v>8996</v>
      </c>
      <c r="B2691"/>
      <c r="C2691">
        <v>10</v>
      </c>
    </row>
    <row r="2692" spans="1:3">
      <c r="A2692">
        <v>8997</v>
      </c>
      <c r="B2692"/>
      <c r="C2692">
        <v>10</v>
      </c>
    </row>
    <row r="2693" spans="1:3">
      <c r="A2693">
        <v>8998</v>
      </c>
      <c r="B2693"/>
      <c r="C2693">
        <v>10</v>
      </c>
    </row>
    <row r="2694" spans="1:3">
      <c r="A2694">
        <v>8999</v>
      </c>
      <c r="B2694"/>
      <c r="C2694">
        <v>10</v>
      </c>
    </row>
    <row r="2695" spans="1:3">
      <c r="A2695">
        <v>9002</v>
      </c>
      <c r="B2695"/>
      <c r="C2695">
        <v>7</v>
      </c>
    </row>
    <row r="2696" spans="1:3">
      <c r="A2696">
        <v>9011</v>
      </c>
      <c r="B2696"/>
      <c r="C2696">
        <v>7</v>
      </c>
    </row>
    <row r="2697" spans="1:3">
      <c r="A2697">
        <v>9012</v>
      </c>
      <c r="B2697"/>
      <c r="C2697">
        <v>7</v>
      </c>
    </row>
    <row r="2698" spans="1:3">
      <c r="A2698">
        <v>9019</v>
      </c>
      <c r="B2698"/>
      <c r="C2698">
        <v>7</v>
      </c>
    </row>
    <row r="2699" spans="1:3">
      <c r="A2699">
        <v>9021</v>
      </c>
      <c r="B2699"/>
      <c r="C2699">
        <v>7</v>
      </c>
    </row>
    <row r="2700" spans="1:3">
      <c r="A2700">
        <v>9022</v>
      </c>
      <c r="B2700"/>
      <c r="C2700">
        <v>7</v>
      </c>
    </row>
    <row r="2701" spans="1:3">
      <c r="A2701">
        <v>9023</v>
      </c>
      <c r="B2701"/>
      <c r="C2701">
        <v>7</v>
      </c>
    </row>
    <row r="2702" spans="1:3">
      <c r="A2702">
        <v>9024</v>
      </c>
      <c r="B2702"/>
      <c r="C2702">
        <v>7</v>
      </c>
    </row>
    <row r="2703" spans="1:3">
      <c r="A2703">
        <v>9025</v>
      </c>
      <c r="B2703"/>
      <c r="C2703">
        <v>7</v>
      </c>
    </row>
    <row r="2704" spans="1:3">
      <c r="A2704">
        <v>9026</v>
      </c>
      <c r="B2704"/>
      <c r="C2704">
        <v>7</v>
      </c>
    </row>
    <row r="2705" spans="1:3">
      <c r="A2705">
        <v>9027</v>
      </c>
      <c r="B2705"/>
      <c r="C2705">
        <v>7</v>
      </c>
    </row>
    <row r="2706" spans="1:3">
      <c r="A2706">
        <v>9028</v>
      </c>
      <c r="B2706"/>
      <c r="C2706">
        <v>7</v>
      </c>
    </row>
    <row r="2707" spans="1:3">
      <c r="A2707">
        <v>9029</v>
      </c>
      <c r="B2707"/>
      <c r="C2707">
        <v>7</v>
      </c>
    </row>
    <row r="2708" spans="1:3">
      <c r="A2708">
        <v>9030</v>
      </c>
      <c r="B2708"/>
      <c r="C2708">
        <v>7</v>
      </c>
    </row>
    <row r="2709" spans="1:3">
      <c r="A2709">
        <v>9061</v>
      </c>
      <c r="B2709"/>
      <c r="C2709">
        <v>10</v>
      </c>
    </row>
    <row r="2710" spans="1:3">
      <c r="A2710">
        <v>9062</v>
      </c>
      <c r="B2710"/>
      <c r="C2710">
        <v>9</v>
      </c>
    </row>
    <row r="2711" spans="1:3">
      <c r="A2711">
        <v>9063</v>
      </c>
      <c r="B2711"/>
      <c r="C2711">
        <v>9</v>
      </c>
    </row>
    <row r="2712" spans="1:3">
      <c r="A2712">
        <v>9064</v>
      </c>
      <c r="B2712"/>
      <c r="C2712">
        <v>10</v>
      </c>
    </row>
    <row r="2713" spans="1:3">
      <c r="A2713">
        <v>9071</v>
      </c>
      <c r="B2713"/>
      <c r="C2713">
        <v>9</v>
      </c>
    </row>
    <row r="2714" spans="1:3">
      <c r="A2714">
        <v>9072</v>
      </c>
      <c r="B2714"/>
      <c r="C2714">
        <v>10</v>
      </c>
    </row>
    <row r="2715" spans="1:3">
      <c r="A2715">
        <v>9073</v>
      </c>
      <c r="B2715"/>
      <c r="C2715">
        <v>10</v>
      </c>
    </row>
    <row r="2716" spans="1:3">
      <c r="A2716">
        <v>9074</v>
      </c>
      <c r="B2716"/>
      <c r="C2716">
        <v>10</v>
      </c>
    </row>
    <row r="2717" spans="1:3">
      <c r="A2717">
        <v>9081</v>
      </c>
      <c r="B2717"/>
      <c r="C2717">
        <v>9</v>
      </c>
    </row>
    <row r="2718" spans="1:3">
      <c r="A2718">
        <v>9082</v>
      </c>
      <c r="B2718"/>
      <c r="C2718">
        <v>9</v>
      </c>
    </row>
    <row r="2719" spans="1:3">
      <c r="A2719">
        <v>9083</v>
      </c>
      <c r="B2719"/>
      <c r="C2719">
        <v>9</v>
      </c>
    </row>
    <row r="2720" spans="1:3">
      <c r="A2720">
        <v>9084</v>
      </c>
      <c r="B2720"/>
      <c r="C2720">
        <v>9</v>
      </c>
    </row>
    <row r="2721" spans="1:3">
      <c r="A2721">
        <v>9085</v>
      </c>
      <c r="B2721"/>
      <c r="C2721">
        <v>10</v>
      </c>
    </row>
    <row r="2722" spans="1:3">
      <c r="A2722">
        <v>9086</v>
      </c>
      <c r="B2722"/>
      <c r="C2722">
        <v>9</v>
      </c>
    </row>
    <row r="2723" spans="1:3">
      <c r="A2723">
        <v>9088</v>
      </c>
      <c r="B2723"/>
      <c r="C2723">
        <v>10</v>
      </c>
    </row>
    <row r="2724" spans="1:3">
      <c r="A2724">
        <v>9089</v>
      </c>
      <c r="B2724"/>
      <c r="C2724">
        <v>10</v>
      </c>
    </row>
    <row r="2725" spans="1:3">
      <c r="A2725">
        <v>9090</v>
      </c>
      <c r="B2725"/>
      <c r="C2725">
        <v>9</v>
      </c>
    </row>
    <row r="2726" spans="1:3">
      <c r="A2726">
        <v>9091</v>
      </c>
      <c r="B2726"/>
      <c r="C2726">
        <v>10</v>
      </c>
    </row>
    <row r="2727" spans="1:3">
      <c r="A2727">
        <v>9092</v>
      </c>
      <c r="B2727"/>
      <c r="C2727">
        <v>10</v>
      </c>
    </row>
    <row r="2728" spans="1:3">
      <c r="A2728">
        <v>9093</v>
      </c>
      <c r="B2728"/>
      <c r="C2728">
        <v>10</v>
      </c>
    </row>
    <row r="2729" spans="1:3">
      <c r="A2729">
        <v>9094</v>
      </c>
      <c r="B2729"/>
      <c r="C2729">
        <v>10</v>
      </c>
    </row>
    <row r="2730" spans="1:3">
      <c r="A2730">
        <v>9095</v>
      </c>
      <c r="B2730"/>
      <c r="C2730">
        <v>10</v>
      </c>
    </row>
    <row r="2731" spans="1:3">
      <c r="A2731">
        <v>9096</v>
      </c>
      <c r="B2731"/>
      <c r="C2731">
        <v>10</v>
      </c>
    </row>
    <row r="2732" spans="1:3">
      <c r="A2732">
        <v>9097</v>
      </c>
      <c r="B2732"/>
      <c r="C2732">
        <v>10</v>
      </c>
    </row>
    <row r="2733" spans="1:3">
      <c r="A2733">
        <v>9098</v>
      </c>
      <c r="B2733"/>
      <c r="C2733">
        <v>10</v>
      </c>
    </row>
    <row r="2734" spans="1:3">
      <c r="A2734">
        <v>9099</v>
      </c>
      <c r="B2734"/>
      <c r="C2734">
        <v>10</v>
      </c>
    </row>
    <row r="2735" spans="1:3">
      <c r="A2735">
        <v>9100</v>
      </c>
      <c r="B2735"/>
      <c r="C2735">
        <v>10</v>
      </c>
    </row>
    <row r="2736" spans="1:3">
      <c r="A2736">
        <v>9111</v>
      </c>
      <c r="B2736"/>
      <c r="C2736">
        <v>10</v>
      </c>
    </row>
    <row r="2737" spans="1:3">
      <c r="A2737">
        <v>9112</v>
      </c>
      <c r="B2737"/>
      <c r="C2737">
        <v>10</v>
      </c>
    </row>
    <row r="2738" spans="1:3">
      <c r="A2738">
        <v>9113</v>
      </c>
      <c r="B2738"/>
      <c r="C2738">
        <v>10</v>
      </c>
    </row>
    <row r="2739" spans="1:3">
      <c r="A2739">
        <v>9121</v>
      </c>
      <c r="B2739"/>
      <c r="C2739">
        <v>9</v>
      </c>
    </row>
    <row r="2740" spans="1:3">
      <c r="A2740">
        <v>9122</v>
      </c>
      <c r="B2740"/>
      <c r="C2740">
        <v>10</v>
      </c>
    </row>
    <row r="2741" spans="1:3">
      <c r="A2741">
        <v>9123</v>
      </c>
      <c r="B2741"/>
      <c r="C2741">
        <v>10</v>
      </c>
    </row>
    <row r="2742" spans="1:3">
      <c r="A2742">
        <v>9124</v>
      </c>
      <c r="B2742"/>
      <c r="C2742">
        <v>10</v>
      </c>
    </row>
    <row r="2743" spans="1:3">
      <c r="A2743">
        <v>9125</v>
      </c>
      <c r="B2743"/>
      <c r="C2743">
        <v>10</v>
      </c>
    </row>
    <row r="2744" spans="1:3">
      <c r="A2744">
        <v>9126</v>
      </c>
      <c r="B2744"/>
      <c r="C2744">
        <v>10</v>
      </c>
    </row>
    <row r="2745" spans="1:3">
      <c r="A2745">
        <v>9127</v>
      </c>
      <c r="B2745"/>
      <c r="C2745">
        <v>10</v>
      </c>
    </row>
    <row r="2746" spans="1:3">
      <c r="A2746">
        <v>9131</v>
      </c>
      <c r="B2746"/>
      <c r="C2746">
        <v>10</v>
      </c>
    </row>
    <row r="2747" spans="1:3">
      <c r="A2747">
        <v>9132</v>
      </c>
      <c r="B2747"/>
      <c r="C2747">
        <v>10</v>
      </c>
    </row>
    <row r="2748" spans="1:3">
      <c r="A2748">
        <v>9133</v>
      </c>
      <c r="B2748"/>
      <c r="C2748">
        <v>10</v>
      </c>
    </row>
    <row r="2749" spans="1:3">
      <c r="A2749">
        <v>9134</v>
      </c>
      <c r="B2749"/>
      <c r="C2749">
        <v>10</v>
      </c>
    </row>
    <row r="2750" spans="1:3">
      <c r="A2750">
        <v>9135</v>
      </c>
      <c r="B2750"/>
      <c r="C2750">
        <v>10</v>
      </c>
    </row>
    <row r="2751" spans="1:3">
      <c r="A2751">
        <v>9136</v>
      </c>
      <c r="B2751"/>
      <c r="C2751">
        <v>10</v>
      </c>
    </row>
    <row r="2752" spans="1:3">
      <c r="A2752">
        <v>9141</v>
      </c>
      <c r="B2752"/>
      <c r="C2752">
        <v>9</v>
      </c>
    </row>
    <row r="2753" spans="1:3">
      <c r="A2753">
        <v>9142</v>
      </c>
      <c r="B2753"/>
      <c r="C2753">
        <v>10</v>
      </c>
    </row>
    <row r="2754" spans="1:3">
      <c r="A2754">
        <v>9143</v>
      </c>
      <c r="B2754"/>
      <c r="C2754">
        <v>9</v>
      </c>
    </row>
    <row r="2755" spans="1:3">
      <c r="A2755">
        <v>9144</v>
      </c>
      <c r="B2755"/>
      <c r="C2755">
        <v>9</v>
      </c>
    </row>
    <row r="2756" spans="1:3">
      <c r="A2756">
        <v>9145</v>
      </c>
      <c r="B2756"/>
      <c r="C2756">
        <v>10</v>
      </c>
    </row>
    <row r="2757" spans="1:3">
      <c r="A2757">
        <v>9146</v>
      </c>
      <c r="B2757"/>
      <c r="C2757">
        <v>10</v>
      </c>
    </row>
    <row r="2758" spans="1:3">
      <c r="A2758">
        <v>9147</v>
      </c>
      <c r="B2758"/>
      <c r="C2758">
        <v>10</v>
      </c>
    </row>
    <row r="2759" spans="1:3">
      <c r="A2759">
        <v>9151</v>
      </c>
      <c r="B2759"/>
      <c r="C2759">
        <v>9</v>
      </c>
    </row>
    <row r="2760" spans="1:3">
      <c r="A2760">
        <v>9152</v>
      </c>
      <c r="B2760"/>
      <c r="C2760">
        <v>9</v>
      </c>
    </row>
    <row r="2761" spans="1:3">
      <c r="A2761">
        <v>9153</v>
      </c>
      <c r="B2761"/>
      <c r="C2761">
        <v>9</v>
      </c>
    </row>
    <row r="2762" spans="1:3">
      <c r="A2762">
        <v>9154</v>
      </c>
      <c r="B2762"/>
      <c r="C2762">
        <v>10</v>
      </c>
    </row>
    <row r="2763" spans="1:3">
      <c r="A2763">
        <v>9155</v>
      </c>
      <c r="B2763"/>
      <c r="C2763">
        <v>10</v>
      </c>
    </row>
    <row r="2764" spans="1:3">
      <c r="A2764">
        <v>9161</v>
      </c>
      <c r="B2764"/>
      <c r="C2764">
        <v>10</v>
      </c>
    </row>
    <row r="2765" spans="1:3">
      <c r="A2765">
        <v>9162</v>
      </c>
      <c r="B2765"/>
      <c r="C2765">
        <v>10</v>
      </c>
    </row>
    <row r="2766" spans="1:3">
      <c r="A2766">
        <v>9163</v>
      </c>
      <c r="B2766"/>
      <c r="C2766">
        <v>10</v>
      </c>
    </row>
    <row r="2767" spans="1:3">
      <c r="A2767">
        <v>9164</v>
      </c>
      <c r="B2767"/>
      <c r="C2767">
        <v>10</v>
      </c>
    </row>
    <row r="2768" spans="1:3">
      <c r="A2768">
        <v>9165</v>
      </c>
      <c r="B2768"/>
      <c r="C2768">
        <v>10</v>
      </c>
    </row>
    <row r="2769" spans="1:3">
      <c r="A2769">
        <v>9167</v>
      </c>
      <c r="B2769"/>
      <c r="C2769">
        <v>10</v>
      </c>
    </row>
    <row r="2770" spans="1:3">
      <c r="A2770">
        <v>9168</v>
      </c>
      <c r="B2770"/>
      <c r="C2770">
        <v>10</v>
      </c>
    </row>
    <row r="2771" spans="1:3">
      <c r="A2771">
        <v>9169</v>
      </c>
      <c r="B2771"/>
      <c r="C2771">
        <v>10</v>
      </c>
    </row>
    <row r="2772" spans="1:3">
      <c r="A2772">
        <v>9171</v>
      </c>
      <c r="B2772"/>
      <c r="C2772">
        <v>9</v>
      </c>
    </row>
    <row r="2773" spans="1:3">
      <c r="A2773">
        <v>9172</v>
      </c>
      <c r="B2773"/>
      <c r="C2773">
        <v>9</v>
      </c>
    </row>
    <row r="2774" spans="1:3">
      <c r="A2774">
        <v>9173</v>
      </c>
      <c r="B2774"/>
      <c r="C2774">
        <v>9</v>
      </c>
    </row>
    <row r="2775" spans="1:3">
      <c r="A2775">
        <v>9174</v>
      </c>
      <c r="B2775"/>
      <c r="C2775">
        <v>9</v>
      </c>
    </row>
    <row r="2776" spans="1:3">
      <c r="A2776">
        <v>9175</v>
      </c>
      <c r="B2776"/>
      <c r="C2776">
        <v>10</v>
      </c>
    </row>
    <row r="2777" spans="1:3">
      <c r="A2777">
        <v>9176</v>
      </c>
      <c r="B2777"/>
      <c r="C2777">
        <v>10</v>
      </c>
    </row>
    <row r="2778" spans="1:3">
      <c r="A2778">
        <v>9177</v>
      </c>
      <c r="B2778"/>
      <c r="C2778">
        <v>10</v>
      </c>
    </row>
    <row r="2779" spans="1:3">
      <c r="A2779">
        <v>9178</v>
      </c>
      <c r="B2779"/>
      <c r="C2779">
        <v>9</v>
      </c>
    </row>
    <row r="2780" spans="1:3">
      <c r="A2780">
        <v>9181</v>
      </c>
      <c r="B2780"/>
      <c r="C2780">
        <v>10</v>
      </c>
    </row>
    <row r="2781" spans="1:3">
      <c r="A2781">
        <v>9182</v>
      </c>
      <c r="B2781"/>
      <c r="C2781">
        <v>10</v>
      </c>
    </row>
    <row r="2782" spans="1:3">
      <c r="A2782">
        <v>9183</v>
      </c>
      <c r="B2782"/>
      <c r="C2782">
        <v>10</v>
      </c>
    </row>
    <row r="2783" spans="1:3">
      <c r="A2783">
        <v>9184</v>
      </c>
      <c r="B2783"/>
      <c r="C2783">
        <v>10</v>
      </c>
    </row>
    <row r="2784" spans="1:3">
      <c r="A2784">
        <v>9200</v>
      </c>
      <c r="B2784"/>
      <c r="C2784">
        <v>6</v>
      </c>
    </row>
    <row r="2785" spans="1:3">
      <c r="A2785">
        <v>9211</v>
      </c>
      <c r="B2785"/>
      <c r="C2785">
        <v>9</v>
      </c>
    </row>
    <row r="2786" spans="1:3">
      <c r="A2786">
        <v>9221</v>
      </c>
      <c r="B2786"/>
      <c r="C2786">
        <v>10</v>
      </c>
    </row>
    <row r="2787" spans="1:3">
      <c r="A2787">
        <v>9222</v>
      </c>
      <c r="B2787"/>
      <c r="C2787">
        <v>10</v>
      </c>
    </row>
    <row r="2788" spans="1:3">
      <c r="A2788">
        <v>9223</v>
      </c>
      <c r="B2788"/>
      <c r="C2788">
        <v>10</v>
      </c>
    </row>
    <row r="2789" spans="1:3">
      <c r="A2789">
        <v>9224</v>
      </c>
      <c r="B2789"/>
      <c r="C2789">
        <v>10</v>
      </c>
    </row>
    <row r="2790" spans="1:3">
      <c r="A2790">
        <v>9225</v>
      </c>
      <c r="B2790"/>
      <c r="C2790">
        <v>10</v>
      </c>
    </row>
    <row r="2791" spans="1:3">
      <c r="A2791">
        <v>9226</v>
      </c>
      <c r="B2791"/>
      <c r="C2791">
        <v>10</v>
      </c>
    </row>
    <row r="2792" spans="1:3">
      <c r="A2792">
        <v>9228</v>
      </c>
      <c r="B2792"/>
      <c r="C2792">
        <v>9</v>
      </c>
    </row>
    <row r="2793" spans="1:3">
      <c r="A2793">
        <v>9231</v>
      </c>
      <c r="B2793"/>
      <c r="C2793">
        <v>9</v>
      </c>
    </row>
    <row r="2794" spans="1:3">
      <c r="A2794">
        <v>9232</v>
      </c>
      <c r="B2794"/>
      <c r="C2794">
        <v>10</v>
      </c>
    </row>
    <row r="2795" spans="1:3">
      <c r="A2795">
        <v>9233</v>
      </c>
      <c r="B2795"/>
      <c r="C2795">
        <v>10</v>
      </c>
    </row>
    <row r="2796" spans="1:3">
      <c r="A2796">
        <v>9234</v>
      </c>
      <c r="B2796"/>
      <c r="C2796">
        <v>10</v>
      </c>
    </row>
    <row r="2797" spans="1:3">
      <c r="A2797">
        <v>9235</v>
      </c>
      <c r="B2797"/>
      <c r="C2797">
        <v>10</v>
      </c>
    </row>
    <row r="2798" spans="1:3">
      <c r="A2798">
        <v>9241</v>
      </c>
      <c r="B2798"/>
      <c r="C2798">
        <v>10</v>
      </c>
    </row>
    <row r="2799" spans="1:3">
      <c r="A2799">
        <v>9242</v>
      </c>
      <c r="B2799"/>
      <c r="C2799">
        <v>10</v>
      </c>
    </row>
    <row r="2800" spans="1:3">
      <c r="A2800">
        <v>9243</v>
      </c>
      <c r="B2800"/>
      <c r="C2800">
        <v>10</v>
      </c>
    </row>
    <row r="2801" spans="1:3">
      <c r="A2801">
        <v>9244</v>
      </c>
      <c r="B2801"/>
      <c r="C2801">
        <v>10</v>
      </c>
    </row>
    <row r="2802" spans="1:3">
      <c r="A2802">
        <v>9245</v>
      </c>
      <c r="B2802"/>
      <c r="C2802">
        <v>10</v>
      </c>
    </row>
    <row r="2803" spans="1:3">
      <c r="A2803">
        <v>9246</v>
      </c>
      <c r="B2803"/>
      <c r="C2803">
        <v>9</v>
      </c>
    </row>
    <row r="2804" spans="1:3">
      <c r="A2804">
        <v>9300</v>
      </c>
      <c r="B2804"/>
      <c r="C2804">
        <v>9</v>
      </c>
    </row>
    <row r="2805" spans="1:3">
      <c r="A2805">
        <v>9311</v>
      </c>
      <c r="B2805"/>
      <c r="C2805">
        <v>10</v>
      </c>
    </row>
    <row r="2806" spans="1:3">
      <c r="A2806">
        <v>9312</v>
      </c>
      <c r="B2806"/>
      <c r="C2806">
        <v>10</v>
      </c>
    </row>
    <row r="2807" spans="1:3">
      <c r="A2807">
        <v>9313</v>
      </c>
      <c r="B2807"/>
      <c r="C2807">
        <v>10</v>
      </c>
    </row>
    <row r="2808" spans="1:3">
      <c r="A2808">
        <v>9314</v>
      </c>
      <c r="B2808"/>
      <c r="C2808">
        <v>10</v>
      </c>
    </row>
    <row r="2809" spans="1:3">
      <c r="A2809">
        <v>9315</v>
      </c>
      <c r="B2809"/>
      <c r="C2809">
        <v>10</v>
      </c>
    </row>
    <row r="2810" spans="1:3">
      <c r="A2810">
        <v>9316</v>
      </c>
      <c r="B2810"/>
      <c r="C2810">
        <v>10</v>
      </c>
    </row>
    <row r="2811" spans="1:3">
      <c r="A2811">
        <v>9317</v>
      </c>
      <c r="B2811"/>
      <c r="C2811">
        <v>10</v>
      </c>
    </row>
    <row r="2812" spans="1:3">
      <c r="A2812">
        <v>9321</v>
      </c>
      <c r="B2812"/>
      <c r="C2812">
        <v>10</v>
      </c>
    </row>
    <row r="2813" spans="1:3">
      <c r="A2813">
        <v>9322</v>
      </c>
      <c r="B2813"/>
      <c r="C2813">
        <v>10</v>
      </c>
    </row>
    <row r="2814" spans="1:3">
      <c r="A2814">
        <v>9323</v>
      </c>
      <c r="B2814"/>
      <c r="C2814">
        <v>10</v>
      </c>
    </row>
    <row r="2815" spans="1:3">
      <c r="A2815">
        <v>9324</v>
      </c>
      <c r="B2815"/>
      <c r="C2815">
        <v>10</v>
      </c>
    </row>
    <row r="2816" spans="1:3">
      <c r="A2816">
        <v>9325</v>
      </c>
      <c r="B2816"/>
      <c r="C2816">
        <v>10</v>
      </c>
    </row>
    <row r="2817" spans="1:3">
      <c r="A2817">
        <v>9326</v>
      </c>
      <c r="B2817"/>
      <c r="C2817">
        <v>10</v>
      </c>
    </row>
    <row r="2818" spans="1:3">
      <c r="A2818">
        <v>9327</v>
      </c>
      <c r="B2818"/>
      <c r="C2818">
        <v>10</v>
      </c>
    </row>
    <row r="2819" spans="1:3">
      <c r="A2819">
        <v>9330</v>
      </c>
      <c r="B2819"/>
      <c r="C2819">
        <v>9</v>
      </c>
    </row>
    <row r="2820" spans="1:3">
      <c r="A2820">
        <v>9339</v>
      </c>
      <c r="B2820"/>
      <c r="C2820">
        <v>9</v>
      </c>
    </row>
    <row r="2821" spans="1:3">
      <c r="A2821">
        <v>9341</v>
      </c>
      <c r="B2821"/>
      <c r="C2821">
        <v>10</v>
      </c>
    </row>
    <row r="2822" spans="1:3">
      <c r="A2822">
        <v>9342</v>
      </c>
      <c r="B2822"/>
      <c r="C2822">
        <v>10</v>
      </c>
    </row>
    <row r="2823" spans="1:3">
      <c r="A2823">
        <v>9343</v>
      </c>
      <c r="B2823"/>
      <c r="C2823">
        <v>9</v>
      </c>
    </row>
    <row r="2824" spans="1:3">
      <c r="A2824">
        <v>9344</v>
      </c>
      <c r="B2824"/>
      <c r="C2824">
        <v>10</v>
      </c>
    </row>
    <row r="2825" spans="1:3">
      <c r="A2825">
        <v>9345</v>
      </c>
      <c r="B2825"/>
      <c r="C2825">
        <v>10</v>
      </c>
    </row>
    <row r="2826" spans="1:3">
      <c r="A2826">
        <v>9346</v>
      </c>
      <c r="B2826"/>
      <c r="C2826">
        <v>10</v>
      </c>
    </row>
    <row r="2827" spans="1:3">
      <c r="A2827">
        <v>9351</v>
      </c>
      <c r="B2827"/>
      <c r="C2827">
        <v>10</v>
      </c>
    </row>
    <row r="2828" spans="1:3">
      <c r="A2828">
        <v>9352</v>
      </c>
      <c r="B2828"/>
      <c r="C2828">
        <v>9</v>
      </c>
    </row>
    <row r="2829" spans="1:3">
      <c r="A2829">
        <v>9353</v>
      </c>
      <c r="B2829"/>
      <c r="C2829">
        <v>10</v>
      </c>
    </row>
    <row r="2830" spans="1:3">
      <c r="A2830">
        <v>9354</v>
      </c>
      <c r="B2830"/>
      <c r="C2830">
        <v>10</v>
      </c>
    </row>
    <row r="2831" spans="1:3">
      <c r="A2831">
        <v>9361</v>
      </c>
      <c r="B2831"/>
      <c r="C2831">
        <v>10</v>
      </c>
    </row>
    <row r="2832" spans="1:3">
      <c r="A2832">
        <v>9362</v>
      </c>
      <c r="B2832"/>
      <c r="C2832">
        <v>10</v>
      </c>
    </row>
    <row r="2833" spans="1:3">
      <c r="A2833">
        <v>9363</v>
      </c>
      <c r="B2833"/>
      <c r="C2833">
        <v>10</v>
      </c>
    </row>
    <row r="2834" spans="1:3">
      <c r="A2834">
        <v>9364</v>
      </c>
      <c r="B2834"/>
      <c r="C2834">
        <v>10</v>
      </c>
    </row>
    <row r="2835" spans="1:3">
      <c r="A2835">
        <v>9365</v>
      </c>
      <c r="B2835"/>
      <c r="C2835">
        <v>10</v>
      </c>
    </row>
    <row r="2836" spans="1:3">
      <c r="A2836">
        <v>9371</v>
      </c>
      <c r="B2836"/>
      <c r="C2836">
        <v>10</v>
      </c>
    </row>
    <row r="2837" spans="1:3">
      <c r="A2837">
        <v>9372</v>
      </c>
      <c r="B2837"/>
      <c r="C2837">
        <v>10</v>
      </c>
    </row>
    <row r="2838" spans="1:3">
      <c r="A2838">
        <v>9373</v>
      </c>
      <c r="B2838"/>
      <c r="C2838">
        <v>10</v>
      </c>
    </row>
    <row r="2839" spans="1:3">
      <c r="A2839">
        <v>9374</v>
      </c>
      <c r="B2839"/>
      <c r="C2839">
        <v>10</v>
      </c>
    </row>
    <row r="2840" spans="1:3">
      <c r="A2840">
        <v>9375</v>
      </c>
      <c r="B2840"/>
      <c r="C2840">
        <v>10</v>
      </c>
    </row>
    <row r="2841" spans="1:3">
      <c r="A2841">
        <v>9400</v>
      </c>
      <c r="B2841"/>
      <c r="C2841">
        <v>8</v>
      </c>
    </row>
    <row r="2842" spans="1:3">
      <c r="A2842">
        <v>9407</v>
      </c>
      <c r="B2842"/>
      <c r="C2842">
        <v>8</v>
      </c>
    </row>
    <row r="2843" spans="1:3">
      <c r="A2843">
        <v>9408</v>
      </c>
      <c r="B2843"/>
      <c r="C2843">
        <v>8</v>
      </c>
    </row>
    <row r="2844" spans="1:3">
      <c r="A2844">
        <v>9421</v>
      </c>
      <c r="B2844"/>
      <c r="C2844">
        <v>9</v>
      </c>
    </row>
    <row r="2845" spans="1:3">
      <c r="A2845">
        <v>9422</v>
      </c>
      <c r="B2845"/>
      <c r="C2845">
        <v>9</v>
      </c>
    </row>
    <row r="2846" spans="1:3">
      <c r="A2846">
        <v>9423</v>
      </c>
      <c r="B2846"/>
      <c r="C2846">
        <v>9</v>
      </c>
    </row>
    <row r="2847" spans="1:3">
      <c r="A2847">
        <v>9431</v>
      </c>
      <c r="B2847"/>
      <c r="C2847">
        <v>9</v>
      </c>
    </row>
    <row r="2848" spans="1:3">
      <c r="A2848">
        <v>9433</v>
      </c>
      <c r="B2848"/>
      <c r="C2848">
        <v>9</v>
      </c>
    </row>
    <row r="2849" spans="1:3">
      <c r="A2849">
        <v>9434</v>
      </c>
      <c r="B2849"/>
      <c r="C2849">
        <v>10</v>
      </c>
    </row>
    <row r="2850" spans="1:3">
      <c r="A2850">
        <v>9435</v>
      </c>
      <c r="B2850"/>
      <c r="C2850">
        <v>10</v>
      </c>
    </row>
    <row r="2851" spans="1:3">
      <c r="A2851">
        <v>9436</v>
      </c>
      <c r="B2851"/>
      <c r="C2851">
        <v>10</v>
      </c>
    </row>
    <row r="2852" spans="1:3">
      <c r="A2852">
        <v>9437</v>
      </c>
      <c r="B2852"/>
      <c r="C2852">
        <v>10</v>
      </c>
    </row>
    <row r="2853" spans="1:3">
      <c r="A2853">
        <v>9438</v>
      </c>
      <c r="B2853"/>
      <c r="C2853">
        <v>10</v>
      </c>
    </row>
    <row r="2854" spans="1:3">
      <c r="A2854">
        <v>9441</v>
      </c>
      <c r="B2854"/>
      <c r="C2854">
        <v>10</v>
      </c>
    </row>
    <row r="2855" spans="1:3">
      <c r="A2855">
        <v>9442</v>
      </c>
      <c r="B2855"/>
      <c r="C2855">
        <v>10</v>
      </c>
    </row>
    <row r="2856" spans="1:3">
      <c r="A2856">
        <v>9443</v>
      </c>
      <c r="B2856"/>
      <c r="C2856">
        <v>9</v>
      </c>
    </row>
    <row r="2857" spans="1:3">
      <c r="A2857">
        <v>9444</v>
      </c>
      <c r="B2857"/>
      <c r="C2857">
        <v>9</v>
      </c>
    </row>
    <row r="2858" spans="1:3">
      <c r="A2858">
        <v>9451</v>
      </c>
      <c r="B2858"/>
      <c r="C2858">
        <v>10</v>
      </c>
    </row>
    <row r="2859" spans="1:3">
      <c r="A2859">
        <v>9461</v>
      </c>
      <c r="B2859"/>
      <c r="C2859">
        <v>9</v>
      </c>
    </row>
    <row r="2860" spans="1:3">
      <c r="A2860">
        <v>9462</v>
      </c>
      <c r="B2860"/>
      <c r="C2860">
        <v>10</v>
      </c>
    </row>
    <row r="2861" spans="1:3">
      <c r="A2861">
        <v>9463</v>
      </c>
      <c r="B2861"/>
      <c r="C2861">
        <v>10</v>
      </c>
    </row>
    <row r="2862" spans="1:3">
      <c r="A2862">
        <v>9464</v>
      </c>
      <c r="B2862"/>
      <c r="C2862">
        <v>10</v>
      </c>
    </row>
    <row r="2863" spans="1:3">
      <c r="A2863">
        <v>9471</v>
      </c>
      <c r="B2863"/>
      <c r="C2863">
        <v>10</v>
      </c>
    </row>
    <row r="2864" spans="1:3">
      <c r="A2864">
        <v>9472</v>
      </c>
      <c r="B2864"/>
      <c r="C2864">
        <v>10</v>
      </c>
    </row>
    <row r="2865" spans="1:3">
      <c r="A2865">
        <v>9473</v>
      </c>
      <c r="B2865"/>
      <c r="C2865">
        <v>10</v>
      </c>
    </row>
    <row r="2866" spans="1:3">
      <c r="A2866">
        <v>9474</v>
      </c>
      <c r="B2866"/>
      <c r="C2866">
        <v>10</v>
      </c>
    </row>
    <row r="2867" spans="1:3">
      <c r="A2867">
        <v>9475</v>
      </c>
      <c r="B2867"/>
      <c r="C2867">
        <v>10</v>
      </c>
    </row>
    <row r="2868" spans="1:3">
      <c r="A2868">
        <v>9476</v>
      </c>
      <c r="B2868"/>
      <c r="C2868">
        <v>10</v>
      </c>
    </row>
    <row r="2869" spans="1:3">
      <c r="A2869">
        <v>9481</v>
      </c>
      <c r="B2869"/>
      <c r="C2869">
        <v>10</v>
      </c>
    </row>
    <row r="2870" spans="1:3">
      <c r="A2870">
        <v>9482</v>
      </c>
      <c r="B2870"/>
      <c r="C2870">
        <v>10</v>
      </c>
    </row>
    <row r="2871" spans="1:3">
      <c r="A2871">
        <v>9483</v>
      </c>
      <c r="B2871"/>
      <c r="C2871">
        <v>10</v>
      </c>
    </row>
    <row r="2872" spans="1:3">
      <c r="A2872">
        <v>9484</v>
      </c>
      <c r="B2872"/>
      <c r="C2872">
        <v>10</v>
      </c>
    </row>
    <row r="2873" spans="1:3">
      <c r="A2873">
        <v>9485</v>
      </c>
      <c r="B2873"/>
      <c r="C2873">
        <v>9</v>
      </c>
    </row>
    <row r="2874" spans="1:3">
      <c r="A2874">
        <v>9491</v>
      </c>
      <c r="B2874"/>
      <c r="C2874">
        <v>10</v>
      </c>
    </row>
    <row r="2875" spans="1:3">
      <c r="A2875">
        <v>9492</v>
      </c>
      <c r="B2875"/>
      <c r="C2875">
        <v>10</v>
      </c>
    </row>
    <row r="2876" spans="1:3">
      <c r="A2876">
        <v>9493</v>
      </c>
      <c r="B2876"/>
      <c r="C2876">
        <v>10</v>
      </c>
    </row>
    <row r="2877" spans="1:3">
      <c r="A2877">
        <v>9494</v>
      </c>
      <c r="B2877"/>
      <c r="C2877">
        <v>8</v>
      </c>
    </row>
    <row r="2878" spans="1:3">
      <c r="A2878">
        <v>9495</v>
      </c>
      <c r="B2878"/>
      <c r="C2878">
        <v>9</v>
      </c>
    </row>
    <row r="2879" spans="1:3">
      <c r="A2879">
        <v>9500</v>
      </c>
      <c r="B2879"/>
      <c r="C2879">
        <v>9</v>
      </c>
    </row>
    <row r="2880" spans="1:3">
      <c r="A2880">
        <v>9511</v>
      </c>
      <c r="B2880"/>
      <c r="C2880">
        <v>10</v>
      </c>
    </row>
    <row r="2881" spans="1:3">
      <c r="A2881">
        <v>9512</v>
      </c>
      <c r="B2881"/>
      <c r="C2881">
        <v>10</v>
      </c>
    </row>
    <row r="2882" spans="1:3">
      <c r="A2882">
        <v>9513</v>
      </c>
      <c r="B2882"/>
      <c r="C2882">
        <v>10</v>
      </c>
    </row>
    <row r="2883" spans="1:3">
      <c r="A2883">
        <v>9514</v>
      </c>
      <c r="B2883"/>
      <c r="C2883">
        <v>10</v>
      </c>
    </row>
    <row r="2884" spans="1:3">
      <c r="A2884">
        <v>9515</v>
      </c>
      <c r="B2884"/>
      <c r="C2884">
        <v>10</v>
      </c>
    </row>
    <row r="2885" spans="1:3">
      <c r="A2885">
        <v>9516</v>
      </c>
      <c r="B2885"/>
      <c r="C2885">
        <v>10</v>
      </c>
    </row>
    <row r="2886" spans="1:3">
      <c r="A2886">
        <v>9517</v>
      </c>
      <c r="B2886"/>
      <c r="C2886">
        <v>10</v>
      </c>
    </row>
    <row r="2887" spans="1:3">
      <c r="A2887">
        <v>9521</v>
      </c>
      <c r="B2887"/>
      <c r="C2887">
        <v>10</v>
      </c>
    </row>
    <row r="2888" spans="1:3">
      <c r="A2888">
        <v>9522</v>
      </c>
      <c r="B2888"/>
      <c r="C2888">
        <v>10</v>
      </c>
    </row>
    <row r="2889" spans="1:3">
      <c r="A2889">
        <v>9523</v>
      </c>
      <c r="B2889"/>
      <c r="C2889">
        <v>10</v>
      </c>
    </row>
    <row r="2890" spans="1:3">
      <c r="A2890">
        <v>9531</v>
      </c>
      <c r="B2890"/>
      <c r="C2890">
        <v>10</v>
      </c>
    </row>
    <row r="2891" spans="1:3">
      <c r="A2891">
        <v>9532</v>
      </c>
      <c r="B2891"/>
      <c r="C2891">
        <v>10</v>
      </c>
    </row>
    <row r="2892" spans="1:3">
      <c r="A2892">
        <v>9533</v>
      </c>
      <c r="B2892"/>
      <c r="C2892">
        <v>10</v>
      </c>
    </row>
    <row r="2893" spans="1:3">
      <c r="A2893">
        <v>9534</v>
      </c>
      <c r="B2893"/>
      <c r="C2893">
        <v>10</v>
      </c>
    </row>
    <row r="2894" spans="1:3">
      <c r="A2894">
        <v>9541</v>
      </c>
      <c r="B2894"/>
      <c r="C2894">
        <v>9</v>
      </c>
    </row>
    <row r="2895" spans="1:3">
      <c r="A2895">
        <v>9542</v>
      </c>
      <c r="B2895"/>
      <c r="C2895">
        <v>10</v>
      </c>
    </row>
    <row r="2896" spans="1:3">
      <c r="A2896">
        <v>9544</v>
      </c>
      <c r="B2896"/>
      <c r="C2896">
        <v>10</v>
      </c>
    </row>
    <row r="2897" spans="1:3">
      <c r="A2897">
        <v>9545</v>
      </c>
      <c r="B2897"/>
      <c r="C2897">
        <v>10</v>
      </c>
    </row>
    <row r="2898" spans="1:3">
      <c r="A2898">
        <v>9547</v>
      </c>
      <c r="B2898"/>
      <c r="C2898">
        <v>10</v>
      </c>
    </row>
    <row r="2899" spans="1:3">
      <c r="A2899">
        <v>9548</v>
      </c>
      <c r="B2899"/>
      <c r="C2899">
        <v>10</v>
      </c>
    </row>
    <row r="2900" spans="1:3">
      <c r="A2900">
        <v>9549</v>
      </c>
      <c r="B2900"/>
      <c r="C2900">
        <v>10</v>
      </c>
    </row>
    <row r="2901" spans="1:3">
      <c r="A2901">
        <v>9551</v>
      </c>
      <c r="B2901"/>
      <c r="C2901">
        <v>10</v>
      </c>
    </row>
    <row r="2902" spans="1:3">
      <c r="A2902">
        <v>9552</v>
      </c>
      <c r="B2902"/>
      <c r="C2902">
        <v>10</v>
      </c>
    </row>
    <row r="2903" spans="1:3">
      <c r="A2903">
        <v>9553</v>
      </c>
      <c r="B2903"/>
      <c r="C2903">
        <v>10</v>
      </c>
    </row>
    <row r="2904" spans="1:3">
      <c r="A2904">
        <v>9554</v>
      </c>
      <c r="B2904"/>
      <c r="C2904">
        <v>10</v>
      </c>
    </row>
    <row r="2905" spans="1:3">
      <c r="A2905">
        <v>9555</v>
      </c>
      <c r="B2905"/>
      <c r="C2905">
        <v>10</v>
      </c>
    </row>
    <row r="2906" spans="1:3">
      <c r="A2906">
        <v>9556</v>
      </c>
      <c r="B2906"/>
      <c r="C2906">
        <v>10</v>
      </c>
    </row>
    <row r="2907" spans="1:3">
      <c r="A2907">
        <v>9561</v>
      </c>
      <c r="B2907"/>
      <c r="C2907">
        <v>10</v>
      </c>
    </row>
    <row r="2908" spans="1:3">
      <c r="A2908">
        <v>9600</v>
      </c>
      <c r="B2908"/>
      <c r="C2908">
        <v>9</v>
      </c>
    </row>
    <row r="2909" spans="1:3">
      <c r="A2909">
        <v>9608</v>
      </c>
      <c r="B2909"/>
      <c r="C2909">
        <v>9</v>
      </c>
    </row>
    <row r="2910" spans="1:3">
      <c r="A2910">
        <v>9609</v>
      </c>
      <c r="B2910"/>
      <c r="C2910">
        <v>9</v>
      </c>
    </row>
    <row r="2911" spans="1:3">
      <c r="A2911">
        <v>9611</v>
      </c>
      <c r="B2911"/>
      <c r="C2911">
        <v>10</v>
      </c>
    </row>
    <row r="2912" spans="1:3">
      <c r="A2912">
        <v>9612</v>
      </c>
      <c r="B2912"/>
      <c r="C2912">
        <v>10</v>
      </c>
    </row>
    <row r="2913" spans="1:3">
      <c r="A2913">
        <v>9621</v>
      </c>
      <c r="B2913"/>
      <c r="C2913">
        <v>10</v>
      </c>
    </row>
    <row r="2914" spans="1:3">
      <c r="A2914">
        <v>9622</v>
      </c>
      <c r="B2914"/>
      <c r="C2914">
        <v>10</v>
      </c>
    </row>
    <row r="2915" spans="1:3">
      <c r="A2915">
        <v>9623</v>
      </c>
      <c r="B2915"/>
      <c r="C2915">
        <v>10</v>
      </c>
    </row>
    <row r="2916" spans="1:3">
      <c r="A2916">
        <v>9624</v>
      </c>
      <c r="B2916"/>
      <c r="C2916">
        <v>10</v>
      </c>
    </row>
    <row r="2917" spans="1:3">
      <c r="A2917">
        <v>9625</v>
      </c>
      <c r="B2917"/>
      <c r="C2917">
        <v>10</v>
      </c>
    </row>
    <row r="2918" spans="1:3">
      <c r="A2918">
        <v>9631</v>
      </c>
      <c r="B2918"/>
      <c r="C2918">
        <v>10</v>
      </c>
    </row>
    <row r="2919" spans="1:3">
      <c r="A2919">
        <v>9632</v>
      </c>
      <c r="B2919"/>
      <c r="C2919">
        <v>10</v>
      </c>
    </row>
    <row r="2920" spans="1:3">
      <c r="A2920">
        <v>9633</v>
      </c>
      <c r="B2920"/>
      <c r="C2920">
        <v>10</v>
      </c>
    </row>
    <row r="2921" spans="1:3">
      <c r="A2921">
        <v>9634</v>
      </c>
      <c r="B2921"/>
      <c r="C2921">
        <v>10</v>
      </c>
    </row>
    <row r="2922" spans="1:3">
      <c r="A2922">
        <v>9635</v>
      </c>
      <c r="B2922"/>
      <c r="C2922">
        <v>10</v>
      </c>
    </row>
    <row r="2923" spans="1:3">
      <c r="A2923">
        <v>9636</v>
      </c>
      <c r="B2923"/>
      <c r="C2923">
        <v>10</v>
      </c>
    </row>
    <row r="2924" spans="1:3">
      <c r="A2924">
        <v>9641</v>
      </c>
      <c r="B2924"/>
      <c r="C2924">
        <v>10</v>
      </c>
    </row>
    <row r="2925" spans="1:3">
      <c r="A2925">
        <v>9643</v>
      </c>
      <c r="B2925"/>
      <c r="C2925">
        <v>10</v>
      </c>
    </row>
    <row r="2926" spans="1:3">
      <c r="A2926">
        <v>9651</v>
      </c>
      <c r="B2926"/>
      <c r="C2926">
        <v>10</v>
      </c>
    </row>
    <row r="2927" spans="1:3">
      <c r="A2927">
        <v>9652</v>
      </c>
      <c r="B2927"/>
      <c r="C2927">
        <v>10</v>
      </c>
    </row>
    <row r="2928" spans="1:3">
      <c r="A2928">
        <v>9653</v>
      </c>
      <c r="B2928"/>
      <c r="C2928">
        <v>9</v>
      </c>
    </row>
    <row r="2929" spans="1:3">
      <c r="A2929">
        <v>9654</v>
      </c>
      <c r="B2929"/>
      <c r="C2929">
        <v>10</v>
      </c>
    </row>
    <row r="2930" spans="1:3">
      <c r="A2930">
        <v>9661</v>
      </c>
      <c r="B2930"/>
      <c r="C2930">
        <v>10</v>
      </c>
    </row>
    <row r="2931" spans="1:3">
      <c r="A2931">
        <v>9662</v>
      </c>
      <c r="B2931"/>
      <c r="C2931">
        <v>10</v>
      </c>
    </row>
    <row r="2932" spans="1:3">
      <c r="A2932">
        <v>9663</v>
      </c>
      <c r="B2932"/>
      <c r="C2932">
        <v>10</v>
      </c>
    </row>
    <row r="2933" spans="1:3">
      <c r="A2933">
        <v>9664</v>
      </c>
      <c r="B2933"/>
      <c r="C2933">
        <v>10</v>
      </c>
    </row>
    <row r="2934" spans="1:3">
      <c r="A2934">
        <v>9665</v>
      </c>
      <c r="B2934"/>
      <c r="C2934">
        <v>10</v>
      </c>
    </row>
    <row r="2935" spans="1:3">
      <c r="A2935">
        <v>9671</v>
      </c>
      <c r="B2935"/>
      <c r="C2935">
        <v>10</v>
      </c>
    </row>
    <row r="2936" spans="1:3">
      <c r="A2936">
        <v>9672</v>
      </c>
      <c r="B2936"/>
      <c r="C2936">
        <v>10</v>
      </c>
    </row>
    <row r="2937" spans="1:3">
      <c r="A2937">
        <v>9673</v>
      </c>
      <c r="B2937"/>
      <c r="C2937">
        <v>10</v>
      </c>
    </row>
    <row r="2938" spans="1:3">
      <c r="A2938">
        <v>9674</v>
      </c>
      <c r="B2938"/>
      <c r="C2938">
        <v>10</v>
      </c>
    </row>
    <row r="2939" spans="1:3">
      <c r="A2939">
        <v>9675</v>
      </c>
      <c r="B2939"/>
      <c r="C2939">
        <v>10</v>
      </c>
    </row>
    <row r="2940" spans="1:3">
      <c r="A2940">
        <v>9676</v>
      </c>
      <c r="B2940"/>
      <c r="C2940">
        <v>10</v>
      </c>
    </row>
    <row r="2941" spans="1:3">
      <c r="A2941">
        <v>9681</v>
      </c>
      <c r="B2941"/>
      <c r="C2941">
        <v>10</v>
      </c>
    </row>
    <row r="2942" spans="1:3">
      <c r="A2942">
        <v>9682</v>
      </c>
      <c r="B2942"/>
      <c r="C2942">
        <v>10</v>
      </c>
    </row>
    <row r="2943" spans="1:3">
      <c r="A2943">
        <v>9683</v>
      </c>
      <c r="B2943"/>
      <c r="C2943">
        <v>10</v>
      </c>
    </row>
    <row r="2944" spans="1:3">
      <c r="A2944">
        <v>9684</v>
      </c>
      <c r="B2944"/>
      <c r="C2944">
        <v>10</v>
      </c>
    </row>
    <row r="2945" spans="1:3">
      <c r="A2945">
        <v>9685</v>
      </c>
      <c r="B2945"/>
      <c r="C2945">
        <v>10</v>
      </c>
    </row>
    <row r="2946" spans="1:3">
      <c r="A2946">
        <v>9700</v>
      </c>
      <c r="B2946"/>
      <c r="C2946">
        <v>8</v>
      </c>
    </row>
    <row r="2947" spans="1:3">
      <c r="A2947">
        <v>9707</v>
      </c>
      <c r="B2947"/>
      <c r="C2947">
        <v>8</v>
      </c>
    </row>
    <row r="2948" spans="1:3">
      <c r="A2948">
        <v>9721</v>
      </c>
      <c r="B2948"/>
      <c r="C2948">
        <v>10</v>
      </c>
    </row>
    <row r="2949" spans="1:3">
      <c r="A2949">
        <v>9722</v>
      </c>
      <c r="B2949"/>
      <c r="C2949">
        <v>10</v>
      </c>
    </row>
    <row r="2950" spans="1:3">
      <c r="A2950">
        <v>9723</v>
      </c>
      <c r="B2950"/>
      <c r="C2950">
        <v>10</v>
      </c>
    </row>
    <row r="2951" spans="1:3">
      <c r="A2951">
        <v>9724</v>
      </c>
      <c r="B2951"/>
      <c r="C2951">
        <v>10</v>
      </c>
    </row>
    <row r="2952" spans="1:3">
      <c r="A2952">
        <v>9725</v>
      </c>
      <c r="B2952"/>
      <c r="C2952">
        <v>10</v>
      </c>
    </row>
    <row r="2953" spans="1:3">
      <c r="A2953">
        <v>9726</v>
      </c>
      <c r="B2953"/>
      <c r="C2953">
        <v>10</v>
      </c>
    </row>
    <row r="2954" spans="1:3">
      <c r="A2954">
        <v>9727</v>
      </c>
      <c r="B2954"/>
      <c r="C2954">
        <v>10</v>
      </c>
    </row>
    <row r="2955" spans="1:3">
      <c r="A2955">
        <v>9730</v>
      </c>
      <c r="B2955"/>
      <c r="C2955">
        <v>9</v>
      </c>
    </row>
    <row r="2956" spans="1:3">
      <c r="A2956">
        <v>9733</v>
      </c>
      <c r="B2956"/>
      <c r="C2956">
        <v>10</v>
      </c>
    </row>
    <row r="2957" spans="1:3">
      <c r="A2957">
        <v>9734</v>
      </c>
      <c r="B2957"/>
      <c r="C2957">
        <v>10</v>
      </c>
    </row>
    <row r="2958" spans="1:3">
      <c r="A2958">
        <v>9735</v>
      </c>
      <c r="B2958"/>
      <c r="C2958">
        <v>10</v>
      </c>
    </row>
    <row r="2959" spans="1:3">
      <c r="A2959">
        <v>9736</v>
      </c>
      <c r="B2959"/>
      <c r="C2959">
        <v>10</v>
      </c>
    </row>
    <row r="2960" spans="1:3">
      <c r="A2960">
        <v>9737</v>
      </c>
      <c r="B2960"/>
      <c r="C2960">
        <v>9</v>
      </c>
    </row>
    <row r="2961" spans="1:3">
      <c r="A2961">
        <v>9738</v>
      </c>
      <c r="B2961"/>
      <c r="C2961">
        <v>10</v>
      </c>
    </row>
    <row r="2962" spans="1:3">
      <c r="A2962">
        <v>9739</v>
      </c>
      <c r="B2962"/>
      <c r="C2962">
        <v>10</v>
      </c>
    </row>
    <row r="2963" spans="1:3">
      <c r="A2963">
        <v>9740</v>
      </c>
      <c r="B2963"/>
      <c r="C2963">
        <v>9</v>
      </c>
    </row>
    <row r="2964" spans="1:3">
      <c r="A2964">
        <v>9741</v>
      </c>
      <c r="B2964"/>
      <c r="C2964">
        <v>10</v>
      </c>
    </row>
    <row r="2965" spans="1:3">
      <c r="A2965">
        <v>9742</v>
      </c>
      <c r="B2965"/>
      <c r="C2965">
        <v>10</v>
      </c>
    </row>
    <row r="2966" spans="1:3">
      <c r="A2966">
        <v>9743</v>
      </c>
      <c r="B2966"/>
      <c r="C2966">
        <v>10</v>
      </c>
    </row>
    <row r="2967" spans="1:3">
      <c r="A2967">
        <v>9744</v>
      </c>
      <c r="B2967"/>
      <c r="C2967">
        <v>10</v>
      </c>
    </row>
    <row r="2968" spans="1:3">
      <c r="A2968">
        <v>9745</v>
      </c>
      <c r="B2968"/>
      <c r="C2968">
        <v>10</v>
      </c>
    </row>
    <row r="2969" spans="1:3">
      <c r="A2969">
        <v>9746</v>
      </c>
      <c r="B2969"/>
      <c r="C2969">
        <v>10</v>
      </c>
    </row>
    <row r="2970" spans="1:3">
      <c r="A2970">
        <v>9747</v>
      </c>
      <c r="B2970"/>
      <c r="C2970">
        <v>10</v>
      </c>
    </row>
    <row r="2971" spans="1:3">
      <c r="A2971">
        <v>9748</v>
      </c>
      <c r="B2971"/>
      <c r="C2971">
        <v>10</v>
      </c>
    </row>
    <row r="2972" spans="1:3">
      <c r="A2972">
        <v>9749</v>
      </c>
      <c r="B2972"/>
      <c r="C2972">
        <v>10</v>
      </c>
    </row>
    <row r="2973" spans="1:3">
      <c r="A2973">
        <v>9751</v>
      </c>
      <c r="B2973"/>
      <c r="C2973">
        <v>10</v>
      </c>
    </row>
    <row r="2974" spans="1:3">
      <c r="A2974">
        <v>9752</v>
      </c>
      <c r="B2974"/>
      <c r="C2974">
        <v>10</v>
      </c>
    </row>
    <row r="2975" spans="1:3">
      <c r="A2975">
        <v>9754</v>
      </c>
      <c r="B2975"/>
      <c r="C2975">
        <v>10</v>
      </c>
    </row>
    <row r="2976" spans="1:3">
      <c r="A2976">
        <v>9756</v>
      </c>
      <c r="B2976"/>
      <c r="C2976">
        <v>10</v>
      </c>
    </row>
    <row r="2977" spans="1:3">
      <c r="A2977">
        <v>9757</v>
      </c>
      <c r="B2977"/>
      <c r="C2977">
        <v>10</v>
      </c>
    </row>
    <row r="2978" spans="1:3">
      <c r="A2978">
        <v>9761</v>
      </c>
      <c r="B2978"/>
      <c r="C2978">
        <v>10</v>
      </c>
    </row>
    <row r="2979" spans="1:3">
      <c r="A2979">
        <v>9762</v>
      </c>
      <c r="B2979"/>
      <c r="C2979">
        <v>10</v>
      </c>
    </row>
    <row r="2980" spans="1:3">
      <c r="A2980">
        <v>9763</v>
      </c>
      <c r="B2980"/>
      <c r="C2980">
        <v>10</v>
      </c>
    </row>
    <row r="2981" spans="1:3">
      <c r="A2981">
        <v>9764</v>
      </c>
      <c r="B2981"/>
      <c r="C2981">
        <v>10</v>
      </c>
    </row>
    <row r="2982" spans="1:3">
      <c r="A2982">
        <v>9766</v>
      </c>
      <c r="B2982"/>
      <c r="C2982">
        <v>10</v>
      </c>
    </row>
    <row r="2983" spans="1:3">
      <c r="A2983">
        <v>9771</v>
      </c>
      <c r="B2983"/>
      <c r="C2983">
        <v>10</v>
      </c>
    </row>
    <row r="2984" spans="1:3">
      <c r="A2984">
        <v>9772</v>
      </c>
      <c r="B2984"/>
      <c r="C2984">
        <v>10</v>
      </c>
    </row>
    <row r="2985" spans="1:3">
      <c r="A2985">
        <v>9773</v>
      </c>
      <c r="B2985"/>
      <c r="C2985">
        <v>10</v>
      </c>
    </row>
    <row r="2986" spans="1:3">
      <c r="A2986">
        <v>9774</v>
      </c>
      <c r="B2986"/>
      <c r="C2986">
        <v>10</v>
      </c>
    </row>
    <row r="2987" spans="1:3">
      <c r="A2987">
        <v>9775</v>
      </c>
      <c r="B2987"/>
      <c r="C2987">
        <v>10</v>
      </c>
    </row>
    <row r="2988" spans="1:3">
      <c r="A2988">
        <v>9776</v>
      </c>
      <c r="B2988"/>
      <c r="C2988">
        <v>10</v>
      </c>
    </row>
    <row r="2989" spans="1:3">
      <c r="A2989">
        <v>9777</v>
      </c>
      <c r="B2989"/>
      <c r="C2989">
        <v>10</v>
      </c>
    </row>
    <row r="2990" spans="1:3">
      <c r="A2990">
        <v>9781</v>
      </c>
      <c r="B2990"/>
      <c r="C2990">
        <v>10</v>
      </c>
    </row>
    <row r="2991" spans="1:3">
      <c r="A2991">
        <v>9782</v>
      </c>
      <c r="B2991"/>
      <c r="C2991">
        <v>10</v>
      </c>
    </row>
    <row r="2992" spans="1:3">
      <c r="A2992">
        <v>9783</v>
      </c>
      <c r="B2992"/>
      <c r="C2992">
        <v>10</v>
      </c>
    </row>
    <row r="2993" spans="1:3">
      <c r="A2993">
        <v>9784</v>
      </c>
      <c r="B2993"/>
      <c r="C2993">
        <v>10</v>
      </c>
    </row>
    <row r="2994" spans="1:3">
      <c r="A2994">
        <v>9789</v>
      </c>
      <c r="B2994"/>
      <c r="C2994">
        <v>9</v>
      </c>
    </row>
    <row r="2995" spans="1:3">
      <c r="A2995">
        <v>9791</v>
      </c>
      <c r="B2995"/>
      <c r="C2995">
        <v>10</v>
      </c>
    </row>
    <row r="2996" spans="1:3">
      <c r="A2996">
        <v>9792</v>
      </c>
      <c r="B2996"/>
      <c r="C2996">
        <v>10</v>
      </c>
    </row>
    <row r="2997" spans="1:3">
      <c r="A2997">
        <v>9793</v>
      </c>
      <c r="B2997"/>
      <c r="C2997">
        <v>10</v>
      </c>
    </row>
    <row r="2998" spans="1:3">
      <c r="A2998">
        <v>9794</v>
      </c>
      <c r="B2998"/>
      <c r="C2998">
        <v>10</v>
      </c>
    </row>
    <row r="2999" spans="1:3">
      <c r="A2999">
        <v>9795</v>
      </c>
      <c r="B2999"/>
      <c r="C2999">
        <v>10</v>
      </c>
    </row>
    <row r="3000" spans="1:3">
      <c r="A3000">
        <v>9796</v>
      </c>
      <c r="B3000"/>
      <c r="C3000">
        <v>10</v>
      </c>
    </row>
    <row r="3001" spans="1:3">
      <c r="A3001">
        <v>9797</v>
      </c>
      <c r="B3001"/>
      <c r="C3001">
        <v>10</v>
      </c>
    </row>
    <row r="3002" spans="1:3">
      <c r="A3002">
        <v>9798</v>
      </c>
      <c r="B3002"/>
      <c r="C3002">
        <v>10</v>
      </c>
    </row>
    <row r="3003" spans="1:3">
      <c r="A3003">
        <v>9799</v>
      </c>
      <c r="B3003"/>
      <c r="C3003">
        <v>10</v>
      </c>
    </row>
    <row r="3004" spans="1:3">
      <c r="A3004">
        <v>9800</v>
      </c>
      <c r="B3004"/>
      <c r="C3004">
        <v>10</v>
      </c>
    </row>
    <row r="3005" spans="1:3">
      <c r="A3005">
        <v>9811</v>
      </c>
      <c r="B3005"/>
      <c r="C3005">
        <v>10</v>
      </c>
    </row>
    <row r="3006" spans="1:3">
      <c r="A3006">
        <v>9812</v>
      </c>
      <c r="B3006"/>
      <c r="C3006">
        <v>10</v>
      </c>
    </row>
    <row r="3007" spans="1:3">
      <c r="A3007">
        <v>9813</v>
      </c>
      <c r="B3007"/>
      <c r="C3007">
        <v>10</v>
      </c>
    </row>
    <row r="3008" spans="1:3">
      <c r="A3008">
        <v>9814</v>
      </c>
      <c r="B3008"/>
      <c r="C3008">
        <v>10</v>
      </c>
    </row>
    <row r="3009" spans="1:3">
      <c r="A3009">
        <v>9821</v>
      </c>
      <c r="B3009"/>
      <c r="C3009">
        <v>10</v>
      </c>
    </row>
    <row r="3010" spans="1:3">
      <c r="A3010">
        <v>9823</v>
      </c>
      <c r="B3010"/>
      <c r="C3010">
        <v>10</v>
      </c>
    </row>
    <row r="3011" spans="1:3">
      <c r="A3011">
        <v>9824</v>
      </c>
      <c r="B3011"/>
      <c r="C3011">
        <v>10</v>
      </c>
    </row>
    <row r="3012" spans="1:3">
      <c r="A3012">
        <v>9825</v>
      </c>
      <c r="B3012"/>
      <c r="C3012">
        <v>10</v>
      </c>
    </row>
    <row r="3013" spans="1:3">
      <c r="A3013">
        <v>9826</v>
      </c>
      <c r="B3013"/>
      <c r="C3013">
        <v>10</v>
      </c>
    </row>
    <row r="3014" spans="1:3">
      <c r="A3014">
        <v>9831</v>
      </c>
      <c r="B3014"/>
      <c r="C3014">
        <v>10</v>
      </c>
    </row>
    <row r="3015" spans="1:3">
      <c r="A3015">
        <v>9832</v>
      </c>
      <c r="B3015"/>
      <c r="C3015">
        <v>10</v>
      </c>
    </row>
    <row r="3016" spans="1:3">
      <c r="A3016">
        <v>9833</v>
      </c>
      <c r="B3016"/>
      <c r="C3016">
        <v>10</v>
      </c>
    </row>
    <row r="3017" spans="1:3">
      <c r="A3017">
        <v>9834</v>
      </c>
      <c r="B3017"/>
      <c r="C3017">
        <v>10</v>
      </c>
    </row>
    <row r="3018" spans="1:3">
      <c r="A3018">
        <v>9835</v>
      </c>
      <c r="B3018"/>
      <c r="C3018">
        <v>10</v>
      </c>
    </row>
    <row r="3019" spans="1:3">
      <c r="A3019">
        <v>9836</v>
      </c>
      <c r="B3019"/>
      <c r="C3019">
        <v>10</v>
      </c>
    </row>
    <row r="3020" spans="1:3">
      <c r="A3020">
        <v>9841</v>
      </c>
      <c r="B3020"/>
      <c r="C3020">
        <v>10</v>
      </c>
    </row>
    <row r="3021" spans="1:3">
      <c r="A3021">
        <v>9842</v>
      </c>
      <c r="B3021"/>
      <c r="C3021">
        <v>10</v>
      </c>
    </row>
    <row r="3022" spans="1:3">
      <c r="A3022">
        <v>9900</v>
      </c>
      <c r="B3022"/>
      <c r="C3022">
        <v>9</v>
      </c>
    </row>
    <row r="3023" spans="1:3">
      <c r="A3023">
        <v>9909</v>
      </c>
      <c r="B3023"/>
      <c r="C3023">
        <v>9</v>
      </c>
    </row>
    <row r="3024" spans="1:3">
      <c r="A3024">
        <v>9912</v>
      </c>
      <c r="B3024"/>
      <c r="C3024">
        <v>10</v>
      </c>
    </row>
    <row r="3025" spans="1:3">
      <c r="A3025">
        <v>9913</v>
      </c>
      <c r="B3025"/>
      <c r="C3025">
        <v>10</v>
      </c>
    </row>
    <row r="3026" spans="1:3">
      <c r="A3026">
        <v>9914</v>
      </c>
      <c r="B3026"/>
      <c r="C3026">
        <v>10</v>
      </c>
    </row>
    <row r="3027" spans="1:3">
      <c r="A3027">
        <v>9915</v>
      </c>
      <c r="B3027"/>
      <c r="C3027">
        <v>10</v>
      </c>
    </row>
    <row r="3028" spans="1:3">
      <c r="A3028">
        <v>9917</v>
      </c>
      <c r="B3028"/>
      <c r="C3028">
        <v>10</v>
      </c>
    </row>
    <row r="3029" spans="1:3">
      <c r="A3029">
        <v>9918</v>
      </c>
      <c r="B3029"/>
      <c r="C3029">
        <v>10</v>
      </c>
    </row>
    <row r="3030" spans="1:3">
      <c r="A3030">
        <v>9919</v>
      </c>
      <c r="B3030"/>
      <c r="C3030">
        <v>10</v>
      </c>
    </row>
    <row r="3031" spans="1:3">
      <c r="A3031">
        <v>9921</v>
      </c>
      <c r="B3031"/>
      <c r="C3031">
        <v>10</v>
      </c>
    </row>
    <row r="3032" spans="1:3">
      <c r="A3032">
        <v>9922</v>
      </c>
      <c r="B3032"/>
      <c r="C3032">
        <v>10</v>
      </c>
    </row>
    <row r="3033" spans="1:3">
      <c r="A3033">
        <v>9923</v>
      </c>
      <c r="B3033"/>
      <c r="C3033">
        <v>10</v>
      </c>
    </row>
    <row r="3034" spans="1:3">
      <c r="A3034">
        <v>9931</v>
      </c>
      <c r="B3034"/>
      <c r="C3034">
        <v>10</v>
      </c>
    </row>
    <row r="3035" spans="1:3">
      <c r="A3035">
        <v>9932</v>
      </c>
      <c r="B3035"/>
      <c r="C3035">
        <v>10</v>
      </c>
    </row>
    <row r="3036" spans="1:3">
      <c r="A3036">
        <v>9933</v>
      </c>
      <c r="B3036"/>
      <c r="C3036">
        <v>10</v>
      </c>
    </row>
    <row r="3037" spans="1:3">
      <c r="A3037">
        <v>9934</v>
      </c>
      <c r="B3037"/>
      <c r="C3037">
        <v>10</v>
      </c>
    </row>
    <row r="3038" spans="1:3">
      <c r="A3038">
        <v>9935</v>
      </c>
      <c r="B3038"/>
      <c r="C3038">
        <v>10</v>
      </c>
    </row>
    <row r="3039" spans="1:3">
      <c r="A3039">
        <v>9936</v>
      </c>
      <c r="B3039"/>
      <c r="C3039">
        <v>10</v>
      </c>
    </row>
    <row r="3040" spans="1:3">
      <c r="A3040">
        <v>9937</v>
      </c>
      <c r="B3040"/>
      <c r="C3040">
        <v>10</v>
      </c>
    </row>
    <row r="3041" spans="1:3">
      <c r="A3041">
        <v>9938</v>
      </c>
      <c r="B3041"/>
      <c r="C3041">
        <v>10</v>
      </c>
    </row>
    <row r="3042" spans="1:3">
      <c r="A3042">
        <v>9941</v>
      </c>
      <c r="B3042"/>
      <c r="C3042">
        <v>10</v>
      </c>
    </row>
    <row r="3043" spans="1:3">
      <c r="A3043">
        <v>9942</v>
      </c>
      <c r="B3043"/>
      <c r="C3043">
        <v>10</v>
      </c>
    </row>
    <row r="3044" spans="1:3">
      <c r="A3044">
        <v>9943</v>
      </c>
      <c r="B3044"/>
      <c r="C3044">
        <v>10</v>
      </c>
    </row>
    <row r="3045" spans="1:3">
      <c r="A3045">
        <v>9944</v>
      </c>
      <c r="B3045"/>
      <c r="C3045">
        <v>10</v>
      </c>
    </row>
    <row r="3046" spans="1:3">
      <c r="A3046">
        <v>9945</v>
      </c>
      <c r="B3046"/>
      <c r="C3046">
        <v>10</v>
      </c>
    </row>
    <row r="3047" spans="1:3">
      <c r="A3047">
        <v>9946</v>
      </c>
      <c r="B3047"/>
      <c r="C3047">
        <v>10</v>
      </c>
    </row>
    <row r="3048" spans="1:3">
      <c r="A3048">
        <v>9951</v>
      </c>
      <c r="B3048"/>
      <c r="C3048">
        <v>10</v>
      </c>
    </row>
    <row r="3049" spans="1:3">
      <c r="A3049">
        <v>9952</v>
      </c>
      <c r="B3049"/>
      <c r="C3049">
        <v>10</v>
      </c>
    </row>
    <row r="3050" spans="1:3">
      <c r="A3050">
        <v>9953</v>
      </c>
      <c r="B3050"/>
      <c r="C3050">
        <v>10</v>
      </c>
    </row>
    <row r="3051" spans="1:3">
      <c r="A3051">
        <v>9954</v>
      </c>
      <c r="B3051"/>
      <c r="C3051">
        <v>10</v>
      </c>
    </row>
    <row r="3052" spans="1:3">
      <c r="A3052">
        <v>9955</v>
      </c>
      <c r="B3052"/>
      <c r="C3052">
        <v>10</v>
      </c>
    </row>
    <row r="3053" spans="1:3">
      <c r="A3053">
        <v>9961</v>
      </c>
      <c r="B3053"/>
      <c r="C3053">
        <v>10</v>
      </c>
    </row>
    <row r="3054" spans="1:3">
      <c r="A3054">
        <v>9962</v>
      </c>
      <c r="B3054"/>
      <c r="C3054">
        <v>10</v>
      </c>
    </row>
    <row r="3055" spans="1:3">
      <c r="A3055">
        <v>9970</v>
      </c>
      <c r="B3055"/>
      <c r="C3055">
        <v>10</v>
      </c>
    </row>
    <row r="3056" spans="1:3">
      <c r="A3056">
        <v>9981</v>
      </c>
      <c r="B3056"/>
      <c r="C3056">
        <v>10</v>
      </c>
    </row>
    <row r="3057" spans="1:3">
      <c r="A3057">
        <v>9982</v>
      </c>
      <c r="B3057"/>
      <c r="C3057">
        <v>10</v>
      </c>
    </row>
    <row r="3058" spans="1:3">
      <c r="A3058">
        <v>9983</v>
      </c>
      <c r="B3058"/>
      <c r="C3058">
        <v>10</v>
      </c>
    </row>
    <row r="3059" spans="1:3">
      <c r="A3059">
        <v>9985</v>
      </c>
      <c r="B3059"/>
      <c r="C3059">
        <v>10</v>
      </c>
    </row>
    <row r="3060" spans="1:3" ht="15.75">
      <c r="A3060" s="2584"/>
      <c r="B3060" s="2585"/>
    </row>
    <row r="3061" spans="1:3" ht="15.75">
      <c r="A3061" s="2584"/>
      <c r="B3061" s="2585"/>
    </row>
    <row r="3062" spans="1:3">
      <c r="B3062" s="1092"/>
    </row>
    <row r="3063" spans="1:3">
      <c r="B3063" s="1092"/>
    </row>
    <row r="3064" spans="1:3">
      <c r="B3064" s="1092"/>
    </row>
    <row r="3065" spans="1:3">
      <c r="B3065" s="1092"/>
    </row>
    <row r="3066" spans="1:3">
      <c r="B3066" s="1092"/>
    </row>
    <row r="3067" spans="1:3">
      <c r="B3067" s="1092"/>
    </row>
    <row r="3068" spans="1:3">
      <c r="B3068" s="1092"/>
    </row>
    <row r="3069" spans="1:3">
      <c r="B3069" s="1092"/>
    </row>
    <row r="3070" spans="1:3">
      <c r="B3070" s="1092"/>
    </row>
    <row r="3071" spans="1:3">
      <c r="B3071" s="1092"/>
    </row>
    <row r="3072" spans="1:3">
      <c r="B3072" s="1092"/>
    </row>
    <row r="3073" spans="2:2">
      <c r="B3073" s="1092"/>
    </row>
    <row r="3074" spans="2:2">
      <c r="B3074" s="1092"/>
    </row>
    <row r="3075" spans="2:2">
      <c r="B3075" s="1092"/>
    </row>
    <row r="3076" spans="2:2">
      <c r="B3076" s="1092"/>
    </row>
    <row r="3077" spans="2:2">
      <c r="B3077" s="1092"/>
    </row>
    <row r="3078" spans="2:2">
      <c r="B3078" s="1092"/>
    </row>
    <row r="3079" spans="2:2">
      <c r="B3079" s="1092"/>
    </row>
    <row r="3080" spans="2:2">
      <c r="B3080" s="1092"/>
    </row>
    <row r="3081" spans="2:2">
      <c r="B3081" s="1092"/>
    </row>
    <row r="3082" spans="2:2">
      <c r="B3082" s="1093"/>
    </row>
    <row r="3083" spans="2:2">
      <c r="B3083" s="1092"/>
    </row>
    <row r="3084" spans="2:2">
      <c r="B3084" s="1092"/>
    </row>
    <row r="3085" spans="2:2">
      <c r="B3085" s="1092"/>
    </row>
    <row r="3086" spans="2:2">
      <c r="B3086" s="1092"/>
    </row>
    <row r="3087" spans="2:2">
      <c r="B3087" s="1092"/>
    </row>
    <row r="3088" spans="2:2">
      <c r="B3088" s="1092"/>
    </row>
    <row r="3089" spans="2:2">
      <c r="B3089" s="1092"/>
    </row>
    <row r="3090" spans="2:2">
      <c r="B3090" s="1092"/>
    </row>
    <row r="3091" spans="2:2">
      <c r="B3091" s="1092"/>
    </row>
    <row r="3092" spans="2:2">
      <c r="B3092" s="1092"/>
    </row>
    <row r="3093" spans="2:2">
      <c r="B3093" s="1092"/>
    </row>
    <row r="3094" spans="2:2">
      <c r="B3094" s="1092"/>
    </row>
    <row r="3095" spans="2:2">
      <c r="B3095" s="1092"/>
    </row>
    <row r="3096" spans="2:2">
      <c r="B3096" s="1092"/>
    </row>
    <row r="3097" spans="2:2">
      <c r="B3097" s="1092"/>
    </row>
    <row r="3098" spans="2:2">
      <c r="B3098" s="1092"/>
    </row>
    <row r="3099" spans="2:2">
      <c r="B3099" s="1092"/>
    </row>
    <row r="3100" spans="2:2">
      <c r="B3100" s="1092"/>
    </row>
    <row r="3101" spans="2:2">
      <c r="B3101" s="1092"/>
    </row>
    <row r="3102" spans="2:2">
      <c r="B3102" s="1092"/>
    </row>
    <row r="3103" spans="2:2">
      <c r="B3103" s="1092"/>
    </row>
    <row r="3104" spans="2:2">
      <c r="B3104" s="1092"/>
    </row>
    <row r="3105" spans="2:2">
      <c r="B3105" s="1092"/>
    </row>
    <row r="3106" spans="2:2">
      <c r="B3106" s="1092"/>
    </row>
    <row r="3107" spans="2:2">
      <c r="B3107" s="1092"/>
    </row>
    <row r="3108" spans="2:2">
      <c r="B3108" s="1092"/>
    </row>
    <row r="3109" spans="2:2">
      <c r="B3109" s="1092"/>
    </row>
    <row r="3110" spans="2:2">
      <c r="B3110" s="1092"/>
    </row>
    <row r="3111" spans="2:2">
      <c r="B3111" s="1092"/>
    </row>
    <row r="3112" spans="2:2">
      <c r="B3112" s="1092"/>
    </row>
    <row r="3113" spans="2:2">
      <c r="B3113" s="1092"/>
    </row>
    <row r="3114" spans="2:2">
      <c r="B3114" s="1092"/>
    </row>
    <row r="3115" spans="2:2">
      <c r="B3115" s="1092"/>
    </row>
    <row r="3116" spans="2:2">
      <c r="B3116" s="1092"/>
    </row>
    <row r="3117" spans="2:2">
      <c r="B3117" s="1092"/>
    </row>
    <row r="3118" spans="2:2">
      <c r="B3118" s="1092"/>
    </row>
    <row r="3119" spans="2:2">
      <c r="B3119" s="1092"/>
    </row>
    <row r="3120" spans="2:2">
      <c r="B3120" s="1092"/>
    </row>
    <row r="3121" spans="2:2">
      <c r="B3121" s="1092"/>
    </row>
    <row r="3122" spans="2:2">
      <c r="B3122" s="1092"/>
    </row>
    <row r="3123" spans="2:2">
      <c r="B3123" s="1092"/>
    </row>
    <row r="3124" spans="2:2">
      <c r="B3124" s="1092"/>
    </row>
    <row r="3125" spans="2:2">
      <c r="B3125" s="1092"/>
    </row>
    <row r="3126" spans="2:2">
      <c r="B3126" s="1092"/>
    </row>
    <row r="3127" spans="2:2">
      <c r="B3127" s="1092"/>
    </row>
    <row r="3128" spans="2:2">
      <c r="B3128" s="1092"/>
    </row>
    <row r="3129" spans="2:2">
      <c r="B3129" s="1092"/>
    </row>
    <row r="3130" spans="2:2">
      <c r="B3130" s="1092"/>
    </row>
    <row r="3131" spans="2:2">
      <c r="B3131" s="1092"/>
    </row>
    <row r="3132" spans="2:2">
      <c r="B3132" s="1092"/>
    </row>
    <row r="3133" spans="2:2">
      <c r="B3133" s="1092"/>
    </row>
    <row r="3134" spans="2:2">
      <c r="B3134" s="1092"/>
    </row>
    <row r="3135" spans="2:2">
      <c r="B3135" s="1092"/>
    </row>
    <row r="3136" spans="2:2">
      <c r="B3136" s="1092"/>
    </row>
    <row r="3137" spans="2:2">
      <c r="B3137" s="1092"/>
    </row>
    <row r="3138" spans="2:2">
      <c r="B3138" s="1092"/>
    </row>
    <row r="3139" spans="2:2">
      <c r="B3139" s="1092"/>
    </row>
    <row r="3140" spans="2:2">
      <c r="B3140" s="1092"/>
    </row>
    <row r="3141" spans="2:2">
      <c r="B3141" s="1092"/>
    </row>
    <row r="3142" spans="2:2">
      <c r="B3142" s="1092"/>
    </row>
    <row r="3143" spans="2:2">
      <c r="B3143" s="1092"/>
    </row>
    <row r="3144" spans="2:2">
      <c r="B3144" s="1092"/>
    </row>
    <row r="3145" spans="2:2">
      <c r="B3145" s="1092"/>
    </row>
    <row r="3146" spans="2:2">
      <c r="B3146" s="1092"/>
    </row>
    <row r="3147" spans="2:2">
      <c r="B3147" s="1092"/>
    </row>
    <row r="3148" spans="2:2">
      <c r="B3148" s="1092"/>
    </row>
    <row r="3149" spans="2:2">
      <c r="B3149" s="1092"/>
    </row>
    <row r="3150" spans="2:2">
      <c r="B3150" s="1092"/>
    </row>
    <row r="3151" spans="2:2">
      <c r="B3151" s="1092"/>
    </row>
    <row r="3152" spans="2:2">
      <c r="B3152" s="1092"/>
    </row>
    <row r="3153" spans="2:2">
      <c r="B3153" s="1092"/>
    </row>
    <row r="3154" spans="2:2">
      <c r="B3154" s="1092"/>
    </row>
    <row r="3155" spans="2:2">
      <c r="B3155" s="1092"/>
    </row>
    <row r="3156" spans="2:2">
      <c r="B3156" s="1092"/>
    </row>
    <row r="3157" spans="2:2">
      <c r="B3157" s="1092"/>
    </row>
    <row r="3158" spans="2:2">
      <c r="B3158" s="1092"/>
    </row>
    <row r="3159" spans="2:2">
      <c r="B3159" s="1092"/>
    </row>
    <row r="3160" spans="2:2">
      <c r="B3160" s="1092"/>
    </row>
    <row r="3161" spans="2:2">
      <c r="B3161" s="1092"/>
    </row>
    <row r="3162" spans="2:2">
      <c r="B3162" s="1092"/>
    </row>
    <row r="3163" spans="2:2">
      <c r="B3163" s="1092"/>
    </row>
    <row r="3164" spans="2:2">
      <c r="B3164" s="1092"/>
    </row>
    <row r="3165" spans="2:2">
      <c r="B3165" s="1092"/>
    </row>
    <row r="3166" spans="2:2">
      <c r="B3166" s="1093"/>
    </row>
    <row r="3167" spans="2:2">
      <c r="B3167" s="1092"/>
    </row>
    <row r="3168" spans="2:2">
      <c r="B3168" s="1092"/>
    </row>
    <row r="3169" spans="2:2">
      <c r="B3169" s="1092"/>
    </row>
    <row r="3170" spans="2:2">
      <c r="B3170" s="1092"/>
    </row>
    <row r="3171" spans="2:2">
      <c r="B3171" s="1092"/>
    </row>
    <row r="3172" spans="2:2">
      <c r="B3172" s="1092"/>
    </row>
    <row r="3173" spans="2:2">
      <c r="B3173" s="1092"/>
    </row>
    <row r="3174" spans="2:2">
      <c r="B3174" s="1092"/>
    </row>
    <row r="3175" spans="2:2">
      <c r="B3175" s="1092"/>
    </row>
    <row r="3176" spans="2:2">
      <c r="B3176" s="1092"/>
    </row>
    <row r="3177" spans="2:2">
      <c r="B3177" s="1092"/>
    </row>
    <row r="3178" spans="2:2">
      <c r="B3178" s="1092"/>
    </row>
    <row r="3179" spans="2:2">
      <c r="B3179" s="1092"/>
    </row>
    <row r="3180" spans="2:2">
      <c r="B3180" s="1092"/>
    </row>
    <row r="3181" spans="2:2">
      <c r="B3181" s="1092"/>
    </row>
    <row r="3182" spans="2:2">
      <c r="B3182" s="1092"/>
    </row>
    <row r="3183" spans="2:2">
      <c r="B3183" s="1092"/>
    </row>
    <row r="3184" spans="2:2">
      <c r="B3184" s="1092"/>
    </row>
    <row r="3185" spans="2:2">
      <c r="B3185" s="1092"/>
    </row>
    <row r="3186" spans="2:2">
      <c r="B3186" s="1092"/>
    </row>
    <row r="3187" spans="2:2">
      <c r="B3187" s="1092"/>
    </row>
    <row r="3188" spans="2:2">
      <c r="B3188" s="1092"/>
    </row>
    <row r="3189" spans="2:2">
      <c r="B3189" s="1092"/>
    </row>
    <row r="3190" spans="2:2">
      <c r="B3190" s="1092"/>
    </row>
    <row r="3191" spans="2:2">
      <c r="B3191" s="1092"/>
    </row>
    <row r="3192" spans="2:2">
      <c r="B3192" s="1092"/>
    </row>
    <row r="3193" spans="2:2">
      <c r="B3193" s="1092"/>
    </row>
    <row r="3194" spans="2:2">
      <c r="B3194" s="1092"/>
    </row>
    <row r="3195" spans="2:2">
      <c r="B3195" s="1092"/>
    </row>
    <row r="3196" spans="2:2">
      <c r="B3196" s="1092"/>
    </row>
    <row r="3197" spans="2:2">
      <c r="B3197" s="1092"/>
    </row>
    <row r="3198" spans="2:2">
      <c r="B3198" s="1092"/>
    </row>
    <row r="3199" spans="2:2">
      <c r="B3199" s="1092"/>
    </row>
    <row r="3200" spans="2:2">
      <c r="B3200" s="1092"/>
    </row>
    <row r="3201" spans="2:2">
      <c r="B3201" s="1092"/>
    </row>
    <row r="3202" spans="2:2">
      <c r="B3202" s="1092"/>
    </row>
    <row r="3203" spans="2:2">
      <c r="B3203" s="1092"/>
    </row>
    <row r="3204" spans="2:2">
      <c r="B3204" s="1092"/>
    </row>
    <row r="3205" spans="2:2">
      <c r="B3205" s="1092"/>
    </row>
    <row r="3206" spans="2:2">
      <c r="B3206" s="1092"/>
    </row>
    <row r="3207" spans="2:2">
      <c r="B3207" s="1092"/>
    </row>
    <row r="3208" spans="2:2">
      <c r="B3208" s="1092"/>
    </row>
    <row r="3209" spans="2:2">
      <c r="B3209" s="1092"/>
    </row>
    <row r="3210" spans="2:2">
      <c r="B3210" s="1092"/>
    </row>
    <row r="3211" spans="2:2">
      <c r="B3211" s="1092"/>
    </row>
    <row r="3212" spans="2:2">
      <c r="B3212" s="1092"/>
    </row>
    <row r="3213" spans="2:2">
      <c r="B3213" s="1092"/>
    </row>
    <row r="3214" spans="2:2">
      <c r="B3214" s="1092"/>
    </row>
    <row r="3215" spans="2:2">
      <c r="B3215" s="1092"/>
    </row>
    <row r="3216" spans="2:2">
      <c r="B3216" s="1092"/>
    </row>
    <row r="3217" spans="2:2">
      <c r="B3217" s="1092"/>
    </row>
    <row r="3218" spans="2:2">
      <c r="B3218" s="1092"/>
    </row>
    <row r="3219" spans="2:2">
      <c r="B3219" s="1092"/>
    </row>
    <row r="3220" spans="2:2">
      <c r="B3220" s="1092"/>
    </row>
    <row r="3221" spans="2:2">
      <c r="B3221" s="1092"/>
    </row>
    <row r="3222" spans="2:2">
      <c r="B3222" s="1092"/>
    </row>
    <row r="3223" spans="2:2">
      <c r="B3223" s="1092"/>
    </row>
    <row r="3224" spans="2:2">
      <c r="B3224" s="1092"/>
    </row>
    <row r="3225" spans="2:2">
      <c r="B3225" s="1092"/>
    </row>
    <row r="3226" spans="2:2">
      <c r="B3226" s="1092"/>
    </row>
    <row r="3227" spans="2:2">
      <c r="B3227" s="1092"/>
    </row>
    <row r="3228" spans="2:2">
      <c r="B3228" s="1092"/>
    </row>
    <row r="3229" spans="2:2">
      <c r="B3229" s="1092"/>
    </row>
    <row r="3230" spans="2:2">
      <c r="B3230" s="1092"/>
    </row>
    <row r="3231" spans="2:2">
      <c r="B3231" s="1092"/>
    </row>
    <row r="3232" spans="2:2">
      <c r="B3232" s="1092"/>
    </row>
    <row r="3233" spans="2:2">
      <c r="B3233" s="1092"/>
    </row>
    <row r="3234" spans="2:2">
      <c r="B3234" s="1092"/>
    </row>
    <row r="3235" spans="2:2">
      <c r="B3235" s="1092"/>
    </row>
    <row r="3236" spans="2:2">
      <c r="B3236" s="1092"/>
    </row>
    <row r="3237" spans="2:2">
      <c r="B3237" s="1092"/>
    </row>
    <row r="3238" spans="2:2">
      <c r="B3238" s="1092"/>
    </row>
    <row r="3239" spans="2:2">
      <c r="B3239" s="1092"/>
    </row>
    <row r="3240" spans="2:2">
      <c r="B3240" s="1092"/>
    </row>
    <row r="3241" spans="2:2">
      <c r="B3241" s="1092"/>
    </row>
    <row r="3242" spans="2:2">
      <c r="B3242" s="1092"/>
    </row>
    <row r="3243" spans="2:2">
      <c r="B3243" s="1092"/>
    </row>
    <row r="3244" spans="2:2">
      <c r="B3244" s="1092"/>
    </row>
    <row r="3245" spans="2:2">
      <c r="B3245" s="1092"/>
    </row>
    <row r="3246" spans="2:2">
      <c r="B3246" s="1092"/>
    </row>
    <row r="3247" spans="2:2">
      <c r="B3247" s="1092"/>
    </row>
    <row r="3248" spans="2:2">
      <c r="B3248" s="1092"/>
    </row>
    <row r="3249" spans="2:2">
      <c r="B3249" s="1092"/>
    </row>
    <row r="3250" spans="2:2">
      <c r="B3250" s="1092"/>
    </row>
    <row r="3251" spans="2:2">
      <c r="B3251" s="1092"/>
    </row>
    <row r="3252" spans="2:2">
      <c r="B3252" s="1092"/>
    </row>
    <row r="3253" spans="2:2">
      <c r="B3253" s="1093"/>
    </row>
    <row r="3254" spans="2:2">
      <c r="B3254" s="1092"/>
    </row>
    <row r="3255" spans="2:2">
      <c r="B3255" s="1092"/>
    </row>
    <row r="3256" spans="2:2">
      <c r="B3256" s="1092"/>
    </row>
    <row r="3257" spans="2:2">
      <c r="B3257" s="1092"/>
    </row>
    <row r="3258" spans="2:2">
      <c r="B3258" s="1092"/>
    </row>
    <row r="3259" spans="2:2">
      <c r="B3259" s="1092"/>
    </row>
    <row r="3260" spans="2:2">
      <c r="B3260" s="1093"/>
    </row>
    <row r="3261" spans="2:2">
      <c r="B3261" s="1092"/>
    </row>
    <row r="3262" spans="2:2">
      <c r="B3262" s="1092"/>
    </row>
    <row r="3263" spans="2:2">
      <c r="B3263" s="1092"/>
    </row>
    <row r="3264" spans="2:2">
      <c r="B3264" s="1092"/>
    </row>
    <row r="3265" spans="2:2">
      <c r="B3265" s="1092"/>
    </row>
    <row r="3266" spans="2:2">
      <c r="B3266" s="1092"/>
    </row>
    <row r="3267" spans="2:2">
      <c r="B3267" s="1092"/>
    </row>
    <row r="3268" spans="2:2">
      <c r="B3268" s="1092"/>
    </row>
    <row r="3269" spans="2:2">
      <c r="B3269" s="1092"/>
    </row>
    <row r="3270" spans="2:2">
      <c r="B3270" s="1092"/>
    </row>
    <row r="3271" spans="2:2">
      <c r="B3271" s="1092"/>
    </row>
    <row r="3272" spans="2:2">
      <c r="B3272" s="1092"/>
    </row>
    <row r="3273" spans="2:2">
      <c r="B3273" s="1092"/>
    </row>
    <row r="3274" spans="2:2">
      <c r="B3274" s="1092"/>
    </row>
    <row r="3275" spans="2:2">
      <c r="B3275" s="1092"/>
    </row>
    <row r="3276" spans="2:2">
      <c r="B3276" s="1092"/>
    </row>
    <row r="3277" spans="2:2">
      <c r="B3277" s="1092"/>
    </row>
    <row r="3278" spans="2:2">
      <c r="B3278" s="1092"/>
    </row>
    <row r="3279" spans="2:2">
      <c r="B3279" s="1092"/>
    </row>
    <row r="3280" spans="2:2">
      <c r="B3280" s="1092"/>
    </row>
    <row r="3281" spans="2:2">
      <c r="B3281" s="1092"/>
    </row>
    <row r="3282" spans="2:2">
      <c r="B3282" s="1092"/>
    </row>
    <row r="3283" spans="2:2">
      <c r="B3283" s="1092"/>
    </row>
    <row r="3284" spans="2:2">
      <c r="B3284" s="1092"/>
    </row>
    <row r="3285" spans="2:2">
      <c r="B3285" s="1092"/>
    </row>
    <row r="3286" spans="2:2">
      <c r="B3286" s="1093"/>
    </row>
    <row r="3287" spans="2:2">
      <c r="B3287" s="1092"/>
    </row>
    <row r="3288" spans="2:2">
      <c r="B3288" s="1092"/>
    </row>
    <row r="3289" spans="2:2">
      <c r="B3289" s="1092"/>
    </row>
    <row r="3290" spans="2:2">
      <c r="B3290" s="1092"/>
    </row>
    <row r="3291" spans="2:2">
      <c r="B3291" s="1092"/>
    </row>
    <row r="3292" spans="2:2">
      <c r="B3292" s="1092"/>
    </row>
    <row r="3293" spans="2:2">
      <c r="B3293" s="1092"/>
    </row>
    <row r="3294" spans="2:2">
      <c r="B3294" s="1092"/>
    </row>
    <row r="3295" spans="2:2">
      <c r="B3295" s="1092"/>
    </row>
    <row r="3296" spans="2:2">
      <c r="B3296" s="1092"/>
    </row>
    <row r="3297" spans="2:2">
      <c r="B3297" s="1092"/>
    </row>
    <row r="3298" spans="2:2">
      <c r="B3298" s="1092"/>
    </row>
    <row r="3299" spans="2:2">
      <c r="B3299" s="1092"/>
    </row>
    <row r="3300" spans="2:2">
      <c r="B3300" s="1092"/>
    </row>
    <row r="3301" spans="2:2">
      <c r="B3301" s="1092"/>
    </row>
    <row r="3302" spans="2:2">
      <c r="B3302" s="1092"/>
    </row>
    <row r="3303" spans="2:2">
      <c r="B3303" s="1092"/>
    </row>
    <row r="3304" spans="2:2">
      <c r="B3304" s="1092"/>
    </row>
    <row r="3305" spans="2:2">
      <c r="B3305" s="1092"/>
    </row>
    <row r="3306" spans="2:2">
      <c r="B3306" s="1092"/>
    </row>
    <row r="3307" spans="2:2">
      <c r="B3307" s="1092"/>
    </row>
    <row r="3308" spans="2:2">
      <c r="B3308" s="1092"/>
    </row>
    <row r="3309" spans="2:2">
      <c r="B3309" s="1092"/>
    </row>
    <row r="3310" spans="2:2">
      <c r="B3310" s="1092"/>
    </row>
    <row r="3311" spans="2:2">
      <c r="B3311" s="1092"/>
    </row>
    <row r="3312" spans="2:2">
      <c r="B3312" s="1092"/>
    </row>
    <row r="3313" spans="2:2">
      <c r="B3313" s="1092"/>
    </row>
    <row r="3314" spans="2:2">
      <c r="B3314" s="1092"/>
    </row>
    <row r="3315" spans="2:2">
      <c r="B3315" s="1092"/>
    </row>
    <row r="3316" spans="2:2">
      <c r="B3316" s="1092"/>
    </row>
    <row r="3317" spans="2:2">
      <c r="B3317" s="1092"/>
    </row>
    <row r="3318" spans="2:2">
      <c r="B3318" s="1092"/>
    </row>
    <row r="3319" spans="2:2">
      <c r="B3319" s="1092"/>
    </row>
    <row r="3320" spans="2:2">
      <c r="B3320" s="1092"/>
    </row>
    <row r="3321" spans="2:2">
      <c r="B3321" s="1092"/>
    </row>
    <row r="3322" spans="2:2">
      <c r="B3322" s="1092"/>
    </row>
    <row r="3323" spans="2:2">
      <c r="B3323" s="1092"/>
    </row>
    <row r="3324" spans="2:2">
      <c r="B3324" s="1092"/>
    </row>
    <row r="3325" spans="2:2">
      <c r="B3325" s="1092"/>
    </row>
    <row r="3326" spans="2:2">
      <c r="B3326" s="1092"/>
    </row>
    <row r="3327" spans="2:2">
      <c r="B3327" s="1092"/>
    </row>
    <row r="3328" spans="2:2">
      <c r="B3328" s="1092"/>
    </row>
    <row r="3329" spans="2:2">
      <c r="B3329" s="1092"/>
    </row>
    <row r="3330" spans="2:2">
      <c r="B3330" s="1092"/>
    </row>
    <row r="3331" spans="2:2">
      <c r="B3331" s="1092"/>
    </row>
    <row r="3332" spans="2:2">
      <c r="B3332" s="1092"/>
    </row>
    <row r="3333" spans="2:2">
      <c r="B3333" s="1092"/>
    </row>
    <row r="3334" spans="2:2">
      <c r="B3334" s="1092"/>
    </row>
    <row r="3335" spans="2:2">
      <c r="B3335" s="1092"/>
    </row>
    <row r="3336" spans="2:2">
      <c r="B3336" s="1092"/>
    </row>
    <row r="3337" spans="2:2">
      <c r="B3337" s="1092"/>
    </row>
    <row r="3338" spans="2:2">
      <c r="B3338" s="1092"/>
    </row>
    <row r="3339" spans="2:2">
      <c r="B3339" s="1092"/>
    </row>
    <row r="3340" spans="2:2">
      <c r="B3340" s="1092"/>
    </row>
    <row r="3341" spans="2:2">
      <c r="B3341" s="1092"/>
    </row>
    <row r="3342" spans="2:2">
      <c r="B3342" s="1092"/>
    </row>
    <row r="3343" spans="2:2">
      <c r="B3343" s="1092"/>
    </row>
    <row r="3344" spans="2:2">
      <c r="B3344" s="1092"/>
    </row>
    <row r="3345" spans="2:2">
      <c r="B3345" s="1092"/>
    </row>
    <row r="3346" spans="2:2">
      <c r="B3346" s="1092"/>
    </row>
    <row r="3347" spans="2:2">
      <c r="B3347" s="1092"/>
    </row>
    <row r="3348" spans="2:2">
      <c r="B3348" s="1092"/>
    </row>
    <row r="3349" spans="2:2">
      <c r="B3349" s="1092"/>
    </row>
    <row r="3350" spans="2:2">
      <c r="B3350" s="1092"/>
    </row>
    <row r="3351" spans="2:2">
      <c r="B3351" s="1092"/>
    </row>
    <row r="3352" spans="2:2">
      <c r="B3352" s="1092"/>
    </row>
    <row r="3353" spans="2:2">
      <c r="B3353" s="1092"/>
    </row>
    <row r="3354" spans="2:2">
      <c r="B3354" s="1092"/>
    </row>
    <row r="3355" spans="2:2">
      <c r="B3355" s="1092"/>
    </row>
    <row r="3356" spans="2:2">
      <c r="B3356" s="1092"/>
    </row>
    <row r="3357" spans="2:2">
      <c r="B3357" s="1092"/>
    </row>
    <row r="3358" spans="2:2">
      <c r="B3358" s="1092"/>
    </row>
    <row r="3359" spans="2:2">
      <c r="B3359" s="1092"/>
    </row>
    <row r="3360" spans="2:2">
      <c r="B3360" s="1092"/>
    </row>
    <row r="3361" spans="2:2">
      <c r="B3361" s="1092"/>
    </row>
    <row r="3362" spans="2:2">
      <c r="B3362" s="1092"/>
    </row>
    <row r="3363" spans="2:2">
      <c r="B3363" s="1092"/>
    </row>
    <row r="3364" spans="2:2">
      <c r="B3364" s="1092"/>
    </row>
    <row r="3365" spans="2:2">
      <c r="B3365" s="1092"/>
    </row>
    <row r="3366" spans="2:2">
      <c r="B3366" s="1092"/>
    </row>
    <row r="3367" spans="2:2">
      <c r="B3367" s="1092"/>
    </row>
    <row r="3368" spans="2:2">
      <c r="B3368" s="1092"/>
    </row>
    <row r="3369" spans="2:2">
      <c r="B3369" s="1092"/>
    </row>
    <row r="3370" spans="2:2">
      <c r="B3370" s="1092"/>
    </row>
    <row r="3371" spans="2:2">
      <c r="B3371" s="1092"/>
    </row>
    <row r="3372" spans="2:2">
      <c r="B3372" s="1092"/>
    </row>
    <row r="3373" spans="2:2">
      <c r="B3373" s="1092"/>
    </row>
    <row r="3374" spans="2:2">
      <c r="B3374" s="1092"/>
    </row>
    <row r="3375" spans="2:2">
      <c r="B3375" s="1092"/>
    </row>
    <row r="3376" spans="2:2">
      <c r="B3376" s="1092"/>
    </row>
    <row r="3377" spans="2:2">
      <c r="B3377" s="1092"/>
    </row>
    <row r="3378" spans="2:2">
      <c r="B3378" s="1092"/>
    </row>
    <row r="3379" spans="2:2">
      <c r="B3379" s="1092"/>
    </row>
    <row r="3380" spans="2:2">
      <c r="B3380" s="1092"/>
    </row>
    <row r="3381" spans="2:2">
      <c r="B3381" s="1092"/>
    </row>
    <row r="3382" spans="2:2">
      <c r="B3382" s="1092"/>
    </row>
    <row r="3383" spans="2:2">
      <c r="B3383" s="1092"/>
    </row>
    <row r="3384" spans="2:2">
      <c r="B3384" s="1092"/>
    </row>
    <row r="3385" spans="2:2">
      <c r="B3385" s="1092"/>
    </row>
    <row r="3386" spans="2:2">
      <c r="B3386" s="1092"/>
    </row>
    <row r="3387" spans="2:2">
      <c r="B3387" s="1092"/>
    </row>
    <row r="3388" spans="2:2">
      <c r="B3388" s="1092"/>
    </row>
    <row r="3389" spans="2:2">
      <c r="B3389" s="1092"/>
    </row>
    <row r="3390" spans="2:2">
      <c r="B3390" s="1092"/>
    </row>
    <row r="3391" spans="2:2">
      <c r="B3391" s="1092"/>
    </row>
    <row r="3392" spans="2:2">
      <c r="B3392" s="1092"/>
    </row>
    <row r="3393" spans="2:2">
      <c r="B3393" s="1092"/>
    </row>
    <row r="3394" spans="2:2">
      <c r="B3394" s="1092"/>
    </row>
    <row r="3395" spans="2:2">
      <c r="B3395" s="1092"/>
    </row>
    <row r="3396" spans="2:2">
      <c r="B3396" s="1092"/>
    </row>
    <row r="3397" spans="2:2">
      <c r="B3397" s="1092"/>
    </row>
    <row r="3398" spans="2:2">
      <c r="B3398" s="1092"/>
    </row>
    <row r="3399" spans="2:2">
      <c r="B3399" s="1092"/>
    </row>
    <row r="3400" spans="2:2">
      <c r="B3400" s="1092"/>
    </row>
    <row r="3401" spans="2:2">
      <c r="B3401" s="1092"/>
    </row>
    <row r="3402" spans="2:2">
      <c r="B3402" s="1092"/>
    </row>
    <row r="3403" spans="2:2">
      <c r="B3403" s="1092"/>
    </row>
    <row r="3404" spans="2:2">
      <c r="B3404" s="1092"/>
    </row>
    <row r="3405" spans="2:2">
      <c r="B3405" s="1092"/>
    </row>
    <row r="3406" spans="2:2">
      <c r="B3406" s="1092"/>
    </row>
    <row r="3407" spans="2:2">
      <c r="B3407" s="1092"/>
    </row>
    <row r="3408" spans="2:2">
      <c r="B3408" s="1092"/>
    </row>
    <row r="3409" spans="2:2">
      <c r="B3409" s="1092"/>
    </row>
    <row r="3410" spans="2:2">
      <c r="B3410" s="1092"/>
    </row>
    <row r="3411" spans="2:2">
      <c r="B3411" s="1092"/>
    </row>
    <row r="3412" spans="2:2">
      <c r="B3412" s="1092"/>
    </row>
    <row r="3413" spans="2:2">
      <c r="B3413" s="1092"/>
    </row>
    <row r="3414" spans="2:2">
      <c r="B3414" s="1092"/>
    </row>
    <row r="3415" spans="2:2">
      <c r="B3415" s="1092"/>
    </row>
    <row r="3416" spans="2:2">
      <c r="B3416" s="1092"/>
    </row>
    <row r="3417" spans="2:2">
      <c r="B3417" s="1092"/>
    </row>
    <row r="3418" spans="2:2">
      <c r="B3418" s="1092"/>
    </row>
    <row r="3419" spans="2:2">
      <c r="B3419" s="1092"/>
    </row>
    <row r="3420" spans="2:2">
      <c r="B3420" s="1092"/>
    </row>
    <row r="3421" spans="2:2">
      <c r="B3421" s="1092"/>
    </row>
    <row r="3422" spans="2:2">
      <c r="B3422" s="1092"/>
    </row>
    <row r="3423" spans="2:2">
      <c r="B3423" s="1092"/>
    </row>
    <row r="3424" spans="2:2">
      <c r="B3424" s="1092"/>
    </row>
    <row r="3425" spans="2:2">
      <c r="B3425" s="1092"/>
    </row>
    <row r="3426" spans="2:2">
      <c r="B3426" s="1092"/>
    </row>
    <row r="3427" spans="2:2">
      <c r="B3427" s="1092"/>
    </row>
    <row r="3428" spans="2:2">
      <c r="B3428" s="1092"/>
    </row>
    <row r="3429" spans="2:2">
      <c r="B3429" s="1092"/>
    </row>
    <row r="3430" spans="2:2">
      <c r="B3430" s="1092"/>
    </row>
    <row r="3431" spans="2:2">
      <c r="B3431" s="1092"/>
    </row>
    <row r="3432" spans="2:2">
      <c r="B3432" s="1092"/>
    </row>
    <row r="3433" spans="2:2">
      <c r="B3433" s="1092"/>
    </row>
    <row r="3434" spans="2:2">
      <c r="B3434" s="1092"/>
    </row>
    <row r="3435" spans="2:2">
      <c r="B3435" s="1092"/>
    </row>
    <row r="3436" spans="2:2">
      <c r="B3436" s="1092"/>
    </row>
    <row r="3437" spans="2:2">
      <c r="B3437" s="1092"/>
    </row>
    <row r="3438" spans="2:2">
      <c r="B3438" s="1092"/>
    </row>
    <row r="3439" spans="2:2">
      <c r="B3439" s="1092"/>
    </row>
    <row r="3440" spans="2:2">
      <c r="B3440" s="1092"/>
    </row>
    <row r="3441" spans="2:2">
      <c r="B3441" s="1092"/>
    </row>
    <row r="3442" spans="2:2">
      <c r="B3442" s="1092"/>
    </row>
    <row r="3443" spans="2:2">
      <c r="B3443" s="1092"/>
    </row>
    <row r="3444" spans="2:2">
      <c r="B3444" s="1092"/>
    </row>
    <row r="3445" spans="2:2">
      <c r="B3445" s="1092"/>
    </row>
    <row r="3446" spans="2:2">
      <c r="B3446" s="1094"/>
    </row>
    <row r="3447" spans="2:2">
      <c r="B3447" s="1095"/>
    </row>
  </sheetData>
  <sheetProtection password="D2A1" sheet="1"/>
  <phoneticPr fontId="7"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N493"/>
  <sheetViews>
    <sheetView zoomScale="89" zoomScaleNormal="89" workbookViewId="0">
      <pane xSplit="2" ySplit="3" topLeftCell="E4" activePane="bottomRight" state="frozen"/>
      <selection pane="topRight" activeCell="C1" sqref="C1"/>
      <selection pane="bottomLeft" activeCell="A3" sqref="A3"/>
      <selection pane="bottomRight" activeCell="J3" sqref="J3"/>
    </sheetView>
  </sheetViews>
  <sheetFormatPr defaultRowHeight="15.75"/>
  <cols>
    <col min="1" max="1" width="16.5703125" style="199" customWidth="1"/>
    <col min="2" max="2" width="16.42578125" style="199" customWidth="1"/>
    <col min="3" max="3" width="11.5703125" style="555" customWidth="1"/>
    <col min="4" max="4" width="11.7109375" style="243" customWidth="1"/>
    <col min="5" max="6" width="9.28515625" style="199" bestFit="1" customWidth="1"/>
    <col min="7" max="7" width="9.7109375" style="199" bestFit="1" customWidth="1"/>
    <col min="8" max="8" width="10.42578125" style="199" customWidth="1"/>
    <col min="9" max="9" width="10.140625" style="199" customWidth="1"/>
    <col min="10" max="12" width="9.28515625" style="199" bestFit="1" customWidth="1"/>
    <col min="13" max="13" width="11.5703125" style="199" customWidth="1"/>
    <col min="14" max="14" width="10.85546875" style="199" customWidth="1"/>
    <col min="15" max="16" width="9.28515625" style="199" bestFit="1" customWidth="1"/>
    <col min="17" max="21" width="9.140625" style="199"/>
    <col min="22" max="22" width="9.5703125" style="199" customWidth="1"/>
    <col min="23" max="23" width="11.85546875" style="199" customWidth="1"/>
    <col min="24" max="24" width="10.140625" style="199" customWidth="1"/>
    <col min="25" max="33" width="9.140625" style="199"/>
    <col min="34" max="35" width="10" style="199" customWidth="1"/>
    <col min="36" max="40" width="9.140625" style="199"/>
    <col min="41" max="41" width="19.7109375" style="199" customWidth="1"/>
    <col min="42" max="42" width="14.28515625" style="199" customWidth="1"/>
    <col min="43" max="43" width="13.42578125" style="199" customWidth="1"/>
    <col min="44" max="44" width="13.140625" style="199" customWidth="1"/>
    <col min="45" max="45" width="13" style="199" customWidth="1"/>
    <col min="46" max="46" width="13.140625" style="199" customWidth="1"/>
    <col min="47" max="47" width="11" style="199" customWidth="1"/>
    <col min="48" max="48" width="13.42578125" style="199" customWidth="1"/>
    <col min="49" max="49" width="13.85546875" style="199" customWidth="1"/>
    <col min="50" max="50" width="15.140625" style="199" customWidth="1"/>
    <col min="51" max="51" width="12.28515625" style="199" customWidth="1"/>
    <col min="52" max="52" width="13.85546875" style="199" customWidth="1"/>
    <col min="53" max="53" width="16.140625" style="199" customWidth="1"/>
    <col min="54" max="54" width="13.140625" style="365" customWidth="1"/>
    <col min="55" max="55" width="10.28515625" style="199" customWidth="1"/>
    <col min="56" max="56" width="9.140625" style="199"/>
    <col min="57" max="58" width="16.42578125" style="199" customWidth="1"/>
    <col min="59" max="59" width="17.5703125" style="1655" customWidth="1"/>
    <col min="60" max="60" width="31" style="365" bestFit="1" customWidth="1"/>
    <col min="61" max="61" width="14" style="199" customWidth="1"/>
    <col min="62" max="62" width="16.5703125" style="199" customWidth="1"/>
    <col min="63" max="63" width="13.42578125" style="199" customWidth="1"/>
    <col min="64" max="64" width="12.140625" style="199" customWidth="1"/>
    <col min="65" max="65" width="9.140625" style="199"/>
    <col min="66" max="66" width="12.140625" style="199" customWidth="1"/>
    <col min="67" max="16384" width="9.140625" style="199"/>
  </cols>
  <sheetData>
    <row r="1" spans="1:62" ht="50.25" customHeight="1">
      <c r="AD1" s="245"/>
      <c r="AE1" s="245"/>
      <c r="AF1" s="245"/>
      <c r="AG1" s="245"/>
      <c r="AH1" s="245"/>
      <c r="AI1" s="245"/>
      <c r="BA1" s="2318" t="s">
        <v>5274</v>
      </c>
      <c r="BB1" s="2319" t="s">
        <v>1556</v>
      </c>
      <c r="BC1" s="2320" t="s">
        <v>5030</v>
      </c>
    </row>
    <row r="2" spans="1:62" ht="33" customHeight="1">
      <c r="A2" s="2499" t="s">
        <v>5354</v>
      </c>
      <c r="D2" s="2281"/>
      <c r="E2" s="3280">
        <v>2021</v>
      </c>
      <c r="F2" s="2282"/>
      <c r="G2" s="2282"/>
      <c r="H2" s="2282"/>
      <c r="I2" s="1632"/>
      <c r="J2" s="1632"/>
      <c r="K2" s="1632"/>
      <c r="L2" s="1632"/>
      <c r="M2" s="1632"/>
      <c r="N2" s="1632"/>
      <c r="Q2" s="2496"/>
      <c r="AD2" s="2496" t="s">
        <v>5275</v>
      </c>
      <c r="AE2" s="2496"/>
      <c r="AF2" s="2496"/>
      <c r="AG2" s="2496"/>
      <c r="AH2" s="2496"/>
      <c r="AI2" s="2496"/>
      <c r="AJ2" s="2496"/>
      <c r="AK2" s="2496"/>
      <c r="BA2" s="199">
        <v>0</v>
      </c>
      <c r="BB2" s="365">
        <v>1</v>
      </c>
      <c r="BC2" s="199">
        <v>1</v>
      </c>
      <c r="BD2" s="1633"/>
      <c r="BF2" s="2502" t="s">
        <v>5090</v>
      </c>
      <c r="BG2" s="1655" t="s">
        <v>1561</v>
      </c>
      <c r="BJ2" s="2504" t="s">
        <v>5092</v>
      </c>
    </row>
    <row r="3" spans="1:62" ht="48" customHeight="1">
      <c r="C3" s="1635" t="s">
        <v>1562</v>
      </c>
      <c r="D3" s="2959" t="s">
        <v>3883</v>
      </c>
      <c r="E3" s="2960">
        <v>2</v>
      </c>
      <c r="F3" s="2959" t="s">
        <v>3885</v>
      </c>
      <c r="G3" s="2960">
        <v>4</v>
      </c>
      <c r="H3" s="2959" t="s">
        <v>3887</v>
      </c>
      <c r="I3" s="2960">
        <v>6</v>
      </c>
      <c r="J3" s="2959" t="s">
        <v>3889</v>
      </c>
      <c r="K3" s="2960">
        <v>8</v>
      </c>
      <c r="L3" s="2959">
        <v>9</v>
      </c>
      <c r="M3" s="2960">
        <v>10</v>
      </c>
      <c r="N3" s="2959">
        <v>11</v>
      </c>
      <c r="O3" s="2960">
        <v>12</v>
      </c>
      <c r="P3" s="2963">
        <v>13</v>
      </c>
      <c r="Q3" s="2961">
        <v>14</v>
      </c>
      <c r="R3" s="2961">
        <v>15</v>
      </c>
      <c r="S3" s="2962">
        <v>16</v>
      </c>
      <c r="T3" s="2964">
        <v>17</v>
      </c>
      <c r="U3" s="2964">
        <v>18</v>
      </c>
      <c r="V3" s="3288">
        <v>19</v>
      </c>
      <c r="W3" s="3288">
        <v>20</v>
      </c>
      <c r="X3" s="3230">
        <v>21</v>
      </c>
      <c r="Y3" s="3230">
        <v>22</v>
      </c>
      <c r="Z3" s="3230">
        <v>23</v>
      </c>
      <c r="AA3" s="2967">
        <v>24</v>
      </c>
      <c r="AB3" s="2967">
        <v>25</v>
      </c>
      <c r="AC3" s="2967">
        <v>26</v>
      </c>
      <c r="AD3" s="2717">
        <v>27</v>
      </c>
      <c r="AE3" s="2717">
        <v>28</v>
      </c>
      <c r="AF3" s="2717">
        <v>29</v>
      </c>
      <c r="AG3" s="2717">
        <v>30</v>
      </c>
      <c r="AH3" s="2717">
        <v>31</v>
      </c>
      <c r="AI3" s="2717">
        <v>32</v>
      </c>
      <c r="AJ3" s="2717">
        <v>33</v>
      </c>
      <c r="AK3" s="2971">
        <v>34</v>
      </c>
      <c r="AL3" s="2971">
        <v>35</v>
      </c>
      <c r="AM3" s="2971">
        <v>36</v>
      </c>
      <c r="AN3" s="2972">
        <v>37</v>
      </c>
      <c r="AO3" s="245"/>
      <c r="AP3" s="245"/>
      <c r="BA3" s="3180">
        <v>10200183</v>
      </c>
      <c r="BB3" s="3180">
        <v>19</v>
      </c>
      <c r="BC3" s="3180">
        <v>0.56999999999999995</v>
      </c>
      <c r="BG3" s="1654">
        <f>BG43</f>
        <v>12</v>
      </c>
      <c r="BH3" s="1636" t="s">
        <v>1563</v>
      </c>
      <c r="BI3" s="2511" t="s">
        <v>1565</v>
      </c>
      <c r="BJ3" s="2380" t="s">
        <v>5050</v>
      </c>
    </row>
    <row r="4" spans="1:62">
      <c r="A4" s="199" t="s">
        <v>1523</v>
      </c>
      <c r="B4" s="199" t="s">
        <v>1524</v>
      </c>
      <c r="C4" s="555">
        <v>100</v>
      </c>
      <c r="D4" s="3161">
        <v>117800</v>
      </c>
      <c r="E4" s="3161">
        <v>109100</v>
      </c>
      <c r="F4" s="3161">
        <v>92274</v>
      </c>
      <c r="G4" s="3281">
        <v>39120</v>
      </c>
      <c r="H4" s="3281">
        <v>40018</v>
      </c>
      <c r="I4" s="3161">
        <v>109100</v>
      </c>
      <c r="J4" s="3281">
        <v>21836</v>
      </c>
      <c r="K4" s="3161">
        <v>88800</v>
      </c>
      <c r="L4" s="3161">
        <v>117800</v>
      </c>
      <c r="M4" s="3281">
        <v>52632</v>
      </c>
      <c r="N4" s="3281">
        <v>52632</v>
      </c>
      <c r="O4" s="3161">
        <v>109100</v>
      </c>
      <c r="P4" s="3161">
        <v>52801</v>
      </c>
      <c r="Q4" s="3164">
        <v>84500</v>
      </c>
      <c r="R4" s="3164">
        <v>109100</v>
      </c>
      <c r="S4" s="3164">
        <v>117800</v>
      </c>
      <c r="T4" s="2500">
        <v>78271</v>
      </c>
      <c r="U4" s="3164">
        <v>84500</v>
      </c>
      <c r="V4" s="3284">
        <v>95900</v>
      </c>
      <c r="W4" s="3284">
        <v>95900</v>
      </c>
      <c r="X4" s="3284">
        <v>95900</v>
      </c>
      <c r="Y4" s="3284">
        <v>84500</v>
      </c>
      <c r="Z4" s="3284">
        <v>84500</v>
      </c>
      <c r="AA4" s="2968">
        <v>72500</v>
      </c>
      <c r="AB4" s="2968">
        <v>20474</v>
      </c>
      <c r="AC4" s="2968">
        <v>52000</v>
      </c>
      <c r="AD4" s="3184">
        <f>$D4</f>
        <v>117800</v>
      </c>
      <c r="AE4" s="3184">
        <f>$S4</f>
        <v>117800</v>
      </c>
      <c r="AF4" s="3184">
        <f>$G4</f>
        <v>39120</v>
      </c>
      <c r="AG4" s="3184">
        <f>$E4</f>
        <v>109100</v>
      </c>
      <c r="AH4" s="3184">
        <f t="shared" ref="AH4:AI6" si="0">$R4</f>
        <v>109100</v>
      </c>
      <c r="AI4" s="2975">
        <f t="shared" si="0"/>
        <v>109100</v>
      </c>
      <c r="AJ4" s="2975">
        <f>$F4</f>
        <v>92274</v>
      </c>
      <c r="AK4" s="2973">
        <v>14434</v>
      </c>
      <c r="AL4" s="2973">
        <v>52000</v>
      </c>
      <c r="AM4" s="2973">
        <v>20100</v>
      </c>
      <c r="AN4" s="2973">
        <v>14329</v>
      </c>
      <c r="AO4" s="199" t="s">
        <v>1523</v>
      </c>
      <c r="AP4" s="199" t="s">
        <v>1524</v>
      </c>
      <c r="AQ4" s="2282"/>
      <c r="AR4" s="1632"/>
      <c r="AS4" s="2282"/>
      <c r="AT4" s="2282"/>
      <c r="AU4" s="1632"/>
      <c r="AV4" s="2282"/>
      <c r="AW4" s="2282"/>
      <c r="AX4" s="2282"/>
      <c r="AY4" s="2282"/>
      <c r="AZ4" s="2282"/>
      <c r="BA4">
        <v>10216987</v>
      </c>
      <c r="BB4">
        <v>1</v>
      </c>
      <c r="BC4">
        <v>0.52049999999999996</v>
      </c>
      <c r="BD4" s="199" t="s">
        <v>1523</v>
      </c>
      <c r="BE4" s="199" t="s">
        <v>1524</v>
      </c>
      <c r="BF4" s="199">
        <v>100</v>
      </c>
      <c r="BG4" s="1656">
        <f>VLOOKUP($BF4,$C$4:$AM$36,($BG$3+1))</f>
        <v>109100</v>
      </c>
      <c r="BH4" s="365">
        <f>NDK!B4</f>
        <v>0</v>
      </c>
      <c r="BI4" s="2512">
        <f>$BG4*$BH4</f>
        <v>0</v>
      </c>
      <c r="BJ4" s="2377">
        <f>$BI4*$BG$44*$BK$45</f>
        <v>0</v>
      </c>
    </row>
    <row r="5" spans="1:62">
      <c r="A5" s="199" t="s">
        <v>1523</v>
      </c>
      <c r="B5" s="199" t="s">
        <v>1525</v>
      </c>
      <c r="C5" s="555">
        <v>101</v>
      </c>
      <c r="D5" s="3161">
        <v>131000</v>
      </c>
      <c r="E5" s="3161">
        <v>121300</v>
      </c>
      <c r="F5" s="3161">
        <v>103085</v>
      </c>
      <c r="G5" s="3281">
        <v>39204</v>
      </c>
      <c r="H5" s="3281">
        <v>44481</v>
      </c>
      <c r="I5" s="3161">
        <v>121300</v>
      </c>
      <c r="J5" s="3281">
        <v>24721</v>
      </c>
      <c r="K5" s="3161">
        <v>99500</v>
      </c>
      <c r="L5" s="3161">
        <v>131000</v>
      </c>
      <c r="M5" s="3281">
        <v>52632</v>
      </c>
      <c r="N5" s="3281">
        <v>52632</v>
      </c>
      <c r="O5" s="3161">
        <v>121300</v>
      </c>
      <c r="P5" s="3161">
        <v>58700</v>
      </c>
      <c r="Q5" s="3164">
        <v>94400</v>
      </c>
      <c r="R5" s="3164">
        <v>121300</v>
      </c>
      <c r="S5" s="3164">
        <v>131000</v>
      </c>
      <c r="T5" s="2500">
        <v>87015</v>
      </c>
      <c r="U5" s="3164">
        <v>94400</v>
      </c>
      <c r="V5" s="3284">
        <v>107500</v>
      </c>
      <c r="W5" s="3284">
        <v>107500</v>
      </c>
      <c r="X5" s="3284">
        <v>107500</v>
      </c>
      <c r="Y5" s="3284">
        <v>94400</v>
      </c>
      <c r="Z5" s="3284">
        <v>94400</v>
      </c>
      <c r="AA5" s="2968">
        <v>80600</v>
      </c>
      <c r="AB5" s="2968">
        <v>20474</v>
      </c>
      <c r="AC5" s="2968">
        <v>58100</v>
      </c>
      <c r="AD5" s="3184">
        <f>$D5</f>
        <v>131000</v>
      </c>
      <c r="AE5" s="3184">
        <f>$S5</f>
        <v>131000</v>
      </c>
      <c r="AF5" s="3184">
        <f>$G5</f>
        <v>39204</v>
      </c>
      <c r="AG5" s="3184">
        <f>$E5</f>
        <v>121300</v>
      </c>
      <c r="AH5" s="3184">
        <f t="shared" si="0"/>
        <v>121300</v>
      </c>
      <c r="AI5" s="2975">
        <f t="shared" si="0"/>
        <v>121300</v>
      </c>
      <c r="AJ5" s="2975">
        <f>$F5</f>
        <v>103085</v>
      </c>
      <c r="AK5" s="2973">
        <v>16128</v>
      </c>
      <c r="AL5" s="2973">
        <v>58100</v>
      </c>
      <c r="AM5" s="2973">
        <v>22554</v>
      </c>
      <c r="AN5" s="2973">
        <v>15930</v>
      </c>
      <c r="AO5" s="199" t="s">
        <v>1523</v>
      </c>
      <c r="AP5" s="199" t="s">
        <v>1525</v>
      </c>
      <c r="AQ5" s="1632"/>
      <c r="AR5" s="3188" t="s">
        <v>5368</v>
      </c>
      <c r="AS5" s="3189"/>
      <c r="AT5" s="3189"/>
      <c r="AU5" s="3188" t="s">
        <v>5374</v>
      </c>
      <c r="AV5" s="3189"/>
      <c r="AW5" s="2282"/>
      <c r="AX5" s="1632"/>
      <c r="AY5" s="1632"/>
      <c r="AZ5" s="2976" t="s">
        <v>5273</v>
      </c>
      <c r="BA5">
        <v>10314822</v>
      </c>
      <c r="BB5">
        <v>2</v>
      </c>
      <c r="BC5">
        <v>0.33989999999999998</v>
      </c>
      <c r="BD5" s="199" t="s">
        <v>1523</v>
      </c>
      <c r="BE5" s="199" t="s">
        <v>1525</v>
      </c>
      <c r="BF5" s="199">
        <v>101</v>
      </c>
      <c r="BG5" s="1656">
        <f t="shared" ref="BG5:BG36" si="1">VLOOKUP($BF5,$C$4:$AM$36,($BG$3+1))</f>
        <v>121300</v>
      </c>
      <c r="BH5" s="365">
        <f>NDK!B6</f>
        <v>0</v>
      </c>
      <c r="BI5" s="2512">
        <f t="shared" ref="BI5:BI36" si="2">$BG5*$BH5</f>
        <v>0</v>
      </c>
      <c r="BJ5" s="2377">
        <f t="shared" ref="BJ5:BJ36" si="3">$BI5*$BG$44*$BK$45</f>
        <v>0</v>
      </c>
    </row>
    <row r="6" spans="1:62">
      <c r="A6" s="199" t="s">
        <v>1523</v>
      </c>
      <c r="B6" s="199" t="s">
        <v>1526</v>
      </c>
      <c r="C6" s="555">
        <v>102</v>
      </c>
      <c r="D6" s="3161">
        <v>131000</v>
      </c>
      <c r="E6" s="3161">
        <v>121300</v>
      </c>
      <c r="F6" s="3161">
        <v>103085</v>
      </c>
      <c r="G6" s="3281">
        <v>44100</v>
      </c>
      <c r="H6" s="3281">
        <v>44481</v>
      </c>
      <c r="I6" s="3161">
        <v>121300</v>
      </c>
      <c r="J6" s="3281">
        <v>24721</v>
      </c>
      <c r="K6" s="3161">
        <v>108700</v>
      </c>
      <c r="L6" s="3161">
        <v>131000</v>
      </c>
      <c r="M6" s="3281">
        <v>52632</v>
      </c>
      <c r="N6" s="3281">
        <v>52632</v>
      </c>
      <c r="O6" s="3161">
        <v>121300</v>
      </c>
      <c r="P6" s="3161">
        <v>58700</v>
      </c>
      <c r="Q6" s="3164">
        <v>94400</v>
      </c>
      <c r="R6" s="3164">
        <v>121300</v>
      </c>
      <c r="S6" s="3164">
        <v>131000</v>
      </c>
      <c r="T6" s="2500">
        <v>87015</v>
      </c>
      <c r="U6" s="3164">
        <v>94400</v>
      </c>
      <c r="V6" s="3284">
        <v>107500</v>
      </c>
      <c r="W6" s="3284">
        <v>107500</v>
      </c>
      <c r="X6" s="3284">
        <v>107500</v>
      </c>
      <c r="Y6" s="3284">
        <v>94400</v>
      </c>
      <c r="Z6" s="3284">
        <v>94400</v>
      </c>
      <c r="AA6" s="2968">
        <v>80600</v>
      </c>
      <c r="AB6" s="2968">
        <v>20474</v>
      </c>
      <c r="AC6" s="2968">
        <v>58100</v>
      </c>
      <c r="AD6" s="3184">
        <f>$D6</f>
        <v>131000</v>
      </c>
      <c r="AE6" s="3184">
        <f>$S6</f>
        <v>131000</v>
      </c>
      <c r="AF6" s="3184">
        <f>$G6</f>
        <v>44100</v>
      </c>
      <c r="AG6" s="3184">
        <f>$E6</f>
        <v>121300</v>
      </c>
      <c r="AH6" s="3184">
        <f t="shared" si="0"/>
        <v>121300</v>
      </c>
      <c r="AI6" s="2975">
        <f t="shared" si="0"/>
        <v>121300</v>
      </c>
      <c r="AJ6" s="2975">
        <f>$F6</f>
        <v>103085</v>
      </c>
      <c r="AK6" s="2973">
        <v>16128</v>
      </c>
      <c r="AL6" s="2973">
        <v>58100</v>
      </c>
      <c r="AM6" s="2973">
        <v>22554</v>
      </c>
      <c r="AN6" s="2973">
        <v>15930</v>
      </c>
      <c r="AO6" s="199" t="s">
        <v>1523</v>
      </c>
      <c r="AP6" s="199" t="s">
        <v>1526</v>
      </c>
      <c r="AQ6" s="1632"/>
      <c r="AR6" s="3189" t="s">
        <v>5360</v>
      </c>
      <c r="AS6" s="3189"/>
      <c r="AT6" s="3189" t="s">
        <v>5365</v>
      </c>
      <c r="AU6" s="3189"/>
      <c r="AV6" s="3189" t="s">
        <v>5366</v>
      </c>
      <c r="AW6" s="2282"/>
      <c r="AX6" s="1632"/>
      <c r="AY6" s="1632"/>
      <c r="AZ6" s="2976" t="s">
        <v>5088</v>
      </c>
      <c r="BA6">
        <v>10439782</v>
      </c>
      <c r="BB6">
        <v>1</v>
      </c>
      <c r="BC6">
        <v>0.12180000000000001</v>
      </c>
      <c r="BD6" s="199" t="s">
        <v>1523</v>
      </c>
      <c r="BE6" s="199" t="s">
        <v>1526</v>
      </c>
      <c r="BF6" s="199">
        <v>102</v>
      </c>
      <c r="BG6" s="1656">
        <f t="shared" si="1"/>
        <v>121300</v>
      </c>
      <c r="BH6" s="365">
        <f>NDK!B7</f>
        <v>0</v>
      </c>
      <c r="BI6" s="2512">
        <f t="shared" si="2"/>
        <v>0</v>
      </c>
      <c r="BJ6" s="2377">
        <f t="shared" si="3"/>
        <v>0</v>
      </c>
    </row>
    <row r="7" spans="1:62" ht="26.25">
      <c r="B7" s="111" t="s">
        <v>1491</v>
      </c>
      <c r="C7" s="555">
        <v>103</v>
      </c>
      <c r="D7" s="3162">
        <f>D$75</f>
        <v>0</v>
      </c>
      <c r="E7" s="3162">
        <f t="shared" ref="E7:AN7" si="4">E$75</f>
        <v>0</v>
      </c>
      <c r="F7" s="3162">
        <f t="shared" si="4"/>
        <v>0</v>
      </c>
      <c r="G7" s="3162">
        <f t="shared" si="4"/>
        <v>0</v>
      </c>
      <c r="H7" s="3162">
        <f t="shared" si="4"/>
        <v>0</v>
      </c>
      <c r="I7" s="3162">
        <f t="shared" si="4"/>
        <v>0</v>
      </c>
      <c r="J7" s="3162">
        <f t="shared" si="4"/>
        <v>0</v>
      </c>
      <c r="K7" s="2279">
        <f t="shared" si="4"/>
        <v>-9200</v>
      </c>
      <c r="L7" s="3162">
        <f t="shared" si="4"/>
        <v>0</v>
      </c>
      <c r="M7" s="3162">
        <f t="shared" si="4"/>
        <v>0</v>
      </c>
      <c r="N7" s="3162">
        <f t="shared" si="4"/>
        <v>0</v>
      </c>
      <c r="O7" s="3162">
        <f t="shared" si="4"/>
        <v>0</v>
      </c>
      <c r="P7" s="3162">
        <f t="shared" si="4"/>
        <v>0</v>
      </c>
      <c r="Q7" s="3162">
        <f t="shared" si="4"/>
        <v>0</v>
      </c>
      <c r="R7" s="3162">
        <f t="shared" si="4"/>
        <v>0</v>
      </c>
      <c r="S7" s="3162">
        <f t="shared" si="4"/>
        <v>0</v>
      </c>
      <c r="T7" s="3162">
        <f t="shared" si="4"/>
        <v>0</v>
      </c>
      <c r="U7" s="3162">
        <f t="shared" si="4"/>
        <v>0</v>
      </c>
      <c r="V7" s="3286">
        <f t="shared" si="4"/>
        <v>0</v>
      </c>
      <c r="W7" s="3286">
        <f t="shared" si="4"/>
        <v>0</v>
      </c>
      <c r="X7" s="3286">
        <f t="shared" si="4"/>
        <v>0</v>
      </c>
      <c r="Y7" s="3286">
        <f t="shared" si="4"/>
        <v>0</v>
      </c>
      <c r="Z7" s="3286">
        <f t="shared" si="4"/>
        <v>0</v>
      </c>
      <c r="AA7" s="2969"/>
      <c r="AB7" s="2969"/>
      <c r="AC7" s="2969"/>
      <c r="AD7" s="3162">
        <f t="shared" si="4"/>
        <v>0</v>
      </c>
      <c r="AE7" s="3162">
        <f t="shared" si="4"/>
        <v>0</v>
      </c>
      <c r="AF7" s="3162">
        <f>AF$75</f>
        <v>0</v>
      </c>
      <c r="AG7" s="3162">
        <f t="shared" si="4"/>
        <v>0</v>
      </c>
      <c r="AH7" s="3162">
        <f t="shared" si="4"/>
        <v>0</v>
      </c>
      <c r="AI7" s="2279">
        <f t="shared" si="4"/>
        <v>-18138</v>
      </c>
      <c r="AJ7" s="2279">
        <f t="shared" si="4"/>
        <v>-73798</v>
      </c>
      <c r="AK7" s="2974">
        <f t="shared" si="4"/>
        <v>-87476</v>
      </c>
      <c r="AL7" s="2974">
        <f t="shared" si="4"/>
        <v>-28442</v>
      </c>
      <c r="AM7" s="2974">
        <f t="shared" si="4"/>
        <v>-63200</v>
      </c>
      <c r="AN7" s="2974">
        <f t="shared" si="4"/>
        <v>0</v>
      </c>
      <c r="AP7" s="111" t="s">
        <v>1491</v>
      </c>
      <c r="AQ7" s="1632"/>
      <c r="AR7" s="3189" t="s">
        <v>5361</v>
      </c>
      <c r="AS7" s="3190">
        <f>NDK!T6</f>
        <v>0</v>
      </c>
      <c r="AT7" s="3190">
        <f>AS7*AV7</f>
        <v>0</v>
      </c>
      <c r="AU7" s="3190"/>
      <c r="AV7" s="3190">
        <v>0.625</v>
      </c>
      <c r="AW7" s="2282"/>
      <c r="AX7" s="1632"/>
      <c r="AY7" s="1632"/>
      <c r="AZ7" s="2976" t="s">
        <v>5089</v>
      </c>
      <c r="BA7">
        <v>10474089</v>
      </c>
      <c r="BB7">
        <v>1</v>
      </c>
      <c r="BC7">
        <v>0.17730000000000001</v>
      </c>
      <c r="BE7" s="111" t="s">
        <v>1491</v>
      </c>
      <c r="BF7" s="199">
        <v>103</v>
      </c>
      <c r="BG7" s="1656">
        <f t="shared" si="1"/>
        <v>0</v>
      </c>
      <c r="BH7" s="365">
        <f>NDK!B8</f>
        <v>0</v>
      </c>
      <c r="BI7" s="2512">
        <f t="shared" si="2"/>
        <v>0</v>
      </c>
      <c r="BJ7" s="2377">
        <f t="shared" si="3"/>
        <v>0</v>
      </c>
    </row>
    <row r="8" spans="1:62">
      <c r="A8" s="199" t="s">
        <v>1523</v>
      </c>
      <c r="B8" s="199" t="s">
        <v>1527</v>
      </c>
      <c r="C8" s="555">
        <v>104</v>
      </c>
      <c r="D8" s="3161">
        <v>143000</v>
      </c>
      <c r="E8" s="3161">
        <v>132400</v>
      </c>
      <c r="F8" s="3161">
        <v>112585</v>
      </c>
      <c r="G8" s="3281">
        <v>52992</v>
      </c>
      <c r="H8" s="3281">
        <v>48559</v>
      </c>
      <c r="I8" s="3161">
        <v>132400</v>
      </c>
      <c r="J8" s="3281">
        <v>26497</v>
      </c>
      <c r="K8" s="3161">
        <v>108700</v>
      </c>
      <c r="L8" s="3161">
        <v>143000</v>
      </c>
      <c r="M8" s="3281">
        <v>52632</v>
      </c>
      <c r="N8" s="3281">
        <v>52632</v>
      </c>
      <c r="O8" s="3161">
        <v>132400</v>
      </c>
      <c r="P8" s="3161">
        <v>64100</v>
      </c>
      <c r="Q8" s="3164">
        <v>103100</v>
      </c>
      <c r="R8" s="3164">
        <v>132400</v>
      </c>
      <c r="S8" s="3164">
        <v>143000</v>
      </c>
      <c r="T8" s="2500">
        <v>95004</v>
      </c>
      <c r="U8" s="3164">
        <v>103100</v>
      </c>
      <c r="V8" s="3284">
        <v>117400</v>
      </c>
      <c r="W8" s="3284">
        <v>117400</v>
      </c>
      <c r="X8" s="3284">
        <v>117400</v>
      </c>
      <c r="Y8" s="3284">
        <v>103100</v>
      </c>
      <c r="Z8" s="3284">
        <v>103100</v>
      </c>
      <c r="AA8" s="2968">
        <v>88000</v>
      </c>
      <c r="AB8" s="2968">
        <v>21496</v>
      </c>
      <c r="AC8" s="2968">
        <v>63500</v>
      </c>
      <c r="AD8" s="3184">
        <f>$D8</f>
        <v>143000</v>
      </c>
      <c r="AE8" s="3184">
        <f>$S8</f>
        <v>143000</v>
      </c>
      <c r="AF8" s="3184">
        <f>$G8</f>
        <v>52992</v>
      </c>
      <c r="AG8" s="3184">
        <f>$E8</f>
        <v>132400</v>
      </c>
      <c r="AH8" s="3184">
        <f>$R8</f>
        <v>132400</v>
      </c>
      <c r="AI8" s="2975">
        <f>$R8</f>
        <v>132400</v>
      </c>
      <c r="AJ8" s="2975">
        <f>$F8</f>
        <v>112585</v>
      </c>
      <c r="AK8" s="2973">
        <v>17626</v>
      </c>
      <c r="AL8" s="2973">
        <v>63500</v>
      </c>
      <c r="AM8" s="2973">
        <v>24633</v>
      </c>
      <c r="AN8" s="2973">
        <v>15930</v>
      </c>
      <c r="AO8" s="199" t="s">
        <v>1523</v>
      </c>
      <c r="AP8" s="199" t="s">
        <v>1527</v>
      </c>
      <c r="AQ8" s="1632"/>
      <c r="AR8" s="3189" t="s">
        <v>5362</v>
      </c>
      <c r="AS8" s="3190">
        <f>NDK!T7</f>
        <v>0</v>
      </c>
      <c r="AT8" s="3190">
        <f>AS8*AV8</f>
        <v>0</v>
      </c>
      <c r="AU8" s="3190"/>
      <c r="AV8" s="3190">
        <v>0.625</v>
      </c>
      <c r="AW8" s="1632"/>
      <c r="AX8" s="1632"/>
      <c r="AY8" s="1632"/>
      <c r="AZ8" s="1632"/>
      <c r="BA8">
        <v>10823048</v>
      </c>
      <c r="BB8">
        <v>1</v>
      </c>
      <c r="BC8">
        <v>0.73550000000000004</v>
      </c>
      <c r="BD8" s="199" t="s">
        <v>1523</v>
      </c>
      <c r="BE8" s="199" t="s">
        <v>1527</v>
      </c>
      <c r="BF8" s="199">
        <v>104</v>
      </c>
      <c r="BG8" s="1656">
        <f t="shared" si="1"/>
        <v>132400</v>
      </c>
      <c r="BH8" s="365">
        <f>NDK!B10</f>
        <v>0</v>
      </c>
      <c r="BI8" s="2512">
        <f t="shared" si="2"/>
        <v>0</v>
      </c>
      <c r="BJ8" s="2377">
        <f t="shared" si="3"/>
        <v>0</v>
      </c>
    </row>
    <row r="9" spans="1:62" ht="26.25">
      <c r="B9" s="111" t="s">
        <v>1493</v>
      </c>
      <c r="C9" s="555">
        <v>105</v>
      </c>
      <c r="D9" s="3162">
        <f>D$78</f>
        <v>0</v>
      </c>
      <c r="E9" s="3162">
        <f t="shared" ref="E9:AN9" si="5">E$78</f>
        <v>0</v>
      </c>
      <c r="F9" s="3162">
        <f t="shared" si="5"/>
        <v>0</v>
      </c>
      <c r="G9" s="2710">
        <f t="shared" si="5"/>
        <v>0</v>
      </c>
      <c r="H9" s="3162">
        <f t="shared" si="5"/>
        <v>0</v>
      </c>
      <c r="I9" s="3162">
        <f t="shared" si="5"/>
        <v>0</v>
      </c>
      <c r="J9" s="3162">
        <f t="shared" si="5"/>
        <v>0</v>
      </c>
      <c r="K9" s="3162">
        <f t="shared" si="5"/>
        <v>0</v>
      </c>
      <c r="L9" s="3162">
        <f t="shared" si="5"/>
        <v>0</v>
      </c>
      <c r="M9" s="3162">
        <f t="shared" si="5"/>
        <v>0</v>
      </c>
      <c r="N9" s="3162">
        <f t="shared" si="5"/>
        <v>0</v>
      </c>
      <c r="O9" s="3162">
        <f t="shared" si="5"/>
        <v>0</v>
      </c>
      <c r="P9" s="3162">
        <f t="shared" si="5"/>
        <v>0</v>
      </c>
      <c r="Q9" s="3162">
        <f t="shared" si="5"/>
        <v>0</v>
      </c>
      <c r="R9" s="3162">
        <f t="shared" si="5"/>
        <v>0</v>
      </c>
      <c r="S9" s="3162">
        <f t="shared" si="5"/>
        <v>0</v>
      </c>
      <c r="T9" s="3162">
        <f t="shared" si="5"/>
        <v>0</v>
      </c>
      <c r="U9" s="3162">
        <f t="shared" si="5"/>
        <v>0</v>
      </c>
      <c r="V9" s="3286">
        <f t="shared" si="5"/>
        <v>0</v>
      </c>
      <c r="W9" s="3286">
        <f t="shared" si="5"/>
        <v>0</v>
      </c>
      <c r="X9" s="3286">
        <f t="shared" si="5"/>
        <v>0</v>
      </c>
      <c r="Y9" s="3286">
        <f t="shared" si="5"/>
        <v>0</v>
      </c>
      <c r="Z9" s="3286">
        <f t="shared" si="5"/>
        <v>0</v>
      </c>
      <c r="AA9" s="2969"/>
      <c r="AB9" s="2969"/>
      <c r="AC9" s="2969"/>
      <c r="AD9" s="3162">
        <f t="shared" si="5"/>
        <v>0</v>
      </c>
      <c r="AE9" s="3162">
        <f t="shared" si="5"/>
        <v>0</v>
      </c>
      <c r="AF9" s="3162">
        <f t="shared" si="5"/>
        <v>0</v>
      </c>
      <c r="AG9" s="3162">
        <f t="shared" si="5"/>
        <v>0</v>
      </c>
      <c r="AH9" s="3162">
        <f t="shared" si="5"/>
        <v>0</v>
      </c>
      <c r="AI9" s="2279">
        <f t="shared" si="5"/>
        <v>-19869</v>
      </c>
      <c r="AJ9" s="2279">
        <f t="shared" si="5"/>
        <v>-82943</v>
      </c>
      <c r="AK9" s="2974">
        <f t="shared" si="5"/>
        <v>-95480</v>
      </c>
      <c r="AL9" s="2974">
        <f t="shared" si="5"/>
        <v>-35879</v>
      </c>
      <c r="AM9" s="2974">
        <f t="shared" si="5"/>
        <v>-68900</v>
      </c>
      <c r="AN9" s="2974">
        <f t="shared" si="5"/>
        <v>0</v>
      </c>
      <c r="AP9" s="111" t="s">
        <v>1493</v>
      </c>
      <c r="AQ9" s="1632"/>
      <c r="AR9" s="3189" t="s">
        <v>5363</v>
      </c>
      <c r="AS9" s="3190">
        <f>NDK!T8</f>
        <v>0</v>
      </c>
      <c r="AT9" s="3190">
        <f>AS9*AV9</f>
        <v>0</v>
      </c>
      <c r="AU9" s="3190"/>
      <c r="AV9" s="3190">
        <v>0.68799999999999994</v>
      </c>
      <c r="AW9" s="1632"/>
      <c r="AX9" s="1632"/>
      <c r="AY9" s="1632"/>
      <c r="AZ9" s="1632"/>
      <c r="BA9">
        <v>10861296</v>
      </c>
      <c r="BB9">
        <v>1</v>
      </c>
      <c r="BC9">
        <v>0.3251</v>
      </c>
      <c r="BE9" s="111" t="s">
        <v>1493</v>
      </c>
      <c r="BF9" s="199">
        <v>105</v>
      </c>
      <c r="BG9" s="1656">
        <f t="shared" si="1"/>
        <v>0</v>
      </c>
      <c r="BH9" s="365">
        <f>NDK!B11</f>
        <v>0</v>
      </c>
      <c r="BI9" s="2512">
        <f t="shared" si="2"/>
        <v>0</v>
      </c>
      <c r="BJ9" s="2377">
        <f t="shared" si="3"/>
        <v>0</v>
      </c>
    </row>
    <row r="10" spans="1:62">
      <c r="A10" s="199" t="s">
        <v>1523</v>
      </c>
      <c r="B10" s="199" t="s">
        <v>1528</v>
      </c>
      <c r="C10" s="555">
        <v>106</v>
      </c>
      <c r="D10" s="3161">
        <v>168900</v>
      </c>
      <c r="E10" s="3161">
        <v>156400</v>
      </c>
      <c r="F10" s="3161">
        <v>133115</v>
      </c>
      <c r="G10" s="3281">
        <v>59880</v>
      </c>
      <c r="H10" s="3281">
        <v>57387</v>
      </c>
      <c r="I10" s="3161">
        <v>156400</v>
      </c>
      <c r="J10" s="3281">
        <v>31313</v>
      </c>
      <c r="K10" s="3161">
        <v>128600</v>
      </c>
      <c r="L10" s="3161">
        <v>168900</v>
      </c>
      <c r="M10" s="3281">
        <v>52632</v>
      </c>
      <c r="N10" s="3281">
        <v>52632</v>
      </c>
      <c r="O10" s="3161">
        <v>156400</v>
      </c>
      <c r="P10" s="3161">
        <v>75700</v>
      </c>
      <c r="Q10" s="3164">
        <v>121900</v>
      </c>
      <c r="R10" s="3164">
        <v>156400</v>
      </c>
      <c r="S10" s="3164">
        <v>168900</v>
      </c>
      <c r="T10" s="2500">
        <v>112279</v>
      </c>
      <c r="U10" s="3164">
        <v>121900</v>
      </c>
      <c r="V10" s="3284">
        <v>138900</v>
      </c>
      <c r="W10" s="3284">
        <v>138900</v>
      </c>
      <c r="X10" s="3284">
        <v>138900</v>
      </c>
      <c r="Y10" s="3284">
        <v>121900</v>
      </c>
      <c r="Z10" s="3284">
        <v>121900</v>
      </c>
      <c r="AA10" s="2968">
        <v>104000</v>
      </c>
      <c r="AB10" s="2968">
        <v>25022</v>
      </c>
      <c r="AC10" s="2968">
        <v>75000</v>
      </c>
      <c r="AD10" s="3184">
        <f>$D10</f>
        <v>168900</v>
      </c>
      <c r="AE10" s="3184">
        <f>$S10</f>
        <v>168900</v>
      </c>
      <c r="AF10" s="3184">
        <f>$G10</f>
        <v>59880</v>
      </c>
      <c r="AG10" s="3184">
        <f>$E10</f>
        <v>156400</v>
      </c>
      <c r="AH10" s="3184">
        <f>$R10</f>
        <v>156400</v>
      </c>
      <c r="AI10" s="2975">
        <f>$R10</f>
        <v>156400</v>
      </c>
      <c r="AJ10" s="2975">
        <f>$F10</f>
        <v>133115</v>
      </c>
      <c r="AK10" s="2973">
        <v>20819</v>
      </c>
      <c r="AL10" s="2973">
        <v>75000</v>
      </c>
      <c r="AM10" s="2973">
        <v>29130</v>
      </c>
      <c r="AN10" s="2973">
        <v>17392</v>
      </c>
      <c r="AO10" s="199" t="s">
        <v>1523</v>
      </c>
      <c r="AP10" s="199" t="s">
        <v>1528</v>
      </c>
      <c r="AQ10" s="1632"/>
      <c r="AR10" s="3189" t="s">
        <v>5364</v>
      </c>
      <c r="AS10" s="3190">
        <f>NDK!T9</f>
        <v>0</v>
      </c>
      <c r="AT10" s="3190">
        <f>AS10*AV10</f>
        <v>0</v>
      </c>
      <c r="AU10" s="3190"/>
      <c r="AV10" s="3190">
        <v>1</v>
      </c>
      <c r="AW10" s="1632"/>
      <c r="AX10" s="1632"/>
      <c r="AY10" s="1632"/>
      <c r="AZ10" s="1632"/>
      <c r="BA10">
        <v>18428322</v>
      </c>
      <c r="BB10">
        <v>1</v>
      </c>
      <c r="BC10">
        <v>0.23669999999999999</v>
      </c>
      <c r="BD10" s="199" t="s">
        <v>1523</v>
      </c>
      <c r="BE10" s="199" t="s">
        <v>1528</v>
      </c>
      <c r="BF10" s="199">
        <v>106</v>
      </c>
      <c r="BG10" s="1656">
        <f t="shared" si="1"/>
        <v>156400</v>
      </c>
      <c r="BH10" s="365">
        <f>NDK!B13</f>
        <v>0</v>
      </c>
      <c r="BI10" s="2512">
        <f t="shared" si="2"/>
        <v>0</v>
      </c>
      <c r="BJ10" s="2377">
        <f t="shared" si="3"/>
        <v>0</v>
      </c>
    </row>
    <row r="11" spans="1:62">
      <c r="A11" s="199" t="s">
        <v>1523</v>
      </c>
      <c r="B11" s="199" t="s">
        <v>1529</v>
      </c>
      <c r="C11" s="555">
        <v>107</v>
      </c>
      <c r="D11" s="3161">
        <v>168900</v>
      </c>
      <c r="E11" s="3161">
        <v>156400</v>
      </c>
      <c r="F11" s="3161">
        <v>133115</v>
      </c>
      <c r="G11" s="3281">
        <v>59880</v>
      </c>
      <c r="H11" s="3281">
        <v>57387</v>
      </c>
      <c r="I11" s="3161">
        <v>156400</v>
      </c>
      <c r="J11" s="3281">
        <v>31313</v>
      </c>
      <c r="K11" s="3161">
        <v>128600</v>
      </c>
      <c r="L11" s="3161">
        <v>168900</v>
      </c>
      <c r="M11" s="3281">
        <v>52632</v>
      </c>
      <c r="N11" s="3281">
        <v>52632</v>
      </c>
      <c r="O11" s="3161">
        <v>156400</v>
      </c>
      <c r="P11" s="3161">
        <v>75700</v>
      </c>
      <c r="Q11" s="3164">
        <v>121900</v>
      </c>
      <c r="R11" s="3164">
        <v>156400</v>
      </c>
      <c r="S11" s="3164">
        <v>168900</v>
      </c>
      <c r="T11" s="2500">
        <v>112279</v>
      </c>
      <c r="U11" s="3164">
        <v>121900</v>
      </c>
      <c r="V11" s="3284">
        <v>138900</v>
      </c>
      <c r="W11" s="3284">
        <v>138900</v>
      </c>
      <c r="X11" s="3284">
        <v>138900</v>
      </c>
      <c r="Y11" s="3284">
        <v>121900</v>
      </c>
      <c r="Z11" s="3284">
        <v>121900</v>
      </c>
      <c r="AA11" s="2968">
        <v>104000</v>
      </c>
      <c r="AB11" s="2968">
        <v>25022</v>
      </c>
      <c r="AC11" s="2968">
        <v>75000</v>
      </c>
      <c r="AD11" s="3184">
        <f>$D11</f>
        <v>168900</v>
      </c>
      <c r="AE11" s="3184">
        <f>$S11</f>
        <v>168900</v>
      </c>
      <c r="AF11" s="3184">
        <f>$G11</f>
        <v>59880</v>
      </c>
      <c r="AG11" s="3184">
        <f>$E11</f>
        <v>156400</v>
      </c>
      <c r="AH11" s="3184">
        <f>$R11</f>
        <v>156400</v>
      </c>
      <c r="AI11" s="2975">
        <f>$R11</f>
        <v>156400</v>
      </c>
      <c r="AJ11" s="2975">
        <f>$F11</f>
        <v>133115</v>
      </c>
      <c r="AK11" s="2973">
        <v>20819</v>
      </c>
      <c r="AL11" s="2973">
        <v>75000</v>
      </c>
      <c r="AM11" s="2973">
        <v>29130</v>
      </c>
      <c r="AN11" s="2973">
        <v>17392</v>
      </c>
      <c r="AO11" s="199" t="s">
        <v>1523</v>
      </c>
      <c r="AP11" s="199" t="s">
        <v>1529</v>
      </c>
      <c r="AQ11" s="1632"/>
      <c r="AR11" s="3189"/>
      <c r="AS11" s="3189"/>
      <c r="AT11" s="3189"/>
      <c r="AU11" s="3189"/>
      <c r="AV11" s="3189"/>
      <c r="AW11" s="1632"/>
      <c r="AX11" s="1632"/>
      <c r="AY11" s="1632"/>
      <c r="AZ11" s="1632"/>
      <c r="BA11" s="3180">
        <v>18470191</v>
      </c>
      <c r="BB11" s="3180">
        <v>23</v>
      </c>
      <c r="BC11" s="3180">
        <v>0.31209999999999999</v>
      </c>
      <c r="BD11" s="199" t="s">
        <v>1523</v>
      </c>
      <c r="BE11" s="199" t="s">
        <v>1529</v>
      </c>
      <c r="BF11" s="199">
        <v>107</v>
      </c>
      <c r="BG11" s="1656">
        <f t="shared" si="1"/>
        <v>156400</v>
      </c>
      <c r="BH11" s="365">
        <f>NDK!B16</f>
        <v>0</v>
      </c>
      <c r="BI11" s="2512">
        <f t="shared" si="2"/>
        <v>0</v>
      </c>
      <c r="BJ11" s="2377">
        <f t="shared" si="3"/>
        <v>0</v>
      </c>
    </row>
    <row r="12" spans="1:62" ht="16.5" thickBot="1">
      <c r="B12" s="243"/>
      <c r="C12" s="555">
        <v>108</v>
      </c>
      <c r="D12" s="3161"/>
      <c r="E12" s="3161"/>
      <c r="F12" s="3161"/>
      <c r="G12" s="3281"/>
      <c r="H12" s="3161"/>
      <c r="I12" s="3161"/>
      <c r="J12" s="3161"/>
      <c r="K12" s="3161"/>
      <c r="L12" s="3161"/>
      <c r="M12" s="3161"/>
      <c r="N12" s="3161"/>
      <c r="O12" s="3161"/>
      <c r="P12" s="3161"/>
      <c r="Q12" s="3164"/>
      <c r="R12" s="3164"/>
      <c r="S12" s="3164"/>
      <c r="T12" s="3164"/>
      <c r="U12" s="3164"/>
      <c r="V12" s="3289"/>
      <c r="W12" s="3289"/>
      <c r="X12" s="3285"/>
      <c r="Y12" s="3285"/>
      <c r="Z12" s="3285"/>
      <c r="AA12" s="2968"/>
      <c r="AB12" s="2968"/>
      <c r="AC12" s="2968"/>
      <c r="AD12" s="3184"/>
      <c r="AE12" s="3184"/>
      <c r="AF12" s="3184"/>
      <c r="AG12" s="3184"/>
      <c r="AH12" s="3184"/>
      <c r="AI12" s="2975"/>
      <c r="AJ12" s="2975"/>
      <c r="AK12" s="2973"/>
      <c r="AL12" s="2973"/>
      <c r="AM12" s="2973"/>
      <c r="AN12" s="2973"/>
      <c r="AP12" s="243"/>
      <c r="AQ12" s="1632"/>
      <c r="AR12" s="3231" t="s">
        <v>5367</v>
      </c>
      <c r="AS12" s="3231"/>
      <c r="AT12" s="3235">
        <f>SUM(AT7:AT11)</f>
        <v>0</v>
      </c>
      <c r="AU12" s="3231"/>
      <c r="AV12" s="3231"/>
      <c r="AW12" s="1632"/>
      <c r="AX12" s="1632"/>
      <c r="AY12" s="1632"/>
      <c r="AZ12" s="1632"/>
      <c r="BA12">
        <v>18595421</v>
      </c>
      <c r="BB12">
        <v>1</v>
      </c>
      <c r="BC12">
        <v>0.37319999999999998</v>
      </c>
      <c r="BE12" s="243"/>
      <c r="BG12" s="1656"/>
      <c r="BI12" s="2512">
        <f t="shared" si="2"/>
        <v>0</v>
      </c>
      <c r="BJ12" s="2377">
        <f t="shared" si="3"/>
        <v>0</v>
      </c>
    </row>
    <row r="13" spans="1:62" ht="16.5" thickBot="1">
      <c r="A13" s="243" t="s">
        <v>1530</v>
      </c>
      <c r="B13" s="199" t="s">
        <v>1531</v>
      </c>
      <c r="C13" s="555">
        <v>109</v>
      </c>
      <c r="D13" s="3161">
        <v>19000</v>
      </c>
      <c r="E13" s="3161">
        <v>19000</v>
      </c>
      <c r="F13" s="3161">
        <v>20748</v>
      </c>
      <c r="G13" s="3281">
        <v>8820</v>
      </c>
      <c r="H13" s="3281">
        <v>6958</v>
      </c>
      <c r="I13" s="3161">
        <v>19000</v>
      </c>
      <c r="J13" s="3281">
        <v>3796</v>
      </c>
      <c r="K13" s="3161">
        <v>19000</v>
      </c>
      <c r="L13" s="3161">
        <v>19000</v>
      </c>
      <c r="M13" s="3281">
        <v>52632</v>
      </c>
      <c r="N13" s="3281">
        <v>52632</v>
      </c>
      <c r="O13" s="3161">
        <v>19000</v>
      </c>
      <c r="P13" s="3161">
        <v>9200</v>
      </c>
      <c r="Q13" s="3164">
        <v>19000</v>
      </c>
      <c r="R13" s="3164">
        <v>19000</v>
      </c>
      <c r="S13" s="3164">
        <v>19000</v>
      </c>
      <c r="T13" s="2500">
        <v>15655</v>
      </c>
      <c r="U13" s="3164">
        <v>19000</v>
      </c>
      <c r="V13" s="3284">
        <v>19000</v>
      </c>
      <c r="W13" s="3284">
        <v>19000</v>
      </c>
      <c r="X13" s="3284">
        <v>19000</v>
      </c>
      <c r="Y13" s="3284">
        <v>19000</v>
      </c>
      <c r="Z13" s="3284">
        <v>19000</v>
      </c>
      <c r="AA13" s="2968">
        <v>14500</v>
      </c>
      <c r="AB13" s="2968">
        <v>11154</v>
      </c>
      <c r="AC13" s="2968">
        <v>14500</v>
      </c>
      <c r="AD13" s="3184">
        <f>$D13</f>
        <v>19000</v>
      </c>
      <c r="AE13" s="3184">
        <f>$S13</f>
        <v>19000</v>
      </c>
      <c r="AF13" s="3184">
        <f>$G13</f>
        <v>8820</v>
      </c>
      <c r="AG13" s="3184">
        <f>$E13</f>
        <v>19000</v>
      </c>
      <c r="AH13" s="3184">
        <f t="shared" ref="AH13:AI16" si="6">$R13</f>
        <v>19000</v>
      </c>
      <c r="AI13" s="2975">
        <f t="shared" si="6"/>
        <v>19000</v>
      </c>
      <c r="AJ13" s="2975">
        <f>$F13</f>
        <v>20748</v>
      </c>
      <c r="AK13" s="2973">
        <v>4025</v>
      </c>
      <c r="AL13" s="2973">
        <v>14500</v>
      </c>
      <c r="AM13" s="2973">
        <v>4940</v>
      </c>
      <c r="AN13" s="2973">
        <v>2866</v>
      </c>
      <c r="AO13" s="243" t="s">
        <v>1530</v>
      </c>
      <c r="AP13" s="199" t="s">
        <v>1531</v>
      </c>
      <c r="AQ13" s="1632"/>
      <c r="AR13" s="3237" t="s">
        <v>5390</v>
      </c>
      <c r="AS13" s="3237"/>
      <c r="AT13" s="3239" t="str">
        <f>KÉRDÉSEK!C260</f>
        <v>MFB</v>
      </c>
      <c r="AU13" s="3233" t="s">
        <v>5391</v>
      </c>
      <c r="AV13" s="3234"/>
      <c r="AW13" s="3238">
        <f>NDK!X18</f>
        <v>0</v>
      </c>
      <c r="AX13" s="1632"/>
      <c r="AY13" s="1632"/>
      <c r="AZ13" s="1632"/>
      <c r="BA13">
        <v>18614410</v>
      </c>
      <c r="BB13">
        <v>14</v>
      </c>
      <c r="BC13">
        <v>0.17349999999999999</v>
      </c>
      <c r="BD13" s="243" t="s">
        <v>1530</v>
      </c>
      <c r="BE13" s="199" t="s">
        <v>1531</v>
      </c>
      <c r="BF13" s="199">
        <v>109</v>
      </c>
      <c r="BG13" s="1656">
        <f t="shared" si="1"/>
        <v>19000</v>
      </c>
      <c r="BH13" s="365">
        <f>NDK!B34</f>
        <v>0</v>
      </c>
      <c r="BI13" s="2512">
        <f t="shared" si="2"/>
        <v>0</v>
      </c>
      <c r="BJ13" s="2377">
        <f t="shared" si="3"/>
        <v>0</v>
      </c>
    </row>
    <row r="14" spans="1:62" ht="16.5" thickBot="1">
      <c r="A14" s="243" t="s">
        <v>1530</v>
      </c>
      <c r="B14" s="199" t="s">
        <v>1532</v>
      </c>
      <c r="C14" s="555">
        <v>110</v>
      </c>
      <c r="D14" s="3161">
        <v>30300</v>
      </c>
      <c r="E14" s="3161">
        <v>30300</v>
      </c>
      <c r="F14" s="3161">
        <v>33088</v>
      </c>
      <c r="G14" s="3281">
        <v>14124</v>
      </c>
      <c r="H14" s="3281">
        <v>11132</v>
      </c>
      <c r="I14" s="3161">
        <v>30300</v>
      </c>
      <c r="J14" s="3281">
        <v>6074</v>
      </c>
      <c r="K14" s="3161">
        <v>30300</v>
      </c>
      <c r="L14" s="3161">
        <v>30300</v>
      </c>
      <c r="M14" s="3281">
        <v>52632</v>
      </c>
      <c r="N14" s="3281">
        <v>52632</v>
      </c>
      <c r="O14" s="3161">
        <v>30300</v>
      </c>
      <c r="P14" s="3161">
        <v>14700</v>
      </c>
      <c r="Q14" s="3164">
        <v>30300</v>
      </c>
      <c r="R14" s="3164">
        <v>30300</v>
      </c>
      <c r="S14" s="3164">
        <v>30300</v>
      </c>
      <c r="T14" s="2500">
        <v>25046</v>
      </c>
      <c r="U14" s="3164">
        <v>30300</v>
      </c>
      <c r="V14" s="3284">
        <v>30300</v>
      </c>
      <c r="W14" s="3284">
        <v>30300</v>
      </c>
      <c r="X14" s="3284">
        <v>30300</v>
      </c>
      <c r="Y14" s="3284">
        <v>30300</v>
      </c>
      <c r="Z14" s="3284">
        <v>30300</v>
      </c>
      <c r="AA14" s="2968">
        <v>23200</v>
      </c>
      <c r="AB14" s="2968">
        <v>17846</v>
      </c>
      <c r="AC14" s="2968">
        <v>23200</v>
      </c>
      <c r="AD14" s="3184">
        <f>$D14</f>
        <v>30300</v>
      </c>
      <c r="AE14" s="3184">
        <f>$S14</f>
        <v>30300</v>
      </c>
      <c r="AF14" s="3184">
        <f>$G14</f>
        <v>14124</v>
      </c>
      <c r="AG14" s="3184">
        <f>$E14</f>
        <v>30300</v>
      </c>
      <c r="AH14" s="3184">
        <f t="shared" si="6"/>
        <v>30300</v>
      </c>
      <c r="AI14" s="2975">
        <f t="shared" si="6"/>
        <v>30300</v>
      </c>
      <c r="AJ14" s="2975">
        <f>$F14</f>
        <v>33088</v>
      </c>
      <c r="AK14" s="2973">
        <v>6440</v>
      </c>
      <c r="AL14" s="2973">
        <v>23200</v>
      </c>
      <c r="AM14" s="2973">
        <v>7904</v>
      </c>
      <c r="AN14" s="2973">
        <v>4586</v>
      </c>
      <c r="AO14" s="243" t="s">
        <v>1530</v>
      </c>
      <c r="AP14" s="199" t="s">
        <v>1532</v>
      </c>
      <c r="AR14" s="3240" t="s">
        <v>5373</v>
      </c>
      <c r="AS14" s="3236"/>
      <c r="AT14" s="3232"/>
      <c r="AU14" s="3232"/>
      <c r="AV14" s="3232" t="s">
        <v>5375</v>
      </c>
      <c r="AW14" s="3232"/>
      <c r="AX14" s="3194" t="s">
        <v>5382</v>
      </c>
      <c r="AY14" s="3195" t="s">
        <v>5449</v>
      </c>
      <c r="AZ14" s="1632"/>
      <c r="BA14">
        <v>18614765</v>
      </c>
      <c r="BB14">
        <v>14</v>
      </c>
      <c r="BC14">
        <v>0.13009999999999999</v>
      </c>
      <c r="BD14" s="243" t="s">
        <v>1530</v>
      </c>
      <c r="BE14" s="199" t="s">
        <v>1532</v>
      </c>
      <c r="BF14" s="199">
        <v>110</v>
      </c>
      <c r="BG14" s="1656">
        <f t="shared" si="1"/>
        <v>30300</v>
      </c>
      <c r="BH14" s="365">
        <f>NDK!B35</f>
        <v>0</v>
      </c>
      <c r="BI14" s="2512">
        <f t="shared" si="2"/>
        <v>0</v>
      </c>
      <c r="BJ14" s="2377">
        <f t="shared" si="3"/>
        <v>0</v>
      </c>
    </row>
    <row r="15" spans="1:62">
      <c r="A15" s="243" t="s">
        <v>1530</v>
      </c>
      <c r="B15" s="199" t="s">
        <v>1533</v>
      </c>
      <c r="C15" s="555">
        <v>111</v>
      </c>
      <c r="D15" s="3161">
        <v>39200</v>
      </c>
      <c r="E15" s="3161">
        <v>39200</v>
      </c>
      <c r="F15" s="3161">
        <v>42806</v>
      </c>
      <c r="G15" s="3281">
        <v>18360</v>
      </c>
      <c r="H15" s="3281">
        <v>14395</v>
      </c>
      <c r="I15" s="3161">
        <v>39200</v>
      </c>
      <c r="J15" s="3281">
        <v>7855</v>
      </c>
      <c r="K15" s="3161">
        <v>39200</v>
      </c>
      <c r="L15" s="3161">
        <v>39200</v>
      </c>
      <c r="M15" s="3281">
        <v>52632</v>
      </c>
      <c r="N15" s="3281">
        <v>52632</v>
      </c>
      <c r="O15" s="3161">
        <v>39200</v>
      </c>
      <c r="P15" s="3161">
        <v>19000</v>
      </c>
      <c r="Q15" s="3164">
        <v>39200</v>
      </c>
      <c r="R15" s="3164">
        <v>39200</v>
      </c>
      <c r="S15" s="3164">
        <v>39200</v>
      </c>
      <c r="T15" s="2500">
        <v>32387</v>
      </c>
      <c r="U15" s="3164">
        <v>39200</v>
      </c>
      <c r="V15" s="3284">
        <v>39200</v>
      </c>
      <c r="W15" s="3284">
        <v>39200</v>
      </c>
      <c r="X15" s="3284">
        <v>39200</v>
      </c>
      <c r="Y15" s="3284">
        <v>39200</v>
      </c>
      <c r="Z15" s="3284">
        <v>39200</v>
      </c>
      <c r="AA15" s="2968">
        <v>30000</v>
      </c>
      <c r="AB15" s="2968">
        <v>23077</v>
      </c>
      <c r="AC15" s="2968">
        <v>30000</v>
      </c>
      <c r="AD15" s="3184">
        <f>$D15</f>
        <v>39200</v>
      </c>
      <c r="AE15" s="3184">
        <f>$S15</f>
        <v>39200</v>
      </c>
      <c r="AF15" s="3184">
        <f>$G15</f>
        <v>18360</v>
      </c>
      <c r="AG15" s="3184">
        <f>$E15</f>
        <v>39200</v>
      </c>
      <c r="AH15" s="3184">
        <f t="shared" si="6"/>
        <v>39200</v>
      </c>
      <c r="AI15" s="2975">
        <f t="shared" si="6"/>
        <v>39200</v>
      </c>
      <c r="AJ15" s="2975">
        <f>$F15</f>
        <v>42806</v>
      </c>
      <c r="AK15" s="2973">
        <v>8328</v>
      </c>
      <c r="AL15" s="2973">
        <v>30000</v>
      </c>
      <c r="AM15" s="2973">
        <v>10220</v>
      </c>
      <c r="AN15" s="2973">
        <v>5929</v>
      </c>
      <c r="AO15" s="243" t="s">
        <v>1530</v>
      </c>
      <c r="AP15" s="199" t="s">
        <v>1533</v>
      </c>
      <c r="AR15" s="3189" t="s">
        <v>5360</v>
      </c>
      <c r="AS15" s="3192"/>
      <c r="AT15" s="3189"/>
      <c r="AU15" s="3189"/>
      <c r="AV15" s="3193" t="s">
        <v>5449</v>
      </c>
      <c r="AW15" s="3223" t="s">
        <v>5450</v>
      </c>
      <c r="AX15" s="3225">
        <v>1</v>
      </c>
      <c r="AY15" s="3226">
        <v>1</v>
      </c>
      <c r="AZ15" s="1632"/>
      <c r="BA15">
        <v>18659707</v>
      </c>
      <c r="BB15">
        <v>1</v>
      </c>
      <c r="BC15">
        <v>0.23830000000000001</v>
      </c>
      <c r="BD15" s="243" t="s">
        <v>1530</v>
      </c>
      <c r="BE15" s="199" t="s">
        <v>1533</v>
      </c>
      <c r="BF15" s="199">
        <v>111</v>
      </c>
      <c r="BG15" s="1656">
        <f t="shared" si="1"/>
        <v>39200</v>
      </c>
      <c r="BH15" s="365">
        <f>NDK!B36</f>
        <v>0</v>
      </c>
      <c r="BI15" s="2512">
        <f t="shared" si="2"/>
        <v>0</v>
      </c>
      <c r="BJ15" s="2377">
        <f t="shared" si="3"/>
        <v>0</v>
      </c>
    </row>
    <row r="16" spans="1:62">
      <c r="A16" s="243" t="s">
        <v>1530</v>
      </c>
      <c r="B16" s="199" t="s">
        <v>1534</v>
      </c>
      <c r="C16" s="555">
        <v>112</v>
      </c>
      <c r="D16" s="3161">
        <v>53000</v>
      </c>
      <c r="E16" s="3161">
        <v>53000</v>
      </c>
      <c r="F16" s="3161">
        <v>57876</v>
      </c>
      <c r="G16" s="3281">
        <v>24648</v>
      </c>
      <c r="H16" s="3281">
        <v>19434</v>
      </c>
      <c r="I16" s="3161">
        <v>53000</v>
      </c>
      <c r="J16" s="3281">
        <v>10604</v>
      </c>
      <c r="K16" s="3161">
        <v>53000</v>
      </c>
      <c r="L16" s="3161">
        <v>53000</v>
      </c>
      <c r="M16" s="3281">
        <v>52632</v>
      </c>
      <c r="N16" s="3281">
        <v>52632</v>
      </c>
      <c r="O16" s="3161">
        <v>53000</v>
      </c>
      <c r="P16" s="3161">
        <v>25600</v>
      </c>
      <c r="Q16" s="3164">
        <v>53000</v>
      </c>
      <c r="R16" s="3164">
        <v>53000</v>
      </c>
      <c r="S16" s="3164">
        <v>53000</v>
      </c>
      <c r="T16" s="2500">
        <v>43725</v>
      </c>
      <c r="U16" s="3164">
        <v>53000</v>
      </c>
      <c r="V16" s="3284">
        <v>53000</v>
      </c>
      <c r="W16" s="3284">
        <v>53000</v>
      </c>
      <c r="X16" s="3284">
        <v>53000</v>
      </c>
      <c r="Y16" s="3284">
        <v>53000</v>
      </c>
      <c r="Z16" s="3284">
        <v>53000</v>
      </c>
      <c r="AA16" s="2968">
        <v>40500</v>
      </c>
      <c r="AB16" s="2968">
        <v>31154</v>
      </c>
      <c r="AC16" s="2968">
        <v>40500</v>
      </c>
      <c r="AD16" s="3184">
        <f>$D16</f>
        <v>53000</v>
      </c>
      <c r="AE16" s="3184">
        <f>$S16</f>
        <v>53000</v>
      </c>
      <c r="AF16" s="3184">
        <f>$G16</f>
        <v>24648</v>
      </c>
      <c r="AG16" s="3184">
        <f>$E16</f>
        <v>53000</v>
      </c>
      <c r="AH16" s="3184">
        <f t="shared" si="6"/>
        <v>53000</v>
      </c>
      <c r="AI16" s="2975">
        <f t="shared" si="6"/>
        <v>53000</v>
      </c>
      <c r="AJ16" s="2975">
        <f>$F16</f>
        <v>57876</v>
      </c>
      <c r="AK16" s="2973">
        <v>11242</v>
      </c>
      <c r="AL16" s="2973">
        <v>40500</v>
      </c>
      <c r="AM16" s="2973">
        <v>13798</v>
      </c>
      <c r="AN16" s="2973">
        <v>8005</v>
      </c>
      <c r="AO16" s="243" t="s">
        <v>1530</v>
      </c>
      <c r="AP16" s="199" t="s">
        <v>1534</v>
      </c>
      <c r="AR16" s="3189" t="s">
        <v>5361</v>
      </c>
      <c r="AS16" s="3192">
        <f>AS7</f>
        <v>0</v>
      </c>
      <c r="AT16" s="3189"/>
      <c r="AU16" s="3189"/>
      <c r="AV16" s="3189">
        <v>0.625</v>
      </c>
      <c r="AW16" s="3224">
        <v>0.56799999999999995</v>
      </c>
      <c r="AX16" s="3227">
        <v>2</v>
      </c>
      <c r="AY16" s="3222">
        <v>0</v>
      </c>
      <c r="AZ16" s="1632"/>
      <c r="BA16" s="3180">
        <v>30068756</v>
      </c>
      <c r="BB16" s="3180">
        <v>23</v>
      </c>
      <c r="BC16" s="3180">
        <v>0.36370000000000002</v>
      </c>
      <c r="BD16" s="243" t="s">
        <v>1530</v>
      </c>
      <c r="BE16" s="199" t="s">
        <v>1534</v>
      </c>
      <c r="BF16" s="199">
        <v>112</v>
      </c>
      <c r="BG16" s="1656">
        <f t="shared" si="1"/>
        <v>53000</v>
      </c>
      <c r="BH16" s="365">
        <f>NDK!B37</f>
        <v>0</v>
      </c>
      <c r="BI16" s="2512">
        <f t="shared" si="2"/>
        <v>0</v>
      </c>
      <c r="BJ16" s="2377">
        <f t="shared" si="3"/>
        <v>0</v>
      </c>
    </row>
    <row r="17" spans="1:62">
      <c r="B17" s="243"/>
      <c r="C17" s="555">
        <v>113</v>
      </c>
      <c r="D17" s="3161"/>
      <c r="E17" s="3161"/>
      <c r="F17" s="2709"/>
      <c r="G17" s="2709"/>
      <c r="H17" s="3161"/>
      <c r="I17" s="3161"/>
      <c r="J17" s="3161"/>
      <c r="K17" s="3161"/>
      <c r="L17" s="3161"/>
      <c r="M17" s="3161"/>
      <c r="N17" s="3161"/>
      <c r="O17" s="3161"/>
      <c r="P17" s="3161"/>
      <c r="Q17" s="3164"/>
      <c r="R17" s="3164"/>
      <c r="S17" s="3164"/>
      <c r="T17" s="3164"/>
      <c r="U17" s="3164"/>
      <c r="V17" s="3289"/>
      <c r="W17" s="3289"/>
      <c r="X17" s="3285"/>
      <c r="Y17" s="3285"/>
      <c r="Z17" s="3285"/>
      <c r="AA17" s="2968"/>
      <c r="AB17" s="2968"/>
      <c r="AC17" s="2968"/>
      <c r="AD17" s="3184"/>
      <c r="AE17" s="3184"/>
      <c r="AF17" s="3184"/>
      <c r="AG17" s="3184"/>
      <c r="AH17" s="3184"/>
      <c r="AI17" s="2975"/>
      <c r="AJ17" s="2975"/>
      <c r="AK17" s="2973"/>
      <c r="AL17" s="2973"/>
      <c r="AM17" s="2973"/>
      <c r="AN17" s="2973"/>
      <c r="AP17" s="243"/>
      <c r="AQ17" s="1632"/>
      <c r="AR17" s="3189" t="s">
        <v>5362</v>
      </c>
      <c r="AS17" s="3189">
        <f>AS8</f>
        <v>0</v>
      </c>
      <c r="AT17" s="3189"/>
      <c r="AU17" s="3189"/>
      <c r="AV17" s="3189">
        <v>0.625</v>
      </c>
      <c r="AW17" s="3224">
        <v>0.56799999999999995</v>
      </c>
      <c r="AX17" s="3227">
        <v>3</v>
      </c>
      <c r="AY17" s="3222">
        <v>0</v>
      </c>
      <c r="AZ17" s="1632"/>
      <c r="BA17">
        <v>30134572</v>
      </c>
      <c r="BB17">
        <v>5</v>
      </c>
      <c r="BC17">
        <v>0.86480000000000001</v>
      </c>
      <c r="BE17" s="243"/>
      <c r="BG17" s="1656"/>
      <c r="BI17" s="2512">
        <f t="shared" si="2"/>
        <v>0</v>
      </c>
      <c r="BJ17" s="2377">
        <f t="shared" si="3"/>
        <v>0</v>
      </c>
    </row>
    <row r="18" spans="1:62">
      <c r="A18" s="243" t="s">
        <v>1535</v>
      </c>
      <c r="B18" s="199" t="s">
        <v>1536</v>
      </c>
      <c r="C18" s="555">
        <v>114</v>
      </c>
      <c r="D18" s="3161">
        <v>160000</v>
      </c>
      <c r="E18" s="3161">
        <v>160000</v>
      </c>
      <c r="F18" s="3161">
        <v>174720</v>
      </c>
      <c r="G18" s="3281">
        <v>58416</v>
      </c>
      <c r="H18" s="3281">
        <v>57580</v>
      </c>
      <c r="I18" s="3161">
        <v>160000</v>
      </c>
      <c r="J18" s="3281">
        <v>31418</v>
      </c>
      <c r="K18" s="3161">
        <v>500000</v>
      </c>
      <c r="L18" s="3161">
        <v>160000</v>
      </c>
      <c r="M18" s="3281">
        <v>52632</v>
      </c>
      <c r="N18" s="3281">
        <v>52632</v>
      </c>
      <c r="O18" s="3161">
        <v>160000</v>
      </c>
      <c r="P18" s="3161">
        <v>76000</v>
      </c>
      <c r="Q18" s="3164">
        <v>160000</v>
      </c>
      <c r="R18" s="3164">
        <v>160000</v>
      </c>
      <c r="S18" s="3164">
        <v>160000</v>
      </c>
      <c r="T18" s="2500">
        <v>103643</v>
      </c>
      <c r="U18" s="3164">
        <v>160000</v>
      </c>
      <c r="V18" s="3284">
        <v>160000</v>
      </c>
      <c r="W18" s="3284">
        <v>160000</v>
      </c>
      <c r="X18" s="3284">
        <v>160000</v>
      </c>
      <c r="Y18" s="3284">
        <v>160000</v>
      </c>
      <c r="Z18" s="3284">
        <v>160000</v>
      </c>
      <c r="AA18" s="2968">
        <v>120000</v>
      </c>
      <c r="AB18" s="2968">
        <v>73846</v>
      </c>
      <c r="AC18" s="2968">
        <v>120000</v>
      </c>
      <c r="AD18" s="3184">
        <f>$D18</f>
        <v>160000</v>
      </c>
      <c r="AE18" s="3184">
        <f>$S18</f>
        <v>160000</v>
      </c>
      <c r="AF18" s="3184">
        <f>$G18</f>
        <v>58416</v>
      </c>
      <c r="AG18" s="3184">
        <f>$E18</f>
        <v>160000</v>
      </c>
      <c r="AH18" s="3184">
        <f t="shared" ref="AH18:AI21" si="7">$R18</f>
        <v>160000</v>
      </c>
      <c r="AI18" s="2975">
        <f t="shared" si="7"/>
        <v>160000</v>
      </c>
      <c r="AJ18" s="2975">
        <f>$F18</f>
        <v>174720</v>
      </c>
      <c r="AK18" s="2973">
        <v>26648</v>
      </c>
      <c r="AL18" s="2973">
        <v>120000</v>
      </c>
      <c r="AM18" s="2973">
        <v>40883</v>
      </c>
      <c r="AN18" s="2973">
        <v>18973</v>
      </c>
      <c r="AO18" s="243" t="s">
        <v>1535</v>
      </c>
      <c r="AP18" s="199" t="s">
        <v>1536</v>
      </c>
      <c r="AQ18" s="1632"/>
      <c r="AR18" s="3189" t="s">
        <v>5363</v>
      </c>
      <c r="AS18" s="3189">
        <f>AS9</f>
        <v>0</v>
      </c>
      <c r="AT18" s="3189"/>
      <c r="AU18" s="3189"/>
      <c r="AV18" s="3189">
        <v>0.68799999999999994</v>
      </c>
      <c r="AW18" s="3224">
        <v>0.625</v>
      </c>
      <c r="AX18" s="3227">
        <v>4</v>
      </c>
      <c r="AY18" s="3222">
        <v>0</v>
      </c>
      <c r="AZ18" s="1632"/>
      <c r="BA18" s="3180">
        <v>30154673</v>
      </c>
      <c r="BB18" s="3180">
        <v>1</v>
      </c>
      <c r="BC18" s="3180">
        <v>0.41199999999999998</v>
      </c>
      <c r="BD18" s="243" t="s">
        <v>1535</v>
      </c>
      <c r="BE18" s="199" t="s">
        <v>1536</v>
      </c>
      <c r="BF18" s="199">
        <v>114</v>
      </c>
      <c r="BG18" s="1656">
        <f t="shared" si="1"/>
        <v>160000</v>
      </c>
      <c r="BH18" s="365">
        <f>NDK!B44</f>
        <v>0</v>
      </c>
      <c r="BI18" s="2512">
        <f t="shared" si="2"/>
        <v>0</v>
      </c>
      <c r="BJ18" s="2377">
        <f t="shared" si="3"/>
        <v>0</v>
      </c>
    </row>
    <row r="19" spans="1:62">
      <c r="A19" s="243" t="s">
        <v>1535</v>
      </c>
      <c r="B19" s="199" t="s">
        <v>1537</v>
      </c>
      <c r="C19" s="555">
        <v>115</v>
      </c>
      <c r="D19" s="3161">
        <v>1000000</v>
      </c>
      <c r="E19" s="3161">
        <v>1000000</v>
      </c>
      <c r="F19" s="3161">
        <v>1092000</v>
      </c>
      <c r="G19" s="3281">
        <v>97368</v>
      </c>
      <c r="H19" s="3281">
        <v>251755</v>
      </c>
      <c r="I19" s="3161">
        <v>1000000</v>
      </c>
      <c r="J19" s="3281">
        <v>151135</v>
      </c>
      <c r="K19" s="3161">
        <v>3000000</v>
      </c>
      <c r="L19" s="3161">
        <v>1000000</v>
      </c>
      <c r="M19" s="3281">
        <v>1000000</v>
      </c>
      <c r="N19" s="3281">
        <v>1000000</v>
      </c>
      <c r="O19" s="3161">
        <v>1000000</v>
      </c>
      <c r="P19" s="3161">
        <v>322500</v>
      </c>
      <c r="Q19" s="3164">
        <v>480000</v>
      </c>
      <c r="R19" s="3164">
        <v>1000000</v>
      </c>
      <c r="S19" s="3164">
        <v>250000</v>
      </c>
      <c r="T19" s="2500">
        <v>164764</v>
      </c>
      <c r="U19" s="3164">
        <v>1000000</v>
      </c>
      <c r="V19" s="3284">
        <v>1000000</v>
      </c>
      <c r="W19" s="3284">
        <v>1000000</v>
      </c>
      <c r="X19" s="3284">
        <v>1000000</v>
      </c>
      <c r="Y19" s="3284">
        <v>1000000</v>
      </c>
      <c r="Z19" s="3284">
        <v>1000000</v>
      </c>
      <c r="AA19" s="2968">
        <v>3750000</v>
      </c>
      <c r="AB19" s="2968">
        <v>129705</v>
      </c>
      <c r="AC19" s="2968">
        <v>3750000</v>
      </c>
      <c r="AD19" s="3184">
        <f>$D19</f>
        <v>1000000</v>
      </c>
      <c r="AE19" s="3184">
        <f>$S19</f>
        <v>250000</v>
      </c>
      <c r="AF19" s="3184">
        <f>$G19</f>
        <v>97368</v>
      </c>
      <c r="AG19" s="3184">
        <f>$E19</f>
        <v>1000000</v>
      </c>
      <c r="AH19" s="3184">
        <f t="shared" si="7"/>
        <v>1000000</v>
      </c>
      <c r="AI19" s="2975">
        <f t="shared" si="7"/>
        <v>1000000</v>
      </c>
      <c r="AJ19" s="2975">
        <f>$F19</f>
        <v>1092000</v>
      </c>
      <c r="AK19" s="2973">
        <v>44414</v>
      </c>
      <c r="AL19" s="2973">
        <v>200000</v>
      </c>
      <c r="AM19" s="2973">
        <v>68140</v>
      </c>
      <c r="AN19" s="2973">
        <v>31622</v>
      </c>
      <c r="AO19" s="243" t="s">
        <v>1535</v>
      </c>
      <c r="AP19" s="199" t="s">
        <v>1537</v>
      </c>
      <c r="AQ19" s="1632"/>
      <c r="AR19" s="3189" t="s">
        <v>5364</v>
      </c>
      <c r="AS19" s="3189">
        <f>AS10</f>
        <v>0</v>
      </c>
      <c r="AT19" s="3189" t="s">
        <v>5377</v>
      </c>
      <c r="AU19" s="3189"/>
      <c r="AV19" s="3189">
        <f>(AS16*AV16+AS17*AV17+AS18*AV18+AS19)</f>
        <v>0</v>
      </c>
      <c r="AW19" s="3224">
        <f>(AS16*AW16+AS17*AW17+AS18*AW18+AS19)</f>
        <v>0</v>
      </c>
      <c r="AX19" s="3227">
        <v>5</v>
      </c>
      <c r="AY19" s="3228">
        <v>0</v>
      </c>
      <c r="AZ19" s="1632"/>
      <c r="BA19" s="3180">
        <v>30159626</v>
      </c>
      <c r="BB19" s="3180">
        <v>1</v>
      </c>
      <c r="BC19" s="3180">
        <v>0.36380000000000001</v>
      </c>
      <c r="BD19" s="243" t="s">
        <v>1535</v>
      </c>
      <c r="BE19" s="199" t="s">
        <v>1537</v>
      </c>
      <c r="BF19" s="199">
        <v>115</v>
      </c>
      <c r="BG19" s="1656">
        <f t="shared" si="1"/>
        <v>1000000</v>
      </c>
      <c r="BH19" s="365">
        <f>NDK!B45</f>
        <v>0</v>
      </c>
      <c r="BI19" s="2512">
        <f t="shared" si="2"/>
        <v>0</v>
      </c>
      <c r="BJ19" s="2377">
        <f t="shared" si="3"/>
        <v>0</v>
      </c>
    </row>
    <row r="20" spans="1:62">
      <c r="A20" s="243" t="s">
        <v>1535</v>
      </c>
      <c r="B20" s="199" t="s">
        <v>1538</v>
      </c>
      <c r="C20" s="555">
        <v>116</v>
      </c>
      <c r="D20" s="3161">
        <v>1500000</v>
      </c>
      <c r="E20" s="3161">
        <v>1500000</v>
      </c>
      <c r="F20" s="3161">
        <v>1638000</v>
      </c>
      <c r="G20" s="3281">
        <v>2038848</v>
      </c>
      <c r="H20" s="3281">
        <v>399395</v>
      </c>
      <c r="I20" s="3161">
        <v>1500000</v>
      </c>
      <c r="J20" s="3281">
        <v>231695</v>
      </c>
      <c r="K20" s="3161">
        <v>4000000</v>
      </c>
      <c r="L20" s="3161">
        <v>1500000</v>
      </c>
      <c r="M20" s="3281">
        <v>1500000</v>
      </c>
      <c r="N20" s="3281">
        <v>1500000</v>
      </c>
      <c r="O20" s="3161">
        <v>1500000</v>
      </c>
      <c r="P20" s="3161">
        <v>517300</v>
      </c>
      <c r="Q20" s="3164">
        <v>1500000</v>
      </c>
      <c r="R20" s="3164">
        <v>1500000</v>
      </c>
      <c r="S20" s="3164">
        <v>400000</v>
      </c>
      <c r="T20" s="2500">
        <v>209225</v>
      </c>
      <c r="U20" s="3164">
        <v>1500000</v>
      </c>
      <c r="V20" s="3284">
        <v>1500000</v>
      </c>
      <c r="W20" s="3284">
        <v>1500000</v>
      </c>
      <c r="X20" s="3284">
        <v>1500000</v>
      </c>
      <c r="Y20" s="3284">
        <v>1500000</v>
      </c>
      <c r="Z20" s="3284">
        <v>1500000</v>
      </c>
      <c r="AA20" s="2968">
        <v>4500000</v>
      </c>
      <c r="AB20" s="2968">
        <v>183205</v>
      </c>
      <c r="AC20" s="2968">
        <v>4500000</v>
      </c>
      <c r="AD20" s="3184">
        <f>$D20</f>
        <v>1500000</v>
      </c>
      <c r="AE20" s="3184">
        <f>$S20</f>
        <v>400000</v>
      </c>
      <c r="AF20" s="3184">
        <f>$G20</f>
        <v>2038848</v>
      </c>
      <c r="AG20" s="3184">
        <f>$E20</f>
        <v>1500000</v>
      </c>
      <c r="AH20" s="3184">
        <f t="shared" si="7"/>
        <v>1500000</v>
      </c>
      <c r="AI20" s="2975">
        <f t="shared" si="7"/>
        <v>1500000</v>
      </c>
      <c r="AJ20" s="2975">
        <f>$F20</f>
        <v>1638000</v>
      </c>
      <c r="AK20" s="2973">
        <v>59264</v>
      </c>
      <c r="AL20" s="2973">
        <v>350000</v>
      </c>
      <c r="AM20" s="2973">
        <v>119245</v>
      </c>
      <c r="AN20" s="2973">
        <v>42197</v>
      </c>
      <c r="AO20" s="243" t="s">
        <v>1535</v>
      </c>
      <c r="AP20" s="199" t="s">
        <v>1538</v>
      </c>
      <c r="AQ20" s="1632"/>
      <c r="AR20" s="3230" t="s">
        <v>5376</v>
      </c>
      <c r="AS20" s="3230"/>
      <c r="AT20" s="3230">
        <f>BG43</f>
        <v>12</v>
      </c>
      <c r="AU20" s="3189"/>
      <c r="AV20" s="3189"/>
      <c r="AW20" s="3224"/>
      <c r="AX20" s="3227">
        <v>6</v>
      </c>
      <c r="AY20" s="3228">
        <v>0</v>
      </c>
      <c r="AZ20" s="1632"/>
      <c r="BA20" s="3180">
        <v>30180139</v>
      </c>
      <c r="BB20" s="3180">
        <v>1</v>
      </c>
      <c r="BC20" s="3180">
        <v>0.41249999999999998</v>
      </c>
      <c r="BD20" s="243" t="s">
        <v>1535</v>
      </c>
      <c r="BE20" s="199" t="s">
        <v>1538</v>
      </c>
      <c r="BF20" s="199">
        <v>116</v>
      </c>
      <c r="BG20" s="1656">
        <f t="shared" si="1"/>
        <v>1500000</v>
      </c>
      <c r="BH20" s="365">
        <f>NDK!B46</f>
        <v>0</v>
      </c>
      <c r="BI20" s="2512">
        <f t="shared" si="2"/>
        <v>0</v>
      </c>
      <c r="BJ20" s="2377">
        <f t="shared" si="3"/>
        <v>0</v>
      </c>
    </row>
    <row r="21" spans="1:62">
      <c r="A21" s="243" t="s">
        <v>1535</v>
      </c>
      <c r="B21" s="199" t="s">
        <v>1539</v>
      </c>
      <c r="C21" s="555">
        <v>117</v>
      </c>
      <c r="D21" s="3161">
        <v>1650000</v>
      </c>
      <c r="E21" s="3161">
        <v>1650000</v>
      </c>
      <c r="F21" s="3161">
        <v>1801800</v>
      </c>
      <c r="G21" s="3281">
        <v>2261628</v>
      </c>
      <c r="H21" s="3281">
        <v>583945</v>
      </c>
      <c r="I21" s="3161">
        <v>1650000</v>
      </c>
      <c r="J21" s="3281">
        <v>332395</v>
      </c>
      <c r="K21" s="3161">
        <v>5000000</v>
      </c>
      <c r="L21" s="3161">
        <v>1650000</v>
      </c>
      <c r="M21" s="3281">
        <v>1650000</v>
      </c>
      <c r="N21" s="3281">
        <v>1650000</v>
      </c>
      <c r="O21" s="3161">
        <v>1650000</v>
      </c>
      <c r="P21" s="3161">
        <v>760800</v>
      </c>
      <c r="Q21" s="3164">
        <v>1650000</v>
      </c>
      <c r="R21" s="3164">
        <v>1650000</v>
      </c>
      <c r="S21" s="3164">
        <v>500000</v>
      </c>
      <c r="T21" s="2500">
        <v>351203</v>
      </c>
      <c r="U21" s="3164">
        <v>1650000</v>
      </c>
      <c r="V21" s="3284">
        <v>1650000</v>
      </c>
      <c r="W21" s="3284">
        <v>1650000</v>
      </c>
      <c r="X21" s="3284">
        <v>1650000</v>
      </c>
      <c r="Y21" s="3284">
        <v>1650000</v>
      </c>
      <c r="Z21" s="3284">
        <v>1650000</v>
      </c>
      <c r="AA21" s="2968">
        <v>5000000</v>
      </c>
      <c r="AB21" s="2968">
        <v>354205</v>
      </c>
      <c r="AC21" s="2968">
        <v>5000000</v>
      </c>
      <c r="AD21" s="3184">
        <f>$D21</f>
        <v>1650000</v>
      </c>
      <c r="AE21" s="3184">
        <f>$S21</f>
        <v>500000</v>
      </c>
      <c r="AF21" s="3184">
        <f>$G21</f>
        <v>2261628</v>
      </c>
      <c r="AG21" s="3184">
        <f>$E21</f>
        <v>1650000</v>
      </c>
      <c r="AH21" s="3184">
        <f t="shared" si="7"/>
        <v>1650000</v>
      </c>
      <c r="AI21" s="2975">
        <f t="shared" si="7"/>
        <v>1650000</v>
      </c>
      <c r="AJ21" s="2975">
        <f>$F21</f>
        <v>1801800</v>
      </c>
      <c r="AK21" s="2973">
        <v>106732</v>
      </c>
      <c r="AL21" s="2973">
        <v>500000</v>
      </c>
      <c r="AM21" s="2973">
        <v>170350</v>
      </c>
      <c r="AN21" s="2973">
        <v>75993</v>
      </c>
      <c r="AO21" s="243" t="s">
        <v>1535</v>
      </c>
      <c r="AP21" s="199" t="s">
        <v>1539</v>
      </c>
      <c r="AQ21" s="1632"/>
      <c r="AR21" s="3189" t="s">
        <v>5451</v>
      </c>
      <c r="AS21" s="3189"/>
      <c r="AT21" s="3189">
        <f>VLOOKUP($AT$20,AX15:AY37,2)</f>
        <v>0</v>
      </c>
      <c r="AU21" s="3189" t="s">
        <v>5379</v>
      </c>
      <c r="AV21" s="3189" t="b">
        <f>IF($AT$21=0,FALSE,TRUE)</f>
        <v>0</v>
      </c>
      <c r="AW21" s="3224"/>
      <c r="AX21" s="3227">
        <v>7</v>
      </c>
      <c r="AY21" s="3228">
        <v>0</v>
      </c>
      <c r="AZ21" s="1632"/>
      <c r="BA21" s="3180">
        <v>30188841</v>
      </c>
      <c r="BB21" s="3180">
        <v>1</v>
      </c>
      <c r="BC21" s="3180">
        <v>0.315</v>
      </c>
      <c r="BD21" s="243" t="s">
        <v>1535</v>
      </c>
      <c r="BE21" s="199" t="s">
        <v>1539</v>
      </c>
      <c r="BF21" s="199">
        <v>117</v>
      </c>
      <c r="BG21" s="1656">
        <f t="shared" si="1"/>
        <v>1650000</v>
      </c>
      <c r="BH21" s="365">
        <f>NDK!B47</f>
        <v>0</v>
      </c>
      <c r="BI21" s="2512">
        <f t="shared" si="2"/>
        <v>0</v>
      </c>
      <c r="BJ21" s="2377">
        <f t="shared" si="3"/>
        <v>0</v>
      </c>
    </row>
    <row r="22" spans="1:62">
      <c r="A22" s="243" t="s">
        <v>1540</v>
      </c>
      <c r="B22" s="199" t="s">
        <v>1541</v>
      </c>
      <c r="C22" s="555">
        <v>118</v>
      </c>
      <c r="D22" s="3161"/>
      <c r="E22" s="3161"/>
      <c r="F22" s="2709"/>
      <c r="G22" s="2709"/>
      <c r="H22" s="3161"/>
      <c r="I22" s="3161"/>
      <c r="J22" s="3161"/>
      <c r="K22" s="3161"/>
      <c r="L22" s="3161"/>
      <c r="M22" s="3161"/>
      <c r="N22" s="3168"/>
      <c r="O22" s="3161"/>
      <c r="P22" s="3161"/>
      <c r="Q22" s="3164"/>
      <c r="R22" s="3164"/>
      <c r="S22" s="3164"/>
      <c r="T22" s="3164"/>
      <c r="U22" s="3164"/>
      <c r="V22" s="3289"/>
      <c r="W22" s="3289"/>
      <c r="X22" s="3285"/>
      <c r="Y22" s="3285"/>
      <c r="Z22" s="3285"/>
      <c r="AA22" s="2968"/>
      <c r="AB22" s="2968"/>
      <c r="AC22" s="2968"/>
      <c r="AD22" s="3184"/>
      <c r="AE22" s="3184"/>
      <c r="AF22" s="3184"/>
      <c r="AG22" s="3184"/>
      <c r="AH22" s="3184"/>
      <c r="AI22" s="2975"/>
      <c r="AJ22" s="2975"/>
      <c r="AK22" s="2973"/>
      <c r="AL22" s="2973"/>
      <c r="AM22" s="2973"/>
      <c r="AN22" s="2973"/>
      <c r="AO22" s="243" t="s">
        <v>1540</v>
      </c>
      <c r="AP22" s="199" t="s">
        <v>1541</v>
      </c>
      <c r="AQ22" s="1632"/>
      <c r="AR22" s="3189" t="s">
        <v>5452</v>
      </c>
      <c r="AS22" s="3189"/>
      <c r="AT22" s="3189">
        <f>VLOOKUP(AT20,AV28:AW50,2)</f>
        <v>0</v>
      </c>
      <c r="AU22" s="3189" t="s">
        <v>5379</v>
      </c>
      <c r="AV22" s="3189" t="b">
        <f>IF($AT$22=0,FALSE,TRUE)</f>
        <v>0</v>
      </c>
      <c r="AW22" s="3224"/>
      <c r="AX22" s="3227">
        <v>8</v>
      </c>
      <c r="AY22" s="3228">
        <v>0</v>
      </c>
      <c r="AZ22" s="1632"/>
      <c r="BA22">
        <v>30190637</v>
      </c>
      <c r="BB22">
        <v>2</v>
      </c>
      <c r="BC22">
        <v>0.75</v>
      </c>
      <c r="BD22" s="243" t="s">
        <v>1540</v>
      </c>
      <c r="BE22" s="199" t="s">
        <v>1541</v>
      </c>
      <c r="BF22" s="199">
        <v>118</v>
      </c>
      <c r="BG22" s="1656">
        <f t="shared" si="1"/>
        <v>0</v>
      </c>
      <c r="BH22" s="365">
        <f>NDK!B49</f>
        <v>0</v>
      </c>
      <c r="BI22" s="2512">
        <f t="shared" si="2"/>
        <v>0</v>
      </c>
      <c r="BJ22" s="2377">
        <f t="shared" si="3"/>
        <v>0</v>
      </c>
    </row>
    <row r="23" spans="1:62">
      <c r="B23" s="243"/>
      <c r="C23" s="555">
        <v>119</v>
      </c>
      <c r="D23" s="3161"/>
      <c r="E23" s="3161"/>
      <c r="F23" s="2709"/>
      <c r="G23" s="2709"/>
      <c r="H23" s="3161"/>
      <c r="I23" s="3161"/>
      <c r="J23" s="3161"/>
      <c r="K23" s="3161"/>
      <c r="L23" s="3161"/>
      <c r="M23" s="3161"/>
      <c r="N23" s="3161"/>
      <c r="O23" s="3161"/>
      <c r="P23" s="3161"/>
      <c r="Q23" s="3164"/>
      <c r="R23" s="3164"/>
      <c r="S23" s="3164"/>
      <c r="T23" s="3164"/>
      <c r="U23" s="3164"/>
      <c r="V23" s="3289"/>
      <c r="W23" s="3289"/>
      <c r="X23" s="3285"/>
      <c r="Y23" s="3285"/>
      <c r="Z23" s="3285"/>
      <c r="AA23" s="2968"/>
      <c r="AB23" s="2968"/>
      <c r="AC23" s="2968"/>
      <c r="AD23" s="3184"/>
      <c r="AE23" s="3184"/>
      <c r="AF23" s="3184"/>
      <c r="AG23" s="3184"/>
      <c r="AH23" s="3184"/>
      <c r="AI23" s="2975"/>
      <c r="AJ23" s="2975"/>
      <c r="AK23" s="2973"/>
      <c r="AL23" s="2973"/>
      <c r="AM23" s="2973"/>
      <c r="AN23" s="2973"/>
      <c r="AP23" s="243"/>
      <c r="AQ23" s="1632"/>
      <c r="AR23" s="3189" t="s">
        <v>5378</v>
      </c>
      <c r="AS23" s="3189"/>
      <c r="AT23" s="3189">
        <f>$AV$19*$AV$21+$AW$19*$AV$22</f>
        <v>0</v>
      </c>
      <c r="AU23" s="3189"/>
      <c r="AV23" s="3189"/>
      <c r="AW23" s="3224"/>
      <c r="AX23" s="3227">
        <v>9</v>
      </c>
      <c r="AY23" s="3228">
        <v>9</v>
      </c>
      <c r="AZ23" s="1632"/>
      <c r="BA23">
        <v>40022497</v>
      </c>
      <c r="BB23">
        <v>2</v>
      </c>
      <c r="BC23">
        <v>2</v>
      </c>
      <c r="BE23" s="243"/>
      <c r="BG23" s="1656"/>
      <c r="BI23" s="2512">
        <f t="shared" si="2"/>
        <v>0</v>
      </c>
      <c r="BJ23" s="2377">
        <f t="shared" si="3"/>
        <v>0</v>
      </c>
    </row>
    <row r="24" spans="1:62">
      <c r="A24" s="243" t="s">
        <v>1716</v>
      </c>
      <c r="B24" s="199" t="s">
        <v>1542</v>
      </c>
      <c r="C24" s="555">
        <v>120</v>
      </c>
      <c r="D24" s="3161">
        <v>298400</v>
      </c>
      <c r="E24" s="3161">
        <v>186500</v>
      </c>
      <c r="F24" s="3161">
        <v>273764</v>
      </c>
      <c r="G24" s="3281">
        <v>56676</v>
      </c>
      <c r="H24" s="3281">
        <v>68424</v>
      </c>
      <c r="I24" s="3161">
        <v>186500</v>
      </c>
      <c r="J24" s="3281">
        <v>37336</v>
      </c>
      <c r="K24" s="3161">
        <v>165500</v>
      </c>
      <c r="L24" s="3161">
        <v>298400</v>
      </c>
      <c r="M24" s="3281">
        <v>52632</v>
      </c>
      <c r="N24" s="3281">
        <v>52632</v>
      </c>
      <c r="O24" s="3161">
        <v>167900</v>
      </c>
      <c r="P24" s="3161">
        <v>90300</v>
      </c>
      <c r="Q24" s="3164">
        <v>250700</v>
      </c>
      <c r="R24" s="3164">
        <v>186500</v>
      </c>
      <c r="S24" s="3164">
        <v>328300</v>
      </c>
      <c r="T24" s="2500">
        <v>133869</v>
      </c>
      <c r="U24" s="3164">
        <v>328300</v>
      </c>
      <c r="V24" s="3284">
        <v>275700</v>
      </c>
      <c r="W24" s="3284">
        <v>275700</v>
      </c>
      <c r="X24" s="3284">
        <v>264800</v>
      </c>
      <c r="Y24" s="3284">
        <v>264800</v>
      </c>
      <c r="Z24" s="3284">
        <v>250700</v>
      </c>
      <c r="AA24" s="2968">
        <v>124000</v>
      </c>
      <c r="AB24" s="2968">
        <v>27855</v>
      </c>
      <c r="AC24" s="2968">
        <v>124000</v>
      </c>
      <c r="AD24" s="3184">
        <f>$D24</f>
        <v>298400</v>
      </c>
      <c r="AE24" s="3184">
        <f>$S24</f>
        <v>328300</v>
      </c>
      <c r="AF24" s="3184">
        <f>$G24</f>
        <v>56676</v>
      </c>
      <c r="AG24" s="3184">
        <f>$E24</f>
        <v>186500</v>
      </c>
      <c r="AH24" s="3184">
        <f t="shared" ref="AH24:AI27" si="8">$R24</f>
        <v>186500</v>
      </c>
      <c r="AI24" s="2975">
        <f t="shared" si="8"/>
        <v>186500</v>
      </c>
      <c r="AJ24" s="2975">
        <f>$F24</f>
        <v>273764</v>
      </c>
      <c r="AK24" s="2973">
        <v>21115</v>
      </c>
      <c r="AL24" s="2973">
        <v>72000</v>
      </c>
      <c r="AM24" s="2973">
        <v>39010</v>
      </c>
      <c r="AN24" s="2973">
        <v>24507</v>
      </c>
      <c r="AO24" s="243" t="s">
        <v>1716</v>
      </c>
      <c r="AP24" s="199" t="s">
        <v>1542</v>
      </c>
      <c r="AQ24" s="1632"/>
      <c r="AR24" s="3189" t="s">
        <v>5380</v>
      </c>
      <c r="AS24" s="3189"/>
      <c r="AT24" s="3189" t="b">
        <f>OR(AV21,AV22)</f>
        <v>0</v>
      </c>
      <c r="AU24" s="3189"/>
      <c r="AV24" s="3189"/>
      <c r="AW24" s="3224"/>
      <c r="AX24" s="3227">
        <v>10</v>
      </c>
      <c r="AY24" s="3228">
        <v>0</v>
      </c>
      <c r="AZ24" s="1632"/>
      <c r="BA24">
        <v>40032573</v>
      </c>
      <c r="BB24">
        <v>2</v>
      </c>
      <c r="BC24">
        <v>9</v>
      </c>
      <c r="BD24" s="243" t="s">
        <v>1716</v>
      </c>
      <c r="BE24" s="199" t="s">
        <v>1542</v>
      </c>
      <c r="BF24" s="199">
        <v>120</v>
      </c>
      <c r="BG24" s="1656">
        <f t="shared" si="1"/>
        <v>167900</v>
      </c>
      <c r="BH24" s="3191">
        <f>$AR$26</f>
        <v>0</v>
      </c>
      <c r="BI24" s="2512">
        <f t="shared" si="2"/>
        <v>0</v>
      </c>
      <c r="BJ24" s="2377">
        <f t="shared" si="3"/>
        <v>0</v>
      </c>
    </row>
    <row r="25" spans="1:62">
      <c r="A25" s="243" t="s">
        <v>1716</v>
      </c>
      <c r="B25" s="199" t="s">
        <v>1543</v>
      </c>
      <c r="C25" s="555">
        <v>121</v>
      </c>
      <c r="D25" s="3161">
        <v>260000</v>
      </c>
      <c r="E25" s="3161">
        <v>260000</v>
      </c>
      <c r="F25" s="3161">
        <v>229320</v>
      </c>
      <c r="G25" s="3281">
        <v>120468</v>
      </c>
      <c r="H25" s="3281">
        <v>95007</v>
      </c>
      <c r="I25" s="3161">
        <v>1000000</v>
      </c>
      <c r="J25" s="3281">
        <v>51840</v>
      </c>
      <c r="K25" s="3161">
        <v>400000</v>
      </c>
      <c r="L25" s="3161">
        <v>1000000</v>
      </c>
      <c r="M25" s="3281">
        <v>52632</v>
      </c>
      <c r="N25" s="3281">
        <v>52632</v>
      </c>
      <c r="O25" s="3161">
        <v>260000</v>
      </c>
      <c r="P25" s="3161">
        <v>125400</v>
      </c>
      <c r="Q25" s="3164">
        <v>210000</v>
      </c>
      <c r="R25" s="3164">
        <v>260000</v>
      </c>
      <c r="S25" s="3164">
        <v>500000</v>
      </c>
      <c r="T25" s="2500">
        <v>196321</v>
      </c>
      <c r="U25" s="3164">
        <v>1000000</v>
      </c>
      <c r="V25" s="3284">
        <v>260000</v>
      </c>
      <c r="W25" s="3284">
        <v>210000</v>
      </c>
      <c r="X25" s="3284">
        <v>210000</v>
      </c>
      <c r="Y25" s="3284">
        <v>210000</v>
      </c>
      <c r="Z25" s="3284">
        <v>210000</v>
      </c>
      <c r="AA25" s="2968">
        <v>198000</v>
      </c>
      <c r="AB25" s="2968">
        <v>167705</v>
      </c>
      <c r="AC25" s="2968">
        <v>198000</v>
      </c>
      <c r="AD25" s="3184">
        <f>$D25</f>
        <v>260000</v>
      </c>
      <c r="AE25" s="3184">
        <f>$S25</f>
        <v>500000</v>
      </c>
      <c r="AF25" s="3184">
        <f>$G25</f>
        <v>120468</v>
      </c>
      <c r="AG25" s="3184">
        <f>$E25</f>
        <v>260000</v>
      </c>
      <c r="AH25" s="3184">
        <f t="shared" si="8"/>
        <v>260000</v>
      </c>
      <c r="AI25" s="2975">
        <f t="shared" si="8"/>
        <v>260000</v>
      </c>
      <c r="AJ25" s="2975">
        <f>$F25</f>
        <v>229320</v>
      </c>
      <c r="AK25" s="2973">
        <v>44275</v>
      </c>
      <c r="AL25" s="2973">
        <v>156000</v>
      </c>
      <c r="AM25" s="2973">
        <v>54342</v>
      </c>
      <c r="AN25" s="2973">
        <v>39133</v>
      </c>
      <c r="AO25" s="243" t="s">
        <v>1716</v>
      </c>
      <c r="AP25" s="199" t="s">
        <v>1543</v>
      </c>
      <c r="AQ25" s="1632"/>
      <c r="AR25" s="3188" t="s">
        <v>5381</v>
      </c>
      <c r="AS25" s="3189"/>
      <c r="AT25" s="3189"/>
      <c r="AU25" s="3189"/>
      <c r="AV25" s="3189"/>
      <c r="AW25" s="3224"/>
      <c r="AX25" s="3227">
        <v>11</v>
      </c>
      <c r="AY25" s="3228">
        <v>0</v>
      </c>
      <c r="AZ25" s="1632"/>
      <c r="BA25">
        <v>40068697</v>
      </c>
      <c r="BB25">
        <v>18</v>
      </c>
      <c r="BC25">
        <v>0.6</v>
      </c>
      <c r="BD25" s="243" t="s">
        <v>1716</v>
      </c>
      <c r="BE25" s="199" t="s">
        <v>1543</v>
      </c>
      <c r="BF25" s="199">
        <v>121</v>
      </c>
      <c r="BG25" s="1656">
        <f t="shared" si="1"/>
        <v>260000</v>
      </c>
      <c r="BH25" s="365">
        <f>NDK!B21</f>
        <v>0</v>
      </c>
      <c r="BI25" s="2512">
        <f t="shared" si="2"/>
        <v>0</v>
      </c>
      <c r="BJ25" s="2377">
        <f t="shared" si="3"/>
        <v>0</v>
      </c>
    </row>
    <row r="26" spans="1:62" ht="16.5" thickBot="1">
      <c r="A26" s="243" t="s">
        <v>1716</v>
      </c>
      <c r="B26" s="199" t="s">
        <v>4852</v>
      </c>
      <c r="C26" s="555">
        <v>122</v>
      </c>
      <c r="D26" s="3161">
        <v>408000</v>
      </c>
      <c r="E26" s="3161">
        <v>340000</v>
      </c>
      <c r="F26" s="3161">
        <v>360360</v>
      </c>
      <c r="G26" s="3281">
        <v>2261628</v>
      </c>
      <c r="H26" s="3281">
        <v>124276</v>
      </c>
      <c r="I26" s="3161">
        <v>2000000</v>
      </c>
      <c r="J26" s="3281">
        <v>67812</v>
      </c>
      <c r="K26" s="3161">
        <v>1000000</v>
      </c>
      <c r="L26" s="3161">
        <v>2000000</v>
      </c>
      <c r="M26" s="3281">
        <v>408000</v>
      </c>
      <c r="N26" s="3281">
        <v>408000</v>
      </c>
      <c r="O26" s="3161">
        <v>340000</v>
      </c>
      <c r="P26" s="3161">
        <v>156400</v>
      </c>
      <c r="Q26" s="3164">
        <v>330000</v>
      </c>
      <c r="R26" s="3164">
        <v>408000</v>
      </c>
      <c r="S26" s="3164">
        <v>2400000</v>
      </c>
      <c r="T26" s="2500">
        <v>246980</v>
      </c>
      <c r="U26" s="3164">
        <v>2400000</v>
      </c>
      <c r="V26" s="3284">
        <v>408000</v>
      </c>
      <c r="W26" s="3284">
        <v>330000</v>
      </c>
      <c r="X26" s="3284">
        <v>330000</v>
      </c>
      <c r="Y26" s="3284">
        <v>330000</v>
      </c>
      <c r="Z26" s="3284">
        <v>330000</v>
      </c>
      <c r="AA26" s="2968">
        <v>5000000</v>
      </c>
      <c r="AB26" s="2968">
        <v>228705</v>
      </c>
      <c r="AC26" s="2968">
        <v>5000000</v>
      </c>
      <c r="AD26" s="3184">
        <f>$D26</f>
        <v>408000</v>
      </c>
      <c r="AE26" s="3184">
        <f>$S26</f>
        <v>2400000</v>
      </c>
      <c r="AF26" s="3184">
        <f>$G26</f>
        <v>2261628</v>
      </c>
      <c r="AG26" s="3184">
        <f>$E26</f>
        <v>340000</v>
      </c>
      <c r="AH26" s="3184">
        <f t="shared" si="8"/>
        <v>408000</v>
      </c>
      <c r="AI26" s="2975">
        <f t="shared" si="8"/>
        <v>408000</v>
      </c>
      <c r="AJ26" s="2975">
        <f>$F26</f>
        <v>360360</v>
      </c>
      <c r="AK26" s="2973">
        <v>58098</v>
      </c>
      <c r="AL26" s="2973">
        <v>207200</v>
      </c>
      <c r="AM26" s="2973">
        <v>71309</v>
      </c>
      <c r="AN26" s="2973">
        <v>51189</v>
      </c>
      <c r="AO26" s="243" t="s">
        <v>1716</v>
      </c>
      <c r="AP26" s="199" t="s">
        <v>4852</v>
      </c>
      <c r="AQ26" s="1632"/>
      <c r="AR26" s="3188">
        <f>IF(AT24=TRUE,AT23,NDK!B18)</f>
        <v>0</v>
      </c>
      <c r="AS26" s="3189"/>
      <c r="AT26" s="3189"/>
      <c r="AU26" s="3189"/>
      <c r="AV26" s="3189"/>
      <c r="AW26" s="3224"/>
      <c r="AX26" s="3227">
        <v>12</v>
      </c>
      <c r="AY26" s="3228">
        <v>0</v>
      </c>
      <c r="AZ26" s="1632"/>
      <c r="BA26">
        <v>40071611</v>
      </c>
      <c r="BB26">
        <v>14</v>
      </c>
      <c r="BC26">
        <v>0.16700000000000001</v>
      </c>
      <c r="BD26" s="243" t="s">
        <v>1716</v>
      </c>
      <c r="BE26" s="199" t="s">
        <v>4852</v>
      </c>
      <c r="BF26" s="199">
        <v>122</v>
      </c>
      <c r="BG26" s="1656">
        <f t="shared" si="1"/>
        <v>340000</v>
      </c>
      <c r="BH26" s="365">
        <f>NDK!B24</f>
        <v>0</v>
      </c>
      <c r="BI26" s="2512">
        <f t="shared" si="2"/>
        <v>0</v>
      </c>
      <c r="BJ26" s="2377">
        <f t="shared" si="3"/>
        <v>0</v>
      </c>
    </row>
    <row r="27" spans="1:62" ht="16.5" thickBot="1">
      <c r="A27" s="243" t="s">
        <v>1544</v>
      </c>
      <c r="B27" s="199" t="s">
        <v>1545</v>
      </c>
      <c r="C27" s="555">
        <v>123</v>
      </c>
      <c r="D27" s="3161">
        <v>1000000</v>
      </c>
      <c r="E27" s="3161">
        <v>1000000</v>
      </c>
      <c r="F27" s="3161">
        <v>1092000</v>
      </c>
      <c r="G27" s="3281">
        <v>3375576</v>
      </c>
      <c r="H27" s="3281">
        <v>362485</v>
      </c>
      <c r="I27" s="3161">
        <v>5000000</v>
      </c>
      <c r="J27" s="3281">
        <v>211555</v>
      </c>
      <c r="K27" s="3161">
        <v>8000000</v>
      </c>
      <c r="L27" s="3161">
        <v>2000000</v>
      </c>
      <c r="M27" s="3281">
        <v>1000000</v>
      </c>
      <c r="N27" s="3281">
        <v>239868</v>
      </c>
      <c r="O27" s="3161">
        <v>1000000</v>
      </c>
      <c r="P27" s="3161">
        <v>468600</v>
      </c>
      <c r="Q27" s="3164">
        <v>500000</v>
      </c>
      <c r="R27" s="3164">
        <v>1000000</v>
      </c>
      <c r="S27" s="3164">
        <v>5000000</v>
      </c>
      <c r="T27" s="2500">
        <v>1402544</v>
      </c>
      <c r="U27" s="3164">
        <v>5000000</v>
      </c>
      <c r="V27" s="3284">
        <v>1000000</v>
      </c>
      <c r="W27" s="3284">
        <v>1000000</v>
      </c>
      <c r="X27" s="3284">
        <v>1000000</v>
      </c>
      <c r="Y27" s="3284">
        <v>1000000</v>
      </c>
      <c r="Z27" s="3284">
        <v>1000000</v>
      </c>
      <c r="AA27" s="2968">
        <v>7500000</v>
      </c>
      <c r="AB27" s="2968">
        <v>869705</v>
      </c>
      <c r="AC27" s="2968">
        <v>7500000</v>
      </c>
      <c r="AD27" s="3184">
        <f>$D27</f>
        <v>1000000</v>
      </c>
      <c r="AE27" s="3184">
        <f>$S27</f>
        <v>5000000</v>
      </c>
      <c r="AF27" s="3184">
        <f>$G27</f>
        <v>3375576</v>
      </c>
      <c r="AG27" s="3184">
        <f>$E27</f>
        <v>1000000</v>
      </c>
      <c r="AH27" s="3184">
        <f t="shared" si="8"/>
        <v>1000000</v>
      </c>
      <c r="AI27" s="2975">
        <f t="shared" si="8"/>
        <v>1000000</v>
      </c>
      <c r="AJ27" s="2975">
        <f>$F27</f>
        <v>1092000</v>
      </c>
      <c r="AK27" s="2973">
        <v>249827</v>
      </c>
      <c r="AL27" s="2973">
        <v>880000</v>
      </c>
      <c r="AM27" s="2973">
        <v>620000</v>
      </c>
      <c r="AN27" s="2973">
        <v>177876</v>
      </c>
      <c r="AO27" s="243" t="s">
        <v>1544</v>
      </c>
      <c r="AP27" s="199" t="s">
        <v>1545</v>
      </c>
      <c r="AV27" s="3194" t="s">
        <v>5382</v>
      </c>
      <c r="AW27" s="3194" t="s">
        <v>5450</v>
      </c>
      <c r="AX27" s="3227">
        <v>13</v>
      </c>
      <c r="AY27" s="3228">
        <v>0</v>
      </c>
      <c r="BA27">
        <v>40096053</v>
      </c>
      <c r="BB27">
        <v>6</v>
      </c>
      <c r="BC27">
        <v>0.95</v>
      </c>
      <c r="BD27" s="243" t="s">
        <v>1544</v>
      </c>
      <c r="BE27" s="1638" t="s">
        <v>1545</v>
      </c>
      <c r="BF27" s="199">
        <v>123</v>
      </c>
      <c r="BG27" s="1656">
        <f t="shared" si="1"/>
        <v>1000000</v>
      </c>
      <c r="BH27" s="365">
        <f>NDK!B31+NDK!B32</f>
        <v>0</v>
      </c>
      <c r="BI27" s="2512">
        <f t="shared" si="2"/>
        <v>0</v>
      </c>
      <c r="BJ27" s="2377">
        <f t="shared" si="3"/>
        <v>0</v>
      </c>
    </row>
    <row r="28" spans="1:62">
      <c r="B28" s="243"/>
      <c r="C28" s="555">
        <v>124</v>
      </c>
      <c r="D28" s="2709"/>
      <c r="E28" s="2709"/>
      <c r="F28" s="2709"/>
      <c r="G28" s="2709"/>
      <c r="H28" s="2709"/>
      <c r="I28" s="2278"/>
      <c r="J28" s="2709"/>
      <c r="K28" s="2709"/>
      <c r="L28" s="2709"/>
      <c r="M28" s="2709"/>
      <c r="N28" s="2709"/>
      <c r="O28" s="2709"/>
      <c r="P28" s="2709"/>
      <c r="Q28" s="2500"/>
      <c r="R28" s="2500"/>
      <c r="S28" s="2500"/>
      <c r="T28" s="2500"/>
      <c r="U28" s="2500"/>
      <c r="V28" s="3289"/>
      <c r="W28" s="3289"/>
      <c r="X28" s="3285"/>
      <c r="Y28" s="3285"/>
      <c r="Z28" s="3285"/>
      <c r="AA28" s="2968"/>
      <c r="AB28" s="2968"/>
      <c r="AC28" s="2968"/>
      <c r="AD28" s="3184"/>
      <c r="AE28" s="3184"/>
      <c r="AF28" s="3184"/>
      <c r="AG28" s="3184"/>
      <c r="AH28" s="3184"/>
      <c r="AI28" s="2975"/>
      <c r="AJ28" s="2975"/>
      <c r="AK28" s="2973"/>
      <c r="AL28" s="2973"/>
      <c r="AM28" s="2973"/>
      <c r="AN28" s="2973"/>
      <c r="AP28" s="243"/>
      <c r="AR28" s="199" t="s">
        <v>5453</v>
      </c>
      <c r="AV28" s="3225">
        <v>1</v>
      </c>
      <c r="AW28" s="3226">
        <v>0</v>
      </c>
      <c r="AX28" s="3319">
        <v>14</v>
      </c>
      <c r="AY28" s="3228">
        <v>14</v>
      </c>
      <c r="BA28" s="3180">
        <v>40156742</v>
      </c>
      <c r="BB28" s="3180">
        <v>22</v>
      </c>
      <c r="BC28" s="3180">
        <v>0.42009999999999997</v>
      </c>
      <c r="BE28" s="243"/>
      <c r="BG28" s="1656"/>
      <c r="BI28" s="2512">
        <f t="shared" si="2"/>
        <v>0</v>
      </c>
      <c r="BJ28" s="2377">
        <f t="shared" si="3"/>
        <v>0</v>
      </c>
    </row>
    <row r="29" spans="1:62">
      <c r="A29" s="2313" t="s">
        <v>5195</v>
      </c>
      <c r="B29" s="2314" t="s">
        <v>1547</v>
      </c>
      <c r="C29" s="2315">
        <v>125</v>
      </c>
      <c r="D29" s="2711">
        <f>D$92</f>
        <v>5200</v>
      </c>
      <c r="E29" s="2711">
        <f>E$92</f>
        <v>5200</v>
      </c>
      <c r="F29" s="2711">
        <f t="shared" ref="F29:U29" si="9">F$92</f>
        <v>5678</v>
      </c>
      <c r="G29" s="2711">
        <f t="shared" si="9"/>
        <v>2436</v>
      </c>
      <c r="H29" s="2711">
        <f t="shared" si="9"/>
        <v>1919</v>
      </c>
      <c r="I29" s="2316">
        <f t="shared" si="9"/>
        <v>5200</v>
      </c>
      <c r="J29" s="2711">
        <f t="shared" si="9"/>
        <v>1048</v>
      </c>
      <c r="K29" s="2711">
        <f t="shared" si="9"/>
        <v>400000</v>
      </c>
      <c r="L29" s="2711">
        <f t="shared" si="9"/>
        <v>5200</v>
      </c>
      <c r="M29" s="2711">
        <f t="shared" si="9"/>
        <v>52632</v>
      </c>
      <c r="N29" s="2711">
        <f t="shared" si="9"/>
        <v>7327</v>
      </c>
      <c r="O29" s="2711">
        <f t="shared" si="9"/>
        <v>5200</v>
      </c>
      <c r="P29" s="2711">
        <f t="shared" si="9"/>
        <v>2500</v>
      </c>
      <c r="Q29" s="2711">
        <f t="shared" si="9"/>
        <v>5200</v>
      </c>
      <c r="R29" s="2711">
        <f t="shared" si="9"/>
        <v>5200</v>
      </c>
      <c r="S29" s="2711">
        <f t="shared" si="9"/>
        <v>5200</v>
      </c>
      <c r="T29" s="2711">
        <f t="shared" si="9"/>
        <v>7919</v>
      </c>
      <c r="U29" s="2711">
        <f t="shared" si="9"/>
        <v>5200</v>
      </c>
      <c r="V29" s="3289">
        <v>1078</v>
      </c>
      <c r="W29" s="3289">
        <v>32561</v>
      </c>
      <c r="X29" s="3287">
        <f t="shared" ref="X29:AC29" si="10">X$92</f>
        <v>5200</v>
      </c>
      <c r="Y29" s="3287">
        <f t="shared" si="10"/>
        <v>5200</v>
      </c>
      <c r="Z29" s="3287">
        <f t="shared" si="10"/>
        <v>5200</v>
      </c>
      <c r="AA29" s="2970">
        <f t="shared" si="10"/>
        <v>4000</v>
      </c>
      <c r="AB29" s="2970">
        <f t="shared" si="10"/>
        <v>1083</v>
      </c>
      <c r="AC29" s="2970">
        <f t="shared" si="10"/>
        <v>4000</v>
      </c>
      <c r="AD29" s="3184">
        <f t="shared" ref="AD29:AD36" si="11">$D29</f>
        <v>5200</v>
      </c>
      <c r="AE29" s="3184">
        <f t="shared" ref="AE29:AE36" si="12">$S29</f>
        <v>5200</v>
      </c>
      <c r="AF29" s="3184">
        <f t="shared" ref="AF29:AF36" si="13">$G29</f>
        <v>2436</v>
      </c>
      <c r="AG29" s="3184">
        <f t="shared" ref="AG29:AG36" si="14">$E29</f>
        <v>5200</v>
      </c>
      <c r="AH29" s="3184">
        <f t="shared" ref="AH29:AH36" si="15">$R29</f>
        <v>5200</v>
      </c>
      <c r="AI29" s="2975">
        <f t="shared" ref="AI29:AI36" si="16">$R29</f>
        <v>5200</v>
      </c>
      <c r="AJ29" s="2975">
        <f t="shared" ref="AJ29:AJ36" si="17">$F29</f>
        <v>5678</v>
      </c>
      <c r="AK29" s="2973">
        <v>1110</v>
      </c>
      <c r="AL29" s="2973">
        <v>4000</v>
      </c>
      <c r="AM29" s="2973">
        <v>1362</v>
      </c>
      <c r="AN29" s="2973">
        <v>791</v>
      </c>
      <c r="AO29" s="2313" t="s">
        <v>1546</v>
      </c>
      <c r="AP29" s="2314" t="s">
        <v>1547</v>
      </c>
      <c r="AR29" s="199" t="s">
        <v>5454</v>
      </c>
      <c r="AV29" s="3227">
        <v>2</v>
      </c>
      <c r="AW29" s="3222">
        <v>0</v>
      </c>
      <c r="AX29" s="3319">
        <v>15</v>
      </c>
      <c r="AY29" s="3228">
        <v>0</v>
      </c>
      <c r="BA29">
        <v>40173178</v>
      </c>
      <c r="BB29">
        <v>1</v>
      </c>
      <c r="BC29">
        <v>0.44379999999999997</v>
      </c>
      <c r="BD29" s="243" t="s">
        <v>1546</v>
      </c>
      <c r="BE29" s="199" t="s">
        <v>1547</v>
      </c>
      <c r="BF29" s="199">
        <v>125</v>
      </c>
      <c r="BG29" s="1656">
        <f t="shared" si="1"/>
        <v>5200</v>
      </c>
      <c r="BH29" s="365">
        <f>NDK!B26</f>
        <v>0</v>
      </c>
      <c r="BI29" s="2512">
        <f t="shared" si="2"/>
        <v>0</v>
      </c>
      <c r="BJ29" s="2377">
        <f t="shared" si="3"/>
        <v>0</v>
      </c>
    </row>
    <row r="30" spans="1:62">
      <c r="A30" s="2313" t="s">
        <v>1546</v>
      </c>
      <c r="B30" s="2314" t="s">
        <v>1548</v>
      </c>
      <c r="C30" s="2315">
        <v>126</v>
      </c>
      <c r="D30" s="2711">
        <f>D$93</f>
        <v>5600</v>
      </c>
      <c r="E30" s="2711">
        <f>E$93</f>
        <v>5600</v>
      </c>
      <c r="F30" s="2711">
        <f t="shared" ref="F30:U30" si="18">F$93</f>
        <v>6115</v>
      </c>
      <c r="G30" s="2711">
        <f t="shared" si="18"/>
        <v>2592</v>
      </c>
      <c r="H30" s="2711">
        <f t="shared" si="18"/>
        <v>2063</v>
      </c>
      <c r="I30" s="2316">
        <f t="shared" si="18"/>
        <v>5600</v>
      </c>
      <c r="J30" s="2711">
        <f t="shared" si="18"/>
        <v>1126</v>
      </c>
      <c r="K30" s="2711">
        <f t="shared" si="18"/>
        <v>650000</v>
      </c>
      <c r="L30" s="2711">
        <f t="shared" si="18"/>
        <v>5600</v>
      </c>
      <c r="M30" s="2711">
        <f t="shared" si="18"/>
        <v>52632</v>
      </c>
      <c r="N30" s="2711">
        <f t="shared" si="18"/>
        <v>7327</v>
      </c>
      <c r="O30" s="2711">
        <f t="shared" si="18"/>
        <v>5600</v>
      </c>
      <c r="P30" s="2711">
        <f t="shared" si="18"/>
        <v>2700</v>
      </c>
      <c r="Q30" s="2711">
        <f t="shared" si="18"/>
        <v>5600</v>
      </c>
      <c r="R30" s="2711">
        <f t="shared" si="18"/>
        <v>5600</v>
      </c>
      <c r="S30" s="2711">
        <f t="shared" si="18"/>
        <v>5600</v>
      </c>
      <c r="T30" s="2711">
        <f t="shared" si="18"/>
        <v>8513</v>
      </c>
      <c r="U30" s="2711">
        <f t="shared" si="18"/>
        <v>5600</v>
      </c>
      <c r="V30" s="3289">
        <v>1159</v>
      </c>
      <c r="W30" s="3289">
        <v>32561</v>
      </c>
      <c r="X30" s="3287">
        <f t="shared" ref="X30:AC30" si="19">X$93</f>
        <v>5600</v>
      </c>
      <c r="Y30" s="3287">
        <f t="shared" si="19"/>
        <v>5600</v>
      </c>
      <c r="Z30" s="3287">
        <f t="shared" si="19"/>
        <v>5600</v>
      </c>
      <c r="AA30" s="2970">
        <f t="shared" si="19"/>
        <v>4300</v>
      </c>
      <c r="AB30" s="2970">
        <f t="shared" si="19"/>
        <v>1083</v>
      </c>
      <c r="AC30" s="2970">
        <f t="shared" si="19"/>
        <v>4300</v>
      </c>
      <c r="AD30" s="3184">
        <f t="shared" si="11"/>
        <v>5600</v>
      </c>
      <c r="AE30" s="3184">
        <f t="shared" si="12"/>
        <v>5600</v>
      </c>
      <c r="AF30" s="3184">
        <f t="shared" si="13"/>
        <v>2592</v>
      </c>
      <c r="AG30" s="3184">
        <f t="shared" si="14"/>
        <v>5600</v>
      </c>
      <c r="AH30" s="3184">
        <f t="shared" si="15"/>
        <v>5600</v>
      </c>
      <c r="AI30" s="2975">
        <f t="shared" si="16"/>
        <v>5600</v>
      </c>
      <c r="AJ30" s="2975">
        <f t="shared" si="17"/>
        <v>6115</v>
      </c>
      <c r="AK30" s="2973">
        <v>1194</v>
      </c>
      <c r="AL30" s="2973">
        <v>4300</v>
      </c>
      <c r="AM30" s="2973">
        <v>1465</v>
      </c>
      <c r="AN30" s="2973">
        <v>850</v>
      </c>
      <c r="AO30" s="2313" t="s">
        <v>1546</v>
      </c>
      <c r="AP30" s="2314" t="s">
        <v>1548</v>
      </c>
      <c r="AV30" s="3227">
        <v>3</v>
      </c>
      <c r="AW30" s="3222">
        <v>3</v>
      </c>
      <c r="AX30" s="3319">
        <v>16</v>
      </c>
      <c r="AY30" s="3228">
        <v>0</v>
      </c>
      <c r="BA30">
        <v>40197764</v>
      </c>
      <c r="BB30">
        <v>5</v>
      </c>
      <c r="BC30">
        <v>0.53249999999999997</v>
      </c>
      <c r="BD30" s="243" t="s">
        <v>1546</v>
      </c>
      <c r="BE30" s="199" t="s">
        <v>1548</v>
      </c>
      <c r="BF30" s="199">
        <v>126</v>
      </c>
      <c r="BG30" s="1656">
        <f t="shared" si="1"/>
        <v>5600</v>
      </c>
      <c r="BH30" s="365">
        <f>NDK!B27</f>
        <v>0</v>
      </c>
      <c r="BI30" s="2512">
        <f t="shared" si="2"/>
        <v>0</v>
      </c>
      <c r="BJ30" s="2377">
        <f t="shared" si="3"/>
        <v>0</v>
      </c>
    </row>
    <row r="31" spans="1:62">
      <c r="A31" s="2313" t="s">
        <v>1546</v>
      </c>
      <c r="B31" s="2314" t="s">
        <v>1549</v>
      </c>
      <c r="C31" s="2315">
        <v>127</v>
      </c>
      <c r="D31" s="2711">
        <f>D$94</f>
        <v>52300</v>
      </c>
      <c r="E31" s="2711">
        <f>E$94</f>
        <v>400000</v>
      </c>
      <c r="F31" s="2711">
        <f t="shared" ref="F31:U31" si="20">F$94</f>
        <v>57112</v>
      </c>
      <c r="G31" s="2711">
        <f t="shared" si="20"/>
        <v>2261628</v>
      </c>
      <c r="H31" s="2711">
        <f t="shared" si="20"/>
        <v>19193</v>
      </c>
      <c r="I31" s="2316">
        <f t="shared" si="20"/>
        <v>5000000</v>
      </c>
      <c r="J31" s="2711">
        <f t="shared" si="20"/>
        <v>10473</v>
      </c>
      <c r="K31" s="2711">
        <f t="shared" si="20"/>
        <v>1000000</v>
      </c>
      <c r="L31" s="2711">
        <f t="shared" si="20"/>
        <v>2000000</v>
      </c>
      <c r="M31" s="2711">
        <f t="shared" si="20"/>
        <v>52632</v>
      </c>
      <c r="N31" s="2711">
        <f t="shared" si="20"/>
        <v>7327</v>
      </c>
      <c r="O31" s="2711">
        <f t="shared" si="20"/>
        <v>52300</v>
      </c>
      <c r="P31" s="2711">
        <f t="shared" si="20"/>
        <v>25300</v>
      </c>
      <c r="Q31" s="2711">
        <f t="shared" si="20"/>
        <v>52300</v>
      </c>
      <c r="R31" s="2711">
        <f t="shared" si="20"/>
        <v>200000</v>
      </c>
      <c r="S31" s="2711">
        <f t="shared" si="20"/>
        <v>5000000</v>
      </c>
      <c r="T31" s="2711">
        <f t="shared" si="20"/>
        <v>79194</v>
      </c>
      <c r="U31" s="2711">
        <f t="shared" si="20"/>
        <v>5000000</v>
      </c>
      <c r="V31" s="3289">
        <v>10780</v>
      </c>
      <c r="W31" s="3289">
        <v>32561</v>
      </c>
      <c r="X31" s="3287">
        <f t="shared" ref="X31:AC31" si="21">X$94</f>
        <v>52300</v>
      </c>
      <c r="Y31" s="3287">
        <f t="shared" si="21"/>
        <v>52300</v>
      </c>
      <c r="Z31" s="3287">
        <f t="shared" si="21"/>
        <v>52300</v>
      </c>
      <c r="AA31" s="2970">
        <f t="shared" si="21"/>
        <v>5000000</v>
      </c>
      <c r="AB31" s="2970">
        <f t="shared" si="21"/>
        <v>30769</v>
      </c>
      <c r="AC31" s="2970">
        <f t="shared" si="21"/>
        <v>5000000</v>
      </c>
      <c r="AD31" s="3184">
        <f t="shared" si="11"/>
        <v>52300</v>
      </c>
      <c r="AE31" s="3184">
        <f t="shared" si="12"/>
        <v>5000000</v>
      </c>
      <c r="AF31" s="3184">
        <f t="shared" si="13"/>
        <v>2261628</v>
      </c>
      <c r="AG31" s="3184">
        <f t="shared" si="14"/>
        <v>400000</v>
      </c>
      <c r="AH31" s="3184">
        <f t="shared" si="15"/>
        <v>200000</v>
      </c>
      <c r="AI31" s="2975">
        <f t="shared" si="16"/>
        <v>200000</v>
      </c>
      <c r="AJ31" s="2975">
        <f t="shared" si="17"/>
        <v>57112</v>
      </c>
      <c r="AK31" s="2973">
        <v>11103</v>
      </c>
      <c r="AL31" s="2973">
        <v>120000</v>
      </c>
      <c r="AM31" s="2973">
        <v>110000</v>
      </c>
      <c r="AN31" s="2973">
        <v>9564</v>
      </c>
      <c r="AO31" s="2313" t="s">
        <v>1546</v>
      </c>
      <c r="AP31" s="2314" t="s">
        <v>1549</v>
      </c>
      <c r="AV31" s="3227">
        <v>4</v>
      </c>
      <c r="AW31" s="3222">
        <v>0</v>
      </c>
      <c r="AX31" s="3319">
        <v>17</v>
      </c>
      <c r="AY31" s="3228">
        <v>0</v>
      </c>
      <c r="BA31">
        <v>40213111</v>
      </c>
      <c r="BB31">
        <v>2</v>
      </c>
      <c r="BC31">
        <v>3</v>
      </c>
      <c r="BD31" s="243" t="s">
        <v>1546</v>
      </c>
      <c r="BE31" s="199" t="s">
        <v>1549</v>
      </c>
      <c r="BF31" s="199">
        <v>127</v>
      </c>
      <c r="BG31" s="1656">
        <f t="shared" si="1"/>
        <v>52300</v>
      </c>
      <c r="BH31" s="365">
        <f>NDK!B29</f>
        <v>0</v>
      </c>
      <c r="BI31" s="2512">
        <f t="shared" si="2"/>
        <v>0</v>
      </c>
      <c r="BJ31" s="2377">
        <f t="shared" si="3"/>
        <v>0</v>
      </c>
    </row>
    <row r="32" spans="1:62">
      <c r="A32" s="199" t="s">
        <v>1550</v>
      </c>
      <c r="B32" s="199" t="s">
        <v>1550</v>
      </c>
      <c r="C32" s="555">
        <v>128</v>
      </c>
      <c r="D32" s="3161">
        <v>47100</v>
      </c>
      <c r="E32" s="3161">
        <v>47100</v>
      </c>
      <c r="F32" s="3161">
        <v>51433</v>
      </c>
      <c r="G32" s="3281">
        <v>9732</v>
      </c>
      <c r="H32" s="3281">
        <v>17274</v>
      </c>
      <c r="I32" s="3161">
        <v>47100</v>
      </c>
      <c r="J32" s="3281">
        <v>9425</v>
      </c>
      <c r="K32" s="3161">
        <v>47100</v>
      </c>
      <c r="L32" s="3161">
        <v>47100</v>
      </c>
      <c r="M32" s="3281">
        <v>52632</v>
      </c>
      <c r="N32" s="3281">
        <v>52632</v>
      </c>
      <c r="O32" s="3161">
        <v>21200</v>
      </c>
      <c r="P32" s="3161">
        <v>22800</v>
      </c>
      <c r="Q32" s="3164">
        <v>47100</v>
      </c>
      <c r="R32" s="3164">
        <v>47100</v>
      </c>
      <c r="S32" s="3164">
        <v>47100</v>
      </c>
      <c r="T32" s="2500">
        <v>38866</v>
      </c>
      <c r="U32" s="3164">
        <v>47100</v>
      </c>
      <c r="V32" s="3284">
        <v>47100</v>
      </c>
      <c r="W32" s="3284">
        <v>47100</v>
      </c>
      <c r="X32" s="3284">
        <v>47100</v>
      </c>
      <c r="Y32" s="3284">
        <v>47100</v>
      </c>
      <c r="Z32" s="3284">
        <v>47100</v>
      </c>
      <c r="AA32" s="2968">
        <v>36000</v>
      </c>
      <c r="AB32" s="2968">
        <v>27692</v>
      </c>
      <c r="AC32" s="2968">
        <v>36000</v>
      </c>
      <c r="AD32" s="3184">
        <f t="shared" si="11"/>
        <v>47100</v>
      </c>
      <c r="AE32" s="3184">
        <f t="shared" si="12"/>
        <v>47100</v>
      </c>
      <c r="AF32" s="3184">
        <f t="shared" si="13"/>
        <v>9732</v>
      </c>
      <c r="AG32" s="3184">
        <f t="shared" si="14"/>
        <v>47100</v>
      </c>
      <c r="AH32" s="3184">
        <f t="shared" si="15"/>
        <v>47100</v>
      </c>
      <c r="AI32" s="2975">
        <f t="shared" si="16"/>
        <v>47100</v>
      </c>
      <c r="AJ32" s="2975">
        <f t="shared" si="17"/>
        <v>51433</v>
      </c>
      <c r="AK32" s="2973">
        <v>9993</v>
      </c>
      <c r="AL32" s="2973">
        <v>36000</v>
      </c>
      <c r="AM32" s="2973">
        <v>12265</v>
      </c>
      <c r="AN32" s="2973">
        <v>7115</v>
      </c>
      <c r="AO32" s="199" t="s">
        <v>1550</v>
      </c>
      <c r="AP32" s="199" t="s">
        <v>1550</v>
      </c>
      <c r="AV32" s="3227">
        <v>5</v>
      </c>
      <c r="AW32" s="3228">
        <v>0</v>
      </c>
      <c r="AX32" s="3319">
        <v>18</v>
      </c>
      <c r="AY32" s="3228">
        <v>0</v>
      </c>
      <c r="BA32">
        <v>40268929</v>
      </c>
      <c r="BB32">
        <v>12</v>
      </c>
      <c r="BC32">
        <v>0.19570000000000001</v>
      </c>
      <c r="BD32" s="199" t="s">
        <v>1550</v>
      </c>
      <c r="BE32" s="199" t="s">
        <v>1550</v>
      </c>
      <c r="BF32" s="199">
        <v>128</v>
      </c>
      <c r="BG32" s="1656">
        <f t="shared" si="1"/>
        <v>21200</v>
      </c>
      <c r="BH32" s="365">
        <f>NDK!B33</f>
        <v>0</v>
      </c>
      <c r="BI32" s="2512">
        <f t="shared" si="2"/>
        <v>0</v>
      </c>
      <c r="BJ32" s="2377">
        <f t="shared" si="3"/>
        <v>0</v>
      </c>
    </row>
    <row r="33" spans="1:66">
      <c r="A33" s="199" t="s">
        <v>1551</v>
      </c>
      <c r="B33" s="199" t="s">
        <v>1551</v>
      </c>
      <c r="C33" s="555">
        <v>129</v>
      </c>
      <c r="D33" s="3281">
        <v>48000</v>
      </c>
      <c r="E33" s="3161">
        <v>31400</v>
      </c>
      <c r="F33" s="3161">
        <v>52416</v>
      </c>
      <c r="G33" s="3281">
        <v>7116</v>
      </c>
      <c r="H33" s="3281">
        <v>11515</v>
      </c>
      <c r="I33" s="3161">
        <v>31400</v>
      </c>
      <c r="J33" s="3281">
        <v>6284</v>
      </c>
      <c r="K33" s="3161">
        <v>31400</v>
      </c>
      <c r="L33" s="3161">
        <v>31400</v>
      </c>
      <c r="M33" s="3281">
        <v>52632</v>
      </c>
      <c r="N33" s="3281">
        <v>52632</v>
      </c>
      <c r="O33" s="3161">
        <v>14100</v>
      </c>
      <c r="P33" s="3161">
        <v>15200</v>
      </c>
      <c r="Q33" s="3164">
        <v>48000</v>
      </c>
      <c r="R33" s="3164">
        <v>31400</v>
      </c>
      <c r="S33" s="3164">
        <v>31400</v>
      </c>
      <c r="T33" s="2500">
        <v>25909</v>
      </c>
      <c r="U33" s="3164">
        <v>31400</v>
      </c>
      <c r="V33" s="3284">
        <v>48000</v>
      </c>
      <c r="W33" s="3284">
        <v>48000</v>
      </c>
      <c r="X33" s="3284">
        <v>48000</v>
      </c>
      <c r="Y33" s="3284">
        <v>48000</v>
      </c>
      <c r="Z33" s="3284">
        <v>48000</v>
      </c>
      <c r="AA33" s="2968">
        <v>24000</v>
      </c>
      <c r="AB33" s="2968">
        <v>18462</v>
      </c>
      <c r="AC33" s="2968">
        <v>24000</v>
      </c>
      <c r="AD33" s="3184">
        <f t="shared" si="11"/>
        <v>48000</v>
      </c>
      <c r="AE33" s="3184">
        <f t="shared" si="12"/>
        <v>31400</v>
      </c>
      <c r="AF33" s="3184">
        <f t="shared" si="13"/>
        <v>7116</v>
      </c>
      <c r="AG33" s="3184">
        <f t="shared" si="14"/>
        <v>31400</v>
      </c>
      <c r="AH33" s="3184">
        <f t="shared" si="15"/>
        <v>31400</v>
      </c>
      <c r="AI33" s="2975">
        <f t="shared" si="16"/>
        <v>31400</v>
      </c>
      <c r="AJ33" s="2975">
        <f t="shared" si="17"/>
        <v>52416</v>
      </c>
      <c r="AK33" s="2973">
        <v>6662</v>
      </c>
      <c r="AL33" s="2973">
        <v>24000</v>
      </c>
      <c r="AM33" s="2973">
        <v>8177</v>
      </c>
      <c r="AN33" s="2973">
        <v>4743</v>
      </c>
      <c r="AO33" s="199" t="s">
        <v>1551</v>
      </c>
      <c r="AP33" s="199" t="s">
        <v>1551</v>
      </c>
      <c r="AV33" s="3227">
        <v>6</v>
      </c>
      <c r="AW33" s="3228">
        <v>0</v>
      </c>
      <c r="AX33" s="3319">
        <v>19</v>
      </c>
      <c r="AY33" s="3228">
        <v>19</v>
      </c>
      <c r="BA33">
        <v>40293396</v>
      </c>
      <c r="BB33">
        <v>18</v>
      </c>
      <c r="BC33">
        <v>0.6</v>
      </c>
      <c r="BD33" s="199" t="s">
        <v>1551</v>
      </c>
      <c r="BE33" s="199" t="s">
        <v>1551</v>
      </c>
      <c r="BF33" s="199">
        <v>129</v>
      </c>
      <c r="BG33" s="1656">
        <f t="shared" si="1"/>
        <v>14100</v>
      </c>
      <c r="BH33" s="365">
        <f>NDK!B42</f>
        <v>0</v>
      </c>
      <c r="BI33" s="2512">
        <f t="shared" si="2"/>
        <v>0</v>
      </c>
      <c r="BJ33" s="2377">
        <f t="shared" si="3"/>
        <v>0</v>
      </c>
      <c r="BN33" s="2516" t="s">
        <v>5095</v>
      </c>
    </row>
    <row r="34" spans="1:66">
      <c r="A34" s="199" t="s">
        <v>1552</v>
      </c>
      <c r="B34" s="199" t="s">
        <v>1552</v>
      </c>
      <c r="C34" s="555">
        <v>130</v>
      </c>
      <c r="D34" s="3281">
        <v>48000</v>
      </c>
      <c r="E34" s="3161">
        <v>31400</v>
      </c>
      <c r="F34" s="3161">
        <v>52416</v>
      </c>
      <c r="G34" s="3281">
        <v>7116</v>
      </c>
      <c r="H34" s="3281">
        <v>11515</v>
      </c>
      <c r="I34" s="3161">
        <v>31400</v>
      </c>
      <c r="J34" s="3281">
        <v>6284</v>
      </c>
      <c r="K34" s="3161">
        <v>31400</v>
      </c>
      <c r="L34" s="3161">
        <v>31400</v>
      </c>
      <c r="M34" s="3281">
        <v>52632</v>
      </c>
      <c r="N34" s="3281">
        <v>52632</v>
      </c>
      <c r="O34" s="3161">
        <v>14100</v>
      </c>
      <c r="P34" s="3161">
        <v>15200</v>
      </c>
      <c r="Q34" s="3164">
        <v>48000</v>
      </c>
      <c r="R34" s="3164">
        <v>31400</v>
      </c>
      <c r="S34" s="3164">
        <v>31400</v>
      </c>
      <c r="T34" s="2500">
        <v>47516</v>
      </c>
      <c r="U34" s="3164">
        <v>31400</v>
      </c>
      <c r="V34" s="3284">
        <v>48000</v>
      </c>
      <c r="W34" s="3284">
        <v>48000</v>
      </c>
      <c r="X34" s="3284">
        <v>48000</v>
      </c>
      <c r="Y34" s="3284">
        <v>48000</v>
      </c>
      <c r="Z34" s="3284">
        <v>48000</v>
      </c>
      <c r="AA34" s="2968">
        <v>24000</v>
      </c>
      <c r="AB34" s="2968">
        <v>18462</v>
      </c>
      <c r="AC34" s="2968">
        <v>24000</v>
      </c>
      <c r="AD34" s="3184">
        <f t="shared" si="11"/>
        <v>48000</v>
      </c>
      <c r="AE34" s="3184">
        <f t="shared" si="12"/>
        <v>31400</v>
      </c>
      <c r="AF34" s="3184">
        <f t="shared" si="13"/>
        <v>7116</v>
      </c>
      <c r="AG34" s="3184">
        <f t="shared" si="14"/>
        <v>31400</v>
      </c>
      <c r="AH34" s="3184">
        <f t="shared" si="15"/>
        <v>31400</v>
      </c>
      <c r="AI34" s="2975">
        <f t="shared" si="16"/>
        <v>31400</v>
      </c>
      <c r="AJ34" s="2975">
        <f t="shared" si="17"/>
        <v>52416</v>
      </c>
      <c r="AK34" s="2973">
        <v>6662</v>
      </c>
      <c r="AL34" s="2973">
        <v>24000</v>
      </c>
      <c r="AM34" s="2973">
        <v>8177</v>
      </c>
      <c r="AN34" s="2973">
        <v>4743</v>
      </c>
      <c r="AO34" s="199" t="s">
        <v>1552</v>
      </c>
      <c r="AP34" s="199" t="s">
        <v>1552</v>
      </c>
      <c r="AV34" s="3227">
        <v>7</v>
      </c>
      <c r="AW34" s="3228">
        <v>0</v>
      </c>
      <c r="AX34" s="3319">
        <v>20</v>
      </c>
      <c r="AY34" s="3228">
        <v>20</v>
      </c>
      <c r="BA34" s="3180">
        <v>40299014</v>
      </c>
      <c r="BB34" s="3180">
        <v>1</v>
      </c>
      <c r="BC34" s="3180">
        <v>0.45</v>
      </c>
      <c r="BD34" s="199" t="s">
        <v>1552</v>
      </c>
      <c r="BE34" s="199" t="s">
        <v>1552</v>
      </c>
      <c r="BF34" s="199">
        <v>130</v>
      </c>
      <c r="BG34" s="1656">
        <f t="shared" si="1"/>
        <v>14100</v>
      </c>
      <c r="BH34" s="365">
        <f>NDK!B43</f>
        <v>0</v>
      </c>
      <c r="BI34" s="2512">
        <f t="shared" si="2"/>
        <v>0</v>
      </c>
      <c r="BJ34" s="2377">
        <f t="shared" si="3"/>
        <v>0</v>
      </c>
      <c r="BN34" s="2516" t="s">
        <v>5055</v>
      </c>
    </row>
    <row r="35" spans="1:66">
      <c r="A35" s="199" t="s">
        <v>1553</v>
      </c>
      <c r="B35" s="199" t="s">
        <v>1553</v>
      </c>
      <c r="C35" s="555">
        <v>131</v>
      </c>
      <c r="D35" s="3161">
        <v>12600</v>
      </c>
      <c r="E35" s="3161">
        <v>12600</v>
      </c>
      <c r="F35" s="3161">
        <v>13759</v>
      </c>
      <c r="G35" s="3281">
        <v>5844</v>
      </c>
      <c r="H35" s="3281">
        <v>4606</v>
      </c>
      <c r="I35" s="3161">
        <v>12600</v>
      </c>
      <c r="J35" s="3281">
        <v>2513</v>
      </c>
      <c r="K35" s="3161">
        <v>12600</v>
      </c>
      <c r="L35" s="3161">
        <v>12600</v>
      </c>
      <c r="M35" s="3281">
        <v>52632</v>
      </c>
      <c r="N35" s="3281">
        <v>52632</v>
      </c>
      <c r="O35" s="3161">
        <v>12600</v>
      </c>
      <c r="P35" s="3161">
        <v>6100</v>
      </c>
      <c r="Q35" s="3164">
        <v>12600</v>
      </c>
      <c r="R35" s="3164">
        <v>12600</v>
      </c>
      <c r="S35" s="3164">
        <v>12600</v>
      </c>
      <c r="T35" s="2500">
        <v>10364</v>
      </c>
      <c r="U35" s="3164">
        <v>12600</v>
      </c>
      <c r="V35" s="3284">
        <v>12600</v>
      </c>
      <c r="W35" s="3284">
        <v>12600</v>
      </c>
      <c r="X35" s="3284">
        <v>12600</v>
      </c>
      <c r="Y35" s="3284">
        <v>12600</v>
      </c>
      <c r="Z35" s="3284">
        <v>12600</v>
      </c>
      <c r="AA35" s="2968">
        <v>9600</v>
      </c>
      <c r="AB35" s="2968">
        <v>7385</v>
      </c>
      <c r="AC35" s="2968">
        <v>9600</v>
      </c>
      <c r="AD35" s="3184">
        <f t="shared" si="11"/>
        <v>12600</v>
      </c>
      <c r="AE35" s="3184">
        <f t="shared" si="12"/>
        <v>12600</v>
      </c>
      <c r="AF35" s="3184">
        <f t="shared" si="13"/>
        <v>5844</v>
      </c>
      <c r="AG35" s="3184">
        <f t="shared" si="14"/>
        <v>12600</v>
      </c>
      <c r="AH35" s="3184">
        <f t="shared" si="15"/>
        <v>12600</v>
      </c>
      <c r="AI35" s="2975">
        <f t="shared" si="16"/>
        <v>12600</v>
      </c>
      <c r="AJ35" s="2975">
        <f t="shared" si="17"/>
        <v>13759</v>
      </c>
      <c r="AK35" s="2973">
        <v>2665</v>
      </c>
      <c r="AL35" s="2973">
        <v>9600</v>
      </c>
      <c r="AM35" s="2973">
        <v>3271</v>
      </c>
      <c r="AN35" s="2973">
        <v>1898</v>
      </c>
      <c r="AO35" s="199" t="s">
        <v>1553</v>
      </c>
      <c r="AP35" s="199" t="s">
        <v>1553</v>
      </c>
      <c r="AV35" s="3227">
        <v>8</v>
      </c>
      <c r="AW35" s="3228">
        <v>0</v>
      </c>
      <c r="AX35" s="3319">
        <v>21</v>
      </c>
      <c r="AY35" s="3228">
        <v>21</v>
      </c>
      <c r="BA35">
        <v>40321870</v>
      </c>
      <c r="BB35">
        <v>2</v>
      </c>
      <c r="BC35">
        <v>9</v>
      </c>
      <c r="BD35" s="199" t="s">
        <v>1553</v>
      </c>
      <c r="BE35" s="1638" t="s">
        <v>1564</v>
      </c>
      <c r="BF35" s="199">
        <v>131</v>
      </c>
      <c r="BG35" s="1656">
        <f t="shared" si="1"/>
        <v>12600</v>
      </c>
      <c r="BH35" s="365">
        <f>NDK!B40+NDK!B41</f>
        <v>0</v>
      </c>
      <c r="BI35" s="2512">
        <f t="shared" si="2"/>
        <v>0</v>
      </c>
      <c r="BJ35" s="2377">
        <f t="shared" si="3"/>
        <v>0</v>
      </c>
      <c r="BN35" s="2516" t="s">
        <v>5056</v>
      </c>
    </row>
    <row r="36" spans="1:66" ht="16.5" thickBot="1">
      <c r="A36" s="199" t="s">
        <v>1554</v>
      </c>
      <c r="B36" s="199" t="s">
        <v>1554</v>
      </c>
      <c r="C36" s="555">
        <v>132</v>
      </c>
      <c r="D36" s="3281">
        <v>48000</v>
      </c>
      <c r="E36" s="3161">
        <v>31400</v>
      </c>
      <c r="F36" s="3161">
        <v>52416</v>
      </c>
      <c r="G36" s="3281">
        <v>7116</v>
      </c>
      <c r="H36" s="3281">
        <v>11515</v>
      </c>
      <c r="I36" s="3161">
        <v>31400</v>
      </c>
      <c r="J36" s="3281">
        <v>6284</v>
      </c>
      <c r="K36" s="3161">
        <v>31400</v>
      </c>
      <c r="L36" s="3161">
        <v>31400</v>
      </c>
      <c r="M36" s="3281">
        <v>52632</v>
      </c>
      <c r="N36" s="3281">
        <v>52632</v>
      </c>
      <c r="O36" s="3161">
        <v>14100</v>
      </c>
      <c r="P36" s="3161">
        <v>15200</v>
      </c>
      <c r="Q36" s="3164">
        <v>48000</v>
      </c>
      <c r="R36" s="3164">
        <v>31400</v>
      </c>
      <c r="S36" s="3164">
        <v>31400</v>
      </c>
      <c r="T36" s="2500">
        <v>25909</v>
      </c>
      <c r="U36" s="3164">
        <v>31400</v>
      </c>
      <c r="V36" s="3284">
        <v>48000</v>
      </c>
      <c r="W36" s="3284">
        <v>48000</v>
      </c>
      <c r="X36" s="3284">
        <v>48000</v>
      </c>
      <c r="Y36" s="3284">
        <v>48000</v>
      </c>
      <c r="Z36" s="3284">
        <v>48000</v>
      </c>
      <c r="AA36" s="2968">
        <v>24000</v>
      </c>
      <c r="AB36" s="2968">
        <v>18462</v>
      </c>
      <c r="AC36" s="2968">
        <v>24000</v>
      </c>
      <c r="AD36" s="3184">
        <f t="shared" si="11"/>
        <v>48000</v>
      </c>
      <c r="AE36" s="3184">
        <f t="shared" si="12"/>
        <v>31400</v>
      </c>
      <c r="AF36" s="3184">
        <f t="shared" si="13"/>
        <v>7116</v>
      </c>
      <c r="AG36" s="3184">
        <f t="shared" si="14"/>
        <v>31400</v>
      </c>
      <c r="AH36" s="3184">
        <f t="shared" si="15"/>
        <v>31400</v>
      </c>
      <c r="AI36" s="2975">
        <f t="shared" si="16"/>
        <v>31400</v>
      </c>
      <c r="AJ36" s="2975">
        <f t="shared" si="17"/>
        <v>52416</v>
      </c>
      <c r="AK36" s="2973">
        <v>6662</v>
      </c>
      <c r="AL36" s="2973">
        <v>24000</v>
      </c>
      <c r="AM36" s="2973">
        <v>8177</v>
      </c>
      <c r="AN36" s="2973">
        <v>4743</v>
      </c>
      <c r="AO36" s="199" t="s">
        <v>1554</v>
      </c>
      <c r="AP36" s="199" t="s">
        <v>1554</v>
      </c>
      <c r="AV36" s="3227">
        <v>9</v>
      </c>
      <c r="AW36" s="3228">
        <v>0</v>
      </c>
      <c r="AX36" s="3319">
        <v>22</v>
      </c>
      <c r="AY36" s="3228">
        <v>22</v>
      </c>
      <c r="BA36">
        <v>40341205</v>
      </c>
      <c r="BB36">
        <v>1</v>
      </c>
      <c r="BC36">
        <v>0.37319999999999998</v>
      </c>
      <c r="BD36" s="199" t="s">
        <v>1554</v>
      </c>
      <c r="BE36" s="199" t="s">
        <v>1554</v>
      </c>
      <c r="BF36" s="199">
        <v>132</v>
      </c>
      <c r="BG36" s="1656">
        <f t="shared" si="1"/>
        <v>14100</v>
      </c>
      <c r="BH36" s="1637"/>
      <c r="BI36" s="2512">
        <f t="shared" si="2"/>
        <v>0</v>
      </c>
      <c r="BJ36" s="2377">
        <f t="shared" si="3"/>
        <v>0</v>
      </c>
      <c r="BK36" s="2495" t="s">
        <v>5093</v>
      </c>
      <c r="BN36" s="2503"/>
    </row>
    <row r="37" spans="1:66" ht="17.25" thickTop="1" thickBot="1">
      <c r="AV37" s="3227">
        <v>10</v>
      </c>
      <c r="AW37" s="3228">
        <v>0</v>
      </c>
      <c r="AX37" s="3320">
        <v>23</v>
      </c>
      <c r="AY37" s="3229">
        <v>23</v>
      </c>
      <c r="BA37" s="3180">
        <v>40365934</v>
      </c>
      <c r="BB37" s="3180">
        <v>1</v>
      </c>
      <c r="BC37" s="3180">
        <v>0.29530000000000001</v>
      </c>
      <c r="BH37" s="2398">
        <f>SUM(BH4:BH36)</f>
        <v>0</v>
      </c>
      <c r="BI37" s="2512"/>
      <c r="BJ37" s="2377"/>
      <c r="BK37" s="2513" t="s">
        <v>5054</v>
      </c>
      <c r="BL37" s="2514"/>
      <c r="BM37" s="2514"/>
      <c r="BN37" s="2515">
        <f>IF(AND(KÉRDÉSEK!C259=Generali!BG52,Generali!BH58=0),Generali!BJ38,0)</f>
        <v>0</v>
      </c>
    </row>
    <row r="38" spans="1:66">
      <c r="AV38" s="3227">
        <v>11</v>
      </c>
      <c r="AW38" s="3228">
        <v>0</v>
      </c>
      <c r="AX38" s="2283"/>
      <c r="AZ38" s="2976" t="s">
        <v>5276</v>
      </c>
      <c r="BA38">
        <v>40439497</v>
      </c>
      <c r="BB38">
        <v>5</v>
      </c>
      <c r="BC38">
        <v>0.9</v>
      </c>
      <c r="BG38" s="2508" t="s">
        <v>5281</v>
      </c>
      <c r="BH38" s="2509"/>
      <c r="BI38" s="2510">
        <f>SUM(BI4:BI37)</f>
        <v>0</v>
      </c>
      <c r="BJ38" s="2379">
        <f>ROUNDDOWN(SUM(BJ4:BJ37),0)</f>
        <v>0</v>
      </c>
      <c r="BK38" s="2504" t="s">
        <v>5094</v>
      </c>
      <c r="BL38" s="2324"/>
      <c r="BM38" s="2324"/>
      <c r="BN38" s="2324"/>
    </row>
    <row r="39" spans="1:66" ht="16.5" customHeight="1" thickBot="1">
      <c r="A39" s="1938" t="s">
        <v>5057</v>
      </c>
      <c r="AV39" s="3227">
        <v>12</v>
      </c>
      <c r="AW39" s="3228">
        <v>0</v>
      </c>
      <c r="AX39" s="2284"/>
      <c r="BA39">
        <v>40500099</v>
      </c>
      <c r="BB39">
        <v>1</v>
      </c>
      <c r="BC39">
        <v>0.64449999999999996</v>
      </c>
      <c r="BG39" s="2505" t="s">
        <v>5091</v>
      </c>
      <c r="BH39" s="2506"/>
      <c r="BI39" s="2507"/>
      <c r="BJ39" s="2507"/>
      <c r="BK39" s="2507"/>
      <c r="BL39" s="2507"/>
    </row>
    <row r="40" spans="1:66" ht="16.5" thickTop="1">
      <c r="A40" s="2401" t="s">
        <v>5097</v>
      </c>
      <c r="B40" s="2385"/>
      <c r="C40" s="2386"/>
      <c r="D40" s="2385" t="b">
        <v>1</v>
      </c>
      <c r="E40" s="2385"/>
      <c r="F40" s="2385"/>
      <c r="G40" s="2387" t="b">
        <v>1</v>
      </c>
      <c r="H40" s="2385" t="s">
        <v>5059</v>
      </c>
      <c r="I40" s="2385"/>
      <c r="J40" s="2388">
        <f>BH37</f>
        <v>0</v>
      </c>
      <c r="AV40" s="3227">
        <v>13</v>
      </c>
      <c r="AW40" s="3228">
        <v>0</v>
      </c>
      <c r="AX40" s="2285"/>
      <c r="BA40" s="3180">
        <v>40545594</v>
      </c>
      <c r="BB40" s="3180">
        <v>23</v>
      </c>
      <c r="BC40" s="3180">
        <v>0.31130000000000002</v>
      </c>
      <c r="BE40" s="2322" t="s">
        <v>5049</v>
      </c>
      <c r="BF40" s="2320"/>
      <c r="BG40" s="2323"/>
      <c r="BI40" s="2324" t="s">
        <v>5043</v>
      </c>
      <c r="BJ40" s="2324"/>
      <c r="BK40" s="2324">
        <f>KÉRDÉSEK!D271</f>
        <v>1</v>
      </c>
    </row>
    <row r="41" spans="1:66" ht="12.75">
      <c r="A41" s="2397" t="s">
        <v>5058</v>
      </c>
      <c r="B41" s="1944"/>
      <c r="C41" s="2389">
        <f>BH27+BH19+BH20+BH21</f>
        <v>0</v>
      </c>
      <c r="D41" s="1944"/>
      <c r="E41" s="1944"/>
      <c r="F41" s="1944"/>
      <c r="G41" s="2390" t="b">
        <v>0</v>
      </c>
      <c r="H41" s="1944"/>
      <c r="I41" s="1944"/>
      <c r="J41" s="2391"/>
      <c r="AV41" s="3227">
        <v>14</v>
      </c>
      <c r="AW41" s="3228">
        <v>0</v>
      </c>
      <c r="AX41" s="2285"/>
      <c r="BA41">
        <v>40711933</v>
      </c>
      <c r="BB41">
        <v>14</v>
      </c>
      <c r="BC41">
        <v>0.17050000000000001</v>
      </c>
      <c r="BE41" s="2320" t="s">
        <v>1559</v>
      </c>
      <c r="BF41" s="2320"/>
      <c r="BG41" s="2320" t="str">
        <f>KÉRDÉSEK!$C$260</f>
        <v>MFB</v>
      </c>
      <c r="BI41" s="2324" t="s">
        <v>5044</v>
      </c>
      <c r="BJ41" s="2324"/>
      <c r="BK41" s="2324">
        <f>KÉRDÉSEK!D279</f>
        <v>0.95</v>
      </c>
    </row>
    <row r="42" spans="1:66" ht="15">
      <c r="A42" s="2399" t="s">
        <v>5060</v>
      </c>
      <c r="B42" s="1944"/>
      <c r="C42" s="2389"/>
      <c r="D42" s="1944" t="e">
        <f>IF(C41/J40*100&gt;=20,G40,G41)</f>
        <v>#DIV/0!</v>
      </c>
      <c r="E42" s="1944"/>
      <c r="F42" s="1944" t="s">
        <v>2692</v>
      </c>
      <c r="G42" s="1944"/>
      <c r="H42" s="1944" t="b">
        <f>KÉRDÉSEK!C266</f>
        <v>0</v>
      </c>
      <c r="I42" s="1944">
        <v>1</v>
      </c>
      <c r="J42" s="2391"/>
      <c r="AV42" s="3227">
        <v>15</v>
      </c>
      <c r="AW42" s="3228">
        <v>0</v>
      </c>
      <c r="AX42" s="2285"/>
      <c r="BA42" s="3180">
        <v>40712007</v>
      </c>
      <c r="BB42" s="3180">
        <v>22</v>
      </c>
      <c r="BC42" s="3180">
        <v>0.3735</v>
      </c>
      <c r="BE42" s="2320"/>
      <c r="BF42" s="2320"/>
      <c r="BG42" s="2320"/>
      <c r="BI42" s="2324" t="s">
        <v>5045</v>
      </c>
      <c r="BJ42" s="2324"/>
      <c r="BK42" s="2324">
        <f>KÉRDÉSEK!D277</f>
        <v>1</v>
      </c>
    </row>
    <row r="43" spans="1:66" ht="12.75">
      <c r="A43" s="2400" t="s">
        <v>5272</v>
      </c>
      <c r="B43" s="1944"/>
      <c r="C43" s="2389"/>
      <c r="D43" s="1944" t="b">
        <f>IF(D65=G41,G40,G41)</f>
        <v>1</v>
      </c>
      <c r="E43" s="1944"/>
      <c r="F43" s="1944" t="s">
        <v>3747</v>
      </c>
      <c r="G43" s="1944"/>
      <c r="H43" s="1944" t="b">
        <f>KÉRDÉSEK!C269</f>
        <v>0</v>
      </c>
      <c r="I43" s="1944">
        <v>0.33110000000000001</v>
      </c>
      <c r="J43" s="2391"/>
      <c r="AV43" s="3227">
        <v>16</v>
      </c>
      <c r="AW43" s="3228">
        <v>16</v>
      </c>
      <c r="AX43" s="2286"/>
      <c r="BA43">
        <v>40753355</v>
      </c>
      <c r="BB43">
        <v>15</v>
      </c>
      <c r="BC43">
        <v>1.4</v>
      </c>
      <c r="BE43" s="2320" t="s">
        <v>1560</v>
      </c>
      <c r="BF43" s="2320"/>
      <c r="BG43" s="2497">
        <f>VLOOKUP($BG$41,$BA$2:$BB$436,2)</f>
        <v>12</v>
      </c>
      <c r="BI43" s="2324" t="s">
        <v>5046</v>
      </c>
      <c r="BJ43" s="2324"/>
      <c r="BK43" s="2324">
        <f>KÉRDÉSEK!D278</f>
        <v>1</v>
      </c>
    </row>
    <row r="44" spans="1:66" ht="12.75">
      <c r="A44" s="2392" t="s">
        <v>5062</v>
      </c>
      <c r="B44" s="1944"/>
      <c r="C44" s="2389"/>
      <c r="D44" s="1944" t="e">
        <f>AND(D40=G40,D42=G40,D43=G40)</f>
        <v>#DIV/0!</v>
      </c>
      <c r="E44" s="2708">
        <v>2</v>
      </c>
      <c r="F44" s="1944"/>
      <c r="G44" s="1944"/>
      <c r="H44" s="1944"/>
      <c r="I44" s="1944"/>
      <c r="J44" s="2391"/>
      <c r="AV44" s="3227">
        <v>17</v>
      </c>
      <c r="AW44" s="3228">
        <v>0</v>
      </c>
      <c r="AX44" s="2286"/>
      <c r="BA44">
        <v>40842984</v>
      </c>
      <c r="BB44">
        <v>1</v>
      </c>
      <c r="BC44">
        <v>0.5353</v>
      </c>
      <c r="BE44" s="2376" t="s">
        <v>5034</v>
      </c>
      <c r="BF44" s="2376"/>
      <c r="BG44" s="2376">
        <f>VLOOKUP($BG$41,$BA$2:$BC$436,3)</f>
        <v>0.16470000000000001</v>
      </c>
      <c r="BI44" s="2324" t="s">
        <v>5047</v>
      </c>
      <c r="BJ44" s="2324"/>
      <c r="BK44" s="2324">
        <f>KÉRDÉSEK!C299</f>
        <v>1</v>
      </c>
    </row>
    <row r="45" spans="1:66">
      <c r="A45" s="2392"/>
      <c r="B45" s="1944"/>
      <c r="C45" s="2389"/>
      <c r="D45" s="1944"/>
      <c r="E45" s="2708" t="s">
        <v>5194</v>
      </c>
      <c r="F45" s="1944"/>
      <c r="G45" s="1944"/>
      <c r="H45" s="1944"/>
      <c r="I45" s="1944"/>
      <c r="J45" s="2391"/>
      <c r="AV45" s="3227">
        <v>18</v>
      </c>
      <c r="AW45" s="3228">
        <v>18</v>
      </c>
      <c r="AX45" s="2286"/>
      <c r="BA45">
        <v>40883013</v>
      </c>
      <c r="BB45">
        <v>6</v>
      </c>
      <c r="BC45">
        <v>0.4</v>
      </c>
      <c r="BI45" s="2378" t="s">
        <v>5048</v>
      </c>
      <c r="BJ45" s="2378"/>
      <c r="BK45" s="2378">
        <f>BK40*BK41*BK42*BK43*BK44</f>
        <v>0.95</v>
      </c>
    </row>
    <row r="46" spans="1:66" ht="16.5" thickBot="1">
      <c r="A46" s="2393"/>
      <c r="B46" s="2394"/>
      <c r="C46" s="2395"/>
      <c r="D46" s="2394"/>
      <c r="E46" s="2394"/>
      <c r="F46" s="2394"/>
      <c r="G46" s="2394"/>
      <c r="H46" s="2394"/>
      <c r="I46" s="2394"/>
      <c r="J46" s="2396"/>
      <c r="AV46" s="3321">
        <v>19</v>
      </c>
      <c r="AW46" s="3228">
        <v>0</v>
      </c>
      <c r="AX46" s="2286"/>
      <c r="BA46" s="3180">
        <v>40913529</v>
      </c>
      <c r="BB46" s="3180">
        <v>23</v>
      </c>
      <c r="BC46" s="3180">
        <v>0.55810000000000004</v>
      </c>
    </row>
    <row r="47" spans="1:66" ht="17.25" thickTop="1" thickBot="1">
      <c r="AV47" s="3321">
        <v>20</v>
      </c>
      <c r="AW47" s="3228">
        <v>0</v>
      </c>
      <c r="AX47" s="2283"/>
      <c r="BA47">
        <v>40958183</v>
      </c>
      <c r="BB47">
        <v>14</v>
      </c>
      <c r="BC47">
        <v>0.15629999999999999</v>
      </c>
      <c r="BF47" s="2504" t="s">
        <v>5051</v>
      </c>
    </row>
    <row r="48" spans="1:66" ht="22.5" customHeight="1" thickTop="1">
      <c r="A48" s="1975"/>
      <c r="B48" s="1976" t="s">
        <v>19</v>
      </c>
      <c r="C48" s="1976" t="s">
        <v>3231</v>
      </c>
      <c r="D48" s="1940" t="s">
        <v>5019</v>
      </c>
      <c r="E48" s="1939"/>
      <c r="F48" s="1939" t="s">
        <v>1100</v>
      </c>
      <c r="G48" s="1939"/>
      <c r="H48" s="1939"/>
      <c r="I48" s="1939"/>
      <c r="J48" s="1939"/>
      <c r="K48" s="1939"/>
      <c r="L48" s="1941"/>
      <c r="AO48" s="2329"/>
      <c r="AP48" s="2330"/>
      <c r="AV48" s="3321">
        <v>21</v>
      </c>
      <c r="AW48" s="3228">
        <v>0</v>
      </c>
      <c r="BA48">
        <v>40973107</v>
      </c>
      <c r="BB48">
        <v>7</v>
      </c>
      <c r="BC48">
        <v>0.9</v>
      </c>
      <c r="BF48" s="199" t="s">
        <v>5036</v>
      </c>
    </row>
    <row r="49" spans="1:63">
      <c r="A49" s="1946"/>
      <c r="B49" s="1942"/>
      <c r="C49" s="3157">
        <v>0.27</v>
      </c>
      <c r="D49" s="3159" t="b">
        <f>OR(F49:I49)</f>
        <v>0</v>
      </c>
      <c r="E49" s="1944"/>
      <c r="F49" s="3116" t="b">
        <f>OR($B$50=111,$B$50=112,$B$50=113,$B$50=114,$B$50=115,$B$50=116,$B$50=119,$B$50=121,$B$50=122,$B$50=123,$B$50=124,$B$50=125,$B$50=126,$B$50=127,$B$50=128,$B$50=129,$B$50=130,$B$50=141,$B$50=142,$B$50=143,$B$50=144)</f>
        <v>0</v>
      </c>
      <c r="G49" s="3116" t="b">
        <f>OR($B$50=145,$B$50=146,$B$50=147,$B$50=149,$B$50=150,$B$50=161,$B$50=162,$B$50=163,$B$50=164,$B$50=170,$B$50=210,$B$50=220,$B$50=230,$B$50=240,$B$50=311,$B$50=312,$B$50=321,$B$50=322)</f>
        <v>0</v>
      </c>
      <c r="H49" s="3159" t="b">
        <f>OR($B$50=3511,$B$50=3512,$B$50=3513,$B$50=3514,$B$50=3521,$B$50=3522,$B$50=3523,$B$50=3530,$B$50=8411,$B$50=8412,$B$50=8413,$B$50=8421,$B$50=8422,$B$50=8423,$B$50=8425,$B$50=8430)</f>
        <v>0</v>
      </c>
      <c r="I49" s="3159" t="b">
        <f>OR($B$50=510,$B$50=520,$B$50=610,$B$50=620,$B$50=710,$B$50=721,$B$50=729,$B$50=811,$B$50=812,$B$50=891,$B$50=892,$B$50=893,$B$50=899,$B$50=910,$B$50=990)</f>
        <v>0</v>
      </c>
      <c r="J49" s="3159"/>
      <c r="K49" s="3159"/>
      <c r="L49" s="1945"/>
      <c r="AO49" s="232"/>
      <c r="AP49" s="2331"/>
      <c r="AV49" s="3321">
        <v>22</v>
      </c>
      <c r="AW49" s="3228">
        <v>0</v>
      </c>
      <c r="BA49">
        <v>40979067</v>
      </c>
      <c r="BB49">
        <v>6</v>
      </c>
      <c r="BC49">
        <v>0.9</v>
      </c>
      <c r="BF49" s="2324"/>
      <c r="BH49" s="365" t="s">
        <v>5037</v>
      </c>
      <c r="BJ49" s="2496" t="str">
        <f>$BG$41</f>
        <v>MFB</v>
      </c>
    </row>
    <row r="50" spans="1:63" ht="16.5" thickBot="1">
      <c r="A50" s="1946" t="s">
        <v>5359</v>
      </c>
      <c r="B50" s="3187">
        <f>B51</f>
        <v>7410</v>
      </c>
      <c r="C50" s="3157">
        <v>0.3</v>
      </c>
      <c r="D50" s="3159" t="b">
        <f>F50</f>
        <v>0</v>
      </c>
      <c r="E50" s="1944"/>
      <c r="F50" s="3116" t="b">
        <f>OR($B$50=3600,$B$50=3700)</f>
        <v>0</v>
      </c>
      <c r="G50" s="3159"/>
      <c r="H50" s="3159"/>
      <c r="I50" s="3159"/>
      <c r="J50" s="3159"/>
      <c r="K50" s="3159"/>
      <c r="L50" s="1945"/>
      <c r="AO50" s="232"/>
      <c r="AP50" s="2331"/>
      <c r="AV50" s="3322">
        <v>23</v>
      </c>
      <c r="AW50" s="3229">
        <v>0</v>
      </c>
      <c r="BA50">
        <v>41049902</v>
      </c>
      <c r="BB50">
        <v>1</v>
      </c>
      <c r="BC50">
        <v>0.34320000000000001</v>
      </c>
      <c r="BF50" s="2324"/>
      <c r="BG50" s="2334" t="b">
        <v>1</v>
      </c>
      <c r="BH50" s="498" t="s">
        <v>5038</v>
      </c>
      <c r="BJ50" s="199" t="b">
        <f>BG157</f>
        <v>0</v>
      </c>
      <c r="BK50" s="2277" t="s">
        <v>5455</v>
      </c>
    </row>
    <row r="51" spans="1:63" ht="20.25">
      <c r="A51" s="1946"/>
      <c r="B51" s="1977">
        <f>NDK!B51</f>
        <v>7410</v>
      </c>
      <c r="C51" s="3157">
        <v>0.4</v>
      </c>
      <c r="D51" s="3159" t="b">
        <f>F51</f>
        <v>0</v>
      </c>
      <c r="E51" s="1944"/>
      <c r="F51" s="3116" t="b">
        <f>OR($B$50=1011,$B$50=1012,$B$50=1013,$B$50=1020,$B$50=1031,$B$50=1032,$B$50=1039,$B$50=1041,$B$50=1042,$B$50=2211,$B$50=2219,$B$50=2221,$B$50=2222,$B$50=2223,$B$50=2229,$B$50=8211,$B$50=8219,$B$50=8220,$B$50=8230,$B$50=8291,$B$50=8292,$B$50=8299,$B$50=9491)</f>
        <v>0</v>
      </c>
      <c r="G51" s="3159"/>
      <c r="H51" s="3159"/>
      <c r="I51" s="3159"/>
      <c r="J51" s="3159"/>
      <c r="K51" s="3159"/>
      <c r="L51" s="1945"/>
      <c r="AO51" s="232"/>
      <c r="AP51" s="2331"/>
      <c r="BA51">
        <v>41086682</v>
      </c>
      <c r="BB51">
        <v>1</v>
      </c>
      <c r="BC51">
        <v>0.27879999999999999</v>
      </c>
      <c r="BF51" s="2324"/>
      <c r="BG51" s="2334" t="b">
        <v>0</v>
      </c>
      <c r="BH51" s="365" t="s">
        <v>5196</v>
      </c>
      <c r="BJ51" s="199" t="str">
        <f>KÉRDÉSEK!C259</f>
        <v>NEM</v>
      </c>
    </row>
    <row r="52" spans="1:63">
      <c r="A52" s="1946"/>
      <c r="C52" s="3157">
        <v>0.45</v>
      </c>
      <c r="D52" s="3159" t="b">
        <f>F52</f>
        <v>0</v>
      </c>
      <c r="E52" s="1944"/>
      <c r="F52" s="3116" t="b">
        <f>OR($B$50=1101,$B$50=1107,$B$50=1200,$B$50=4211,$B$50=4212,$B$50=4213,$B$50=4221,$B$50=4222,$B$50=4291,$B$50=4299)</f>
        <v>0</v>
      </c>
      <c r="G52" s="3159"/>
      <c r="H52" s="3159"/>
      <c r="I52" s="3159"/>
      <c r="J52" s="3159"/>
      <c r="K52" s="3159"/>
      <c r="L52" s="1945"/>
      <c r="AO52" s="2332"/>
      <c r="AP52" s="2332"/>
      <c r="BA52">
        <v>41133325</v>
      </c>
      <c r="BB52">
        <v>1</v>
      </c>
      <c r="BC52">
        <v>0.54610000000000003</v>
      </c>
      <c r="BF52" s="2324"/>
      <c r="BG52" s="1655" t="s">
        <v>4201</v>
      </c>
    </row>
    <row r="53" spans="1:63" ht="16.5" thickBot="1">
      <c r="A53" s="1946"/>
      <c r="B53" s="3186">
        <f>NDK!AM51</f>
        <v>7410</v>
      </c>
      <c r="C53" s="3157">
        <v>0.5</v>
      </c>
      <c r="D53" s="3159" t="b">
        <f>OR(F53:I53)</f>
        <v>0</v>
      </c>
      <c r="E53" s="1944"/>
      <c r="F53" s="3116" t="b">
        <f>OR($B$50=1102,$B$50=1103,$B$50=1104,$B$50=1105,$B$50=1106,$B$50=1310,$B$50=1320,$B$50=1330,$B$50=1391,$B$50=1392,$B$50=1393,$B$50=1394,$B$50=1395,$B$50=1396,$B$50=1399,$B$50=1411,$B$50=1412,$B$50=1413,$B$50=1414,$B$50=1419,$B$50=1420,$B$50=1431,$B$50=1439,$B$50=1511,$B$50=1512,$B$50=1520)</f>
        <v>0</v>
      </c>
      <c r="G53" s="3116" t="b">
        <f>OR($B$50=2311,$B$50=2312,$B$50=2313,$B$50=2314,$B$50=2319,$B$50=2320,$B$50=2331,$B$50=2332,$B$50=2341,$B$50=2342,$B$50=2343,$B$50=2344,$B$50=2349,$B$50=2351,$B$50=2352,$B$50=2361,$B$50=2362,$B$50=2363,$B$50=2364,$B$50=2365,$B$50=2369,$B$50=2370,$B$50=2391,$B$50=2399)</f>
        <v>0</v>
      </c>
      <c r="H53" s="3116" t="b">
        <f>OR($B$50=2811,$B$50=2812,$B$50=2813,$B$50=2814,$B$50=2815,$B$50=2821,$B$50=2822,$B$50=2823,$B$50=2824,$B$50=2825,$B$50=2829,$B$50=2830,$B$50=2841,$B$50=2849,$B$50=2891,$B$50=2892,$B$50=2893,$B$50=2894,$B$50=2895,$B$50=2896,$B$50=2899)</f>
        <v>0</v>
      </c>
      <c r="I53" s="3116" t="b">
        <f>OR($B$50=9511,$B$50=9512,$B$50=9521,$B$50=9522,$B$50=9523,$B$50=9524,$B$50=9525,$B$50=9529,$B$50=9601,$B$50=9602,$B$50=9603,$B$50=9604,$B$50=9609,$B$50=9700,$B$50=9810,$B$50=9820,$B$50=9900)</f>
        <v>0</v>
      </c>
      <c r="J53" s="3159"/>
      <c r="K53" s="3159"/>
      <c r="L53" s="1945"/>
      <c r="AO53" s="231"/>
      <c r="AP53" s="2332"/>
      <c r="BA53">
        <v>41140402</v>
      </c>
      <c r="BB53">
        <v>7</v>
      </c>
      <c r="BC53">
        <v>0.84409999999999996</v>
      </c>
      <c r="BF53" s="2981" t="s">
        <v>5277</v>
      </c>
      <c r="BG53" s="2978"/>
      <c r="BH53" s="2979"/>
      <c r="BI53" s="2980"/>
      <c r="BJ53" s="2980">
        <v>46930320</v>
      </c>
      <c r="BK53" s="199" t="s">
        <v>5283</v>
      </c>
    </row>
    <row r="54" spans="1:63">
      <c r="A54" s="1946"/>
      <c r="B54" s="2958"/>
      <c r="C54" s="3157">
        <v>0.55000000000000004</v>
      </c>
      <c r="D54" s="3159" t="b">
        <f>OR(F54,G54)</f>
        <v>0</v>
      </c>
      <c r="E54" s="1944"/>
      <c r="F54" s="3116" t="b">
        <f>OR($B$50=4110,$B$50=4120,$B$50=4621,$B$50=4622,$B$50=4623,$B$50=4624,$B$50=4631,$B$50=4661,$B$50=4662,$B$50=4663,$B$50=4669,$B$50=6110,$B$50=6120,$B$50=6130,$B$50=6190,$B$50=8510,$B$50=8520,$B$50=8531,$B$50=8532,$B$50=8541,$B$50=8542,$B$50=8551,$B$50=8552,$B$50=8553,$B$50=8559,$B$50=8560)</f>
        <v>0</v>
      </c>
      <c r="G54" s="3116" t="b">
        <f>OR($B$50=9001,$B$50=9002,$B$50=9003,$B$50=9004,$B$50=9101,$B$50=9102,$B$50=9103,$B$50=9104,$B$50=9200,$B$50=9311,$B$50=9312,$B$50=9313,$B$50=9319,$B$50=9321,$B$50=9329,$B$50=9411,$B$50=9412,$B$50=9420,$B$50=9492,$B$50=9499)</f>
        <v>0</v>
      </c>
      <c r="H54" s="3159"/>
      <c r="I54" s="3159"/>
      <c r="J54" s="3159"/>
      <c r="K54" s="3159"/>
      <c r="L54" s="1945"/>
      <c r="AO54" s="231"/>
      <c r="AP54" s="2332"/>
      <c r="AQ54" s="3301" t="s">
        <v>5445</v>
      </c>
      <c r="AR54" s="3302"/>
      <c r="AS54" s="3302"/>
      <c r="AT54" s="3302"/>
      <c r="AU54" s="3302"/>
      <c r="AV54" s="3303"/>
      <c r="AW54" s="3303"/>
      <c r="AX54" s="3304"/>
      <c r="BA54">
        <v>41250732</v>
      </c>
      <c r="BB54">
        <v>1</v>
      </c>
      <c r="BC54">
        <v>9.7100000000000006E-2</v>
      </c>
      <c r="BF54" s="2977" t="s">
        <v>5278</v>
      </c>
      <c r="BG54" s="2978">
        <f>KÉRDÉSEK!D279</f>
        <v>0.95</v>
      </c>
      <c r="BH54" s="2979"/>
      <c r="BI54" s="2980"/>
      <c r="BJ54" s="2980" t="str">
        <f>IF(BJ49=BJ53,BJ55,BJ56)</f>
        <v>Egyelőre nem számoljuk.</v>
      </c>
    </row>
    <row r="55" spans="1:63">
      <c r="A55" s="1946"/>
      <c r="B55" s="1942"/>
      <c r="C55" s="3157">
        <v>0.6</v>
      </c>
      <c r="D55" s="3159" t="b">
        <f>OR(F55:J55)</f>
        <v>0</v>
      </c>
      <c r="E55" s="1944"/>
      <c r="F55" s="3116" t="b">
        <f>OR($B$50=2410,$B$50=2420,$B$50=2431,$B$50=2432,$B$50=2433,$B$50=2434,$B$50=2441,$B$50=2442,$B$50=2443,$B$50=2444,$B$50=2445,$B$50=2446,$B$50=2451,$B$50=2452,$B$50=2453,$B$50=2454,$B$50=2511,$B$50=2512,$B$50=2521,$B$50=2529,$B$50=2530,$B$50=2540)</f>
        <v>0</v>
      </c>
      <c r="G55" s="3116" t="b">
        <f>OR($B$50=2550,$B$50=2561,$B$50=2562,$B$50=2571,$B$50=2572,$B$50=2573,$B$50=2591,$B$50=2592,$B$50=2593,$B$50=2594,$B$50=2599,$B$50=2611,$B$50=2612,$B$50=2620,$B$50=2630,$B$50=2640,$B$50=2651,$B$50=2652,$B$50=2660,$B$50=2670,$B$50=2680)</f>
        <v>0</v>
      </c>
      <c r="H55" s="3116" t="b">
        <f>OR($B$50=3811,$B$50=3812,$B$50=3821,$B$50=3822,$B$50=3831,$B$50=3832,$B$50=3900,$B$50=4311,$B$50=4312,$B$50=4313,$B$50=4321,$B$50=4322,$B$50=4329,$B$50=4331,$B$50=4332,$B$50=4333,$B$50=4334,$B$50=4339,$B$50=4391,$B$50=4399,$B$50=4511)</f>
        <v>0</v>
      </c>
      <c r="I55" s="3116" t="b">
        <f>OR($B$50=4519,$B$50=4520,$B$50=4531,$B$50=4532,$B$50=4540,$B$50=4730,$B$50=4741,$B$50=4742,$B$50=4743,$B$50=4751,$B$50=4752,$B$50=4753,$B$50=4754,$B$50=4759,$B$50=4761,$B$50=4762,$B$50=4763,$B$50=4764,$B$50=4765,$B$50=4771,$B$50=4772)</f>
        <v>0</v>
      </c>
      <c r="J55" s="3116" t="b">
        <f>OR($B$50=4773,$B$50=4774,$B$50=4775,$B$50=4776,$B$50=4777,$B$50=4778,$B$50=4779,$B$50=4782,$B$50=4789,$B$50=4791,$B$50=4799,$B$50=5210,$B$50=5221,$B$50=5222,$B$50=5223,$B$50=5224,$B$50=5229,$B$50=8424)</f>
        <v>0</v>
      </c>
      <c r="K55" s="3159"/>
      <c r="L55" s="1945"/>
      <c r="AO55" s="231"/>
      <c r="AP55" s="2332"/>
      <c r="AQ55" s="3305" t="s">
        <v>5447</v>
      </c>
      <c r="AR55" s="3294"/>
      <c r="AS55" s="2333">
        <v>3</v>
      </c>
      <c r="AT55" s="2333"/>
      <c r="AU55" s="3294">
        <v>14</v>
      </c>
      <c r="AV55" s="3295"/>
      <c r="AW55" s="3291" t="s">
        <v>5448</v>
      </c>
      <c r="AX55" s="3306"/>
      <c r="BA55">
        <v>41333295</v>
      </c>
      <c r="BB55">
        <v>15</v>
      </c>
      <c r="BC55">
        <v>1.4</v>
      </c>
      <c r="BF55" s="2977" t="s">
        <v>5279</v>
      </c>
      <c r="BG55" s="2978">
        <f>VLOOKUP(BJ49,BH59:BI493,2)</f>
        <v>0</v>
      </c>
      <c r="BH55" s="2979" t="s">
        <v>5392</v>
      </c>
      <c r="BI55" s="2980"/>
      <c r="BJ55" s="2980" t="s">
        <v>5284</v>
      </c>
    </row>
    <row r="56" spans="1:63">
      <c r="A56" s="1946"/>
      <c r="B56" s="1942"/>
      <c r="C56" s="3157">
        <v>0.65</v>
      </c>
      <c r="D56" s="3159" t="b">
        <f>OR(F56:K56)</f>
        <v>0</v>
      </c>
      <c r="E56" s="1944"/>
      <c r="F56" s="3116" t="b">
        <f>OR($B$50=1610,$B$50=1621,$B$50=1622,$B$50=1623,$B$50=1624,$B$50=1629,$B$50=1711,$B$50=1712,$B$50=1721,$B$50=1722,$B$50=1723,$B$50=1724,$B$50=1729,$B$50=1811,$B$50=1812,$B$50=1813,$B$50=1814,$B$50=1820,$B$50=2013,$B$50=2014,$B$50=2015,$B$50=2016,$B$50=2017,$B$50=2020,$B$50=2030,$B$50=2041,$B$50=2042,$B$50=2051)</f>
        <v>0</v>
      </c>
      <c r="G56" s="3116" t="b">
        <f>OR($B$50=2052,$B$50=2053,$B$50=2059,$B$50=2060,$B$50=2110,$B$50=2120,$B$50=2910,$B$50=2920,$B$50=2931,$B$50=2932,$B$50=3011,$B$50=3012,$B$50=3020,$B$50=3030,$B$50=3040,$B$50=3091,$B$50=3092,$B$50=3099,$B$50=3101,$B$50=3102,$B$50=3103,$B$50=3109,$B$50=3211)</f>
        <v>0</v>
      </c>
      <c r="H56" s="3116" t="b">
        <f>OR($B$50=3212,$B$50=3213,$B$50=3220,$B$50=3230,$B$50=3240,$B$50=3250,$B$50=3291,$B$50=3299,$B$50=3311,$B$50=3312,$B$50=3313,$B$50=3314,$B$50=3315,$B$50=3316,$B$50=3317,$B$50=3319,$B$50=3320)</f>
        <v>0</v>
      </c>
      <c r="I56" s="3116" t="b">
        <f>OR($B$50=4611,$B$50=4612,$B$50=4613,$B$50=4614,$B$50=4615,$B$50=4616,$B$50=4617,$B$50=4618,$B$50=4619,$B$50=4632,$B$50=4633,$B$50=4634,$B$50=4635,$B$50=4636,$B$50=4637,$B$50=4638,$B$50=4639,$B$50=4641,$B$50=4642,$B$50=4643,$B$50=4644,$B$50=4645,$B$50=4646,$B$50=4647,$B$50=4648,$B$50=4649,$B$50=4651,$B$50=4652)</f>
        <v>0</v>
      </c>
      <c r="J56" s="3116" t="b">
        <f>OR($B$50=4664,$B$50=4665,$B$50=4666,$B$50=4671,$B$50=4672,$B$50=4673,$B$50=4674,$B$50=4675,$B$50=4676,$B$50=4677,$B$50=4690,$B$50=5811,$B$50=5812,$B$50=5813,$B$50=5814,$B$50=5819,$B$50=5821,$B$50=5829,$B$50=5911,$B$50=5912,$B$50=5913,$B$50=5914,$B$50=5920,$B$50=6010,$B$50=6020)</f>
        <v>0</v>
      </c>
      <c r="K56" s="3116" t="b">
        <f>OR($B$50=6201,$B$50=6202,$B$50=6203,$B$50=6209,$B$50=6311,$B$50=6312,$B$50=6391,$B$50=6399,$B$50=7810,$B$50=7820,$B$50=7830,$B$50=7911,$B$50=7912,$B$50=7990,$B$50=8020,$B$50=8030,$B$50=8110,$B$50=8121,$B$50=8122,$B$50=8129,$B$50=8130)</f>
        <v>0</v>
      </c>
      <c r="L56" s="2274"/>
      <c r="M56" s="2274"/>
      <c r="N56" s="2274"/>
      <c r="O56" s="2274"/>
      <c r="AO56" s="991"/>
      <c r="AP56" s="991"/>
      <c r="AQ56" s="3305">
        <v>186500</v>
      </c>
      <c r="AR56" s="3297">
        <f>AQ56/$AQ$59</f>
        <v>0.625</v>
      </c>
      <c r="AS56" s="2333">
        <v>171116</v>
      </c>
      <c r="AT56" s="3293">
        <f>AS56/$AS$59</f>
        <v>0.61827405298376958</v>
      </c>
      <c r="AU56" s="3294">
        <v>156700</v>
      </c>
      <c r="AV56" s="3296">
        <f>AU56/$AU$59</f>
        <v>0.62504986039090549</v>
      </c>
      <c r="AW56" s="3291">
        <v>186500</v>
      </c>
      <c r="AX56" s="3307">
        <f>AW56/$AW$59</f>
        <v>0.56807797745964062</v>
      </c>
      <c r="BA56">
        <v>41337878</v>
      </c>
      <c r="BB56">
        <v>18</v>
      </c>
      <c r="BC56">
        <v>0.6</v>
      </c>
      <c r="BF56" s="2977" t="s">
        <v>5280</v>
      </c>
      <c r="BG56" s="2978">
        <f>BG54*BG55</f>
        <v>0</v>
      </c>
      <c r="BH56" s="2979"/>
      <c r="BI56" s="2980"/>
      <c r="BJ56" s="2980" t="s">
        <v>5285</v>
      </c>
    </row>
    <row r="57" spans="1:63" ht="18.75" thickBot="1">
      <c r="A57" s="1946"/>
      <c r="B57" s="1942"/>
      <c r="C57" s="3157">
        <v>0.75</v>
      </c>
      <c r="D57" s="3159" t="b">
        <f>OR(F57,G57)</f>
        <v>1</v>
      </c>
      <c r="E57" s="1944"/>
      <c r="F57" s="3116" t="b">
        <f>OR($B$50=1051,$B$50=1052,$B$50=1061,$B$50=1062,$B$50=1071,$B$50=1072,$B$50=1073,$B$50=1081,$B$50=1082,$B$50=1083,$B$50=1084,$B$50=1085,$B$50=1086,$B$50=1089,$B$50=1091,$B$50=1092,$B$50=2711,$B$50=2712,$B$50=2720,$B$50=2731,$B$50=2732,$B$50=2733,$B$50=2740,$B$50=2751,$B$50=2752,$B$50=2790)</f>
        <v>0</v>
      </c>
      <c r="G57" s="3116" t="b">
        <f>OR($B$50=6910,$B$50=6920,$B$50=7010,$B$50=7021,$B$50=7022,$B$50=7111,$B$50=7112,$B$50=7120,$B$50=7211,$B$50=7219,$B$50=7220,$B$50=7311,$B$50=7312,$B$50=7320,$B$50=7410,$B$50=7420,$B$50=7430,$B$50=7490,$B$50=7500)</f>
        <v>1</v>
      </c>
      <c r="H57" s="3116"/>
      <c r="I57" s="3116"/>
      <c r="J57" s="3116"/>
      <c r="K57" s="3116"/>
      <c r="L57" s="2274"/>
      <c r="M57" s="2274"/>
      <c r="AO57" s="2329"/>
      <c r="AP57" s="2330"/>
      <c r="AQ57" s="3305">
        <v>186500</v>
      </c>
      <c r="AR57" s="3297">
        <f>AQ57/$AQ$59</f>
        <v>0.625</v>
      </c>
      <c r="AS57" s="2333">
        <v>171116</v>
      </c>
      <c r="AT57" s="3293">
        <f>AS57/$AS$59</f>
        <v>0.61827405298376958</v>
      </c>
      <c r="AU57" s="3294">
        <v>156700</v>
      </c>
      <c r="AV57" s="3296">
        <f>AU57/$AU$59</f>
        <v>0.62504986039090549</v>
      </c>
      <c r="AW57" s="3291">
        <v>186500</v>
      </c>
      <c r="AX57" s="3307">
        <f>AW57/$AW$59</f>
        <v>0.56807797745964062</v>
      </c>
      <c r="BA57" s="3180">
        <v>41342101</v>
      </c>
      <c r="BB57" s="3180">
        <v>1</v>
      </c>
      <c r="BC57" s="3180">
        <v>0.22459999999999999</v>
      </c>
      <c r="BF57" s="2496" t="s">
        <v>5051</v>
      </c>
    </row>
    <row r="58" spans="1:63" ht="17.25" thickTop="1" thickBot="1">
      <c r="A58" s="1946"/>
      <c r="B58" s="1942"/>
      <c r="C58" s="3157">
        <v>0.8</v>
      </c>
      <c r="D58" s="3159" t="b">
        <f>F58</f>
        <v>0</v>
      </c>
      <c r="E58" s="1944"/>
      <c r="F58" s="3116" t="b">
        <f>OR($B$50=1910,$B$50=1920,$B$50=2011,$B$50=2012,$B$50=6411,$B$50=6419,$B$50=6420,$B$50=6430,$B$50=6491,$B$50=6492,$B$50=6499,$B$50=6511,$B$50=6512,$B$50=6520,$B$50=6530,$B$50=6611,$B$50=6612,$B$50=6619,$B$50=6621,$B$50=6622,$B$50=6629,$B$50=6630)</f>
        <v>0</v>
      </c>
      <c r="G58" s="3116"/>
      <c r="H58" s="3159"/>
      <c r="I58" s="3159"/>
      <c r="J58" s="3116"/>
      <c r="K58" s="3159"/>
      <c r="L58" s="1945"/>
      <c r="AO58" s="232"/>
      <c r="AP58" s="2331"/>
      <c r="AQ58" s="3305">
        <v>205200</v>
      </c>
      <c r="AR58" s="3297">
        <f>AQ58/$AQ$59</f>
        <v>0.68766756032171583</v>
      </c>
      <c r="AS58" s="2333">
        <v>188261</v>
      </c>
      <c r="AT58" s="3293">
        <f>AS58/$AS$59</f>
        <v>0.68022213871746329</v>
      </c>
      <c r="AU58" s="3294">
        <v>172400</v>
      </c>
      <c r="AV58" s="3296">
        <f>AU58/$AU$59</f>
        <v>0.68767451136816915</v>
      </c>
      <c r="AW58" s="2333">
        <v>205200</v>
      </c>
      <c r="AX58" s="3307">
        <f>AW58/$AW$59</f>
        <v>0.62503807493146513</v>
      </c>
      <c r="BA58">
        <v>41349516</v>
      </c>
      <c r="BB58">
        <v>2</v>
      </c>
      <c r="BC58">
        <v>9</v>
      </c>
      <c r="BF58" s="2381" t="s">
        <v>5042</v>
      </c>
      <c r="BG58" s="2382"/>
      <c r="BH58" s="2383">
        <f>IF(AND(BJ50=BG50,KÉRDÉSEK!C259=Generali!BG52),BI38,0)*BG56</f>
        <v>0</v>
      </c>
      <c r="BI58" s="2495" t="s">
        <v>5458</v>
      </c>
    </row>
    <row r="59" spans="1:63" ht="16.5" thickTop="1">
      <c r="A59" s="1946"/>
      <c r="B59" s="1942"/>
      <c r="C59" s="3157">
        <v>0.9</v>
      </c>
      <c r="D59" s="3159" t="b">
        <f>F59</f>
        <v>0</v>
      </c>
      <c r="E59" s="1944"/>
      <c r="F59" s="3116" t="b">
        <f>OR($B$50=4711,$B$50=4719,$B$50=4721,$B$50=4722,$B$50=4723,$B$50=4724,$B$50=4725,$B$50=4726,$B$50=4729,$B$50=4781,$B$50=6810,$B$50=6820,$B$50=6831,$B$50=6832,$B$50=8610,$B$50=8621,$B$50=8622,$B$50=8623,$B$50=8690,$B$50=8710,$B$50=8720,$B$50=8730,$B$50=8790,$B$50=8810,$B$50=8891,$B$50=8899)</f>
        <v>0</v>
      </c>
      <c r="G59" s="3116"/>
      <c r="H59" s="3116"/>
      <c r="I59" s="3159"/>
      <c r="J59" s="3159"/>
      <c r="K59" s="3159"/>
      <c r="L59" s="1945"/>
      <c r="AO59" s="232"/>
      <c r="AP59" s="2331"/>
      <c r="AQ59" s="3305">
        <v>298400</v>
      </c>
      <c r="AR59" s="3294"/>
      <c r="AS59" s="2333">
        <v>276764</v>
      </c>
      <c r="AT59" s="2333"/>
      <c r="AU59" s="3294">
        <v>250700</v>
      </c>
      <c r="AV59" s="3294"/>
      <c r="AW59" s="3291">
        <v>328300</v>
      </c>
      <c r="AX59" s="3306"/>
      <c r="BA59">
        <v>41353130</v>
      </c>
      <c r="BB59">
        <v>1</v>
      </c>
      <c r="BC59">
        <v>0.37319999999999998</v>
      </c>
      <c r="BH59" s="365">
        <v>0</v>
      </c>
      <c r="BI59" s="199">
        <v>1</v>
      </c>
    </row>
    <row r="60" spans="1:63">
      <c r="A60" s="1946"/>
      <c r="B60" s="1942"/>
      <c r="C60" s="3157">
        <v>1</v>
      </c>
      <c r="D60" s="3159" t="b">
        <f>F60</f>
        <v>0</v>
      </c>
      <c r="E60" s="1944"/>
      <c r="F60" s="3116" t="b">
        <f>OR($B$50=5510,$B$50=5520,$B$50=5530,$B$50=5590,$B$50=5610,$B$50=5621,$B$50=5629,$B$50=5630,$B$50=7711,$B$50=7712,$B$50=7721,$B$50=7722,$B$50=7729,$B$50=7731,$B$50=7732,$B$50=7733,$B$50=7734,$B$50=7735,$B$50=7739,$B$50=7740)</f>
        <v>0</v>
      </c>
      <c r="G60" s="3159"/>
      <c r="H60" s="3159"/>
      <c r="I60" s="3159"/>
      <c r="J60" s="3159"/>
      <c r="K60" s="3159"/>
      <c r="L60" s="1945"/>
      <c r="AO60" s="232"/>
      <c r="AP60" s="2331"/>
      <c r="AQ60" s="3308"/>
      <c r="AR60" s="2333"/>
      <c r="AS60" s="2333"/>
      <c r="AT60" s="2333"/>
      <c r="AU60" s="2333"/>
      <c r="AV60" s="2333"/>
      <c r="AW60" s="2333"/>
      <c r="AX60" s="3306"/>
      <c r="BA60" s="3180">
        <v>41381013</v>
      </c>
      <c r="BB60" s="3180">
        <v>19</v>
      </c>
      <c r="BC60" s="3180">
        <v>0.46060000000000001</v>
      </c>
      <c r="BE60" s="3181" t="s">
        <v>5456</v>
      </c>
      <c r="BF60" s="3180">
        <v>10200183</v>
      </c>
      <c r="BG60" s="3180" t="b">
        <f>$BF60=$BJ$49</f>
        <v>0</v>
      </c>
      <c r="BH60" s="3180">
        <v>10200183</v>
      </c>
      <c r="BI60" s="3180">
        <v>0.56999999999999995</v>
      </c>
      <c r="BJ60" s="3241"/>
      <c r="BK60" s="3180"/>
    </row>
    <row r="61" spans="1:63">
      <c r="A61" s="1946"/>
      <c r="B61" s="1942" t="s">
        <v>5352</v>
      </c>
      <c r="C61" s="3158">
        <v>5</v>
      </c>
      <c r="D61" s="3160" t="b">
        <v>0</v>
      </c>
      <c r="E61" s="1944"/>
      <c r="F61" s="3116"/>
      <c r="G61" s="3116"/>
      <c r="H61" s="3159"/>
      <c r="I61" s="3159"/>
      <c r="J61" s="3159"/>
      <c r="K61" s="3159"/>
      <c r="L61" s="1945"/>
      <c r="AO61" s="2332"/>
      <c r="AP61" s="2332"/>
      <c r="AQ61" s="3308"/>
      <c r="AR61" s="2333"/>
      <c r="AS61" s="2333"/>
      <c r="AT61" s="2333"/>
      <c r="AU61" s="2333"/>
      <c r="AV61" s="2333"/>
      <c r="AW61" s="2333"/>
      <c r="AX61" s="3306"/>
      <c r="BA61" s="3180">
        <v>41418789</v>
      </c>
      <c r="BB61" s="3180">
        <v>1</v>
      </c>
      <c r="BC61" s="3180">
        <v>0.23449999999999999</v>
      </c>
      <c r="BF61" s="3180">
        <v>18470191</v>
      </c>
      <c r="BG61" s="3180" t="b">
        <f t="shared" ref="BG61:BG124" si="22">$BF61=$BJ$49</f>
        <v>0</v>
      </c>
      <c r="BH61">
        <v>10216987</v>
      </c>
      <c r="BI61">
        <v>0</v>
      </c>
      <c r="BK61" s="3180"/>
    </row>
    <row r="62" spans="1:63">
      <c r="A62" s="1946"/>
      <c r="B62" s="1942"/>
      <c r="C62" s="3158">
        <v>5</v>
      </c>
      <c r="D62" s="3160" t="b">
        <v>0</v>
      </c>
      <c r="E62" s="1944"/>
      <c r="F62" s="3116"/>
      <c r="G62" s="3159"/>
      <c r="H62" s="3159"/>
      <c r="I62" s="3159"/>
      <c r="J62" s="3159"/>
      <c r="K62" s="3159"/>
      <c r="L62" s="1945"/>
      <c r="AO62" s="231"/>
      <c r="AP62" s="2332"/>
      <c r="AQ62" s="3309"/>
      <c r="AR62" s="991"/>
      <c r="AS62" s="3298" t="s">
        <v>5446</v>
      </c>
      <c r="AT62" s="3298"/>
      <c r="AU62" s="3298">
        <v>21.22</v>
      </c>
      <c r="AV62" s="3298"/>
      <c r="AW62" s="3298">
        <v>23</v>
      </c>
      <c r="AX62" s="3310"/>
      <c r="BA62">
        <v>42166870</v>
      </c>
      <c r="BB62">
        <v>17</v>
      </c>
      <c r="BC62">
        <v>0.9</v>
      </c>
      <c r="BF62" s="3180">
        <v>30068756</v>
      </c>
      <c r="BG62" s="3180" t="b">
        <f t="shared" si="22"/>
        <v>0</v>
      </c>
      <c r="BH62">
        <v>10314822</v>
      </c>
      <c r="BI62">
        <v>0</v>
      </c>
      <c r="BK62" s="3180"/>
    </row>
    <row r="63" spans="1:63">
      <c r="A63" s="1946"/>
      <c r="B63" s="1942"/>
      <c r="C63" s="3158">
        <v>5</v>
      </c>
      <c r="D63" s="3160" t="b">
        <v>0</v>
      </c>
      <c r="E63" s="1944"/>
      <c r="F63" s="3116"/>
      <c r="G63" s="3159"/>
      <c r="H63" s="3159"/>
      <c r="I63" s="3159"/>
      <c r="J63" s="3159"/>
      <c r="K63" s="3159"/>
      <c r="L63" s="1945"/>
      <c r="AO63" s="231"/>
      <c r="AP63" s="2332"/>
      <c r="AQ63" s="3311"/>
      <c r="AR63" s="3292"/>
      <c r="AS63" s="3299">
        <v>172300</v>
      </c>
      <c r="AT63" s="3300">
        <f>AS63/$AS$66</f>
        <v>0.62495466086325713</v>
      </c>
      <c r="AU63" s="3299">
        <v>165500</v>
      </c>
      <c r="AV63" s="3299">
        <f>AU63/$AU$66</f>
        <v>0.625</v>
      </c>
      <c r="AW63" s="3299">
        <v>156700</v>
      </c>
      <c r="AX63" s="3312">
        <f>AW63/$AW$66</f>
        <v>0.62504986039090549</v>
      </c>
      <c r="BA63">
        <v>42387935</v>
      </c>
      <c r="BB63">
        <v>6</v>
      </c>
      <c r="BC63">
        <v>0.65</v>
      </c>
      <c r="BF63" s="3180">
        <v>30154673</v>
      </c>
      <c r="BG63" s="3180" t="b">
        <f t="shared" si="22"/>
        <v>0</v>
      </c>
      <c r="BH63">
        <v>10439782</v>
      </c>
      <c r="BI63">
        <v>0</v>
      </c>
      <c r="BK63" s="3180"/>
    </row>
    <row r="64" spans="1:63">
      <c r="A64" s="1946"/>
      <c r="B64" s="1942"/>
      <c r="C64" s="3157">
        <v>2</v>
      </c>
      <c r="D64" s="3159" t="b">
        <f>F64</f>
        <v>0</v>
      </c>
      <c r="E64" s="1944"/>
      <c r="F64" s="3116" t="b">
        <f>OR($B$51=8010)</f>
        <v>0</v>
      </c>
      <c r="G64" s="3159"/>
      <c r="H64" s="3159"/>
      <c r="I64" s="3159"/>
      <c r="J64" s="3159"/>
      <c r="K64" s="3159"/>
      <c r="L64" s="1945"/>
      <c r="AO64" s="231"/>
      <c r="AP64" s="2332"/>
      <c r="AQ64" s="3313"/>
      <c r="AR64" s="2333"/>
      <c r="AS64" s="3294">
        <v>172300</v>
      </c>
      <c r="AT64" s="3300">
        <f>AS64/$AS$66</f>
        <v>0.62495466086325713</v>
      </c>
      <c r="AU64" s="3294">
        <v>165500</v>
      </c>
      <c r="AV64" s="3299">
        <f>AU64/$AU$66</f>
        <v>0.625</v>
      </c>
      <c r="AW64" s="3295">
        <v>156700</v>
      </c>
      <c r="AX64" s="3312">
        <f>AW64/$AW$66</f>
        <v>0.62504986039090549</v>
      </c>
      <c r="BA64">
        <v>42424775</v>
      </c>
      <c r="BB64">
        <v>6</v>
      </c>
      <c r="BC64">
        <v>0.4</v>
      </c>
      <c r="BF64" s="3180">
        <v>30159626</v>
      </c>
      <c r="BG64" s="3180" t="b">
        <f t="shared" si="22"/>
        <v>0</v>
      </c>
      <c r="BH64">
        <v>10474089</v>
      </c>
      <c r="BI64">
        <v>0</v>
      </c>
      <c r="BK64" s="3180"/>
    </row>
    <row r="65" spans="1:63">
      <c r="A65" s="1946"/>
      <c r="B65" s="1942"/>
      <c r="C65" s="3157">
        <v>9</v>
      </c>
      <c r="D65" s="3159" t="b">
        <f>F65</f>
        <v>0</v>
      </c>
      <c r="E65" s="1944"/>
      <c r="F65" s="3116" t="b">
        <f>OR($B$51=4941,$B$51=4910,$B$51=4920,$B$51=4931,$B$51=4932,$B$51=4939,$B$51=4942,$B$51=4950,$B$51=5010,$B$51=5020,$B$51=5030,$B$51=5040,$B$51=5110,$B$51=5121,$B$51=5122,$B$51=5310,$B$51=5320)</f>
        <v>0</v>
      </c>
      <c r="G65" s="3159"/>
      <c r="H65" s="3159"/>
      <c r="I65" s="3159"/>
      <c r="J65" s="3159"/>
      <c r="K65" s="3159"/>
      <c r="L65" s="1945"/>
      <c r="AQ65" s="3313"/>
      <c r="AR65" s="2333"/>
      <c r="AS65" s="3294">
        <v>189500</v>
      </c>
      <c r="AT65" s="3300">
        <f>AS65/$AS$66</f>
        <v>0.68734131302140011</v>
      </c>
      <c r="AU65" s="3294">
        <v>182100</v>
      </c>
      <c r="AV65" s="3300">
        <f>AU65/$AU$66</f>
        <v>0.68768882175226587</v>
      </c>
      <c r="AW65" s="3295">
        <v>172400</v>
      </c>
      <c r="AX65" s="3312">
        <f>AW65/$AW$66</f>
        <v>0.68767451136816915</v>
      </c>
      <c r="BA65" s="3180">
        <v>42508305</v>
      </c>
      <c r="BB65" s="3180">
        <v>1</v>
      </c>
      <c r="BC65" s="3180">
        <v>0.42180000000000001</v>
      </c>
      <c r="BF65" s="3180">
        <v>30180139</v>
      </c>
      <c r="BG65" s="3180" t="b">
        <f t="shared" si="22"/>
        <v>0</v>
      </c>
      <c r="BH65">
        <v>10823048</v>
      </c>
      <c r="BI65">
        <v>0</v>
      </c>
      <c r="BK65" s="3180"/>
    </row>
    <row r="66" spans="1:63" thickBot="1">
      <c r="A66" s="1946"/>
      <c r="B66" s="1942"/>
      <c r="C66" s="1942"/>
      <c r="D66" s="1944"/>
      <c r="E66" s="1944"/>
      <c r="F66" s="1944"/>
      <c r="G66" s="1944"/>
      <c r="H66" s="1944"/>
      <c r="I66" s="1944"/>
      <c r="J66" s="1944"/>
      <c r="K66" s="1944"/>
      <c r="L66" s="1945"/>
      <c r="AQ66" s="3314"/>
      <c r="AR66" s="3315"/>
      <c r="AS66" s="3316">
        <v>275700</v>
      </c>
      <c r="AT66" s="3316"/>
      <c r="AU66" s="3316">
        <v>264800</v>
      </c>
      <c r="AV66" s="3317"/>
      <c r="AW66" s="3317">
        <v>250700</v>
      </c>
      <c r="AX66" s="3318"/>
      <c r="BA66">
        <v>42558503</v>
      </c>
      <c r="BB66">
        <v>2</v>
      </c>
      <c r="BC66">
        <v>9</v>
      </c>
      <c r="BF66" s="3180">
        <v>30188841</v>
      </c>
      <c r="BG66" s="3180" t="b">
        <f t="shared" si="22"/>
        <v>0</v>
      </c>
      <c r="BH66">
        <v>10861296</v>
      </c>
      <c r="BI66">
        <v>0</v>
      </c>
      <c r="BK66" s="3180"/>
    </row>
    <row r="67" spans="1:63" ht="15">
      <c r="A67" s="1946"/>
      <c r="B67" s="1942"/>
      <c r="C67" s="1942"/>
      <c r="D67" s="2403" t="s">
        <v>5063</v>
      </c>
      <c r="E67" s="2403"/>
      <c r="F67" s="2403"/>
      <c r="G67" s="2403"/>
      <c r="H67" s="2403"/>
      <c r="I67" s="2403"/>
      <c r="J67" s="2403"/>
      <c r="K67" s="1944"/>
      <c r="L67" s="1945"/>
      <c r="BA67">
        <v>42627579</v>
      </c>
      <c r="BB67">
        <v>11</v>
      </c>
      <c r="BC67">
        <v>1</v>
      </c>
      <c r="BF67" s="3180">
        <v>40156742</v>
      </c>
      <c r="BG67" s="3180" t="b">
        <f t="shared" si="22"/>
        <v>0</v>
      </c>
      <c r="BH67">
        <v>18428322</v>
      </c>
      <c r="BI67">
        <v>0</v>
      </c>
      <c r="BK67" s="3180"/>
    </row>
    <row r="68" spans="1:63" ht="15">
      <c r="A68" s="1946"/>
      <c r="B68" s="1942"/>
      <c r="C68" s="1943"/>
      <c r="D68" s="2403"/>
      <c r="E68" s="2403"/>
      <c r="F68" s="2403"/>
      <c r="G68" s="2403"/>
      <c r="H68" s="2403"/>
      <c r="I68" s="2403"/>
      <c r="J68" s="2403"/>
      <c r="K68" s="1944"/>
      <c r="L68" s="1945"/>
      <c r="BA68" s="3180">
        <v>42650653</v>
      </c>
      <c r="BB68" s="3180">
        <v>1</v>
      </c>
      <c r="BC68" s="3180">
        <v>0.28010000000000002</v>
      </c>
      <c r="BF68" s="3180">
        <v>40299014</v>
      </c>
      <c r="BG68" s="3180" t="b">
        <f t="shared" si="22"/>
        <v>0</v>
      </c>
      <c r="BH68" s="3180">
        <v>18470191</v>
      </c>
      <c r="BI68" s="3180">
        <v>0.31209999999999999</v>
      </c>
      <c r="BK68" s="3180"/>
    </row>
    <row r="69" spans="1:63" ht="15">
      <c r="A69" s="1946"/>
      <c r="B69" s="1942" t="s">
        <v>20</v>
      </c>
      <c r="C69" s="1943"/>
      <c r="D69" s="2403"/>
      <c r="E69" s="2403"/>
      <c r="F69" s="2403"/>
      <c r="G69" s="2403"/>
      <c r="H69" s="2403"/>
      <c r="I69" s="2403"/>
      <c r="J69" s="2403"/>
      <c r="K69" s="1944"/>
      <c r="L69" s="1945"/>
      <c r="BA69">
        <v>42772688</v>
      </c>
      <c r="BB69">
        <v>1</v>
      </c>
      <c r="BC69">
        <v>0.86109999999999998</v>
      </c>
      <c r="BF69" s="3180">
        <v>40365934</v>
      </c>
      <c r="BG69" s="3180" t="b">
        <f t="shared" si="22"/>
        <v>0</v>
      </c>
      <c r="BH69">
        <v>18595421</v>
      </c>
      <c r="BI69">
        <v>0</v>
      </c>
      <c r="BK69" s="3180"/>
    </row>
    <row r="70" spans="1:63" ht="39" thickBot="1">
      <c r="A70" s="1947"/>
      <c r="B70" s="2402" t="s">
        <v>5061</v>
      </c>
      <c r="C70" s="1949">
        <f>C49*D49+C50*D50+C51*D51+C52*D52+C53*D53+C54*D54+C55*D55+C56*D56+C57*D57+C58*D58+C59*D59+C60*D60+C61*D61+C62*D62+C63*D63+C64*D64+C65*D65</f>
        <v>0.75</v>
      </c>
      <c r="D70" s="2404"/>
      <c r="E70" s="2405"/>
      <c r="F70" s="2405"/>
      <c r="G70" s="2405"/>
      <c r="H70" s="2405"/>
      <c r="I70" s="2406" t="e">
        <f>IF(H43=G40,I43,IF(H42=G40,I42,IF(D44=G40,E44,C70)))</f>
        <v>#DIV/0!</v>
      </c>
      <c r="J70" s="2405" t="s">
        <v>5096</v>
      </c>
      <c r="K70" s="1948"/>
      <c r="L70" s="1950"/>
      <c r="AD70" s="3166" t="s">
        <v>5358</v>
      </c>
      <c r="BA70">
        <v>42790551</v>
      </c>
      <c r="BB70">
        <v>2</v>
      </c>
      <c r="BC70">
        <v>5</v>
      </c>
      <c r="BF70" s="3180">
        <v>40545594</v>
      </c>
      <c r="BG70" s="3180" t="b">
        <f t="shared" si="22"/>
        <v>0</v>
      </c>
      <c r="BH70">
        <v>18614410</v>
      </c>
      <c r="BI70">
        <v>0</v>
      </c>
      <c r="BK70" s="3180"/>
    </row>
    <row r="71" spans="1:63" thickTop="1">
      <c r="AD71" s="199">
        <v>1</v>
      </c>
      <c r="AE71" s="199">
        <v>16</v>
      </c>
      <c r="AF71" s="199">
        <v>4</v>
      </c>
      <c r="AG71" s="199">
        <v>2</v>
      </c>
      <c r="AH71" s="199">
        <v>15</v>
      </c>
      <c r="AI71" s="199" t="s">
        <v>5356</v>
      </c>
      <c r="BA71">
        <v>42798601</v>
      </c>
      <c r="BB71">
        <v>2</v>
      </c>
      <c r="BC71">
        <v>4.7759999999999998</v>
      </c>
      <c r="BF71" s="3180">
        <v>40712007</v>
      </c>
      <c r="BG71" s="3180" t="b">
        <f t="shared" si="22"/>
        <v>0</v>
      </c>
      <c r="BH71">
        <v>18614765</v>
      </c>
      <c r="BI71">
        <v>0</v>
      </c>
      <c r="BK71" s="3180"/>
    </row>
    <row r="72" spans="1:63">
      <c r="A72" s="2280" t="s">
        <v>5022</v>
      </c>
      <c r="C72" s="1635" t="s">
        <v>1562</v>
      </c>
      <c r="D72" s="2275" t="s">
        <v>3883</v>
      </c>
      <c r="E72" s="2276">
        <v>2</v>
      </c>
      <c r="F72" s="2275" t="s">
        <v>3885</v>
      </c>
      <c r="G72" s="2276">
        <v>4</v>
      </c>
      <c r="H72" s="2275" t="s">
        <v>3887</v>
      </c>
      <c r="I72" s="2276">
        <v>6</v>
      </c>
      <c r="J72" s="2275" t="s">
        <v>3889</v>
      </c>
      <c r="K72" s="2276">
        <v>8</v>
      </c>
      <c r="L72" s="2275">
        <v>9</v>
      </c>
      <c r="M72" s="2276">
        <v>10</v>
      </c>
      <c r="N72" s="2275">
        <v>11</v>
      </c>
      <c r="O72" s="2276">
        <v>12</v>
      </c>
      <c r="P72" s="2277">
        <v>13</v>
      </c>
      <c r="Q72" s="199">
        <v>14</v>
      </c>
      <c r="R72" s="199">
        <v>15</v>
      </c>
      <c r="S72" s="199">
        <v>16</v>
      </c>
      <c r="T72" s="199">
        <v>17</v>
      </c>
      <c r="U72" s="199">
        <v>18</v>
      </c>
      <c r="V72" s="199">
        <v>19</v>
      </c>
      <c r="W72" s="199">
        <v>20</v>
      </c>
      <c r="X72" s="199">
        <v>21</v>
      </c>
      <c r="Y72" s="199">
        <v>22</v>
      </c>
      <c r="Z72" s="199">
        <v>23</v>
      </c>
      <c r="AD72" s="3185">
        <v>27</v>
      </c>
      <c r="AE72" s="3185">
        <v>28</v>
      </c>
      <c r="AF72" s="3185">
        <v>29</v>
      </c>
      <c r="AG72" s="3185">
        <v>30</v>
      </c>
      <c r="AH72" s="3185">
        <v>31</v>
      </c>
      <c r="AI72" s="199">
        <v>26</v>
      </c>
      <c r="AJ72" s="199">
        <v>27</v>
      </c>
      <c r="AK72" s="199">
        <v>28</v>
      </c>
      <c r="AL72" s="199">
        <v>29</v>
      </c>
      <c r="AM72" s="199">
        <v>30</v>
      </c>
      <c r="BA72">
        <v>42810984</v>
      </c>
      <c r="BB72">
        <v>1</v>
      </c>
      <c r="BC72">
        <v>0.54579999999999995</v>
      </c>
      <c r="BF72" s="3180">
        <v>40913529</v>
      </c>
      <c r="BG72" s="3180" t="b">
        <f t="shared" si="22"/>
        <v>0</v>
      </c>
      <c r="BH72">
        <v>18659707</v>
      </c>
      <c r="BI72">
        <v>0</v>
      </c>
      <c r="BK72" s="3180"/>
    </row>
    <row r="73" spans="1:63" ht="15">
      <c r="B73" s="199" t="s">
        <v>5020</v>
      </c>
      <c r="D73" s="3161">
        <v>131000</v>
      </c>
      <c r="E73" s="3163">
        <v>121300</v>
      </c>
      <c r="F73" s="3161">
        <v>103085</v>
      </c>
      <c r="G73" s="3281">
        <v>44100</v>
      </c>
      <c r="H73" s="3281">
        <v>44481</v>
      </c>
      <c r="I73" s="3161">
        <v>121300</v>
      </c>
      <c r="J73" s="3281">
        <v>24721</v>
      </c>
      <c r="K73" s="3161">
        <v>99500</v>
      </c>
      <c r="L73" s="3161">
        <v>131000</v>
      </c>
      <c r="M73" s="3281">
        <v>52632</v>
      </c>
      <c r="N73" s="3281">
        <v>52632</v>
      </c>
      <c r="O73" s="3161">
        <v>121300</v>
      </c>
      <c r="P73" s="3161">
        <v>58700</v>
      </c>
      <c r="Q73" s="3164">
        <v>94400</v>
      </c>
      <c r="R73" s="3164">
        <v>121300</v>
      </c>
      <c r="S73" s="3164">
        <v>131000</v>
      </c>
      <c r="T73" s="2500">
        <v>87015</v>
      </c>
      <c r="U73" s="3164">
        <v>94400</v>
      </c>
      <c r="V73" s="2500">
        <v>107500</v>
      </c>
      <c r="W73" s="2500">
        <v>107500</v>
      </c>
      <c r="X73" s="2500">
        <v>107500</v>
      </c>
      <c r="Y73" s="2500">
        <v>94400</v>
      </c>
      <c r="Z73" s="2500">
        <v>94400</v>
      </c>
      <c r="AA73" s="2500"/>
      <c r="AB73" s="2500"/>
      <c r="AC73" s="2500"/>
      <c r="AD73" s="3182">
        <v>131000</v>
      </c>
      <c r="AE73" s="3182">
        <v>131000</v>
      </c>
      <c r="AF73" s="3182">
        <v>42816</v>
      </c>
      <c r="AG73" s="3182">
        <v>121300</v>
      </c>
      <c r="AH73" s="3182">
        <v>121300</v>
      </c>
      <c r="AI73" s="2501">
        <v>39962</v>
      </c>
      <c r="AJ73" s="2501">
        <v>57202</v>
      </c>
      <c r="AK73" s="2501">
        <v>43524</v>
      </c>
      <c r="AL73" s="2501">
        <v>15658</v>
      </c>
      <c r="AM73" s="2501">
        <v>58100</v>
      </c>
      <c r="AN73" s="2501"/>
      <c r="BA73">
        <v>42850644</v>
      </c>
      <c r="BB73">
        <v>6</v>
      </c>
      <c r="BC73">
        <v>0.7</v>
      </c>
      <c r="BF73" s="3180">
        <v>41342101</v>
      </c>
      <c r="BG73" s="3180" t="b">
        <f t="shared" si="22"/>
        <v>0</v>
      </c>
      <c r="BH73" s="3180">
        <v>30068756</v>
      </c>
      <c r="BI73" s="3180">
        <v>0.36370000000000002</v>
      </c>
      <c r="BK73" s="3180"/>
    </row>
    <row r="74" spans="1:63" ht="15">
      <c r="A74" s="199" t="s">
        <v>1523</v>
      </c>
      <c r="B74" s="199" t="s">
        <v>1526</v>
      </c>
      <c r="C74" s="555">
        <v>102</v>
      </c>
      <c r="D74" s="3161">
        <f>D$6</f>
        <v>131000</v>
      </c>
      <c r="E74" s="3161">
        <f t="shared" ref="E74:Z74" si="23">E$6</f>
        <v>121300</v>
      </c>
      <c r="F74" s="3161">
        <f t="shared" si="23"/>
        <v>103085</v>
      </c>
      <c r="G74" s="3281">
        <f t="shared" si="23"/>
        <v>44100</v>
      </c>
      <c r="H74" s="3281">
        <f t="shared" si="23"/>
        <v>44481</v>
      </c>
      <c r="I74" s="3161">
        <f t="shared" si="23"/>
        <v>121300</v>
      </c>
      <c r="J74" s="3281">
        <f t="shared" si="23"/>
        <v>24721</v>
      </c>
      <c r="K74" s="3161">
        <f t="shared" si="23"/>
        <v>108700</v>
      </c>
      <c r="L74" s="3161">
        <f t="shared" si="23"/>
        <v>131000</v>
      </c>
      <c r="M74" s="3281">
        <f t="shared" si="23"/>
        <v>52632</v>
      </c>
      <c r="N74" s="3161">
        <f t="shared" si="23"/>
        <v>52632</v>
      </c>
      <c r="O74" s="3161">
        <f t="shared" si="23"/>
        <v>121300</v>
      </c>
      <c r="P74" s="3161">
        <f t="shared" si="23"/>
        <v>58700</v>
      </c>
      <c r="Q74" s="3161">
        <f t="shared" si="23"/>
        <v>94400</v>
      </c>
      <c r="R74" s="3161">
        <f t="shared" si="23"/>
        <v>121300</v>
      </c>
      <c r="S74" s="3161">
        <f t="shared" si="23"/>
        <v>131000</v>
      </c>
      <c r="T74" s="3161">
        <f t="shared" si="23"/>
        <v>87015</v>
      </c>
      <c r="U74" s="3161">
        <f t="shared" si="23"/>
        <v>94400</v>
      </c>
      <c r="V74" s="3161">
        <f t="shared" si="23"/>
        <v>107500</v>
      </c>
      <c r="W74" s="3161">
        <f t="shared" si="23"/>
        <v>107500</v>
      </c>
      <c r="X74" s="3161">
        <f t="shared" si="23"/>
        <v>107500</v>
      </c>
      <c r="Y74" s="3161">
        <f t="shared" si="23"/>
        <v>94400</v>
      </c>
      <c r="Z74" s="3161">
        <f t="shared" si="23"/>
        <v>94400</v>
      </c>
      <c r="AA74" s="2709"/>
      <c r="AB74" s="2709"/>
      <c r="AC74" s="2709"/>
      <c r="AD74" s="3161">
        <f>AD$6</f>
        <v>131000</v>
      </c>
      <c r="AE74" s="3161">
        <f>AE$6</f>
        <v>131000</v>
      </c>
      <c r="AF74" s="3161">
        <v>42816</v>
      </c>
      <c r="AG74" s="3161">
        <f>AG$6</f>
        <v>121300</v>
      </c>
      <c r="AH74" s="3161">
        <f>AH$6</f>
        <v>121300</v>
      </c>
      <c r="AI74" s="3183">
        <f>AC$6</f>
        <v>58100</v>
      </c>
      <c r="AJ74" s="3183">
        <f>AD$6</f>
        <v>131000</v>
      </c>
      <c r="AK74" s="3183">
        <f>AE$6</f>
        <v>131000</v>
      </c>
      <c r="AL74" s="3183">
        <f>AF$6</f>
        <v>44100</v>
      </c>
      <c r="AM74" s="3183">
        <f>AG$6</f>
        <v>121300</v>
      </c>
      <c r="AN74" s="2501"/>
      <c r="BA74">
        <v>42857974</v>
      </c>
      <c r="BB74">
        <v>14</v>
      </c>
      <c r="BC74">
        <v>0.26250000000000001</v>
      </c>
      <c r="BF74" s="3180">
        <v>41381013</v>
      </c>
      <c r="BG74" s="3180" t="b">
        <f t="shared" si="22"/>
        <v>0</v>
      </c>
      <c r="BH74">
        <v>30134572</v>
      </c>
      <c r="BI74">
        <v>0</v>
      </c>
      <c r="BK74" s="3180"/>
    </row>
    <row r="75" spans="1:63" ht="26.25">
      <c r="B75" s="111" t="s">
        <v>1491</v>
      </c>
      <c r="C75" s="555">
        <v>103</v>
      </c>
      <c r="D75" s="2279">
        <f>D$73-D$74</f>
        <v>0</v>
      </c>
      <c r="E75" s="2279">
        <f t="shared" ref="E75:AM75" si="24">E$73-E$74</f>
        <v>0</v>
      </c>
      <c r="F75" s="2279">
        <f t="shared" si="24"/>
        <v>0</v>
      </c>
      <c r="G75" s="2279">
        <f t="shared" si="24"/>
        <v>0</v>
      </c>
      <c r="H75" s="2279">
        <f t="shared" si="24"/>
        <v>0</v>
      </c>
      <c r="I75" s="2279">
        <f t="shared" si="24"/>
        <v>0</v>
      </c>
      <c r="J75" s="2279">
        <f t="shared" si="24"/>
        <v>0</v>
      </c>
      <c r="K75" s="2279">
        <f t="shared" si="24"/>
        <v>-9200</v>
      </c>
      <c r="L75" s="2279">
        <f t="shared" si="24"/>
        <v>0</v>
      </c>
      <c r="M75" s="2279">
        <f t="shared" si="24"/>
        <v>0</v>
      </c>
      <c r="N75" s="2279">
        <f t="shared" si="24"/>
        <v>0</v>
      </c>
      <c r="O75" s="2279">
        <f t="shared" si="24"/>
        <v>0</v>
      </c>
      <c r="P75" s="2279">
        <f t="shared" si="24"/>
        <v>0</v>
      </c>
      <c r="Q75" s="2279">
        <f t="shared" si="24"/>
        <v>0</v>
      </c>
      <c r="R75" s="2279">
        <f t="shared" si="24"/>
        <v>0</v>
      </c>
      <c r="S75" s="2279">
        <f t="shared" si="24"/>
        <v>0</v>
      </c>
      <c r="T75" s="2279">
        <f t="shared" si="24"/>
        <v>0</v>
      </c>
      <c r="U75" s="2279">
        <f t="shared" si="24"/>
        <v>0</v>
      </c>
      <c r="V75" s="2279">
        <f t="shared" si="24"/>
        <v>0</v>
      </c>
      <c r="W75" s="2279">
        <f t="shared" si="24"/>
        <v>0</v>
      </c>
      <c r="X75" s="2279">
        <f t="shared" si="24"/>
        <v>0</v>
      </c>
      <c r="Y75" s="2279">
        <f t="shared" si="24"/>
        <v>0</v>
      </c>
      <c r="Z75" s="2279">
        <f t="shared" si="24"/>
        <v>0</v>
      </c>
      <c r="AA75" s="2279"/>
      <c r="AB75" s="2279"/>
      <c r="AC75" s="2279"/>
      <c r="AD75" s="2279">
        <f t="shared" si="24"/>
        <v>0</v>
      </c>
      <c r="AE75" s="2279">
        <f t="shared" si="24"/>
        <v>0</v>
      </c>
      <c r="AF75" s="2279">
        <f t="shared" si="24"/>
        <v>0</v>
      </c>
      <c r="AG75" s="2279">
        <f t="shared" si="24"/>
        <v>0</v>
      </c>
      <c r="AH75" s="2279">
        <f t="shared" si="24"/>
        <v>0</v>
      </c>
      <c r="AI75" s="2279">
        <f t="shared" si="24"/>
        <v>-18138</v>
      </c>
      <c r="AJ75" s="2279">
        <f t="shared" si="24"/>
        <v>-73798</v>
      </c>
      <c r="AK75" s="2279">
        <f t="shared" si="24"/>
        <v>-87476</v>
      </c>
      <c r="AL75" s="2279">
        <f t="shared" si="24"/>
        <v>-28442</v>
      </c>
      <c r="AM75" s="2279">
        <f t="shared" si="24"/>
        <v>-63200</v>
      </c>
      <c r="AN75" s="2279"/>
      <c r="BA75" s="3180">
        <v>42918587</v>
      </c>
      <c r="BB75" s="3180">
        <v>19</v>
      </c>
      <c r="BC75" s="3180">
        <v>0.24030000000000001</v>
      </c>
      <c r="BF75" s="3180">
        <v>41418789</v>
      </c>
      <c r="BG75" s="3180" t="b">
        <f t="shared" si="22"/>
        <v>0</v>
      </c>
      <c r="BH75" s="3180">
        <v>30154673</v>
      </c>
      <c r="BI75" s="3180">
        <v>0.41199999999999998</v>
      </c>
      <c r="BK75" s="3180"/>
    </row>
    <row r="76" spans="1:63" ht="15">
      <c r="B76" s="199" t="s">
        <v>5021</v>
      </c>
      <c r="D76" s="3165" t="s">
        <v>5353</v>
      </c>
      <c r="E76" s="3166">
        <v>132400</v>
      </c>
      <c r="F76" s="3167">
        <v>112585</v>
      </c>
      <c r="G76" s="2495">
        <v>52992</v>
      </c>
      <c r="H76" s="2495">
        <v>48559</v>
      </c>
      <c r="I76" s="3167">
        <v>132400</v>
      </c>
      <c r="J76" s="2495">
        <v>26497</v>
      </c>
      <c r="K76" s="3167">
        <v>108700</v>
      </c>
      <c r="L76" s="3167">
        <v>143000</v>
      </c>
      <c r="M76" s="2495">
        <v>52632</v>
      </c>
      <c r="N76" s="2495">
        <v>52632</v>
      </c>
      <c r="O76" s="3167">
        <v>132400</v>
      </c>
      <c r="P76" s="3167">
        <v>64100</v>
      </c>
      <c r="Q76" s="3164">
        <v>103100</v>
      </c>
      <c r="R76" s="3164">
        <v>132400</v>
      </c>
      <c r="S76" s="3164">
        <v>143000</v>
      </c>
      <c r="T76" s="2500">
        <v>95004</v>
      </c>
      <c r="U76" s="3164">
        <v>103100</v>
      </c>
      <c r="V76" s="2500">
        <v>117400</v>
      </c>
      <c r="W76" s="2500">
        <v>117400</v>
      </c>
      <c r="X76" s="2500">
        <v>117400</v>
      </c>
      <c r="Y76" s="2500">
        <v>103100</v>
      </c>
      <c r="Z76" s="2500">
        <v>103100</v>
      </c>
      <c r="AA76" s="2500"/>
      <c r="AB76" s="2500"/>
      <c r="AC76" s="2500"/>
      <c r="AD76" s="3182">
        <v>143000</v>
      </c>
      <c r="AE76" s="3182">
        <v>143000</v>
      </c>
      <c r="AF76" s="3182">
        <v>51444</v>
      </c>
      <c r="AG76" s="3182">
        <v>132400</v>
      </c>
      <c r="AH76" s="3182">
        <v>132400</v>
      </c>
      <c r="AI76" s="2501">
        <v>43631</v>
      </c>
      <c r="AJ76" s="2501">
        <v>60057</v>
      </c>
      <c r="AK76" s="2501">
        <v>47520</v>
      </c>
      <c r="AL76" s="2501">
        <v>17113</v>
      </c>
      <c r="AM76" s="2501">
        <v>63500</v>
      </c>
      <c r="AN76" s="2501"/>
      <c r="BA76">
        <v>42936827</v>
      </c>
      <c r="BB76">
        <v>18</v>
      </c>
      <c r="BC76">
        <v>0.6</v>
      </c>
      <c r="BF76" s="3180">
        <v>42508305</v>
      </c>
      <c r="BG76" s="3180" t="b">
        <f t="shared" si="22"/>
        <v>0</v>
      </c>
      <c r="BH76" s="3180">
        <v>30159626</v>
      </c>
      <c r="BI76" s="3180">
        <v>0.36380000000000001</v>
      </c>
      <c r="BK76" s="3180"/>
    </row>
    <row r="77" spans="1:63" ht="15">
      <c r="A77" s="199" t="s">
        <v>1523</v>
      </c>
      <c r="B77" s="199" t="s">
        <v>1527</v>
      </c>
      <c r="C77" s="555">
        <v>104</v>
      </c>
      <c r="D77" s="3161">
        <f>D$8</f>
        <v>143000</v>
      </c>
      <c r="E77" s="3161">
        <f t="shared" ref="E77:Z77" si="25">E$8</f>
        <v>132400</v>
      </c>
      <c r="F77" s="3161">
        <f t="shared" si="25"/>
        <v>112585</v>
      </c>
      <c r="G77" s="3281">
        <v>52992</v>
      </c>
      <c r="H77" s="3281">
        <f t="shared" si="25"/>
        <v>48559</v>
      </c>
      <c r="I77" s="3161">
        <f t="shared" si="25"/>
        <v>132400</v>
      </c>
      <c r="J77" s="3281">
        <f t="shared" si="25"/>
        <v>26497</v>
      </c>
      <c r="K77" s="3161">
        <f t="shared" si="25"/>
        <v>108700</v>
      </c>
      <c r="L77" s="3161">
        <f t="shared" si="25"/>
        <v>143000</v>
      </c>
      <c r="M77" s="3281">
        <f t="shared" si="25"/>
        <v>52632</v>
      </c>
      <c r="N77" s="3161">
        <f t="shared" si="25"/>
        <v>52632</v>
      </c>
      <c r="O77" s="3161">
        <f t="shared" si="25"/>
        <v>132400</v>
      </c>
      <c r="P77" s="3161">
        <f t="shared" si="25"/>
        <v>64100</v>
      </c>
      <c r="Q77" s="3161">
        <f t="shared" si="25"/>
        <v>103100</v>
      </c>
      <c r="R77" s="3161">
        <f t="shared" si="25"/>
        <v>132400</v>
      </c>
      <c r="S77" s="3161">
        <f t="shared" si="25"/>
        <v>143000</v>
      </c>
      <c r="T77" s="3161">
        <f t="shared" si="25"/>
        <v>95004</v>
      </c>
      <c r="U77" s="3161">
        <f t="shared" si="25"/>
        <v>103100</v>
      </c>
      <c r="V77" s="3161">
        <f t="shared" si="25"/>
        <v>117400</v>
      </c>
      <c r="W77" s="3161">
        <f t="shared" si="25"/>
        <v>117400</v>
      </c>
      <c r="X77" s="3161">
        <f t="shared" si="25"/>
        <v>117400</v>
      </c>
      <c r="Y77" s="3161">
        <f t="shared" si="25"/>
        <v>103100</v>
      </c>
      <c r="Z77" s="3161">
        <f t="shared" si="25"/>
        <v>103100</v>
      </c>
      <c r="AA77" s="2709"/>
      <c r="AB77" s="2709"/>
      <c r="AC77" s="2709"/>
      <c r="AD77" s="3161">
        <v>143000</v>
      </c>
      <c r="AE77" s="3161">
        <v>143000</v>
      </c>
      <c r="AF77" s="3161">
        <v>51444</v>
      </c>
      <c r="AG77" s="3161">
        <v>132400</v>
      </c>
      <c r="AH77" s="3161">
        <v>132400</v>
      </c>
      <c r="AI77" s="3183">
        <f>AC$8</f>
        <v>63500</v>
      </c>
      <c r="AJ77" s="3183">
        <f>AD$8</f>
        <v>143000</v>
      </c>
      <c r="AK77" s="3183">
        <f>AE$8</f>
        <v>143000</v>
      </c>
      <c r="AL77" s="3183">
        <f>AF$8</f>
        <v>52992</v>
      </c>
      <c r="AM77" s="3183">
        <f>AG$8</f>
        <v>132400</v>
      </c>
      <c r="AN77" s="2501"/>
      <c r="BA77">
        <v>42990704</v>
      </c>
      <c r="BB77">
        <v>1</v>
      </c>
      <c r="BC77">
        <v>0.1169</v>
      </c>
      <c r="BF77" s="3180">
        <v>42650653</v>
      </c>
      <c r="BG77" s="3180" t="b">
        <f t="shared" si="22"/>
        <v>0</v>
      </c>
      <c r="BH77" s="3180">
        <v>30180139</v>
      </c>
      <c r="BI77" s="3180">
        <v>0.41249999999999998</v>
      </c>
      <c r="BK77" s="3180"/>
    </row>
    <row r="78" spans="1:63" ht="26.25">
      <c r="B78" s="111" t="s">
        <v>1493</v>
      </c>
      <c r="C78" s="555">
        <v>105</v>
      </c>
      <c r="D78" s="2279">
        <f>D$76-D$77</f>
        <v>0</v>
      </c>
      <c r="E78" s="2279">
        <f t="shared" ref="E78:AM78" si="26">E$76-E$77</f>
        <v>0</v>
      </c>
      <c r="F78" s="2279">
        <f t="shared" si="26"/>
        <v>0</v>
      </c>
      <c r="G78" s="2279">
        <f t="shared" si="26"/>
        <v>0</v>
      </c>
      <c r="H78" s="2279">
        <f t="shared" si="26"/>
        <v>0</v>
      </c>
      <c r="I78" s="2279">
        <f t="shared" si="26"/>
        <v>0</v>
      </c>
      <c r="J78" s="2279">
        <f t="shared" si="26"/>
        <v>0</v>
      </c>
      <c r="K78" s="2279">
        <f t="shared" si="26"/>
        <v>0</v>
      </c>
      <c r="L78" s="2279">
        <f t="shared" si="26"/>
        <v>0</v>
      </c>
      <c r="M78" s="2279">
        <f t="shared" si="26"/>
        <v>0</v>
      </c>
      <c r="N78" s="2279">
        <f t="shared" si="26"/>
        <v>0</v>
      </c>
      <c r="O78" s="2279">
        <f t="shared" si="26"/>
        <v>0</v>
      </c>
      <c r="P78" s="2279">
        <f t="shared" si="26"/>
        <v>0</v>
      </c>
      <c r="Q78" s="2279">
        <f t="shared" si="26"/>
        <v>0</v>
      </c>
      <c r="R78" s="2279">
        <f t="shared" si="26"/>
        <v>0</v>
      </c>
      <c r="S78" s="2279">
        <f t="shared" si="26"/>
        <v>0</v>
      </c>
      <c r="T78" s="2279">
        <f t="shared" si="26"/>
        <v>0</v>
      </c>
      <c r="U78" s="2279">
        <f t="shared" si="26"/>
        <v>0</v>
      </c>
      <c r="V78" s="2279">
        <f t="shared" si="26"/>
        <v>0</v>
      </c>
      <c r="W78" s="2279">
        <f t="shared" si="26"/>
        <v>0</v>
      </c>
      <c r="X78" s="2279">
        <f t="shared" si="26"/>
        <v>0</v>
      </c>
      <c r="Y78" s="2279">
        <f t="shared" si="26"/>
        <v>0</v>
      </c>
      <c r="Z78" s="2279">
        <f t="shared" si="26"/>
        <v>0</v>
      </c>
      <c r="AA78" s="2279"/>
      <c r="AB78" s="2279"/>
      <c r="AC78" s="2279"/>
      <c r="AD78" s="2279">
        <f t="shared" si="26"/>
        <v>0</v>
      </c>
      <c r="AE78" s="2279">
        <f t="shared" si="26"/>
        <v>0</v>
      </c>
      <c r="AF78" s="2279">
        <f t="shared" si="26"/>
        <v>0</v>
      </c>
      <c r="AG78" s="2279">
        <f t="shared" si="26"/>
        <v>0</v>
      </c>
      <c r="AH78" s="2279">
        <f t="shared" si="26"/>
        <v>0</v>
      </c>
      <c r="AI78" s="2279">
        <f t="shared" si="26"/>
        <v>-19869</v>
      </c>
      <c r="AJ78" s="2279">
        <f t="shared" si="26"/>
        <v>-82943</v>
      </c>
      <c r="AK78" s="2279">
        <f t="shared" si="26"/>
        <v>-95480</v>
      </c>
      <c r="AL78" s="2279">
        <f t="shared" si="26"/>
        <v>-35879</v>
      </c>
      <c r="AM78" s="2279">
        <f t="shared" si="26"/>
        <v>-68900</v>
      </c>
      <c r="AN78" s="2279"/>
      <c r="BA78">
        <v>42991634</v>
      </c>
      <c r="BB78">
        <v>1</v>
      </c>
      <c r="BC78">
        <v>0.16189999999999999</v>
      </c>
      <c r="BF78" s="3180">
        <v>42918587</v>
      </c>
      <c r="BG78" s="3180" t="b">
        <f t="shared" si="22"/>
        <v>0</v>
      </c>
      <c r="BH78" s="3180">
        <v>30188841</v>
      </c>
      <c r="BI78" s="3180">
        <v>0.315</v>
      </c>
      <c r="BK78" s="3180"/>
    </row>
    <row r="79" spans="1:63" ht="15">
      <c r="BA79">
        <v>43006581</v>
      </c>
      <c r="BB79">
        <v>3</v>
      </c>
      <c r="BC79">
        <v>0.21110000000000001</v>
      </c>
      <c r="BF79" s="3180">
        <v>43484241</v>
      </c>
      <c r="BG79" s="3180" t="b">
        <f t="shared" si="22"/>
        <v>0</v>
      </c>
      <c r="BH79">
        <v>30190637</v>
      </c>
      <c r="BI79">
        <v>0</v>
      </c>
      <c r="BK79" s="3180"/>
    </row>
    <row r="80" spans="1:63" thickBot="1">
      <c r="BA80">
        <v>43027863</v>
      </c>
      <c r="BB80">
        <v>1</v>
      </c>
      <c r="BC80">
        <v>0.44259999999999999</v>
      </c>
      <c r="BF80" s="3180">
        <v>43594239</v>
      </c>
      <c r="BG80" s="3180" t="b">
        <f t="shared" si="22"/>
        <v>0</v>
      </c>
      <c r="BH80">
        <v>40022497</v>
      </c>
      <c r="BI80">
        <v>0</v>
      </c>
      <c r="BK80" s="3180"/>
    </row>
    <row r="81" spans="1:63" ht="18.75" thickTop="1">
      <c r="A81" s="2287" t="s">
        <v>5023</v>
      </c>
      <c r="B81" s="2290"/>
      <c r="C81" s="2291"/>
      <c r="D81" s="2292"/>
      <c r="E81" s="2290"/>
      <c r="F81" s="2290"/>
      <c r="G81" s="2290"/>
      <c r="H81" s="2290"/>
      <c r="I81" s="2290"/>
      <c r="J81" s="2290"/>
      <c r="K81" s="2290"/>
      <c r="L81" s="2290"/>
      <c r="M81" s="2290"/>
      <c r="N81" s="2290"/>
      <c r="O81" s="2290"/>
      <c r="P81" s="2325"/>
      <c r="Q81" s="2519"/>
      <c r="R81" s="2520"/>
      <c r="S81" s="2520"/>
      <c r="T81" s="2520"/>
      <c r="U81" s="2520"/>
      <c r="V81" s="2520"/>
      <c r="W81" s="2521"/>
      <c r="X81" s="2712"/>
      <c r="Y81" s="2712"/>
      <c r="Z81" s="2712"/>
      <c r="AA81" s="2712"/>
      <c r="AB81" s="2712"/>
      <c r="AC81" s="2712"/>
      <c r="AD81" s="2530"/>
      <c r="AE81" s="2520"/>
      <c r="AF81" s="2520" t="s">
        <v>5357</v>
      </c>
      <c r="AG81" s="2520"/>
      <c r="AH81" s="2520"/>
      <c r="AI81" s="2520"/>
      <c r="AJ81" s="2520"/>
      <c r="AK81" s="2520"/>
      <c r="AL81" s="2520"/>
      <c r="AM81" s="2521"/>
      <c r="AN81" s="2283"/>
      <c r="BA81">
        <v>43093845</v>
      </c>
      <c r="BB81">
        <v>18</v>
      </c>
      <c r="BC81">
        <v>0.6</v>
      </c>
      <c r="BF81" s="3180">
        <v>43606793</v>
      </c>
      <c r="BG81" s="3180" t="b">
        <f t="shared" si="22"/>
        <v>0</v>
      </c>
      <c r="BH81">
        <v>40032573</v>
      </c>
      <c r="BI81">
        <v>0</v>
      </c>
      <c r="BK81" s="3180"/>
    </row>
    <row r="82" spans="1:63" ht="18">
      <c r="A82" s="2305"/>
      <c r="B82" s="2306"/>
      <c r="C82" s="2307"/>
      <c r="D82" s="2275" t="s">
        <v>3883</v>
      </c>
      <c r="E82" s="2276">
        <v>2</v>
      </c>
      <c r="F82" s="2275" t="s">
        <v>3885</v>
      </c>
      <c r="G82" s="2276">
        <v>4</v>
      </c>
      <c r="H82" s="2275" t="s">
        <v>3887</v>
      </c>
      <c r="I82" s="2276">
        <v>6</v>
      </c>
      <c r="J82" s="2275" t="s">
        <v>3889</v>
      </c>
      <c r="K82" s="2276">
        <v>8</v>
      </c>
      <c r="L82" s="2275">
        <v>9</v>
      </c>
      <c r="M82" s="2276">
        <v>10</v>
      </c>
      <c r="N82" s="2275">
        <v>11</v>
      </c>
      <c r="O82" s="2276">
        <v>12</v>
      </c>
      <c r="P82" s="2277">
        <v>13</v>
      </c>
      <c r="Q82" s="2965">
        <v>14</v>
      </c>
      <c r="R82" s="2966">
        <v>15</v>
      </c>
      <c r="S82" s="2966">
        <v>16</v>
      </c>
      <c r="T82" s="2966">
        <v>17</v>
      </c>
      <c r="U82" s="2966">
        <v>18</v>
      </c>
      <c r="V82" s="2529">
        <v>19</v>
      </c>
      <c r="W82" s="2534">
        <v>20</v>
      </c>
      <c r="X82" s="3290">
        <v>21</v>
      </c>
      <c r="Y82" s="3290">
        <v>22</v>
      </c>
      <c r="Z82" s="3290">
        <v>23</v>
      </c>
      <c r="AA82" s="2713">
        <v>24</v>
      </c>
      <c r="AB82" s="2713">
        <v>25</v>
      </c>
      <c r="AC82" s="2713">
        <v>26</v>
      </c>
      <c r="AD82" s="2531">
        <v>21</v>
      </c>
      <c r="AE82" s="2522">
        <v>22</v>
      </c>
      <c r="AF82" s="2522">
        <v>23</v>
      </c>
      <c r="AG82" s="2522">
        <v>24</v>
      </c>
      <c r="AH82" s="2522">
        <v>25</v>
      </c>
      <c r="AI82" s="2522">
        <v>26</v>
      </c>
      <c r="AJ82" s="2522">
        <v>27</v>
      </c>
      <c r="AK82" s="2522">
        <v>28</v>
      </c>
      <c r="AL82" s="2522">
        <v>29</v>
      </c>
      <c r="AM82" s="2523">
        <v>30</v>
      </c>
      <c r="AN82" s="2283"/>
      <c r="BA82">
        <v>43110109</v>
      </c>
      <c r="BB82">
        <v>2</v>
      </c>
      <c r="BC82">
        <v>3</v>
      </c>
      <c r="BF82" s="3180">
        <v>43610378</v>
      </c>
      <c r="BG82" s="3180" t="b">
        <f t="shared" si="22"/>
        <v>0</v>
      </c>
      <c r="BH82">
        <v>40068697</v>
      </c>
      <c r="BI82">
        <v>0</v>
      </c>
      <c r="BK82" s="3180"/>
    </row>
    <row r="83" spans="1:63" ht="15">
      <c r="A83" s="2293" t="s">
        <v>5027</v>
      </c>
      <c r="B83" s="2294" t="s">
        <v>1494</v>
      </c>
      <c r="C83" s="2295"/>
      <c r="D83" s="3169">
        <v>5200</v>
      </c>
      <c r="E83" s="3169">
        <v>5200</v>
      </c>
      <c r="F83" s="3169">
        <v>5678</v>
      </c>
      <c r="G83" s="3282">
        <v>2436</v>
      </c>
      <c r="H83" s="3282">
        <v>1919</v>
      </c>
      <c r="I83" s="3169">
        <v>5200</v>
      </c>
      <c r="J83" s="3282">
        <v>1048</v>
      </c>
      <c r="K83" s="3169">
        <v>400000</v>
      </c>
      <c r="L83" s="3169">
        <v>5200</v>
      </c>
      <c r="M83" s="3282">
        <v>52632</v>
      </c>
      <c r="N83" s="3283">
        <v>7327</v>
      </c>
      <c r="O83" s="3170">
        <v>5200</v>
      </c>
      <c r="P83" s="3171">
        <v>2500</v>
      </c>
      <c r="Q83" s="3172">
        <v>5200</v>
      </c>
      <c r="R83" s="3173">
        <v>5200</v>
      </c>
      <c r="S83" s="3173">
        <v>5200</v>
      </c>
      <c r="T83" s="2535">
        <v>7919</v>
      </c>
      <c r="U83" s="3173">
        <v>5200</v>
      </c>
      <c r="V83" s="2535">
        <v>5200</v>
      </c>
      <c r="W83" s="2535">
        <v>5200</v>
      </c>
      <c r="X83" s="2535">
        <v>5200</v>
      </c>
      <c r="Y83" s="2535">
        <v>5200</v>
      </c>
      <c r="Z83" s="2535">
        <v>5200</v>
      </c>
      <c r="AA83" s="2714">
        <v>4000</v>
      </c>
      <c r="AB83" s="2714">
        <v>1083</v>
      </c>
      <c r="AC83" s="2714">
        <v>4000</v>
      </c>
      <c r="AD83" s="2537">
        <v>32561</v>
      </c>
      <c r="AE83" s="2537">
        <v>4120</v>
      </c>
      <c r="AF83" s="2537">
        <v>1601</v>
      </c>
      <c r="AG83" s="2537">
        <v>2600</v>
      </c>
      <c r="AH83" s="2537">
        <v>2088</v>
      </c>
      <c r="AI83" s="2537">
        <v>1983</v>
      </c>
      <c r="AJ83" s="2537">
        <v>2842</v>
      </c>
      <c r="AK83" s="2537">
        <v>2160</v>
      </c>
      <c r="AL83" s="2537">
        <v>1078</v>
      </c>
      <c r="AM83" s="2537">
        <v>4000</v>
      </c>
      <c r="AN83" s="2538"/>
      <c r="AO83" s="2517" t="s">
        <v>5027</v>
      </c>
      <c r="AP83" s="2294" t="s">
        <v>1494</v>
      </c>
      <c r="AQ83" s="2295"/>
      <c r="BA83">
        <v>43360335</v>
      </c>
      <c r="BB83">
        <v>1</v>
      </c>
      <c r="BC83">
        <v>0.37319999999999998</v>
      </c>
      <c r="BF83" s="3180">
        <v>43610390</v>
      </c>
      <c r="BG83" s="3180" t="b">
        <f t="shared" si="22"/>
        <v>0</v>
      </c>
      <c r="BH83">
        <v>40071611</v>
      </c>
      <c r="BI83">
        <v>0</v>
      </c>
      <c r="BK83" s="3180"/>
    </row>
    <row r="84" spans="1:63" ht="15">
      <c r="A84" s="2293" t="s">
        <v>5027</v>
      </c>
      <c r="B84" s="2294" t="s">
        <v>3072</v>
      </c>
      <c r="C84" s="2295"/>
      <c r="D84" s="3169">
        <v>5600</v>
      </c>
      <c r="E84" s="3169">
        <v>5600</v>
      </c>
      <c r="F84" s="3169">
        <v>6115</v>
      </c>
      <c r="G84" s="3282">
        <v>2592</v>
      </c>
      <c r="H84" s="3282">
        <v>2063</v>
      </c>
      <c r="I84" s="3169">
        <v>5600</v>
      </c>
      <c r="J84" s="3282">
        <v>1126</v>
      </c>
      <c r="K84" s="3169">
        <v>650000</v>
      </c>
      <c r="L84" s="3169">
        <v>5600</v>
      </c>
      <c r="M84" s="3282">
        <v>52632</v>
      </c>
      <c r="N84" s="3283">
        <v>7327</v>
      </c>
      <c r="O84" s="3170">
        <v>5600</v>
      </c>
      <c r="P84" s="3171">
        <v>2700</v>
      </c>
      <c r="Q84" s="3172">
        <v>5600</v>
      </c>
      <c r="R84" s="3173">
        <v>5600</v>
      </c>
      <c r="S84" s="3173">
        <v>5600</v>
      </c>
      <c r="T84" s="2535">
        <v>8513</v>
      </c>
      <c r="U84" s="3173">
        <v>5600</v>
      </c>
      <c r="V84" s="2535">
        <v>5600</v>
      </c>
      <c r="W84" s="2535">
        <v>5600</v>
      </c>
      <c r="X84" s="2535">
        <v>5600</v>
      </c>
      <c r="Y84" s="2535">
        <v>5600</v>
      </c>
      <c r="Z84" s="2535">
        <v>5600</v>
      </c>
      <c r="AA84" s="2714">
        <v>4300</v>
      </c>
      <c r="AB84" s="2714">
        <v>1083</v>
      </c>
      <c r="AC84" s="2714">
        <v>4300</v>
      </c>
      <c r="AD84" s="2537">
        <v>32561</v>
      </c>
      <c r="AE84" s="2537">
        <v>4429</v>
      </c>
      <c r="AF84" s="2537">
        <v>1705</v>
      </c>
      <c r="AG84" s="2537">
        <v>2795</v>
      </c>
      <c r="AH84" s="2537">
        <v>2244</v>
      </c>
      <c r="AI84" s="2537">
        <v>2132</v>
      </c>
      <c r="AJ84" s="2537">
        <v>3026</v>
      </c>
      <c r="AK84" s="2537">
        <v>2322</v>
      </c>
      <c r="AL84" s="2537">
        <v>1159</v>
      </c>
      <c r="AM84" s="2537">
        <v>4300</v>
      </c>
      <c r="AN84" s="2538"/>
      <c r="AO84" s="2517" t="s">
        <v>5027</v>
      </c>
      <c r="AP84" s="2294" t="s">
        <v>3072</v>
      </c>
      <c r="AQ84" s="2295"/>
      <c r="BA84">
        <v>43360386</v>
      </c>
      <c r="BB84">
        <v>1</v>
      </c>
      <c r="BC84">
        <v>0.37319999999999998</v>
      </c>
      <c r="BF84" s="3180">
        <v>43656551</v>
      </c>
      <c r="BG84" s="3180" t="b">
        <f t="shared" si="22"/>
        <v>0</v>
      </c>
      <c r="BH84">
        <v>40096053</v>
      </c>
      <c r="BI84">
        <v>0</v>
      </c>
      <c r="BK84" s="3180"/>
    </row>
    <row r="85" spans="1:63" ht="15">
      <c r="A85" s="2293" t="s">
        <v>5027</v>
      </c>
      <c r="B85" s="2294" t="s">
        <v>3071</v>
      </c>
      <c r="C85" s="2295"/>
      <c r="D85" s="3169">
        <v>52300</v>
      </c>
      <c r="E85" s="3170">
        <v>400000</v>
      </c>
      <c r="F85" s="3170">
        <v>57112</v>
      </c>
      <c r="G85" s="3283">
        <v>2261628</v>
      </c>
      <c r="H85" s="3283">
        <v>19193</v>
      </c>
      <c r="I85" s="3170">
        <v>5000000</v>
      </c>
      <c r="J85" s="3283">
        <v>10473</v>
      </c>
      <c r="K85" s="3170">
        <v>1000000</v>
      </c>
      <c r="L85" s="3170">
        <v>2000000</v>
      </c>
      <c r="M85" s="3283">
        <v>52632</v>
      </c>
      <c r="N85" s="3283">
        <v>7327</v>
      </c>
      <c r="O85" s="3170">
        <v>52300</v>
      </c>
      <c r="P85" s="3171">
        <v>25300</v>
      </c>
      <c r="Q85" s="3172">
        <v>52300</v>
      </c>
      <c r="R85" s="3173">
        <v>200000</v>
      </c>
      <c r="S85" s="3173">
        <v>5000000</v>
      </c>
      <c r="T85" s="2535">
        <v>79194</v>
      </c>
      <c r="U85" s="3173">
        <v>5000000</v>
      </c>
      <c r="V85" s="2535">
        <v>52300</v>
      </c>
      <c r="W85" s="2535">
        <v>52300</v>
      </c>
      <c r="X85" s="2535">
        <v>52300</v>
      </c>
      <c r="Y85" s="2535">
        <v>52300</v>
      </c>
      <c r="Z85" s="2535">
        <v>52300</v>
      </c>
      <c r="AA85" s="2714">
        <v>5000000</v>
      </c>
      <c r="AB85" s="2714">
        <v>30769</v>
      </c>
      <c r="AC85" s="2714">
        <v>5000000</v>
      </c>
      <c r="AD85" s="2537">
        <v>32561</v>
      </c>
      <c r="AE85" s="2537">
        <v>206000</v>
      </c>
      <c r="AF85" s="2537">
        <v>1000000</v>
      </c>
      <c r="AG85" s="2537">
        <v>1000000</v>
      </c>
      <c r="AH85" s="2537">
        <v>20876</v>
      </c>
      <c r="AI85" s="2537">
        <v>19832</v>
      </c>
      <c r="AJ85" s="2537">
        <v>160000</v>
      </c>
      <c r="AK85" s="2537">
        <v>216000</v>
      </c>
      <c r="AL85" s="2537">
        <v>10780</v>
      </c>
      <c r="AM85" s="2537">
        <v>120000</v>
      </c>
      <c r="AN85" s="2538"/>
      <c r="AO85" s="2517" t="s">
        <v>5027</v>
      </c>
      <c r="AP85" s="2294" t="s">
        <v>3071</v>
      </c>
      <c r="AQ85" s="2295"/>
      <c r="BA85">
        <v>43360471</v>
      </c>
      <c r="BB85">
        <v>1</v>
      </c>
      <c r="BC85">
        <v>0.37319999999999998</v>
      </c>
      <c r="BF85" s="3180">
        <v>43682090</v>
      </c>
      <c r="BG85" s="3180" t="b">
        <f t="shared" si="22"/>
        <v>0</v>
      </c>
      <c r="BH85" s="3180">
        <v>40156742</v>
      </c>
      <c r="BI85" s="3180">
        <v>0.42009999999999997</v>
      </c>
      <c r="BK85" s="3180"/>
    </row>
    <row r="86" spans="1:63" ht="15">
      <c r="A86" s="2293" t="s">
        <v>5027</v>
      </c>
      <c r="B86" s="2297" t="s">
        <v>5024</v>
      </c>
      <c r="C86" s="2298"/>
      <c r="D86" s="3169">
        <v>5200</v>
      </c>
      <c r="E86" s="3169">
        <v>5200</v>
      </c>
      <c r="F86" s="3169">
        <v>5678</v>
      </c>
      <c r="G86" s="3282">
        <v>2436</v>
      </c>
      <c r="H86" s="3282">
        <v>1919</v>
      </c>
      <c r="I86" s="3169">
        <v>5200</v>
      </c>
      <c r="J86" s="3282">
        <v>1048</v>
      </c>
      <c r="K86" s="3169">
        <v>400000</v>
      </c>
      <c r="L86" s="3169">
        <v>5200</v>
      </c>
      <c r="M86" s="3282">
        <v>52632</v>
      </c>
      <c r="N86" s="3283">
        <v>7327</v>
      </c>
      <c r="O86" s="3170">
        <v>5200</v>
      </c>
      <c r="P86" s="3171">
        <v>2500</v>
      </c>
      <c r="Q86" s="3172">
        <v>5200</v>
      </c>
      <c r="R86" s="3173">
        <v>5200</v>
      </c>
      <c r="S86" s="3173">
        <v>5200</v>
      </c>
      <c r="T86" s="2535">
        <v>7919</v>
      </c>
      <c r="U86" s="3173">
        <v>5200</v>
      </c>
      <c r="V86" s="2535">
        <v>5200</v>
      </c>
      <c r="W86" s="2535">
        <v>5200</v>
      </c>
      <c r="X86" s="2535">
        <v>5200</v>
      </c>
      <c r="Y86" s="2535">
        <v>5200</v>
      </c>
      <c r="Z86" s="2535">
        <v>5200</v>
      </c>
      <c r="AA86" s="2714">
        <v>4000</v>
      </c>
      <c r="AB86" s="2714">
        <v>1083</v>
      </c>
      <c r="AC86" s="2714">
        <v>4000</v>
      </c>
      <c r="AD86" s="2538">
        <v>32561</v>
      </c>
      <c r="AE86" s="2538">
        <v>4120</v>
      </c>
      <c r="AF86" s="2538">
        <v>1601</v>
      </c>
      <c r="AG86" s="2538">
        <v>2600</v>
      </c>
      <c r="AH86" s="2538">
        <v>2088</v>
      </c>
      <c r="AI86" s="2538">
        <v>1983</v>
      </c>
      <c r="AJ86" s="2538">
        <v>2842</v>
      </c>
      <c r="AK86" s="2538">
        <v>2160</v>
      </c>
      <c r="AL86" s="2538">
        <v>1078</v>
      </c>
      <c r="AM86" s="2538">
        <v>4000</v>
      </c>
      <c r="AN86" s="2538"/>
      <c r="AO86" s="2517" t="s">
        <v>5027</v>
      </c>
      <c r="AP86" s="2297" t="s">
        <v>5024</v>
      </c>
      <c r="AQ86" s="2298"/>
      <c r="BA86">
        <v>43360489</v>
      </c>
      <c r="BB86">
        <v>1</v>
      </c>
      <c r="BC86">
        <v>0.37319999999999998</v>
      </c>
      <c r="BF86" s="3180">
        <v>43729672</v>
      </c>
      <c r="BG86" s="3180" t="b">
        <f t="shared" si="22"/>
        <v>0</v>
      </c>
      <c r="BH86">
        <v>40173178</v>
      </c>
      <c r="BI86">
        <v>0</v>
      </c>
      <c r="BK86" s="3180"/>
    </row>
    <row r="87" spans="1:63" ht="15">
      <c r="A87" s="2293" t="s">
        <v>5027</v>
      </c>
      <c r="B87" s="2297" t="s">
        <v>5025</v>
      </c>
      <c r="C87" s="2298"/>
      <c r="D87" s="3169">
        <v>5600</v>
      </c>
      <c r="E87" s="3169">
        <v>5600</v>
      </c>
      <c r="F87" s="3169">
        <v>6115</v>
      </c>
      <c r="G87" s="3282">
        <v>2592</v>
      </c>
      <c r="H87" s="3282">
        <v>2063</v>
      </c>
      <c r="I87" s="3169">
        <v>5600</v>
      </c>
      <c r="J87" s="3282">
        <v>1126</v>
      </c>
      <c r="K87" s="3169">
        <v>650000</v>
      </c>
      <c r="L87" s="3169">
        <v>5600</v>
      </c>
      <c r="M87" s="3282">
        <v>52632</v>
      </c>
      <c r="N87" s="3283">
        <v>7327</v>
      </c>
      <c r="O87" s="3170">
        <v>5600</v>
      </c>
      <c r="P87" s="3171">
        <v>2700</v>
      </c>
      <c r="Q87" s="3172">
        <v>5600</v>
      </c>
      <c r="R87" s="3173">
        <v>5600</v>
      </c>
      <c r="S87" s="3173">
        <v>5600</v>
      </c>
      <c r="T87" s="2535">
        <v>8513</v>
      </c>
      <c r="U87" s="3173">
        <v>5600</v>
      </c>
      <c r="V87" s="2535">
        <v>5600</v>
      </c>
      <c r="W87" s="2535">
        <v>5600</v>
      </c>
      <c r="X87" s="2535">
        <v>5600</v>
      </c>
      <c r="Y87" s="2535">
        <v>5600</v>
      </c>
      <c r="Z87" s="2535">
        <v>5600</v>
      </c>
      <c r="AA87" s="2714">
        <v>4300</v>
      </c>
      <c r="AB87" s="2714">
        <v>1083</v>
      </c>
      <c r="AC87" s="2714">
        <v>4300</v>
      </c>
      <c r="AD87" s="2538">
        <v>32561</v>
      </c>
      <c r="AE87" s="2538">
        <v>4429</v>
      </c>
      <c r="AF87" s="2538">
        <v>1705</v>
      </c>
      <c r="AG87" s="2538">
        <v>2795</v>
      </c>
      <c r="AH87" s="2538">
        <v>2244</v>
      </c>
      <c r="AI87" s="2538">
        <v>2132</v>
      </c>
      <c r="AJ87" s="2538">
        <v>3026</v>
      </c>
      <c r="AK87" s="2538">
        <v>2322</v>
      </c>
      <c r="AL87" s="2538">
        <v>1159</v>
      </c>
      <c r="AM87" s="2538">
        <v>4300</v>
      </c>
      <c r="AN87" s="2538"/>
      <c r="AO87" s="2517" t="s">
        <v>5027</v>
      </c>
      <c r="AP87" s="2297" t="s">
        <v>5025</v>
      </c>
      <c r="AQ87" s="2298"/>
      <c r="BA87">
        <v>43387834</v>
      </c>
      <c r="BB87">
        <v>2</v>
      </c>
      <c r="BC87">
        <v>9</v>
      </c>
      <c r="BF87" s="3180">
        <v>43743567</v>
      </c>
      <c r="BG87" s="3180" t="b">
        <f t="shared" si="22"/>
        <v>0</v>
      </c>
      <c r="BH87">
        <v>40197764</v>
      </c>
      <c r="BI87">
        <v>0</v>
      </c>
      <c r="BK87" s="3180"/>
    </row>
    <row r="88" spans="1:63" ht="15">
      <c r="A88" s="2293" t="s">
        <v>5027</v>
      </c>
      <c r="B88" s="2297" t="s">
        <v>5026</v>
      </c>
      <c r="C88" s="2298"/>
      <c r="D88" s="3169">
        <v>52300</v>
      </c>
      <c r="E88" s="3169">
        <v>52300</v>
      </c>
      <c r="F88" s="3169">
        <v>57112</v>
      </c>
      <c r="G88" s="3282">
        <v>2261628</v>
      </c>
      <c r="H88" s="3282">
        <v>19193</v>
      </c>
      <c r="I88" s="3169">
        <v>52300</v>
      </c>
      <c r="J88" s="3282">
        <v>10473</v>
      </c>
      <c r="K88" s="3169">
        <v>1000000</v>
      </c>
      <c r="L88" s="3169">
        <v>52300</v>
      </c>
      <c r="M88" s="3283">
        <v>52632</v>
      </c>
      <c r="N88" s="3283">
        <v>7327</v>
      </c>
      <c r="O88" s="3170">
        <v>52300</v>
      </c>
      <c r="P88" s="3171">
        <v>25300</v>
      </c>
      <c r="Q88" s="3172">
        <v>52300</v>
      </c>
      <c r="R88" s="3173">
        <v>52300</v>
      </c>
      <c r="S88" s="3173">
        <v>52300</v>
      </c>
      <c r="T88" s="2535">
        <v>79194</v>
      </c>
      <c r="U88" s="3173">
        <v>52300</v>
      </c>
      <c r="V88" s="2535">
        <v>52300</v>
      </c>
      <c r="W88" s="2535">
        <v>52300</v>
      </c>
      <c r="X88" s="2535">
        <v>52300</v>
      </c>
      <c r="Y88" s="2535">
        <v>52300</v>
      </c>
      <c r="Z88" s="2535">
        <v>52300</v>
      </c>
      <c r="AA88" s="2714">
        <v>5000000</v>
      </c>
      <c r="AB88" s="2714">
        <v>30769</v>
      </c>
      <c r="AC88" s="2714">
        <v>5000000</v>
      </c>
      <c r="AD88" s="2538">
        <v>32561</v>
      </c>
      <c r="AE88" s="2538">
        <v>206000</v>
      </c>
      <c r="AF88" s="2538">
        <v>1000000</v>
      </c>
      <c r="AG88" s="2538">
        <v>1000000</v>
      </c>
      <c r="AH88" s="2538">
        <v>20876</v>
      </c>
      <c r="AI88" s="2538">
        <v>19832</v>
      </c>
      <c r="AJ88" s="2538">
        <v>160000</v>
      </c>
      <c r="AK88" s="2538">
        <v>216000</v>
      </c>
      <c r="AL88" s="2538">
        <v>10780</v>
      </c>
      <c r="AM88" s="2538">
        <v>120000</v>
      </c>
      <c r="AN88" s="2538"/>
      <c r="AO88" s="2517" t="s">
        <v>5027</v>
      </c>
      <c r="AP88" s="2297" t="s">
        <v>5026</v>
      </c>
      <c r="AQ88" s="2298"/>
      <c r="BA88">
        <v>43407228</v>
      </c>
      <c r="BB88">
        <v>18</v>
      </c>
      <c r="BC88">
        <v>0.6</v>
      </c>
      <c r="BF88" s="3180">
        <v>43787006</v>
      </c>
      <c r="BG88" s="3180" t="b">
        <f t="shared" si="22"/>
        <v>0</v>
      </c>
      <c r="BH88">
        <v>40213111</v>
      </c>
      <c r="BI88">
        <v>0</v>
      </c>
      <c r="BK88" s="3180"/>
    </row>
    <row r="89" spans="1:63" ht="15">
      <c r="A89" s="2288" t="s">
        <v>4994</v>
      </c>
      <c r="B89" s="2289"/>
      <c r="C89" s="2299"/>
      <c r="D89" s="2310" t="str">
        <f>KÉRDÉSEK!C274</f>
        <v>IGEN</v>
      </c>
      <c r="E89" s="2258" t="s">
        <v>4201</v>
      </c>
      <c r="F89" s="2296"/>
      <c r="G89" s="2311" t="s">
        <v>5029</v>
      </c>
      <c r="H89" s="2312"/>
      <c r="I89" s="2312"/>
      <c r="J89" s="2296"/>
      <c r="K89" s="2296"/>
      <c r="L89" s="2296"/>
      <c r="M89" s="2296"/>
      <c r="N89" s="2296"/>
      <c r="O89" s="2296"/>
      <c r="P89" s="2327"/>
      <c r="Q89" s="2524"/>
      <c r="R89" s="2525"/>
      <c r="S89" s="2525"/>
      <c r="T89" s="2525"/>
      <c r="U89" s="2525"/>
      <c r="V89" s="2525"/>
      <c r="W89" s="2526"/>
      <c r="X89" s="2715"/>
      <c r="Y89" s="2715"/>
      <c r="Z89" s="2715"/>
      <c r="AA89" s="2715"/>
      <c r="AB89" s="2715"/>
      <c r="AC89" s="2715"/>
      <c r="AD89" s="2532"/>
      <c r="AE89" s="2525"/>
      <c r="AF89" s="2525"/>
      <c r="AG89" s="2525"/>
      <c r="AH89" s="2525"/>
      <c r="AI89" s="2525"/>
      <c r="AJ89" s="2525"/>
      <c r="AK89" s="2525"/>
      <c r="AL89" s="2525"/>
      <c r="AM89" s="2526"/>
      <c r="AN89" s="2716"/>
      <c r="BA89">
        <v>43447230</v>
      </c>
      <c r="BB89">
        <v>1</v>
      </c>
      <c r="BC89">
        <v>0.28129999999999999</v>
      </c>
      <c r="BF89" s="3180">
        <v>43943288</v>
      </c>
      <c r="BG89" s="3180" t="b">
        <f t="shared" si="22"/>
        <v>0</v>
      </c>
      <c r="BH89">
        <v>40268929</v>
      </c>
      <c r="BI89">
        <v>0</v>
      </c>
      <c r="BK89" s="3180"/>
    </row>
    <row r="90" spans="1:63" ht="15">
      <c r="A90" s="2288" t="s">
        <v>4995</v>
      </c>
      <c r="B90" s="2289"/>
      <c r="C90" s="2299"/>
      <c r="D90" s="2310" t="str">
        <f>KÉRDÉSEK!C275</f>
        <v>IGEN</v>
      </c>
      <c r="E90" s="2258" t="s">
        <v>4202</v>
      </c>
      <c r="F90" s="2296"/>
      <c r="G90" s="2296"/>
      <c r="H90" s="2296"/>
      <c r="I90" s="2296"/>
      <c r="J90" s="2296"/>
      <c r="K90" s="2296"/>
      <c r="L90" s="2296"/>
      <c r="M90" s="2296"/>
      <c r="N90" s="2296"/>
      <c r="O90" s="2296"/>
      <c r="P90" s="2327"/>
      <c r="Q90" s="2524"/>
      <c r="R90" s="2525"/>
      <c r="S90" s="2525"/>
      <c r="T90" s="2525"/>
      <c r="U90" s="2525"/>
      <c r="V90" s="2525"/>
      <c r="W90" s="2526"/>
      <c r="X90" s="2715"/>
      <c r="Y90" s="2715"/>
      <c r="Z90" s="2715"/>
      <c r="AA90" s="2715"/>
      <c r="AB90" s="2715"/>
      <c r="AC90" s="2715"/>
      <c r="AD90" s="2532"/>
      <c r="AE90" s="2525"/>
      <c r="AF90" s="2525"/>
      <c r="AG90" s="2525"/>
      <c r="AH90" s="2525"/>
      <c r="AI90" s="2525"/>
      <c r="AJ90" s="2525"/>
      <c r="AK90" s="2525"/>
      <c r="AL90" s="2525"/>
      <c r="AM90" s="2526"/>
      <c r="AN90" s="2716"/>
      <c r="BA90">
        <v>43450938</v>
      </c>
      <c r="BB90">
        <v>18</v>
      </c>
      <c r="BC90">
        <v>0.6</v>
      </c>
      <c r="BF90" s="3180">
        <v>43982202</v>
      </c>
      <c r="BG90" s="3180" t="b">
        <f t="shared" si="22"/>
        <v>0</v>
      </c>
      <c r="BH90">
        <v>40293396</v>
      </c>
      <c r="BI90">
        <v>0</v>
      </c>
      <c r="BK90" s="3180"/>
    </row>
    <row r="91" spans="1:63" ht="15">
      <c r="A91" s="2288" t="s">
        <v>4996</v>
      </c>
      <c r="B91" s="2289"/>
      <c r="C91" s="2289"/>
      <c r="D91" s="2310" t="str">
        <f>KÉRDÉSEK!C276</f>
        <v>NEM</v>
      </c>
      <c r="E91" s="2296"/>
      <c r="F91" s="2296"/>
      <c r="G91" s="2296"/>
      <c r="H91" s="2296"/>
      <c r="I91" s="2296"/>
      <c r="J91" s="2296"/>
      <c r="K91" s="2296"/>
      <c r="L91" s="2296"/>
      <c r="M91" s="2296"/>
      <c r="N91" s="2296"/>
      <c r="O91" s="2296"/>
      <c r="P91" s="2327"/>
      <c r="Q91" s="2524"/>
      <c r="R91" s="2525"/>
      <c r="S91" s="2525"/>
      <c r="T91" s="2525"/>
      <c r="U91" s="2525"/>
      <c r="V91" s="2525"/>
      <c r="W91" s="2526"/>
      <c r="X91" s="2715"/>
      <c r="Y91" s="2715"/>
      <c r="Z91" s="2715"/>
      <c r="AA91" s="2715"/>
      <c r="AB91" s="2715"/>
      <c r="AC91" s="2715"/>
      <c r="AD91" s="2532"/>
      <c r="AE91" s="2536" t="s">
        <v>5035</v>
      </c>
      <c r="AF91" s="2525"/>
      <c r="AG91" s="2525"/>
      <c r="AH91" s="2539"/>
      <c r="AI91" s="2525"/>
      <c r="AJ91" s="2525"/>
      <c r="AK91" s="2525"/>
      <c r="AL91" s="2525"/>
      <c r="AM91" s="2526"/>
      <c r="AN91" s="2716"/>
      <c r="BA91">
        <v>43465043</v>
      </c>
      <c r="BB91">
        <v>1</v>
      </c>
      <c r="BC91">
        <v>0.37319999999999998</v>
      </c>
      <c r="BF91" s="3180">
        <v>44098050</v>
      </c>
      <c r="BG91" s="3180" t="b">
        <f t="shared" si="22"/>
        <v>0</v>
      </c>
      <c r="BH91" s="3180">
        <v>40299014</v>
      </c>
      <c r="BI91" s="3180">
        <v>0.45</v>
      </c>
      <c r="BK91" s="3180"/>
    </row>
    <row r="92" spans="1:63" ht="15">
      <c r="A92" s="2293" t="s">
        <v>5028</v>
      </c>
      <c r="B92" s="2300" t="s">
        <v>1494</v>
      </c>
      <c r="C92" s="2301"/>
      <c r="D92" s="2308">
        <f>IF($D$89=$E$89,D$86,D$83)</f>
        <v>5200</v>
      </c>
      <c r="E92" s="2308">
        <f t="shared" ref="E92:U92" si="27">IF($D$89=$E$89,E$86,E$83)</f>
        <v>5200</v>
      </c>
      <c r="F92" s="2308">
        <f t="shared" si="27"/>
        <v>5678</v>
      </c>
      <c r="G92" s="2308">
        <f t="shared" si="27"/>
        <v>2436</v>
      </c>
      <c r="H92" s="2308">
        <f t="shared" si="27"/>
        <v>1919</v>
      </c>
      <c r="I92" s="2308">
        <f t="shared" si="27"/>
        <v>5200</v>
      </c>
      <c r="J92" s="2308">
        <f t="shared" si="27"/>
        <v>1048</v>
      </c>
      <c r="K92" s="2308">
        <f t="shared" si="27"/>
        <v>400000</v>
      </c>
      <c r="L92" s="2308">
        <f t="shared" si="27"/>
        <v>5200</v>
      </c>
      <c r="M92" s="2308">
        <f t="shared" si="27"/>
        <v>52632</v>
      </c>
      <c r="N92" s="2308">
        <f t="shared" si="27"/>
        <v>7327</v>
      </c>
      <c r="O92" s="2308">
        <f t="shared" si="27"/>
        <v>5200</v>
      </c>
      <c r="P92" s="2326">
        <f t="shared" si="27"/>
        <v>2500</v>
      </c>
      <c r="Q92" s="2326">
        <f t="shared" si="27"/>
        <v>5200</v>
      </c>
      <c r="R92" s="2326">
        <f t="shared" si="27"/>
        <v>5200</v>
      </c>
      <c r="S92" s="2326">
        <f t="shared" si="27"/>
        <v>5200</v>
      </c>
      <c r="T92" s="2326">
        <f t="shared" si="27"/>
        <v>7919</v>
      </c>
      <c r="U92" s="2326">
        <f t="shared" si="27"/>
        <v>5200</v>
      </c>
      <c r="V92" s="2525"/>
      <c r="W92" s="2526"/>
      <c r="X92" s="2326">
        <f t="shared" ref="X92:AC92" si="28">IF($D$89=$E$89,X$86,X$83)</f>
        <v>5200</v>
      </c>
      <c r="Y92" s="2326">
        <f t="shared" si="28"/>
        <v>5200</v>
      </c>
      <c r="Z92" s="2326">
        <f t="shared" si="28"/>
        <v>5200</v>
      </c>
      <c r="AA92" s="2326">
        <f t="shared" si="28"/>
        <v>4000</v>
      </c>
      <c r="AB92" s="2326">
        <f t="shared" si="28"/>
        <v>1083</v>
      </c>
      <c r="AC92" s="2326">
        <f t="shared" si="28"/>
        <v>4000</v>
      </c>
      <c r="AD92" s="2532"/>
      <c r="AE92" s="2525"/>
      <c r="AF92" s="2525"/>
      <c r="AG92" s="2525"/>
      <c r="AH92" s="2525"/>
      <c r="AI92" s="2525"/>
      <c r="AJ92" s="2525"/>
      <c r="AK92" s="2525"/>
      <c r="AL92" s="2525"/>
      <c r="AM92" s="2526"/>
      <c r="AN92" s="2716"/>
      <c r="AO92" s="2517" t="s">
        <v>5028</v>
      </c>
      <c r="AP92" s="2300" t="s">
        <v>1494</v>
      </c>
      <c r="AQ92" s="2301"/>
      <c r="BA92" s="3180">
        <v>43484241</v>
      </c>
      <c r="BB92" s="3180">
        <v>20</v>
      </c>
      <c r="BC92" s="3180">
        <v>0.55620000000000003</v>
      </c>
      <c r="BF92" s="3180">
        <v>44176732</v>
      </c>
      <c r="BG92" s="3180" t="b">
        <f t="shared" si="22"/>
        <v>0</v>
      </c>
      <c r="BH92">
        <v>40321870</v>
      </c>
      <c r="BI92">
        <v>0</v>
      </c>
      <c r="BK92" s="3180"/>
    </row>
    <row r="93" spans="1:63" ht="15">
      <c r="A93" s="2293" t="s">
        <v>5028</v>
      </c>
      <c r="B93" s="2300" t="s">
        <v>3072</v>
      </c>
      <c r="C93" s="2301"/>
      <c r="D93" s="2308">
        <f>IF($D$90=$E$89,D$87,D$84)</f>
        <v>5600</v>
      </c>
      <c r="E93" s="2308">
        <f t="shared" ref="E93:U93" si="29">IF($D$90=$E$89,E$87,E$84)</f>
        <v>5600</v>
      </c>
      <c r="F93" s="2308">
        <f t="shared" si="29"/>
        <v>6115</v>
      </c>
      <c r="G93" s="2308">
        <f t="shared" si="29"/>
        <v>2592</v>
      </c>
      <c r="H93" s="2308">
        <f t="shared" si="29"/>
        <v>2063</v>
      </c>
      <c r="I93" s="2308">
        <f t="shared" si="29"/>
        <v>5600</v>
      </c>
      <c r="J93" s="2308">
        <f t="shared" si="29"/>
        <v>1126</v>
      </c>
      <c r="K93" s="2308">
        <f t="shared" si="29"/>
        <v>650000</v>
      </c>
      <c r="L93" s="2308">
        <f t="shared" si="29"/>
        <v>5600</v>
      </c>
      <c r="M93" s="2308">
        <f t="shared" si="29"/>
        <v>52632</v>
      </c>
      <c r="N93" s="2308">
        <f t="shared" si="29"/>
        <v>7327</v>
      </c>
      <c r="O93" s="2308">
        <f t="shared" si="29"/>
        <v>5600</v>
      </c>
      <c r="P93" s="2326">
        <f t="shared" si="29"/>
        <v>2700</v>
      </c>
      <c r="Q93" s="2326">
        <f t="shared" si="29"/>
        <v>5600</v>
      </c>
      <c r="R93" s="2326">
        <f t="shared" si="29"/>
        <v>5600</v>
      </c>
      <c r="S93" s="2326">
        <f t="shared" si="29"/>
        <v>5600</v>
      </c>
      <c r="T93" s="2326">
        <f t="shared" si="29"/>
        <v>8513</v>
      </c>
      <c r="U93" s="2326">
        <f t="shared" si="29"/>
        <v>5600</v>
      </c>
      <c r="V93" s="2525"/>
      <c r="W93" s="2526"/>
      <c r="X93" s="2326">
        <f t="shared" ref="X93:AC93" si="30">IF($D$90=$E$89,X$87,X$84)</f>
        <v>5600</v>
      </c>
      <c r="Y93" s="2326">
        <f t="shared" si="30"/>
        <v>5600</v>
      </c>
      <c r="Z93" s="2326">
        <f t="shared" si="30"/>
        <v>5600</v>
      </c>
      <c r="AA93" s="2326">
        <f t="shared" si="30"/>
        <v>4300</v>
      </c>
      <c r="AB93" s="2326">
        <f t="shared" si="30"/>
        <v>1083</v>
      </c>
      <c r="AC93" s="2326">
        <f t="shared" si="30"/>
        <v>4300</v>
      </c>
      <c r="AD93" s="2532"/>
      <c r="AE93" s="2525"/>
      <c r="AF93" s="2525"/>
      <c r="AG93" s="2525"/>
      <c r="AH93" s="2525"/>
      <c r="AI93" s="2525"/>
      <c r="AJ93" s="2525"/>
      <c r="AK93" s="2525"/>
      <c r="AL93" s="2525"/>
      <c r="AM93" s="2526"/>
      <c r="AN93" s="2716"/>
      <c r="AO93" s="2517" t="s">
        <v>5028</v>
      </c>
      <c r="AP93" s="2300" t="s">
        <v>3072</v>
      </c>
      <c r="AQ93" s="2301"/>
      <c r="BA93">
        <v>43493967</v>
      </c>
      <c r="BB93">
        <v>2</v>
      </c>
      <c r="BC93">
        <v>9</v>
      </c>
      <c r="BF93" s="3180">
        <v>44247812</v>
      </c>
      <c r="BG93" s="3180" t="b">
        <f t="shared" si="22"/>
        <v>0</v>
      </c>
      <c r="BH93">
        <v>40341205</v>
      </c>
      <c r="BI93">
        <v>0</v>
      </c>
      <c r="BK93" s="3180"/>
    </row>
    <row r="94" spans="1:63" thickBot="1">
      <c r="A94" s="2302" t="s">
        <v>5028</v>
      </c>
      <c r="B94" s="2303" t="s">
        <v>3071</v>
      </c>
      <c r="C94" s="2304"/>
      <c r="D94" s="2309">
        <f>IF($D$91=$E$89,D$88,D$85)</f>
        <v>52300</v>
      </c>
      <c r="E94" s="2309">
        <f t="shared" ref="E94:U94" si="31">IF($D$91=$E$89,E$88,E$85)</f>
        <v>400000</v>
      </c>
      <c r="F94" s="2309">
        <f t="shared" si="31"/>
        <v>57112</v>
      </c>
      <c r="G94" s="2309">
        <f t="shared" si="31"/>
        <v>2261628</v>
      </c>
      <c r="H94" s="2309">
        <f t="shared" si="31"/>
        <v>19193</v>
      </c>
      <c r="I94" s="2309">
        <f t="shared" si="31"/>
        <v>5000000</v>
      </c>
      <c r="J94" s="2309">
        <f t="shared" si="31"/>
        <v>10473</v>
      </c>
      <c r="K94" s="2309">
        <f t="shared" si="31"/>
        <v>1000000</v>
      </c>
      <c r="L94" s="2309">
        <f t="shared" si="31"/>
        <v>2000000</v>
      </c>
      <c r="M94" s="2309">
        <f t="shared" si="31"/>
        <v>52632</v>
      </c>
      <c r="N94" s="2309">
        <f t="shared" si="31"/>
        <v>7327</v>
      </c>
      <c r="O94" s="2309">
        <f t="shared" si="31"/>
        <v>52300</v>
      </c>
      <c r="P94" s="2328">
        <f t="shared" si="31"/>
        <v>25300</v>
      </c>
      <c r="Q94" s="2328">
        <f t="shared" si="31"/>
        <v>52300</v>
      </c>
      <c r="R94" s="2328">
        <f t="shared" si="31"/>
        <v>200000</v>
      </c>
      <c r="S94" s="2328">
        <f t="shared" si="31"/>
        <v>5000000</v>
      </c>
      <c r="T94" s="2328">
        <f t="shared" si="31"/>
        <v>79194</v>
      </c>
      <c r="U94" s="2328">
        <f t="shared" si="31"/>
        <v>5000000</v>
      </c>
      <c r="V94" s="2527"/>
      <c r="W94" s="2528"/>
      <c r="X94" s="2328">
        <f t="shared" ref="X94:AC94" si="32">IF($D$91=$E$89,X$88,X$85)</f>
        <v>52300</v>
      </c>
      <c r="Y94" s="2328">
        <f t="shared" si="32"/>
        <v>52300</v>
      </c>
      <c r="Z94" s="2328">
        <f t="shared" si="32"/>
        <v>52300</v>
      </c>
      <c r="AA94" s="2328">
        <f t="shared" si="32"/>
        <v>5000000</v>
      </c>
      <c r="AB94" s="2328">
        <f t="shared" si="32"/>
        <v>30769</v>
      </c>
      <c r="AC94" s="2328">
        <f t="shared" si="32"/>
        <v>5000000</v>
      </c>
      <c r="AD94" s="2533"/>
      <c r="AE94" s="2527"/>
      <c r="AF94" s="2527"/>
      <c r="AG94" s="2527"/>
      <c r="AH94" s="2527"/>
      <c r="AI94" s="2527"/>
      <c r="AJ94" s="2527"/>
      <c r="AK94" s="2527"/>
      <c r="AL94" s="2527"/>
      <c r="AM94" s="2528"/>
      <c r="AN94" s="2716"/>
      <c r="AO94" s="2518" t="s">
        <v>5028</v>
      </c>
      <c r="AP94" s="2303" t="s">
        <v>3071</v>
      </c>
      <c r="AQ94" s="2304"/>
      <c r="BA94">
        <v>43534441</v>
      </c>
      <c r="BB94">
        <v>1</v>
      </c>
      <c r="BC94">
        <v>0.79630000000000001</v>
      </c>
      <c r="BF94" s="3180">
        <v>44278732</v>
      </c>
      <c r="BG94" s="3180" t="b">
        <f t="shared" si="22"/>
        <v>0</v>
      </c>
      <c r="BH94" s="3180">
        <v>40365934</v>
      </c>
      <c r="BI94" s="3180">
        <v>0.29530000000000001</v>
      </c>
      <c r="BK94" s="3180"/>
    </row>
    <row r="95" spans="1:63" thickTop="1">
      <c r="BA95">
        <v>43539657</v>
      </c>
      <c r="BB95">
        <v>2</v>
      </c>
      <c r="BC95">
        <v>1.9313</v>
      </c>
      <c r="BF95" s="3180">
        <v>44304999</v>
      </c>
      <c r="BG95" s="3180" t="b">
        <f t="shared" si="22"/>
        <v>0</v>
      </c>
      <c r="BH95">
        <v>40439497</v>
      </c>
      <c r="BI95">
        <v>0</v>
      </c>
      <c r="BK95" s="3180"/>
    </row>
    <row r="96" spans="1:63" thickBot="1">
      <c r="BA96" s="3180">
        <v>43594239</v>
      </c>
      <c r="BB96" s="3180">
        <v>1</v>
      </c>
      <c r="BC96" s="3180">
        <v>0.41830000000000001</v>
      </c>
      <c r="BF96" s="3180">
        <v>44321938</v>
      </c>
      <c r="BG96" s="3180" t="b">
        <f t="shared" si="22"/>
        <v>0</v>
      </c>
      <c r="BH96">
        <v>40500099</v>
      </c>
      <c r="BI96">
        <v>0</v>
      </c>
      <c r="BK96" s="3180"/>
    </row>
    <row r="97" spans="2:63" ht="90.75" thickTop="1">
      <c r="B97" s="2262" t="s">
        <v>5023</v>
      </c>
      <c r="C97" s="2250" t="s">
        <v>4992</v>
      </c>
      <c r="D97" s="2250" t="s">
        <v>4993</v>
      </c>
      <c r="E97" s="2250" t="s">
        <v>5003</v>
      </c>
      <c r="F97" s="2250" t="s">
        <v>5002</v>
      </c>
      <c r="G97" s="2250"/>
      <c r="H97" s="2250"/>
      <c r="I97" s="2264" t="s">
        <v>5001</v>
      </c>
      <c r="J97" s="2264" t="s">
        <v>4997</v>
      </c>
      <c r="BA97" s="3180">
        <v>43606793</v>
      </c>
      <c r="BB97" s="3180">
        <v>23</v>
      </c>
      <c r="BC97" s="3180">
        <v>0.4178</v>
      </c>
      <c r="BF97" s="3180">
        <v>44331074</v>
      </c>
      <c r="BG97" s="3180" t="b">
        <f t="shared" si="22"/>
        <v>0</v>
      </c>
      <c r="BH97" s="3180">
        <v>40545594</v>
      </c>
      <c r="BI97" s="3180">
        <v>0.31130000000000002</v>
      </c>
      <c r="BK97" s="3180"/>
    </row>
    <row r="98" spans="2:63" ht="15">
      <c r="B98" s="2252" t="s">
        <v>1494</v>
      </c>
      <c r="C98" s="2253"/>
      <c r="D98" s="2253"/>
      <c r="E98" s="2254"/>
      <c r="F98" s="2254"/>
      <c r="G98" s="2254"/>
      <c r="H98" s="2254"/>
      <c r="I98" s="2265"/>
      <c r="J98" s="2265"/>
      <c r="BA98" s="3180">
        <v>43610378</v>
      </c>
      <c r="BB98" s="3180">
        <v>1</v>
      </c>
      <c r="BC98" s="3180">
        <v>0.58089999999999997</v>
      </c>
      <c r="BF98" s="3180">
        <v>44338014</v>
      </c>
      <c r="BG98" s="3180" t="b">
        <f t="shared" si="22"/>
        <v>0</v>
      </c>
      <c r="BH98">
        <v>40711933</v>
      </c>
      <c r="BI98">
        <v>0</v>
      </c>
      <c r="BK98" s="3180"/>
    </row>
    <row r="99" spans="2:63" ht="15">
      <c r="B99" s="2252" t="s">
        <v>3072</v>
      </c>
      <c r="C99" s="2253"/>
      <c r="D99" s="2253"/>
      <c r="E99" s="2254"/>
      <c r="F99" s="2254"/>
      <c r="G99" s="2254"/>
      <c r="H99" s="2254"/>
      <c r="I99" s="2265"/>
      <c r="J99" s="2265"/>
      <c r="BA99" s="3180">
        <v>43610390</v>
      </c>
      <c r="BB99" s="3180">
        <v>1</v>
      </c>
      <c r="BC99" s="3180">
        <v>0.40920000000000001</v>
      </c>
      <c r="BF99" s="3180">
        <v>44341937</v>
      </c>
      <c r="BG99" s="3180" t="b">
        <f t="shared" si="22"/>
        <v>0</v>
      </c>
      <c r="BH99" s="3180">
        <v>40712007</v>
      </c>
      <c r="BI99" s="3180">
        <v>0.3735</v>
      </c>
      <c r="BK99" s="3180"/>
    </row>
    <row r="100" spans="2:63" ht="15">
      <c r="B100" s="2252" t="s">
        <v>3071</v>
      </c>
      <c r="C100" s="2253"/>
      <c r="D100" s="2253"/>
      <c r="E100" s="2254"/>
      <c r="F100" s="2254"/>
      <c r="G100" s="2254"/>
      <c r="H100" s="2254"/>
      <c r="I100" s="2265"/>
      <c r="J100" s="2265"/>
      <c r="BA100">
        <v>43632851</v>
      </c>
      <c r="BB100">
        <v>2</v>
      </c>
      <c r="BC100">
        <v>9</v>
      </c>
      <c r="BF100" s="3180">
        <v>44342309</v>
      </c>
      <c r="BG100" s="3180" t="b">
        <f t="shared" si="22"/>
        <v>0</v>
      </c>
      <c r="BH100">
        <v>40753355</v>
      </c>
      <c r="BI100">
        <v>0</v>
      </c>
      <c r="BK100" s="3180"/>
    </row>
    <row r="101" spans="2:63" ht="15">
      <c r="B101" s="2256"/>
      <c r="C101" s="2254"/>
      <c r="D101" s="2254"/>
      <c r="E101" s="2254"/>
      <c r="F101" s="2254"/>
      <c r="G101" s="2254"/>
      <c r="H101" s="2254"/>
      <c r="I101" s="2266"/>
      <c r="J101" s="2266"/>
      <c r="BA101">
        <v>43649268</v>
      </c>
      <c r="BB101">
        <v>1</v>
      </c>
      <c r="BC101">
        <v>0.46489999999999998</v>
      </c>
      <c r="BF101" s="3180">
        <v>44354692</v>
      </c>
      <c r="BG101" s="3180" t="b">
        <f t="shared" si="22"/>
        <v>0</v>
      </c>
      <c r="BH101">
        <v>40842984</v>
      </c>
      <c r="BI101">
        <v>0</v>
      </c>
      <c r="BK101" s="3180"/>
    </row>
    <row r="102" spans="2:63" ht="15">
      <c r="B102" s="2257" t="s">
        <v>4994</v>
      </c>
      <c r="C102" s="2254"/>
      <c r="D102" s="2258" t="b">
        <v>1</v>
      </c>
      <c r="E102" s="2254"/>
      <c r="F102" s="2254"/>
      <c r="G102" s="2254"/>
      <c r="H102" s="2254"/>
      <c r="I102" s="2266"/>
      <c r="J102" s="2266"/>
      <c r="BA102" s="3180">
        <v>43656551</v>
      </c>
      <c r="BB102" s="3180">
        <v>21</v>
      </c>
      <c r="BC102" s="3180">
        <v>0.30609999999999998</v>
      </c>
      <c r="BF102" s="3180">
        <v>44427593</v>
      </c>
      <c r="BG102" s="3180" t="b">
        <f t="shared" si="22"/>
        <v>0</v>
      </c>
      <c r="BH102">
        <v>40883013</v>
      </c>
      <c r="BI102">
        <v>0</v>
      </c>
      <c r="BK102" s="3180"/>
    </row>
    <row r="103" spans="2:63" ht="15">
      <c r="B103" s="2257" t="s">
        <v>4995</v>
      </c>
      <c r="C103" s="2254"/>
      <c r="D103" s="2258" t="b">
        <v>0</v>
      </c>
      <c r="E103" s="2254"/>
      <c r="F103" s="2254"/>
      <c r="G103" s="2254"/>
      <c r="H103" s="2254"/>
      <c r="I103" s="2266"/>
      <c r="J103" s="2266"/>
      <c r="BA103">
        <v>43677651</v>
      </c>
      <c r="BB103">
        <v>6</v>
      </c>
      <c r="BC103">
        <v>5</v>
      </c>
      <c r="BF103" s="3180">
        <v>44463595</v>
      </c>
      <c r="BG103" s="3180" t="b">
        <f t="shared" si="22"/>
        <v>0</v>
      </c>
      <c r="BH103" s="3180">
        <v>40913529</v>
      </c>
      <c r="BI103" s="3180">
        <v>0.55810000000000004</v>
      </c>
      <c r="BK103" s="3180"/>
    </row>
    <row r="104" spans="2:63" thickBot="1">
      <c r="B104" s="2259" t="s">
        <v>4996</v>
      </c>
      <c r="C104" s="2260"/>
      <c r="D104" s="2260"/>
      <c r="E104" s="2260"/>
      <c r="F104" s="2260"/>
      <c r="G104" s="2260"/>
      <c r="H104" s="2260"/>
      <c r="I104" s="2267"/>
      <c r="J104" s="2267"/>
      <c r="BA104">
        <v>43678331</v>
      </c>
      <c r="BB104">
        <v>14</v>
      </c>
      <c r="BC104">
        <v>0.21079999999999999</v>
      </c>
      <c r="BF104" s="3180">
        <v>44568694</v>
      </c>
      <c r="BG104" s="3180" t="b">
        <f t="shared" si="22"/>
        <v>0</v>
      </c>
      <c r="BH104">
        <v>40958183</v>
      </c>
      <c r="BI104">
        <v>0</v>
      </c>
      <c r="BK104" s="3180"/>
    </row>
    <row r="105" spans="2:63" thickTop="1">
      <c r="BA105" s="3180">
        <v>43682090</v>
      </c>
      <c r="BB105" s="3180">
        <v>1</v>
      </c>
      <c r="BC105" s="3180">
        <v>0.33</v>
      </c>
      <c r="BF105" s="3180">
        <v>44682187</v>
      </c>
      <c r="BG105" s="3180" t="b">
        <f t="shared" si="22"/>
        <v>0</v>
      </c>
      <c r="BH105">
        <v>40973107</v>
      </c>
      <c r="BI105">
        <v>0</v>
      </c>
      <c r="BK105" s="3180"/>
    </row>
    <row r="106" spans="2:63" ht="15">
      <c r="BA106">
        <v>43682874</v>
      </c>
      <c r="BB106">
        <v>14</v>
      </c>
      <c r="BC106">
        <v>0.1135</v>
      </c>
      <c r="BF106" s="3180">
        <v>44714103</v>
      </c>
      <c r="BG106" s="3180" t="b">
        <f t="shared" si="22"/>
        <v>0</v>
      </c>
      <c r="BH106">
        <v>40979067</v>
      </c>
      <c r="BI106">
        <v>0</v>
      </c>
      <c r="BK106" s="3180"/>
    </row>
    <row r="107" spans="2:63" ht="15">
      <c r="BA107">
        <v>43683092</v>
      </c>
      <c r="BB107">
        <v>3</v>
      </c>
      <c r="BC107">
        <v>0.43519999999999998</v>
      </c>
      <c r="BF107" s="3180">
        <v>44721526</v>
      </c>
      <c r="BG107" s="3180" t="b">
        <f t="shared" si="22"/>
        <v>0</v>
      </c>
      <c r="BH107">
        <v>41049902</v>
      </c>
      <c r="BI107">
        <v>0</v>
      </c>
      <c r="BK107" s="3180"/>
    </row>
    <row r="108" spans="2:63" ht="15">
      <c r="BA108" s="3180">
        <v>43729672</v>
      </c>
      <c r="BB108" s="3180">
        <v>20</v>
      </c>
      <c r="BC108" s="3180">
        <v>0.37740000000000001</v>
      </c>
      <c r="BF108" s="3180">
        <v>44811610</v>
      </c>
      <c r="BG108" s="3180" t="b">
        <f t="shared" si="22"/>
        <v>0</v>
      </c>
      <c r="BH108">
        <v>41086682</v>
      </c>
      <c r="BI108">
        <v>0</v>
      </c>
      <c r="BK108" s="3180"/>
    </row>
    <row r="109" spans="2:63" ht="15">
      <c r="BA109" s="3180">
        <v>43743567</v>
      </c>
      <c r="BB109" s="3180">
        <v>16</v>
      </c>
      <c r="BC109" s="3180">
        <v>1.0306999999999999</v>
      </c>
      <c r="BF109" s="3180">
        <v>44832847</v>
      </c>
      <c r="BG109" s="3180" t="b">
        <f t="shared" si="22"/>
        <v>0</v>
      </c>
      <c r="BH109">
        <v>41133325</v>
      </c>
      <c r="BI109">
        <v>0</v>
      </c>
      <c r="BK109" s="3180"/>
    </row>
    <row r="110" spans="2:63" ht="15">
      <c r="BA110" s="3180">
        <v>43787006</v>
      </c>
      <c r="BB110" s="3180">
        <v>19</v>
      </c>
      <c r="BC110" s="3180">
        <v>0.53920000000000001</v>
      </c>
      <c r="BF110" s="3180">
        <v>44915445</v>
      </c>
      <c r="BG110" s="3180" t="b">
        <f t="shared" si="22"/>
        <v>0</v>
      </c>
      <c r="BH110">
        <v>41140402</v>
      </c>
      <c r="BI110">
        <v>0</v>
      </c>
      <c r="BK110" s="3180"/>
    </row>
    <row r="111" spans="2:63" ht="15">
      <c r="BA111">
        <v>43847017</v>
      </c>
      <c r="BB111">
        <v>2</v>
      </c>
      <c r="BC111">
        <v>0.77500000000000002</v>
      </c>
      <c r="BF111" s="3180">
        <v>44925963</v>
      </c>
      <c r="BG111" s="3180" t="b">
        <f t="shared" si="22"/>
        <v>0</v>
      </c>
      <c r="BH111">
        <v>41250732</v>
      </c>
      <c r="BI111">
        <v>0</v>
      </c>
      <c r="BK111" s="3180"/>
    </row>
    <row r="112" spans="2:63" ht="15">
      <c r="BA112">
        <v>43849026</v>
      </c>
      <c r="BB112">
        <v>1</v>
      </c>
      <c r="BC112">
        <v>0.37319999999999998</v>
      </c>
      <c r="BF112" s="3180">
        <v>44985050</v>
      </c>
      <c r="BG112" s="3180" t="b">
        <f t="shared" si="22"/>
        <v>0</v>
      </c>
      <c r="BH112">
        <v>41333295</v>
      </c>
      <c r="BI112">
        <v>0</v>
      </c>
      <c r="BK112" s="3180"/>
    </row>
    <row r="113" spans="53:63" ht="15">
      <c r="BA113">
        <v>43849032</v>
      </c>
      <c r="BB113">
        <v>1</v>
      </c>
      <c r="BC113">
        <v>0.37319999999999998</v>
      </c>
      <c r="BF113" s="3180">
        <v>45038196</v>
      </c>
      <c r="BG113" s="3180" t="b">
        <f t="shared" si="22"/>
        <v>0</v>
      </c>
      <c r="BH113">
        <v>41337878</v>
      </c>
      <c r="BI113">
        <v>0</v>
      </c>
      <c r="BK113" s="3180"/>
    </row>
    <row r="114" spans="53:63" ht="15">
      <c r="BA114">
        <v>43849036</v>
      </c>
      <c r="BB114">
        <v>1</v>
      </c>
      <c r="BC114">
        <v>0.37319999999999998</v>
      </c>
      <c r="BF114" s="3180">
        <v>45064457</v>
      </c>
      <c r="BG114" s="3180" t="b">
        <f t="shared" si="22"/>
        <v>0</v>
      </c>
      <c r="BH114" s="3180">
        <v>41342101</v>
      </c>
      <c r="BI114" s="3180">
        <v>0.22459999999999999</v>
      </c>
      <c r="BK114" s="3180"/>
    </row>
    <row r="115" spans="53:63" ht="15">
      <c r="BA115">
        <v>43871941</v>
      </c>
      <c r="BB115">
        <v>2</v>
      </c>
      <c r="BC115">
        <v>9</v>
      </c>
      <c r="BF115" s="3180">
        <v>45071689</v>
      </c>
      <c r="BG115" s="3180" t="b">
        <f t="shared" si="22"/>
        <v>0</v>
      </c>
      <c r="BH115">
        <v>41349516</v>
      </c>
      <c r="BI115">
        <v>0</v>
      </c>
      <c r="BK115" s="3180"/>
    </row>
    <row r="116" spans="53:63" ht="15">
      <c r="BA116" s="3180">
        <v>43943288</v>
      </c>
      <c r="BB116" s="3180">
        <v>21</v>
      </c>
      <c r="BC116" s="3180">
        <v>0.27689999999999998</v>
      </c>
      <c r="BF116" s="3180">
        <v>45074986</v>
      </c>
      <c r="BG116" s="3180" t="b">
        <f t="shared" si="22"/>
        <v>0</v>
      </c>
      <c r="BH116">
        <v>41353130</v>
      </c>
      <c r="BI116">
        <v>0</v>
      </c>
      <c r="BK116" s="3180"/>
    </row>
    <row r="117" spans="53:63" ht="15">
      <c r="BA117">
        <v>43961409</v>
      </c>
      <c r="BB117">
        <v>1</v>
      </c>
      <c r="BC117">
        <v>0.30359999999999998</v>
      </c>
      <c r="BF117" s="3180">
        <v>45080559</v>
      </c>
      <c r="BG117" s="3180" t="b">
        <f t="shared" si="22"/>
        <v>0</v>
      </c>
      <c r="BH117" s="3180">
        <v>41381013</v>
      </c>
      <c r="BI117" s="3180">
        <v>0.46060000000000001</v>
      </c>
      <c r="BK117" s="3180"/>
    </row>
    <row r="118" spans="53:63" ht="15">
      <c r="BA118">
        <v>43971852</v>
      </c>
      <c r="BB118">
        <v>14</v>
      </c>
      <c r="BC118">
        <v>0.1431</v>
      </c>
      <c r="BF118" s="3180">
        <v>45084115</v>
      </c>
      <c r="BG118" s="3180" t="b">
        <f t="shared" si="22"/>
        <v>0</v>
      </c>
      <c r="BH118" s="3180">
        <v>41418789</v>
      </c>
      <c r="BI118" s="3180">
        <v>0.23449999999999999</v>
      </c>
      <c r="BK118" s="3180"/>
    </row>
    <row r="119" spans="53:63" ht="15">
      <c r="BA119">
        <v>43981045</v>
      </c>
      <c r="BB119">
        <v>1</v>
      </c>
      <c r="BC119">
        <v>0.159</v>
      </c>
      <c r="BF119" s="3180">
        <v>45090935</v>
      </c>
      <c r="BG119" s="3180" t="b">
        <f t="shared" si="22"/>
        <v>0</v>
      </c>
      <c r="BH119">
        <v>42166870</v>
      </c>
      <c r="BI119">
        <v>0</v>
      </c>
      <c r="BK119" s="3180"/>
    </row>
    <row r="120" spans="53:63" ht="15">
      <c r="BA120" s="3180">
        <v>43982202</v>
      </c>
      <c r="BB120" s="3180">
        <v>22</v>
      </c>
      <c r="BC120" s="3180">
        <v>0.6</v>
      </c>
      <c r="BF120" s="3180">
        <v>45142769</v>
      </c>
      <c r="BG120" s="3180" t="b">
        <f t="shared" si="22"/>
        <v>0</v>
      </c>
      <c r="BH120">
        <v>42387935</v>
      </c>
      <c r="BI120">
        <v>0</v>
      </c>
      <c r="BK120" s="3180"/>
    </row>
    <row r="121" spans="53:63" ht="15">
      <c r="BA121">
        <v>44007366</v>
      </c>
      <c r="BB121">
        <v>3</v>
      </c>
      <c r="BC121">
        <v>0.1918</v>
      </c>
      <c r="BF121" s="3180">
        <v>45152855</v>
      </c>
      <c r="BG121" s="3180" t="b">
        <f t="shared" si="22"/>
        <v>0</v>
      </c>
      <c r="BH121">
        <v>42424775</v>
      </c>
      <c r="BI121">
        <v>0</v>
      </c>
      <c r="BK121" s="3180"/>
    </row>
    <row r="122" spans="53:63" ht="15">
      <c r="BA122">
        <v>44021279</v>
      </c>
      <c r="BB122">
        <v>1</v>
      </c>
      <c r="BC122">
        <v>0.93459999999999999</v>
      </c>
      <c r="BF122" s="3180">
        <v>45259926</v>
      </c>
      <c r="BG122" s="3180" t="b">
        <f t="shared" si="22"/>
        <v>0</v>
      </c>
      <c r="BH122" s="3180">
        <v>42508305</v>
      </c>
      <c r="BI122" s="3180">
        <v>0.42180000000000001</v>
      </c>
      <c r="BK122" s="3180"/>
    </row>
    <row r="123" spans="53:63" ht="15">
      <c r="BA123">
        <v>44065051</v>
      </c>
      <c r="BB123">
        <v>1</v>
      </c>
      <c r="BC123">
        <v>0.20399999999999999</v>
      </c>
      <c r="BF123" s="3180">
        <v>45281283</v>
      </c>
      <c r="BG123" s="3180" t="b">
        <f t="shared" si="22"/>
        <v>0</v>
      </c>
      <c r="BH123">
        <v>42558503</v>
      </c>
      <c r="BI123">
        <v>0</v>
      </c>
      <c r="BK123" s="3180"/>
    </row>
    <row r="124" spans="53:63" ht="15">
      <c r="BA124">
        <v>44066588</v>
      </c>
      <c r="BB124">
        <v>1</v>
      </c>
      <c r="BC124">
        <v>0.41049999999999998</v>
      </c>
      <c r="BF124" s="3180">
        <v>45282099</v>
      </c>
      <c r="BG124" s="3180" t="b">
        <f t="shared" si="22"/>
        <v>0</v>
      </c>
      <c r="BH124">
        <v>42627579</v>
      </c>
      <c r="BI124">
        <v>0</v>
      </c>
      <c r="BK124" s="3180"/>
    </row>
    <row r="125" spans="53:63" ht="15">
      <c r="BA125">
        <v>44092203</v>
      </c>
      <c r="BB125">
        <v>2</v>
      </c>
      <c r="BC125">
        <v>9</v>
      </c>
      <c r="BF125" s="3180">
        <v>45287333</v>
      </c>
      <c r="BG125" s="3180" t="b">
        <f t="shared" ref="BG125:BG155" si="33">$BF125=$BJ$49</f>
        <v>0</v>
      </c>
      <c r="BH125" s="3180">
        <v>42650653</v>
      </c>
      <c r="BI125" s="3180">
        <v>0.28010000000000002</v>
      </c>
      <c r="BK125" s="3180"/>
    </row>
    <row r="126" spans="53:63" ht="15">
      <c r="BA126" s="3180">
        <v>44098050</v>
      </c>
      <c r="BB126" s="3180">
        <v>23</v>
      </c>
      <c r="BC126" s="3180">
        <v>0.36209999999999998</v>
      </c>
      <c r="BF126" s="3180">
        <v>45425119</v>
      </c>
      <c r="BG126" s="3180" t="b">
        <f t="shared" si="33"/>
        <v>0</v>
      </c>
      <c r="BH126">
        <v>42772688</v>
      </c>
      <c r="BI126">
        <v>0</v>
      </c>
      <c r="BK126" s="3180"/>
    </row>
    <row r="127" spans="53:63" ht="15">
      <c r="BA127">
        <v>44098178</v>
      </c>
      <c r="BB127">
        <v>2</v>
      </c>
      <c r="BC127">
        <v>9</v>
      </c>
      <c r="BF127" s="3180">
        <v>45479045</v>
      </c>
      <c r="BG127" s="3180" t="b">
        <f t="shared" si="33"/>
        <v>0</v>
      </c>
      <c r="BH127">
        <v>42790551</v>
      </c>
      <c r="BI127">
        <v>0</v>
      </c>
      <c r="BK127" s="3180"/>
    </row>
    <row r="128" spans="53:63" ht="15">
      <c r="BA128">
        <v>44115380</v>
      </c>
      <c r="BB128">
        <v>14</v>
      </c>
      <c r="BC128">
        <v>0.12839999999999999</v>
      </c>
      <c r="BF128" s="3180">
        <v>45660855</v>
      </c>
      <c r="BG128" s="3180" t="b">
        <f t="shared" si="33"/>
        <v>0</v>
      </c>
      <c r="BH128">
        <v>42798601</v>
      </c>
      <c r="BI128">
        <v>0</v>
      </c>
      <c r="BK128" s="3180"/>
    </row>
    <row r="129" spans="53:63" ht="15">
      <c r="BA129">
        <v>44156646</v>
      </c>
      <c r="BB129">
        <v>6</v>
      </c>
      <c r="BC129">
        <v>1.3</v>
      </c>
      <c r="BF129" s="3180">
        <v>45824033</v>
      </c>
      <c r="BG129" s="3180" t="b">
        <f t="shared" si="33"/>
        <v>0</v>
      </c>
      <c r="BH129">
        <v>42810984</v>
      </c>
      <c r="BI129">
        <v>0</v>
      </c>
      <c r="BK129" s="3180"/>
    </row>
    <row r="130" spans="53:63" ht="15">
      <c r="BA130">
        <v>44173348</v>
      </c>
      <c r="BB130">
        <v>14</v>
      </c>
      <c r="BC130">
        <v>0.13400000000000001</v>
      </c>
      <c r="BF130" s="3180">
        <v>45946862</v>
      </c>
      <c r="BG130" s="3180" t="b">
        <f t="shared" si="33"/>
        <v>0</v>
      </c>
      <c r="BH130">
        <v>42850644</v>
      </c>
      <c r="BI130">
        <v>0</v>
      </c>
      <c r="BK130" s="3180"/>
    </row>
    <row r="131" spans="53:63" ht="15">
      <c r="BA131" s="3180">
        <v>44176732</v>
      </c>
      <c r="BB131" s="3180">
        <v>23</v>
      </c>
      <c r="BC131" s="3180">
        <v>0.50580000000000003</v>
      </c>
      <c r="BF131" s="3180">
        <v>45965374</v>
      </c>
      <c r="BG131" s="3180" t="b">
        <f t="shared" si="33"/>
        <v>0</v>
      </c>
      <c r="BH131">
        <v>42857974</v>
      </c>
      <c r="BI131">
        <v>0</v>
      </c>
      <c r="BK131" s="3180"/>
    </row>
    <row r="132" spans="53:63" ht="15">
      <c r="BA132">
        <v>44179208</v>
      </c>
      <c r="BB132">
        <v>2</v>
      </c>
      <c r="BC132">
        <v>2</v>
      </c>
      <c r="BF132" s="3180">
        <v>46019177</v>
      </c>
      <c r="BG132" s="3180" t="b">
        <f t="shared" si="33"/>
        <v>0</v>
      </c>
      <c r="BH132" s="3180">
        <v>42918587</v>
      </c>
      <c r="BI132" s="3180">
        <v>0.24030000000000001</v>
      </c>
      <c r="BK132" s="3180"/>
    </row>
    <row r="133" spans="53:63" ht="15">
      <c r="BA133">
        <v>44188686</v>
      </c>
      <c r="BB133">
        <v>6</v>
      </c>
      <c r="BC133">
        <v>1.5</v>
      </c>
      <c r="BF133" s="3180">
        <v>46019223</v>
      </c>
      <c r="BG133" s="3180" t="b">
        <f t="shared" si="33"/>
        <v>0</v>
      </c>
      <c r="BH133">
        <v>42936827</v>
      </c>
      <c r="BI133">
        <v>0</v>
      </c>
      <c r="BK133" s="3180"/>
    </row>
    <row r="134" spans="53:63" ht="15">
      <c r="BA134">
        <v>44196971</v>
      </c>
      <c r="BB134">
        <v>12</v>
      </c>
      <c r="BC134">
        <v>0.15</v>
      </c>
      <c r="BF134" s="3180">
        <v>46042668</v>
      </c>
      <c r="BG134" s="3180" t="b">
        <f t="shared" si="33"/>
        <v>0</v>
      </c>
      <c r="BH134">
        <v>42990704</v>
      </c>
      <c r="BI134">
        <v>0</v>
      </c>
      <c r="BK134" s="3180"/>
    </row>
    <row r="135" spans="53:63" ht="15">
      <c r="BA135">
        <v>44229528</v>
      </c>
      <c r="BB135">
        <v>13</v>
      </c>
      <c r="BC135">
        <v>0.9</v>
      </c>
      <c r="BF135" s="3180">
        <v>46157883</v>
      </c>
      <c r="BG135" s="3180" t="b">
        <f t="shared" si="33"/>
        <v>0</v>
      </c>
      <c r="BH135">
        <v>42991634</v>
      </c>
      <c r="BI135">
        <v>0</v>
      </c>
      <c r="BK135" s="3180"/>
    </row>
    <row r="136" spans="53:63" ht="15">
      <c r="BA136" s="3180">
        <v>44247812</v>
      </c>
      <c r="BB136" s="3180">
        <v>23</v>
      </c>
      <c r="BC136" s="3180">
        <v>0.2389</v>
      </c>
      <c r="BF136" s="3180">
        <v>46164702</v>
      </c>
      <c r="BG136" s="3180" t="b">
        <f t="shared" si="33"/>
        <v>0</v>
      </c>
      <c r="BH136">
        <v>43006581</v>
      </c>
      <c r="BI136">
        <v>0</v>
      </c>
      <c r="BK136" s="3180"/>
    </row>
    <row r="137" spans="53:63" ht="15">
      <c r="BA137">
        <v>44259657</v>
      </c>
      <c r="BB137">
        <v>18</v>
      </c>
      <c r="BC137">
        <v>0.6</v>
      </c>
      <c r="BF137" s="3180">
        <v>46245189</v>
      </c>
      <c r="BG137" s="3180" t="b">
        <f t="shared" si="33"/>
        <v>0</v>
      </c>
      <c r="BH137">
        <v>43027863</v>
      </c>
      <c r="BI137">
        <v>0</v>
      </c>
      <c r="BK137" s="3180"/>
    </row>
    <row r="138" spans="53:63" ht="15">
      <c r="BA138" s="3180">
        <v>44278732</v>
      </c>
      <c r="BB138" s="3180">
        <v>18</v>
      </c>
      <c r="BC138" s="3180">
        <v>0.32419999999999999</v>
      </c>
      <c r="BF138" s="3180">
        <v>46254403</v>
      </c>
      <c r="BG138" s="3180" t="b">
        <f t="shared" si="33"/>
        <v>0</v>
      </c>
      <c r="BH138">
        <v>43093845</v>
      </c>
      <c r="BI138">
        <v>0</v>
      </c>
      <c r="BK138" s="3180"/>
    </row>
    <row r="139" spans="53:63" ht="15">
      <c r="BA139">
        <v>44289176</v>
      </c>
      <c r="BB139">
        <v>1</v>
      </c>
      <c r="BC139">
        <v>0.1862</v>
      </c>
      <c r="BF139" s="3180">
        <v>46481617</v>
      </c>
      <c r="BG139" s="3180" t="b">
        <f t="shared" si="33"/>
        <v>0</v>
      </c>
      <c r="BH139">
        <v>43110109</v>
      </c>
      <c r="BI139">
        <v>0</v>
      </c>
      <c r="BK139" s="3180"/>
    </row>
    <row r="140" spans="53:63" ht="15">
      <c r="BA140">
        <v>44294344</v>
      </c>
      <c r="BB140">
        <v>6</v>
      </c>
      <c r="BC140">
        <v>0.9</v>
      </c>
      <c r="BF140" s="3180">
        <v>46576282</v>
      </c>
      <c r="BG140" s="3180" t="b">
        <f t="shared" si="33"/>
        <v>0</v>
      </c>
      <c r="BH140">
        <v>43360335</v>
      </c>
      <c r="BI140">
        <v>0</v>
      </c>
      <c r="BK140" s="3180"/>
    </row>
    <row r="141" spans="53:63" ht="15">
      <c r="BA141">
        <v>44294629</v>
      </c>
      <c r="BB141">
        <v>1</v>
      </c>
      <c r="BC141">
        <v>0.4239</v>
      </c>
      <c r="BF141" s="3180">
        <v>46618441</v>
      </c>
      <c r="BG141" s="3180" t="b">
        <f t="shared" si="33"/>
        <v>0</v>
      </c>
      <c r="BH141">
        <v>43360386</v>
      </c>
      <c r="BI141">
        <v>0</v>
      </c>
      <c r="BK141" s="3180"/>
    </row>
    <row r="142" spans="53:63" ht="15">
      <c r="BA142">
        <v>44304199</v>
      </c>
      <c r="BB142">
        <v>10</v>
      </c>
      <c r="BC142">
        <v>1</v>
      </c>
      <c r="BF142" s="3180">
        <v>46706072</v>
      </c>
      <c r="BG142" s="3180" t="b">
        <f t="shared" si="33"/>
        <v>0</v>
      </c>
      <c r="BH142">
        <v>43360471</v>
      </c>
      <c r="BI142">
        <v>0</v>
      </c>
      <c r="BK142" s="3180"/>
    </row>
    <row r="143" spans="53:63" ht="15">
      <c r="BA143" s="3180">
        <v>44304999</v>
      </c>
      <c r="BB143" s="3180">
        <v>23</v>
      </c>
      <c r="BC143" s="3180">
        <v>0.25840000000000002</v>
      </c>
      <c r="BF143" s="3180">
        <v>46728243</v>
      </c>
      <c r="BG143" s="3180" t="b">
        <f t="shared" si="33"/>
        <v>0</v>
      </c>
      <c r="BH143">
        <v>43360489</v>
      </c>
      <c r="BI143">
        <v>0</v>
      </c>
      <c r="BK143" s="3180"/>
    </row>
    <row r="144" spans="53:63" ht="15">
      <c r="BA144">
        <v>44315533</v>
      </c>
      <c r="BB144">
        <v>1</v>
      </c>
      <c r="BC144">
        <v>0.3</v>
      </c>
      <c r="BF144" s="3180">
        <v>46833022</v>
      </c>
      <c r="BG144" s="3180" t="b">
        <f t="shared" si="33"/>
        <v>0</v>
      </c>
      <c r="BH144">
        <v>43387834</v>
      </c>
      <c r="BI144">
        <v>0</v>
      </c>
      <c r="BK144" s="3180"/>
    </row>
    <row r="145" spans="53:63" ht="15">
      <c r="BA145">
        <v>44319119</v>
      </c>
      <c r="BB145">
        <v>2</v>
      </c>
      <c r="BC145">
        <v>9</v>
      </c>
      <c r="BF145" s="3180">
        <v>46913330</v>
      </c>
      <c r="BG145" s="3180" t="b">
        <f t="shared" si="33"/>
        <v>0</v>
      </c>
      <c r="BH145">
        <v>43407228</v>
      </c>
      <c r="BI145">
        <v>0</v>
      </c>
      <c r="BK145" s="3180"/>
    </row>
    <row r="146" spans="53:63" ht="15">
      <c r="BA146" s="3180">
        <v>44321938</v>
      </c>
      <c r="BB146" s="3180">
        <v>23</v>
      </c>
      <c r="BC146" s="3180">
        <v>0.2036</v>
      </c>
      <c r="BF146" s="3180">
        <v>47026134</v>
      </c>
      <c r="BG146" s="3180" t="b">
        <f t="shared" si="33"/>
        <v>0</v>
      </c>
      <c r="BH146">
        <v>43447230</v>
      </c>
      <c r="BI146">
        <v>0</v>
      </c>
      <c r="BK146" s="3180"/>
    </row>
    <row r="147" spans="53:63" ht="15">
      <c r="BA147">
        <v>44322845</v>
      </c>
      <c r="BB147">
        <v>2</v>
      </c>
      <c r="BC147">
        <v>5</v>
      </c>
      <c r="BF147" s="3180">
        <v>47091224</v>
      </c>
      <c r="BG147" s="3180" t="b">
        <f t="shared" si="33"/>
        <v>0</v>
      </c>
      <c r="BH147">
        <v>43450938</v>
      </c>
      <c r="BI147">
        <v>0</v>
      </c>
      <c r="BK147" s="3180"/>
    </row>
    <row r="148" spans="53:63" ht="15">
      <c r="BA148">
        <v>44324179</v>
      </c>
      <c r="BB148">
        <v>6</v>
      </c>
      <c r="BC148">
        <v>0.9</v>
      </c>
      <c r="BF148" s="3180">
        <v>47108386</v>
      </c>
      <c r="BG148" s="3180" t="b">
        <f t="shared" si="33"/>
        <v>0</v>
      </c>
      <c r="BH148">
        <v>43465043</v>
      </c>
      <c r="BI148">
        <v>0</v>
      </c>
      <c r="BK148" s="3180"/>
    </row>
    <row r="149" spans="53:63" ht="15">
      <c r="BA149">
        <v>44325816</v>
      </c>
      <c r="BB149">
        <v>6</v>
      </c>
      <c r="BC149">
        <v>2.8014999999999999</v>
      </c>
      <c r="BF149" s="3180">
        <v>47115408</v>
      </c>
      <c r="BG149" s="3180" t="b">
        <f t="shared" si="33"/>
        <v>0</v>
      </c>
      <c r="BH149" s="3180">
        <v>43484241</v>
      </c>
      <c r="BI149" s="3180">
        <v>0.55620000000000003</v>
      </c>
      <c r="BK149" s="3180"/>
    </row>
    <row r="150" spans="53:63" ht="15">
      <c r="BA150" s="3180">
        <v>44331074</v>
      </c>
      <c r="BB150" s="3180">
        <v>22</v>
      </c>
      <c r="BC150" s="3180">
        <v>0.44529999999999997</v>
      </c>
      <c r="BF150" s="3180">
        <v>47153991</v>
      </c>
      <c r="BG150" s="3180" t="b">
        <f t="shared" si="33"/>
        <v>0</v>
      </c>
      <c r="BH150">
        <v>43493967</v>
      </c>
      <c r="BI150">
        <v>0</v>
      </c>
      <c r="BK150" s="3180"/>
    </row>
    <row r="151" spans="53:63" ht="15">
      <c r="BA151" s="3180">
        <v>44338014</v>
      </c>
      <c r="BB151" s="3180">
        <v>23</v>
      </c>
      <c r="BC151" s="3180">
        <v>0.30009999999999998</v>
      </c>
      <c r="BF151" s="3180">
        <v>47247310</v>
      </c>
      <c r="BG151" s="3180" t="b">
        <f t="shared" si="33"/>
        <v>0</v>
      </c>
      <c r="BH151">
        <v>43534441</v>
      </c>
      <c r="BI151">
        <v>0</v>
      </c>
      <c r="BK151" s="3180"/>
    </row>
    <row r="152" spans="53:63" ht="15">
      <c r="BA152">
        <v>44339477</v>
      </c>
      <c r="BB152">
        <v>6</v>
      </c>
      <c r="BC152">
        <v>9</v>
      </c>
      <c r="BF152" s="3180">
        <v>47287256</v>
      </c>
      <c r="BG152" s="3180" t="b">
        <f t="shared" si="33"/>
        <v>0</v>
      </c>
      <c r="BH152">
        <v>43539657</v>
      </c>
      <c r="BI152">
        <v>0</v>
      </c>
      <c r="BK152" s="3180"/>
    </row>
    <row r="153" spans="53:63" ht="15">
      <c r="BA153" s="3180">
        <v>44341937</v>
      </c>
      <c r="BB153" s="3180">
        <v>23</v>
      </c>
      <c r="BC153" s="3180">
        <v>0.2258</v>
      </c>
      <c r="BF153" s="3180">
        <v>47291130</v>
      </c>
      <c r="BG153" s="3180" t="b">
        <f t="shared" si="33"/>
        <v>0</v>
      </c>
      <c r="BH153" s="3180">
        <v>43594239</v>
      </c>
      <c r="BI153" s="3180">
        <v>0.41830000000000001</v>
      </c>
      <c r="BK153" s="3180"/>
    </row>
    <row r="154" spans="53:63" ht="15">
      <c r="BA154" s="3180">
        <v>44342309</v>
      </c>
      <c r="BB154" s="3180">
        <v>23</v>
      </c>
      <c r="BC154" s="3180">
        <v>0.6</v>
      </c>
      <c r="BF154" s="3180">
        <v>47293494</v>
      </c>
      <c r="BG154" s="3180" t="b">
        <f t="shared" si="33"/>
        <v>0</v>
      </c>
      <c r="BH154" s="3180">
        <v>43606793</v>
      </c>
      <c r="BI154" s="3180">
        <v>0.4178</v>
      </c>
      <c r="BK154" s="3180"/>
    </row>
    <row r="155" spans="53:63" ht="15">
      <c r="BA155" s="3180">
        <v>44354692</v>
      </c>
      <c r="BB155" s="3180">
        <v>23</v>
      </c>
      <c r="BC155" s="3180">
        <v>0.32040000000000002</v>
      </c>
      <c r="BF155" s="3180">
        <v>47293787</v>
      </c>
      <c r="BG155" s="3180" t="b">
        <f t="shared" si="33"/>
        <v>0</v>
      </c>
      <c r="BH155" s="3180">
        <v>43610378</v>
      </c>
      <c r="BI155" s="3180">
        <v>0.58089999999999997</v>
      </c>
      <c r="BK155" s="3180"/>
    </row>
    <row r="156" spans="53:63">
      <c r="BA156">
        <v>44356852</v>
      </c>
      <c r="BB156">
        <v>14</v>
      </c>
      <c r="BC156">
        <v>0.1777</v>
      </c>
      <c r="BH156" s="3180">
        <v>43610390</v>
      </c>
      <c r="BI156" s="3180">
        <v>0.40920000000000001</v>
      </c>
    </row>
    <row r="157" spans="53:63">
      <c r="BA157">
        <v>44375096</v>
      </c>
      <c r="BB157">
        <v>2</v>
      </c>
      <c r="BC157">
        <v>2</v>
      </c>
      <c r="BF157" s="199" t="s">
        <v>5457</v>
      </c>
      <c r="BG157" s="1655" t="b">
        <f>OR(BG60:BG155)</f>
        <v>0</v>
      </c>
      <c r="BH157">
        <v>43632851</v>
      </c>
      <c r="BI157">
        <v>0</v>
      </c>
    </row>
    <row r="158" spans="53:63">
      <c r="BA158">
        <v>44425337</v>
      </c>
      <c r="BB158">
        <v>3</v>
      </c>
      <c r="BC158">
        <v>1.556</v>
      </c>
      <c r="BH158">
        <v>43649268</v>
      </c>
      <c r="BI158">
        <v>0</v>
      </c>
    </row>
    <row r="159" spans="53:63">
      <c r="BA159" s="3180">
        <v>44427593</v>
      </c>
      <c r="BB159" s="3180">
        <v>1</v>
      </c>
      <c r="BC159" s="3180">
        <v>0.34239999999999998</v>
      </c>
      <c r="BH159" s="3180">
        <v>43656551</v>
      </c>
      <c r="BI159" s="3180">
        <v>0.30609999999999998</v>
      </c>
    </row>
    <row r="160" spans="53:63">
      <c r="BA160">
        <v>44429455</v>
      </c>
      <c r="BB160">
        <v>4</v>
      </c>
      <c r="BC160">
        <v>1</v>
      </c>
      <c r="BH160">
        <v>43677651</v>
      </c>
      <c r="BI160">
        <v>0</v>
      </c>
    </row>
    <row r="161" spans="53:61">
      <c r="BA161" s="3180">
        <v>44463595</v>
      </c>
      <c r="BB161" s="3180">
        <v>23</v>
      </c>
      <c r="BC161" s="3180">
        <v>0.6</v>
      </c>
      <c r="BH161">
        <v>43678331</v>
      </c>
      <c r="BI161">
        <v>0</v>
      </c>
    </row>
    <row r="162" spans="53:61">
      <c r="BA162">
        <v>44476460</v>
      </c>
      <c r="BB162">
        <v>6</v>
      </c>
      <c r="BC162">
        <v>6</v>
      </c>
      <c r="BH162" s="3180">
        <v>43682090</v>
      </c>
      <c r="BI162" s="3180">
        <v>0.33</v>
      </c>
    </row>
    <row r="163" spans="53:61">
      <c r="BA163">
        <v>44477272</v>
      </c>
      <c r="BB163">
        <v>6</v>
      </c>
      <c r="BC163">
        <v>6</v>
      </c>
      <c r="BH163">
        <v>43682874</v>
      </c>
      <c r="BI163">
        <v>0</v>
      </c>
    </row>
    <row r="164" spans="53:61">
      <c r="BA164" s="3180">
        <v>44568694</v>
      </c>
      <c r="BB164" s="3180">
        <v>20</v>
      </c>
      <c r="BC164" s="3180">
        <v>0.53539999999999999</v>
      </c>
      <c r="BH164">
        <v>43683092</v>
      </c>
      <c r="BI164">
        <v>0</v>
      </c>
    </row>
    <row r="165" spans="53:61">
      <c r="BA165">
        <v>44587060</v>
      </c>
      <c r="BB165">
        <v>18</v>
      </c>
      <c r="BC165">
        <v>0.6</v>
      </c>
      <c r="BH165" s="3180">
        <v>43729672</v>
      </c>
      <c r="BI165" s="3180">
        <v>0.37740000000000001</v>
      </c>
    </row>
    <row r="166" spans="53:61">
      <c r="BA166">
        <v>44608652</v>
      </c>
      <c r="BB166">
        <v>6</v>
      </c>
      <c r="BC166">
        <v>0.7</v>
      </c>
      <c r="BH166" s="3180">
        <v>43743567</v>
      </c>
      <c r="BI166" s="3180">
        <v>1.0306999999999999</v>
      </c>
    </row>
    <row r="167" spans="53:61">
      <c r="BA167">
        <v>44627693</v>
      </c>
      <c r="BB167">
        <v>1</v>
      </c>
      <c r="BC167">
        <v>0.22109999999999999</v>
      </c>
      <c r="BH167" s="3180">
        <v>43787006</v>
      </c>
      <c r="BI167" s="3180">
        <v>0.53920000000000001</v>
      </c>
    </row>
    <row r="168" spans="53:61">
      <c r="BA168">
        <v>44669161</v>
      </c>
      <c r="BB168">
        <v>14</v>
      </c>
      <c r="BC168">
        <v>0.1202</v>
      </c>
      <c r="BH168">
        <v>43847017</v>
      </c>
      <c r="BI168">
        <v>0</v>
      </c>
    </row>
    <row r="169" spans="53:61">
      <c r="BA169">
        <v>44670168</v>
      </c>
      <c r="BB169">
        <v>12</v>
      </c>
      <c r="BC169">
        <v>0.2016</v>
      </c>
      <c r="BH169">
        <v>43849026</v>
      </c>
      <c r="BI169">
        <v>0</v>
      </c>
    </row>
    <row r="170" spans="53:61">
      <c r="BA170">
        <v>44670227</v>
      </c>
      <c r="BB170">
        <v>1</v>
      </c>
      <c r="BC170">
        <v>0.13800000000000001</v>
      </c>
      <c r="BH170">
        <v>43849032</v>
      </c>
      <c r="BI170">
        <v>0</v>
      </c>
    </row>
    <row r="171" spans="53:61">
      <c r="BA171">
        <v>44681892</v>
      </c>
      <c r="BB171">
        <v>2</v>
      </c>
      <c r="BC171">
        <v>9</v>
      </c>
      <c r="BH171">
        <v>43849036</v>
      </c>
      <c r="BI171">
        <v>0</v>
      </c>
    </row>
    <row r="172" spans="53:61">
      <c r="BA172" s="3180">
        <v>44682187</v>
      </c>
      <c r="BB172" s="3180">
        <v>1</v>
      </c>
      <c r="BC172" s="3180">
        <v>0.1986</v>
      </c>
      <c r="BH172">
        <v>43871941</v>
      </c>
      <c r="BI172">
        <v>0</v>
      </c>
    </row>
    <row r="173" spans="53:61">
      <c r="BA173">
        <v>44684432</v>
      </c>
      <c r="BB173">
        <v>14</v>
      </c>
      <c r="BC173">
        <v>0.15629999999999999</v>
      </c>
      <c r="BH173" s="3180">
        <v>43943288</v>
      </c>
      <c r="BI173" s="3180">
        <v>0.27689999999999998</v>
      </c>
    </row>
    <row r="174" spans="53:61">
      <c r="BA174">
        <v>44685971</v>
      </c>
      <c r="BB174">
        <v>8</v>
      </c>
      <c r="BC174">
        <v>0.21490000000000001</v>
      </c>
      <c r="BH174">
        <v>43961409</v>
      </c>
      <c r="BI174">
        <v>0</v>
      </c>
    </row>
    <row r="175" spans="53:61">
      <c r="BA175">
        <v>44693932</v>
      </c>
      <c r="BB175">
        <v>2</v>
      </c>
      <c r="BC175">
        <v>9</v>
      </c>
      <c r="BH175">
        <v>43971852</v>
      </c>
      <c r="BI175">
        <v>0</v>
      </c>
    </row>
    <row r="176" spans="53:61">
      <c r="BA176">
        <v>44695775</v>
      </c>
      <c r="BB176">
        <v>14</v>
      </c>
      <c r="BC176">
        <v>0.11940000000000001</v>
      </c>
      <c r="BH176">
        <v>43981045</v>
      </c>
      <c r="BI176">
        <v>0</v>
      </c>
    </row>
    <row r="177" spans="53:61">
      <c r="BA177">
        <v>44698666</v>
      </c>
      <c r="BB177">
        <v>1</v>
      </c>
      <c r="BC177">
        <v>0.14910000000000001</v>
      </c>
      <c r="BH177" s="3180">
        <v>43982202</v>
      </c>
      <c r="BI177" s="3180">
        <v>0.6</v>
      </c>
    </row>
    <row r="178" spans="53:61">
      <c r="BA178">
        <v>44699884</v>
      </c>
      <c r="BB178">
        <v>2</v>
      </c>
      <c r="BC178">
        <v>6</v>
      </c>
      <c r="BH178">
        <v>44007366</v>
      </c>
      <c r="BI178">
        <v>0</v>
      </c>
    </row>
    <row r="179" spans="53:61">
      <c r="BA179">
        <v>44706852</v>
      </c>
      <c r="BB179">
        <v>12</v>
      </c>
      <c r="BC179">
        <v>0.1724</v>
      </c>
      <c r="BH179">
        <v>44021279</v>
      </c>
      <c r="BI179">
        <v>0</v>
      </c>
    </row>
    <row r="180" spans="53:61">
      <c r="BA180">
        <v>44711138</v>
      </c>
      <c r="BB180">
        <v>12</v>
      </c>
      <c r="BC180">
        <v>0.20419999999999999</v>
      </c>
      <c r="BH180">
        <v>44065051</v>
      </c>
      <c r="BI180">
        <v>0</v>
      </c>
    </row>
    <row r="181" spans="53:61">
      <c r="BA181">
        <v>44711542</v>
      </c>
      <c r="BB181">
        <v>14</v>
      </c>
      <c r="BC181">
        <v>0.1208</v>
      </c>
      <c r="BH181">
        <v>44066588</v>
      </c>
      <c r="BI181">
        <v>0</v>
      </c>
    </row>
    <row r="182" spans="53:61">
      <c r="BA182" s="3180">
        <v>44714103</v>
      </c>
      <c r="BB182" s="3180">
        <v>23</v>
      </c>
      <c r="BC182" s="3180">
        <v>0.35439999999999999</v>
      </c>
      <c r="BH182">
        <v>44092203</v>
      </c>
      <c r="BI182">
        <v>0</v>
      </c>
    </row>
    <row r="183" spans="53:61">
      <c r="BA183">
        <v>44717105</v>
      </c>
      <c r="BB183">
        <v>10</v>
      </c>
      <c r="BC183">
        <v>0.90139999999999998</v>
      </c>
      <c r="BH183" s="3180">
        <v>44098050</v>
      </c>
      <c r="BI183" s="3180">
        <v>0.36209999999999998</v>
      </c>
    </row>
    <row r="184" spans="53:61">
      <c r="BA184">
        <v>44718904</v>
      </c>
      <c r="BB184">
        <v>1</v>
      </c>
      <c r="BC184">
        <v>0.40379999999999999</v>
      </c>
      <c r="BH184">
        <v>44098178</v>
      </c>
      <c r="BI184">
        <v>0</v>
      </c>
    </row>
    <row r="185" spans="53:61">
      <c r="BA185">
        <v>44719672</v>
      </c>
      <c r="BB185">
        <v>3</v>
      </c>
      <c r="BC185">
        <v>0.23130000000000001</v>
      </c>
      <c r="BH185">
        <v>44115380</v>
      </c>
      <c r="BI185">
        <v>0</v>
      </c>
    </row>
    <row r="186" spans="53:61">
      <c r="BA186" s="3180">
        <v>44721526</v>
      </c>
      <c r="BB186" s="3180">
        <v>18</v>
      </c>
      <c r="BC186" s="3180">
        <v>0.33110000000000001</v>
      </c>
      <c r="BH186">
        <v>44156646</v>
      </c>
      <c r="BI186">
        <v>0</v>
      </c>
    </row>
    <row r="187" spans="53:61">
      <c r="BA187">
        <v>44729167</v>
      </c>
      <c r="BB187">
        <v>1</v>
      </c>
      <c r="BC187">
        <v>1</v>
      </c>
      <c r="BH187">
        <v>44173348</v>
      </c>
      <c r="BI187">
        <v>0</v>
      </c>
    </row>
    <row r="188" spans="53:61">
      <c r="BA188">
        <v>44734517</v>
      </c>
      <c r="BB188">
        <v>1</v>
      </c>
      <c r="BC188">
        <v>0.26</v>
      </c>
      <c r="BH188" s="3180">
        <v>44176732</v>
      </c>
      <c r="BI188" s="3180">
        <v>0.50580000000000003</v>
      </c>
    </row>
    <row r="189" spans="53:61">
      <c r="BA189">
        <v>44744712</v>
      </c>
      <c r="BB189">
        <v>14</v>
      </c>
      <c r="BC189">
        <v>0.10639999999999999</v>
      </c>
      <c r="BH189">
        <v>44179208</v>
      </c>
      <c r="BI189">
        <v>0</v>
      </c>
    </row>
    <row r="190" spans="53:61">
      <c r="BA190" s="3180">
        <v>44811610</v>
      </c>
      <c r="BB190" s="3180">
        <v>1</v>
      </c>
      <c r="BC190" s="3180">
        <v>0.5514</v>
      </c>
      <c r="BH190">
        <v>44188686</v>
      </c>
      <c r="BI190">
        <v>0</v>
      </c>
    </row>
    <row r="191" spans="53:61">
      <c r="BA191">
        <v>44822686</v>
      </c>
      <c r="BB191">
        <v>1</v>
      </c>
      <c r="BC191">
        <v>0.1368</v>
      </c>
      <c r="BH191">
        <v>44196971</v>
      </c>
      <c r="BI191">
        <v>0</v>
      </c>
    </row>
    <row r="192" spans="53:61">
      <c r="BA192" s="3180">
        <v>44832847</v>
      </c>
      <c r="BB192" s="3180">
        <v>19</v>
      </c>
      <c r="BC192" s="3180">
        <v>0.39090000000000003</v>
      </c>
      <c r="BH192">
        <v>44229528</v>
      </c>
      <c r="BI192">
        <v>0</v>
      </c>
    </row>
    <row r="193" spans="53:61">
      <c r="BA193">
        <v>44840570</v>
      </c>
      <c r="BB193">
        <v>2</v>
      </c>
      <c r="BC193">
        <v>9</v>
      </c>
      <c r="BH193" s="3180">
        <v>44247812</v>
      </c>
      <c r="BI193" s="3180">
        <v>0.2389</v>
      </c>
    </row>
    <row r="194" spans="53:61">
      <c r="BA194">
        <v>44845658</v>
      </c>
      <c r="BB194">
        <v>2</v>
      </c>
      <c r="BC194">
        <v>9</v>
      </c>
      <c r="BH194">
        <v>44259657</v>
      </c>
      <c r="BI194">
        <v>0</v>
      </c>
    </row>
    <row r="195" spans="53:61">
      <c r="BA195">
        <v>44873089</v>
      </c>
      <c r="BB195">
        <v>18</v>
      </c>
      <c r="BC195">
        <v>0.6</v>
      </c>
      <c r="BH195" s="3180">
        <v>44278732</v>
      </c>
      <c r="BI195" s="3180">
        <v>0.32419999999999999</v>
      </c>
    </row>
    <row r="196" spans="53:61">
      <c r="BA196">
        <v>44894093</v>
      </c>
      <c r="BB196">
        <v>2</v>
      </c>
      <c r="BC196">
        <v>9</v>
      </c>
      <c r="BH196">
        <v>44289176</v>
      </c>
      <c r="BI196">
        <v>0</v>
      </c>
    </row>
    <row r="197" spans="53:61">
      <c r="BA197">
        <v>44897589</v>
      </c>
      <c r="BB197">
        <v>2</v>
      </c>
      <c r="BC197">
        <v>0.64810000000000001</v>
      </c>
      <c r="BH197">
        <v>44294344</v>
      </c>
      <c r="BI197">
        <v>0</v>
      </c>
    </row>
    <row r="198" spans="53:61">
      <c r="BA198">
        <v>44898075</v>
      </c>
      <c r="BB198">
        <v>2</v>
      </c>
      <c r="BC198">
        <v>9</v>
      </c>
      <c r="BH198">
        <v>44294629</v>
      </c>
      <c r="BI198">
        <v>0</v>
      </c>
    </row>
    <row r="199" spans="53:61">
      <c r="BA199" s="3180">
        <v>44915445</v>
      </c>
      <c r="BB199" s="3180">
        <v>4</v>
      </c>
      <c r="BC199" s="3180">
        <v>1</v>
      </c>
      <c r="BH199">
        <v>44304199</v>
      </c>
      <c r="BI199">
        <v>0</v>
      </c>
    </row>
    <row r="200" spans="53:61">
      <c r="BA200">
        <v>44924973</v>
      </c>
      <c r="BB200">
        <v>2</v>
      </c>
      <c r="BC200">
        <v>9</v>
      </c>
      <c r="BH200" s="3180">
        <v>44304999</v>
      </c>
      <c r="BI200" s="3180">
        <v>0.25840000000000002</v>
      </c>
    </row>
    <row r="201" spans="53:61">
      <c r="BA201" s="3180">
        <v>44925963</v>
      </c>
      <c r="BB201" s="3180">
        <v>2</v>
      </c>
      <c r="BC201" s="3180">
        <v>1</v>
      </c>
      <c r="BH201">
        <v>44315533</v>
      </c>
      <c r="BI201">
        <v>0</v>
      </c>
    </row>
    <row r="202" spans="53:61">
      <c r="BA202">
        <v>44949060</v>
      </c>
      <c r="BB202">
        <v>2</v>
      </c>
      <c r="BC202">
        <v>9</v>
      </c>
      <c r="BH202">
        <v>44319119</v>
      </c>
      <c r="BI202">
        <v>0</v>
      </c>
    </row>
    <row r="203" spans="53:61">
      <c r="BA203">
        <v>44961194</v>
      </c>
      <c r="BB203">
        <v>14</v>
      </c>
      <c r="BC203">
        <v>0.20430000000000001</v>
      </c>
      <c r="BH203" s="3180">
        <v>44321938</v>
      </c>
      <c r="BI203" s="3180">
        <v>0.2036</v>
      </c>
    </row>
    <row r="204" spans="53:61">
      <c r="BA204">
        <v>44970383</v>
      </c>
      <c r="BB204">
        <v>2</v>
      </c>
      <c r="BC204">
        <v>9</v>
      </c>
      <c r="BH204">
        <v>44322845</v>
      </c>
      <c r="BI204">
        <v>0</v>
      </c>
    </row>
    <row r="205" spans="53:61">
      <c r="BA205">
        <v>44983654</v>
      </c>
      <c r="BB205">
        <v>2</v>
      </c>
      <c r="BC205">
        <v>3</v>
      </c>
      <c r="BH205">
        <v>44324179</v>
      </c>
      <c r="BI205">
        <v>0</v>
      </c>
    </row>
    <row r="206" spans="53:61">
      <c r="BA206">
        <v>44983668</v>
      </c>
      <c r="BB206">
        <v>18</v>
      </c>
      <c r="BC206">
        <v>0.6</v>
      </c>
      <c r="BH206">
        <v>44325816</v>
      </c>
      <c r="BI206">
        <v>0</v>
      </c>
    </row>
    <row r="207" spans="53:61">
      <c r="BA207" s="3180">
        <v>44985050</v>
      </c>
      <c r="BB207" s="3180">
        <v>19</v>
      </c>
      <c r="BC207" s="3180">
        <v>0.52859999999999996</v>
      </c>
      <c r="BH207" s="3180">
        <v>44331074</v>
      </c>
      <c r="BI207" s="3180">
        <v>0.44529999999999997</v>
      </c>
    </row>
    <row r="208" spans="53:61">
      <c r="BA208">
        <v>44985463</v>
      </c>
      <c r="BB208">
        <v>2</v>
      </c>
      <c r="BC208">
        <v>9</v>
      </c>
      <c r="BH208" s="3180">
        <v>44338014</v>
      </c>
      <c r="BI208" s="3180">
        <v>0.30009999999999998</v>
      </c>
    </row>
    <row r="209" spans="53:61">
      <c r="BA209">
        <v>44985495</v>
      </c>
      <c r="BB209">
        <v>2</v>
      </c>
      <c r="BC209">
        <v>9</v>
      </c>
      <c r="BH209">
        <v>44339477</v>
      </c>
      <c r="BI209">
        <v>0</v>
      </c>
    </row>
    <row r="210" spans="53:61">
      <c r="BA210">
        <v>44985502</v>
      </c>
      <c r="BB210">
        <v>2</v>
      </c>
      <c r="BC210">
        <v>9</v>
      </c>
      <c r="BH210" s="3180">
        <v>44341937</v>
      </c>
      <c r="BI210" s="3180">
        <v>0.2258</v>
      </c>
    </row>
    <row r="211" spans="53:61">
      <c r="BA211">
        <v>44985526</v>
      </c>
      <c r="BB211">
        <v>2</v>
      </c>
      <c r="BC211">
        <v>9</v>
      </c>
      <c r="BH211" s="3180">
        <v>44342309</v>
      </c>
      <c r="BI211" s="3180">
        <v>0.6</v>
      </c>
    </row>
    <row r="212" spans="53:61">
      <c r="BA212">
        <v>45003196</v>
      </c>
      <c r="BB212">
        <v>6</v>
      </c>
      <c r="BC212">
        <v>0.6</v>
      </c>
      <c r="BH212" s="3180">
        <v>44354692</v>
      </c>
      <c r="BI212" s="3180">
        <v>0.32040000000000002</v>
      </c>
    </row>
    <row r="213" spans="53:61">
      <c r="BA213">
        <v>45003860</v>
      </c>
      <c r="BB213">
        <v>18</v>
      </c>
      <c r="BC213">
        <v>0.6</v>
      </c>
      <c r="BH213">
        <v>44356852</v>
      </c>
      <c r="BI213">
        <v>0</v>
      </c>
    </row>
    <row r="214" spans="53:61">
      <c r="BA214" s="3180">
        <v>45038196</v>
      </c>
      <c r="BB214" s="3180">
        <v>23</v>
      </c>
      <c r="BC214" s="3180">
        <v>0.54610000000000003</v>
      </c>
      <c r="BH214">
        <v>44375096</v>
      </c>
      <c r="BI214">
        <v>0</v>
      </c>
    </row>
    <row r="215" spans="53:61">
      <c r="BA215">
        <v>45040830</v>
      </c>
      <c r="BB215">
        <v>1</v>
      </c>
      <c r="BC215">
        <v>0.29299999999999998</v>
      </c>
      <c r="BH215">
        <v>44425337</v>
      </c>
      <c r="BI215">
        <v>0</v>
      </c>
    </row>
    <row r="216" spans="53:61">
      <c r="BA216" s="3180">
        <v>45064457</v>
      </c>
      <c r="BB216" s="3180">
        <v>2</v>
      </c>
      <c r="BC216" s="3180">
        <v>1.1987000000000001</v>
      </c>
      <c r="BH216" s="3180">
        <v>44427593</v>
      </c>
      <c r="BI216" s="3180">
        <v>0.34239999999999998</v>
      </c>
    </row>
    <row r="217" spans="53:61">
      <c r="BA217">
        <v>45069462</v>
      </c>
      <c r="BB217">
        <v>1</v>
      </c>
      <c r="BC217">
        <v>0.22689999999999999</v>
      </c>
      <c r="BH217">
        <v>44429455</v>
      </c>
      <c r="BI217">
        <v>0</v>
      </c>
    </row>
    <row r="218" spans="53:61">
      <c r="BA218">
        <v>45069512</v>
      </c>
      <c r="BB218">
        <v>14</v>
      </c>
      <c r="BC218">
        <v>0.16209999999999999</v>
      </c>
      <c r="BH218" s="3180">
        <v>44463595</v>
      </c>
      <c r="BI218" s="3180">
        <v>0.6</v>
      </c>
    </row>
    <row r="219" spans="53:61">
      <c r="BA219">
        <v>45070061</v>
      </c>
      <c r="BB219">
        <v>14</v>
      </c>
      <c r="BC219">
        <v>0.22739999999999999</v>
      </c>
      <c r="BH219">
        <v>44476460</v>
      </c>
      <c r="BI219">
        <v>0</v>
      </c>
    </row>
    <row r="220" spans="53:61">
      <c r="BA220">
        <v>45070291</v>
      </c>
      <c r="BB220">
        <v>1</v>
      </c>
      <c r="BC220">
        <v>0.192</v>
      </c>
      <c r="BH220">
        <v>44477272</v>
      </c>
      <c r="BI220">
        <v>0</v>
      </c>
    </row>
    <row r="221" spans="53:61">
      <c r="BA221">
        <v>45071001</v>
      </c>
      <c r="BB221">
        <v>1</v>
      </c>
      <c r="BC221">
        <v>0.14299999999999999</v>
      </c>
      <c r="BH221" s="3180">
        <v>44568694</v>
      </c>
      <c r="BI221" s="3180">
        <v>0.53539999999999999</v>
      </c>
    </row>
    <row r="222" spans="53:61">
      <c r="BA222" s="3180">
        <v>45071689</v>
      </c>
      <c r="BB222" s="3180">
        <v>23</v>
      </c>
      <c r="BC222" s="3180">
        <v>0.53080000000000005</v>
      </c>
      <c r="BH222">
        <v>44587060</v>
      </c>
      <c r="BI222">
        <v>0</v>
      </c>
    </row>
    <row r="223" spans="53:61">
      <c r="BA223">
        <v>45072872</v>
      </c>
      <c r="BB223">
        <v>2</v>
      </c>
      <c r="BC223">
        <v>9</v>
      </c>
      <c r="BH223">
        <v>44608652</v>
      </c>
      <c r="BI223">
        <v>0</v>
      </c>
    </row>
    <row r="224" spans="53:61">
      <c r="BA224">
        <v>45073034</v>
      </c>
      <c r="BB224">
        <v>1</v>
      </c>
      <c r="BC224">
        <v>0.1132</v>
      </c>
      <c r="BH224">
        <v>44627693</v>
      </c>
      <c r="BI224">
        <v>0</v>
      </c>
    </row>
    <row r="225" spans="53:61">
      <c r="BA225">
        <v>45074017</v>
      </c>
      <c r="BB225">
        <v>2</v>
      </c>
      <c r="BC225">
        <v>5</v>
      </c>
      <c r="BH225">
        <v>44669161</v>
      </c>
      <c r="BI225">
        <v>0</v>
      </c>
    </row>
    <row r="226" spans="53:61">
      <c r="BA226" s="3180">
        <v>45074986</v>
      </c>
      <c r="BB226" s="3180">
        <v>1</v>
      </c>
      <c r="BC226" s="3180">
        <v>0.3468</v>
      </c>
      <c r="BH226">
        <v>44670168</v>
      </c>
      <c r="BI226">
        <v>0</v>
      </c>
    </row>
    <row r="227" spans="53:61">
      <c r="BA227">
        <v>45076332</v>
      </c>
      <c r="BB227">
        <v>2</v>
      </c>
      <c r="BC227">
        <v>9</v>
      </c>
      <c r="BH227">
        <v>44670227</v>
      </c>
      <c r="BI227">
        <v>0</v>
      </c>
    </row>
    <row r="228" spans="53:61">
      <c r="BA228" s="3180">
        <v>45080559</v>
      </c>
      <c r="BB228" s="3180">
        <v>15</v>
      </c>
      <c r="BC228" s="3180">
        <v>0.96189999999999998</v>
      </c>
      <c r="BH228">
        <v>44681892</v>
      </c>
      <c r="BI228">
        <v>0</v>
      </c>
    </row>
    <row r="229" spans="53:61">
      <c r="BA229">
        <v>45080638</v>
      </c>
      <c r="BB229">
        <v>15</v>
      </c>
      <c r="BC229">
        <v>0.65500000000000003</v>
      </c>
      <c r="BH229" s="3180">
        <v>44682187</v>
      </c>
      <c r="BI229" s="3180">
        <v>0.1986</v>
      </c>
    </row>
    <row r="230" spans="53:61">
      <c r="BA230" s="3180">
        <v>45084115</v>
      </c>
      <c r="BB230" s="3180">
        <v>15</v>
      </c>
      <c r="BC230" s="3180">
        <v>0.81110000000000004</v>
      </c>
      <c r="BH230">
        <v>44684432</v>
      </c>
      <c r="BI230">
        <v>0</v>
      </c>
    </row>
    <row r="231" spans="53:61">
      <c r="BA231" s="3180">
        <v>45090935</v>
      </c>
      <c r="BB231" s="3180">
        <v>20</v>
      </c>
      <c r="BC231" s="3180">
        <v>0.6</v>
      </c>
      <c r="BH231">
        <v>44685971</v>
      </c>
      <c r="BI231">
        <v>0</v>
      </c>
    </row>
    <row r="232" spans="53:61">
      <c r="BA232">
        <v>45091208</v>
      </c>
      <c r="BB232">
        <v>1</v>
      </c>
      <c r="BC232">
        <v>0.1202</v>
      </c>
      <c r="BH232">
        <v>44693932</v>
      </c>
      <c r="BI232">
        <v>0</v>
      </c>
    </row>
    <row r="233" spans="53:61">
      <c r="BA233">
        <v>45093015</v>
      </c>
      <c r="BB233">
        <v>1</v>
      </c>
      <c r="BC233">
        <v>0.20250000000000001</v>
      </c>
      <c r="BH233">
        <v>44695775</v>
      </c>
      <c r="BI233">
        <v>0</v>
      </c>
    </row>
    <row r="234" spans="53:61">
      <c r="BA234">
        <v>45094711</v>
      </c>
      <c r="BB234">
        <v>14</v>
      </c>
      <c r="BC234">
        <v>0.12640000000000001</v>
      </c>
      <c r="BH234">
        <v>44698666</v>
      </c>
      <c r="BI234">
        <v>0</v>
      </c>
    </row>
    <row r="235" spans="53:61">
      <c r="BA235">
        <v>45095506</v>
      </c>
      <c r="BB235">
        <v>2</v>
      </c>
      <c r="BC235">
        <v>0.75129999999999997</v>
      </c>
      <c r="BH235">
        <v>44699884</v>
      </c>
      <c r="BI235">
        <v>0</v>
      </c>
    </row>
    <row r="236" spans="53:61">
      <c r="BA236">
        <v>45095608</v>
      </c>
      <c r="BB236">
        <v>2</v>
      </c>
      <c r="BC236">
        <v>0.70689999999999997</v>
      </c>
      <c r="BH236">
        <v>44706852</v>
      </c>
      <c r="BI236">
        <v>0</v>
      </c>
    </row>
    <row r="237" spans="53:61">
      <c r="BA237">
        <v>45100020</v>
      </c>
      <c r="BB237">
        <v>1</v>
      </c>
      <c r="BC237">
        <v>0.22600000000000001</v>
      </c>
      <c r="BH237">
        <v>44711138</v>
      </c>
      <c r="BI237">
        <v>0</v>
      </c>
    </row>
    <row r="238" spans="53:61">
      <c r="BA238">
        <v>45100907</v>
      </c>
      <c r="BB238">
        <v>18</v>
      </c>
      <c r="BC238">
        <v>0.6</v>
      </c>
      <c r="BH238">
        <v>44711542</v>
      </c>
      <c r="BI238">
        <v>0</v>
      </c>
    </row>
    <row r="239" spans="53:61">
      <c r="BA239">
        <v>45115846</v>
      </c>
      <c r="BB239">
        <v>6</v>
      </c>
      <c r="BC239">
        <v>0.7</v>
      </c>
      <c r="BH239" s="3180">
        <v>44714103</v>
      </c>
      <c r="BI239" s="3180">
        <v>0.35439999999999999</v>
      </c>
    </row>
    <row r="240" spans="53:61">
      <c r="BA240" s="3180">
        <v>45142769</v>
      </c>
      <c r="BB240" s="3180">
        <v>23</v>
      </c>
      <c r="BC240" s="3180">
        <v>0.6</v>
      </c>
      <c r="BH240">
        <v>44717105</v>
      </c>
      <c r="BI240">
        <v>0</v>
      </c>
    </row>
    <row r="241" spans="53:61">
      <c r="BA241" s="3180">
        <v>45152855</v>
      </c>
      <c r="BB241" s="3180">
        <v>1</v>
      </c>
      <c r="BC241" s="3180">
        <v>0.29909999999999998</v>
      </c>
      <c r="BH241">
        <v>44718904</v>
      </c>
      <c r="BI241">
        <v>0</v>
      </c>
    </row>
    <row r="242" spans="53:61">
      <c r="BA242">
        <v>45155361</v>
      </c>
      <c r="BB242">
        <v>7</v>
      </c>
      <c r="BC242">
        <v>0.83250000000000002</v>
      </c>
      <c r="BH242">
        <v>44719672</v>
      </c>
      <c r="BI242">
        <v>0</v>
      </c>
    </row>
    <row r="243" spans="53:61">
      <c r="BA243">
        <v>45167628</v>
      </c>
      <c r="BB243">
        <v>3</v>
      </c>
      <c r="BC243">
        <v>0.16389999999999999</v>
      </c>
      <c r="BH243" s="3180">
        <v>44721526</v>
      </c>
      <c r="BI243" s="3180">
        <v>0.33110000000000001</v>
      </c>
    </row>
    <row r="244" spans="53:61">
      <c r="BA244">
        <v>45171164</v>
      </c>
      <c r="BB244">
        <v>3</v>
      </c>
      <c r="BC244">
        <v>0.1898</v>
      </c>
      <c r="BH244">
        <v>44729167</v>
      </c>
      <c r="BI244">
        <v>0</v>
      </c>
    </row>
    <row r="245" spans="53:61">
      <c r="BA245">
        <v>45183511</v>
      </c>
      <c r="BB245">
        <v>3</v>
      </c>
      <c r="BC245">
        <v>0.25850000000000001</v>
      </c>
      <c r="BH245">
        <v>44734517</v>
      </c>
      <c r="BI245">
        <v>0</v>
      </c>
    </row>
    <row r="246" spans="53:61">
      <c r="BA246">
        <v>45201983</v>
      </c>
      <c r="BB246">
        <v>3</v>
      </c>
      <c r="BC246">
        <v>0.15870000000000001</v>
      </c>
      <c r="BH246">
        <v>44744712</v>
      </c>
      <c r="BI246">
        <v>0</v>
      </c>
    </row>
    <row r="247" spans="53:61">
      <c r="BA247">
        <v>45230818</v>
      </c>
      <c r="BB247">
        <v>3</v>
      </c>
      <c r="BC247">
        <v>0.1663</v>
      </c>
      <c r="BH247" s="3180">
        <v>44811610</v>
      </c>
      <c r="BI247" s="3180">
        <v>0.5514</v>
      </c>
    </row>
    <row r="248" spans="53:61">
      <c r="BA248">
        <v>45231638</v>
      </c>
      <c r="BB248">
        <v>3</v>
      </c>
      <c r="BC248">
        <v>0.18390000000000001</v>
      </c>
      <c r="BH248">
        <v>44822686</v>
      </c>
      <c r="BI248">
        <v>0</v>
      </c>
    </row>
    <row r="249" spans="53:61">
      <c r="BA249">
        <v>45235665</v>
      </c>
      <c r="BB249">
        <v>14</v>
      </c>
      <c r="BC249">
        <v>0.15</v>
      </c>
      <c r="BH249" s="3180">
        <v>44832847</v>
      </c>
      <c r="BI249" s="3180">
        <v>0.39090000000000003</v>
      </c>
    </row>
    <row r="250" spans="53:61">
      <c r="BA250">
        <v>45239852</v>
      </c>
      <c r="BB250">
        <v>3</v>
      </c>
      <c r="BC250">
        <v>0.30159999999999998</v>
      </c>
      <c r="BH250">
        <v>44840570</v>
      </c>
      <c r="BI250">
        <v>0</v>
      </c>
    </row>
    <row r="251" spans="53:61">
      <c r="BA251">
        <v>45244823</v>
      </c>
      <c r="BB251">
        <v>3</v>
      </c>
      <c r="BC251">
        <v>0.2883</v>
      </c>
      <c r="BH251">
        <v>44845658</v>
      </c>
      <c r="BI251">
        <v>0</v>
      </c>
    </row>
    <row r="252" spans="53:61">
      <c r="BA252">
        <v>45258788</v>
      </c>
      <c r="BB252">
        <v>2</v>
      </c>
      <c r="BC252">
        <v>5</v>
      </c>
      <c r="BH252">
        <v>44873089</v>
      </c>
      <c r="BI252">
        <v>0</v>
      </c>
    </row>
    <row r="253" spans="53:61">
      <c r="BA253" s="3180">
        <v>45259926</v>
      </c>
      <c r="BB253" s="3180">
        <v>1</v>
      </c>
      <c r="BC253" s="3180">
        <v>0.55620000000000003</v>
      </c>
      <c r="BH253">
        <v>44894093</v>
      </c>
      <c r="BI253">
        <v>0</v>
      </c>
    </row>
    <row r="254" spans="53:61">
      <c r="BA254">
        <v>45265319</v>
      </c>
      <c r="BB254">
        <v>5</v>
      </c>
      <c r="BC254">
        <v>0.58850000000000002</v>
      </c>
      <c r="BH254">
        <v>44897589</v>
      </c>
      <c r="BI254">
        <v>0</v>
      </c>
    </row>
    <row r="255" spans="53:61">
      <c r="BA255" s="3180">
        <v>45281283</v>
      </c>
      <c r="BB255" s="3180">
        <v>23</v>
      </c>
      <c r="BC255" s="3180">
        <v>0.52949999999999997</v>
      </c>
      <c r="BH255">
        <v>44898075</v>
      </c>
      <c r="BI255">
        <v>0</v>
      </c>
    </row>
    <row r="256" spans="53:61">
      <c r="BA256" s="3180">
        <v>45282099</v>
      </c>
      <c r="BB256" s="3180">
        <v>23</v>
      </c>
      <c r="BC256" s="3180">
        <v>0.6</v>
      </c>
      <c r="BH256" s="3180">
        <v>44915445</v>
      </c>
      <c r="BI256" s="3180">
        <v>1</v>
      </c>
    </row>
    <row r="257" spans="53:61">
      <c r="BA257" s="3180">
        <v>45287333</v>
      </c>
      <c r="BB257" s="3180">
        <v>23</v>
      </c>
      <c r="BC257" s="3180">
        <v>0.42549999999999999</v>
      </c>
      <c r="BH257">
        <v>44924973</v>
      </c>
      <c r="BI257">
        <v>0</v>
      </c>
    </row>
    <row r="258" spans="53:61">
      <c r="BA258">
        <v>45288357</v>
      </c>
      <c r="BB258">
        <v>8</v>
      </c>
      <c r="BC258">
        <v>1.4226000000000001</v>
      </c>
      <c r="BH258" s="3180">
        <v>44925963</v>
      </c>
      <c r="BI258" s="3180">
        <v>1</v>
      </c>
    </row>
    <row r="259" spans="53:61">
      <c r="BA259">
        <v>45306568</v>
      </c>
      <c r="BB259">
        <v>1</v>
      </c>
      <c r="BC259">
        <v>0.24729999999999999</v>
      </c>
      <c r="BH259">
        <v>44949060</v>
      </c>
      <c r="BI259">
        <v>0</v>
      </c>
    </row>
    <row r="260" spans="53:61">
      <c r="BA260">
        <v>45307094</v>
      </c>
      <c r="BB260">
        <v>1</v>
      </c>
      <c r="BC260">
        <v>0.19359999999999999</v>
      </c>
      <c r="BH260">
        <v>44961194</v>
      </c>
      <c r="BI260">
        <v>0</v>
      </c>
    </row>
    <row r="261" spans="53:61">
      <c r="BA261">
        <v>45323750</v>
      </c>
      <c r="BB261">
        <v>2</v>
      </c>
      <c r="BC261">
        <v>5</v>
      </c>
      <c r="BH261">
        <v>44970383</v>
      </c>
      <c r="BI261">
        <v>0</v>
      </c>
    </row>
    <row r="262" spans="53:61">
      <c r="BA262">
        <v>45326201</v>
      </c>
      <c r="BB262">
        <v>7</v>
      </c>
      <c r="BC262">
        <v>0.84630000000000005</v>
      </c>
      <c r="BH262">
        <v>44983654</v>
      </c>
      <c r="BI262">
        <v>0</v>
      </c>
    </row>
    <row r="263" spans="53:61">
      <c r="BA263">
        <v>45345371</v>
      </c>
      <c r="BB263">
        <v>2</v>
      </c>
      <c r="BC263">
        <v>9</v>
      </c>
      <c r="BH263">
        <v>44983668</v>
      </c>
      <c r="BI263">
        <v>0</v>
      </c>
    </row>
    <row r="264" spans="53:61">
      <c r="BA264">
        <v>45354281</v>
      </c>
      <c r="BB264">
        <v>18</v>
      </c>
      <c r="BC264">
        <v>0.6</v>
      </c>
      <c r="BH264" s="3180">
        <v>44985050</v>
      </c>
      <c r="BI264" s="3180">
        <v>0.52859999999999996</v>
      </c>
    </row>
    <row r="265" spans="53:61">
      <c r="BA265">
        <v>45363778</v>
      </c>
      <c r="BB265">
        <v>3</v>
      </c>
      <c r="BC265">
        <v>0.21290000000000001</v>
      </c>
      <c r="BH265">
        <v>44985463</v>
      </c>
      <c r="BI265">
        <v>0</v>
      </c>
    </row>
    <row r="266" spans="53:61">
      <c r="BA266">
        <v>45365334</v>
      </c>
      <c r="BB266">
        <v>5</v>
      </c>
      <c r="BC266">
        <v>0.85629999999999995</v>
      </c>
      <c r="BH266">
        <v>44985495</v>
      </c>
      <c r="BI266">
        <v>0</v>
      </c>
    </row>
    <row r="267" spans="53:61">
      <c r="BA267">
        <v>45367643</v>
      </c>
      <c r="BB267">
        <v>3</v>
      </c>
      <c r="BC267">
        <v>0.17879999999999999</v>
      </c>
      <c r="BH267">
        <v>44985502</v>
      </c>
      <c r="BI267">
        <v>0</v>
      </c>
    </row>
    <row r="268" spans="53:61">
      <c r="BA268">
        <v>45370093</v>
      </c>
      <c r="BB268">
        <v>3</v>
      </c>
      <c r="BC268">
        <v>0.2029</v>
      </c>
      <c r="BH268">
        <v>44985526</v>
      </c>
      <c r="BI268">
        <v>0</v>
      </c>
    </row>
    <row r="269" spans="53:61">
      <c r="BA269">
        <v>45370577</v>
      </c>
      <c r="BB269">
        <v>16</v>
      </c>
      <c r="BC269">
        <v>0.45</v>
      </c>
      <c r="BH269">
        <v>45003196</v>
      </c>
      <c r="BI269">
        <v>0</v>
      </c>
    </row>
    <row r="270" spans="53:61">
      <c r="BA270">
        <v>45371444</v>
      </c>
      <c r="BB270">
        <v>2</v>
      </c>
      <c r="BC270">
        <v>9</v>
      </c>
      <c r="BH270">
        <v>45003860</v>
      </c>
      <c r="BI270">
        <v>0</v>
      </c>
    </row>
    <row r="271" spans="53:61">
      <c r="BA271">
        <v>45372693</v>
      </c>
      <c r="BB271">
        <v>3</v>
      </c>
      <c r="BC271">
        <v>0.32469999999999999</v>
      </c>
      <c r="BH271" s="3180">
        <v>45038196</v>
      </c>
      <c r="BI271" s="3180">
        <v>0.54610000000000003</v>
      </c>
    </row>
    <row r="272" spans="53:61">
      <c r="BA272">
        <v>45377076</v>
      </c>
      <c r="BB272">
        <v>16</v>
      </c>
      <c r="BC272">
        <v>9</v>
      </c>
      <c r="BH272">
        <v>45040830</v>
      </c>
      <c r="BI272">
        <v>0</v>
      </c>
    </row>
    <row r="273" spans="53:61">
      <c r="BA273">
        <v>45398322</v>
      </c>
      <c r="BB273">
        <v>6</v>
      </c>
      <c r="BC273">
        <v>5</v>
      </c>
      <c r="BH273" s="3180">
        <v>45064457</v>
      </c>
      <c r="BI273" s="3180">
        <v>1.1987000000000001</v>
      </c>
    </row>
    <row r="274" spans="53:61">
      <c r="BA274">
        <v>45415760</v>
      </c>
      <c r="BB274">
        <v>6</v>
      </c>
      <c r="BC274">
        <v>0.7</v>
      </c>
      <c r="BH274">
        <v>45069462</v>
      </c>
      <c r="BI274">
        <v>0</v>
      </c>
    </row>
    <row r="275" spans="53:61">
      <c r="BA275" s="3180">
        <v>45425119</v>
      </c>
      <c r="BB275" s="3180">
        <v>21</v>
      </c>
      <c r="BC275" s="3180">
        <v>0.6361</v>
      </c>
      <c r="BH275">
        <v>45069512</v>
      </c>
      <c r="BI275">
        <v>0</v>
      </c>
    </row>
    <row r="276" spans="53:61">
      <c r="BA276">
        <v>45441033</v>
      </c>
      <c r="BB276">
        <v>2</v>
      </c>
      <c r="BC276">
        <v>9</v>
      </c>
      <c r="BH276">
        <v>45070061</v>
      </c>
      <c r="BI276">
        <v>0</v>
      </c>
    </row>
    <row r="277" spans="53:61">
      <c r="BA277">
        <v>45443222</v>
      </c>
      <c r="BB277">
        <v>2</v>
      </c>
      <c r="BC277">
        <v>9</v>
      </c>
      <c r="BH277">
        <v>45070291</v>
      </c>
      <c r="BI277">
        <v>0</v>
      </c>
    </row>
    <row r="278" spans="53:61">
      <c r="BA278">
        <v>45470561</v>
      </c>
      <c r="BB278">
        <v>1</v>
      </c>
      <c r="BC278">
        <v>0.128</v>
      </c>
      <c r="BH278">
        <v>45071001</v>
      </c>
      <c r="BI278">
        <v>0</v>
      </c>
    </row>
    <row r="279" spans="53:61">
      <c r="BA279" s="3180">
        <v>45479045</v>
      </c>
      <c r="BB279" s="3180">
        <v>23</v>
      </c>
      <c r="BC279" s="3180">
        <v>0.49030000000000001</v>
      </c>
      <c r="BH279" s="3180">
        <v>45071689</v>
      </c>
      <c r="BI279" s="3180">
        <v>0.53080000000000005</v>
      </c>
    </row>
    <row r="280" spans="53:61">
      <c r="BA280">
        <v>45491480</v>
      </c>
      <c r="BB280">
        <v>2</v>
      </c>
      <c r="BC280">
        <v>0.87339999999999995</v>
      </c>
      <c r="BH280">
        <v>45072872</v>
      </c>
      <c r="BI280">
        <v>0</v>
      </c>
    </row>
    <row r="281" spans="53:61">
      <c r="BA281" s="3180">
        <v>45660855</v>
      </c>
      <c r="BB281" s="3180">
        <v>1</v>
      </c>
      <c r="BC281" s="3180">
        <v>0.34379999999999999</v>
      </c>
      <c r="BH281">
        <v>45073034</v>
      </c>
      <c r="BI281">
        <v>0</v>
      </c>
    </row>
    <row r="282" spans="53:61">
      <c r="BA282">
        <v>45701641</v>
      </c>
      <c r="BB282">
        <v>2</v>
      </c>
      <c r="BC282">
        <v>9</v>
      </c>
      <c r="BH282">
        <v>45074017</v>
      </c>
      <c r="BI282">
        <v>0</v>
      </c>
    </row>
    <row r="283" spans="53:61">
      <c r="BA283">
        <v>45710741</v>
      </c>
      <c r="BB283">
        <v>2</v>
      </c>
      <c r="BC283">
        <v>9</v>
      </c>
      <c r="BH283" s="3180">
        <v>45074986</v>
      </c>
      <c r="BI283" s="3180">
        <v>0.3468</v>
      </c>
    </row>
    <row r="284" spans="53:61">
      <c r="BA284">
        <v>45721342</v>
      </c>
      <c r="BB284">
        <v>1</v>
      </c>
      <c r="BC284">
        <v>0.37319999999999998</v>
      </c>
      <c r="BH284">
        <v>45076332</v>
      </c>
      <c r="BI284">
        <v>0</v>
      </c>
    </row>
    <row r="285" spans="53:61">
      <c r="BA285">
        <v>45727416</v>
      </c>
      <c r="BB285">
        <v>6</v>
      </c>
      <c r="BC285">
        <v>0.74</v>
      </c>
      <c r="BH285" s="3180">
        <v>45080559</v>
      </c>
      <c r="BI285" s="3180">
        <v>0.96189999999999998</v>
      </c>
    </row>
    <row r="286" spans="53:61">
      <c r="BA286">
        <v>45727534</v>
      </c>
      <c r="BB286">
        <v>6</v>
      </c>
      <c r="BC286">
        <v>0.9</v>
      </c>
      <c r="BH286">
        <v>45080638</v>
      </c>
      <c r="BI286">
        <v>0</v>
      </c>
    </row>
    <row r="287" spans="53:61">
      <c r="BA287">
        <v>45728099</v>
      </c>
      <c r="BB287">
        <v>3</v>
      </c>
      <c r="BC287">
        <v>0.1915</v>
      </c>
      <c r="BH287" s="3180">
        <v>45084115</v>
      </c>
      <c r="BI287" s="3180">
        <v>0.81110000000000004</v>
      </c>
    </row>
    <row r="288" spans="53:61">
      <c r="BA288">
        <v>45728215</v>
      </c>
      <c r="BB288">
        <v>3</v>
      </c>
      <c r="BC288">
        <v>0.21199999999999999</v>
      </c>
      <c r="BH288" s="3180">
        <v>45090935</v>
      </c>
      <c r="BI288" s="3180">
        <v>0.6</v>
      </c>
    </row>
    <row r="289" spans="53:61">
      <c r="BA289">
        <v>45728742</v>
      </c>
      <c r="BB289">
        <v>6</v>
      </c>
      <c r="BC289">
        <v>1</v>
      </c>
      <c r="BH289">
        <v>45091208</v>
      </c>
      <c r="BI289">
        <v>0</v>
      </c>
    </row>
    <row r="290" spans="53:61">
      <c r="BA290">
        <v>45728845</v>
      </c>
      <c r="BB290">
        <v>2</v>
      </c>
      <c r="BC290">
        <v>0.75</v>
      </c>
      <c r="BH290">
        <v>45093015</v>
      </c>
      <c r="BI290">
        <v>0</v>
      </c>
    </row>
    <row r="291" spans="53:61">
      <c r="BA291">
        <v>45737953</v>
      </c>
      <c r="BB291">
        <v>2</v>
      </c>
      <c r="BC291">
        <v>9</v>
      </c>
      <c r="BH291">
        <v>45094711</v>
      </c>
      <c r="BI291">
        <v>0</v>
      </c>
    </row>
    <row r="292" spans="53:61">
      <c r="BA292">
        <v>45741216</v>
      </c>
      <c r="BB292">
        <v>2</v>
      </c>
      <c r="BC292">
        <v>9</v>
      </c>
      <c r="BH292">
        <v>45095506</v>
      </c>
      <c r="BI292">
        <v>0</v>
      </c>
    </row>
    <row r="293" spans="53:61">
      <c r="BA293">
        <v>45742474</v>
      </c>
      <c r="BB293">
        <v>2</v>
      </c>
      <c r="BC293">
        <v>1</v>
      </c>
      <c r="BH293">
        <v>45095608</v>
      </c>
      <c r="BI293">
        <v>0</v>
      </c>
    </row>
    <row r="294" spans="53:61">
      <c r="BA294">
        <v>45746369</v>
      </c>
      <c r="BB294">
        <v>2</v>
      </c>
      <c r="BC294">
        <v>9</v>
      </c>
      <c r="BH294">
        <v>45100020</v>
      </c>
      <c r="BI294">
        <v>0</v>
      </c>
    </row>
    <row r="295" spans="53:61">
      <c r="BA295">
        <v>45748009</v>
      </c>
      <c r="BB295">
        <v>1</v>
      </c>
      <c r="BC295">
        <v>0.36359999999999998</v>
      </c>
      <c r="BH295">
        <v>45100907</v>
      </c>
      <c r="BI295">
        <v>0</v>
      </c>
    </row>
    <row r="296" spans="53:61">
      <c r="BA296">
        <v>45762155</v>
      </c>
      <c r="BB296">
        <v>9</v>
      </c>
      <c r="BC296">
        <v>0.13150000000000001</v>
      </c>
      <c r="BH296">
        <v>45115846</v>
      </c>
      <c r="BI296">
        <v>0</v>
      </c>
    </row>
    <row r="297" spans="53:61">
      <c r="BA297">
        <v>45765801</v>
      </c>
      <c r="BB297">
        <v>1</v>
      </c>
      <c r="BC297">
        <v>0.28120000000000001</v>
      </c>
      <c r="BH297" s="3180">
        <v>45142769</v>
      </c>
      <c r="BI297" s="3180">
        <v>0.6</v>
      </c>
    </row>
    <row r="298" spans="53:61">
      <c r="BA298">
        <v>45778100</v>
      </c>
      <c r="BB298">
        <v>5</v>
      </c>
      <c r="BC298">
        <v>0.53759999999999997</v>
      </c>
      <c r="BH298" s="3180">
        <v>45152855</v>
      </c>
      <c r="BI298" s="3180">
        <v>0.29909999999999998</v>
      </c>
    </row>
    <row r="299" spans="53:61">
      <c r="BA299">
        <v>45807907</v>
      </c>
      <c r="BB299">
        <v>2</v>
      </c>
      <c r="BC299">
        <v>3</v>
      </c>
      <c r="BH299">
        <v>45155361</v>
      </c>
      <c r="BI299">
        <v>0</v>
      </c>
    </row>
    <row r="300" spans="53:61">
      <c r="BA300" s="3180">
        <v>45824033</v>
      </c>
      <c r="BB300" s="3180">
        <v>20</v>
      </c>
      <c r="BC300" s="3180">
        <v>0.4819</v>
      </c>
      <c r="BH300">
        <v>45167628</v>
      </c>
      <c r="BI300">
        <v>0</v>
      </c>
    </row>
    <row r="301" spans="53:61">
      <c r="BA301">
        <v>45848554</v>
      </c>
      <c r="BB301">
        <v>2</v>
      </c>
      <c r="BC301">
        <v>9</v>
      </c>
      <c r="BH301">
        <v>45171164</v>
      </c>
      <c r="BI301">
        <v>0</v>
      </c>
    </row>
    <row r="302" spans="53:61">
      <c r="BA302">
        <v>45881431</v>
      </c>
      <c r="BB302">
        <v>2</v>
      </c>
      <c r="BC302">
        <v>9</v>
      </c>
      <c r="BH302">
        <v>45183511</v>
      </c>
      <c r="BI302">
        <v>0</v>
      </c>
    </row>
    <row r="303" spans="53:61">
      <c r="BA303">
        <v>45898184</v>
      </c>
      <c r="BB303">
        <v>1</v>
      </c>
      <c r="BC303">
        <v>0.37319999999999998</v>
      </c>
      <c r="BH303">
        <v>45201983</v>
      </c>
      <c r="BI303">
        <v>0</v>
      </c>
    </row>
    <row r="304" spans="53:61">
      <c r="BA304">
        <v>45905720</v>
      </c>
      <c r="BB304">
        <v>2</v>
      </c>
      <c r="BC304">
        <v>9</v>
      </c>
      <c r="BH304">
        <v>45230818</v>
      </c>
      <c r="BI304">
        <v>0</v>
      </c>
    </row>
    <row r="305" spans="53:61">
      <c r="BA305">
        <v>45913580</v>
      </c>
      <c r="BB305">
        <v>2</v>
      </c>
      <c r="BC305">
        <v>2</v>
      </c>
      <c r="BH305">
        <v>45231638</v>
      </c>
      <c r="BI305">
        <v>0</v>
      </c>
    </row>
    <row r="306" spans="53:61">
      <c r="BA306">
        <v>45943002</v>
      </c>
      <c r="BB306">
        <v>2</v>
      </c>
      <c r="BC306">
        <v>9</v>
      </c>
      <c r="BH306">
        <v>45235665</v>
      </c>
      <c r="BI306">
        <v>0</v>
      </c>
    </row>
    <row r="307" spans="53:61">
      <c r="BA307">
        <v>45944536</v>
      </c>
      <c r="BB307">
        <v>3</v>
      </c>
      <c r="BC307">
        <v>0.23019999999999999</v>
      </c>
      <c r="BH307">
        <v>45239852</v>
      </c>
      <c r="BI307">
        <v>0</v>
      </c>
    </row>
    <row r="308" spans="53:61">
      <c r="BA308">
        <v>45945816</v>
      </c>
      <c r="BB308">
        <v>3</v>
      </c>
      <c r="BC308">
        <v>0.14180000000000001</v>
      </c>
      <c r="BH308">
        <v>45244823</v>
      </c>
      <c r="BI308">
        <v>0</v>
      </c>
    </row>
    <row r="309" spans="53:61">
      <c r="BA309" s="3180">
        <v>45946862</v>
      </c>
      <c r="BB309" s="3180">
        <v>23</v>
      </c>
      <c r="BC309" s="3180">
        <v>0.64880000000000004</v>
      </c>
      <c r="BH309">
        <v>45258788</v>
      </c>
      <c r="BI309">
        <v>0</v>
      </c>
    </row>
    <row r="310" spans="53:61">
      <c r="BA310">
        <v>45947694</v>
      </c>
      <c r="BB310">
        <v>2</v>
      </c>
      <c r="BC310">
        <v>9</v>
      </c>
      <c r="BH310" s="3180">
        <v>45259926</v>
      </c>
      <c r="BI310" s="3180">
        <v>0.55620000000000003</v>
      </c>
    </row>
    <row r="311" spans="53:61">
      <c r="BA311">
        <v>45955369</v>
      </c>
      <c r="BB311">
        <v>1</v>
      </c>
      <c r="BC311">
        <v>0.23860000000000001</v>
      </c>
      <c r="BH311">
        <v>45265319</v>
      </c>
      <c r="BI311">
        <v>0</v>
      </c>
    </row>
    <row r="312" spans="53:61">
      <c r="BA312" s="3180">
        <v>45965374</v>
      </c>
      <c r="BB312" s="3180">
        <v>19</v>
      </c>
      <c r="BC312" s="3180">
        <v>0.21879999999999999</v>
      </c>
      <c r="BH312" s="3180">
        <v>45281283</v>
      </c>
      <c r="BI312" s="3180">
        <v>0.52949999999999997</v>
      </c>
    </row>
    <row r="313" spans="53:61">
      <c r="BA313">
        <v>45969037</v>
      </c>
      <c r="BB313">
        <v>2</v>
      </c>
      <c r="BC313">
        <v>9</v>
      </c>
      <c r="BH313" s="3180">
        <v>45282099</v>
      </c>
      <c r="BI313" s="3180">
        <v>0.6</v>
      </c>
    </row>
    <row r="314" spans="53:61">
      <c r="BA314">
        <v>45969047</v>
      </c>
      <c r="BB314">
        <v>2</v>
      </c>
      <c r="BC314">
        <v>9</v>
      </c>
      <c r="BH314" s="3180">
        <v>45287333</v>
      </c>
      <c r="BI314" s="3180">
        <v>0.42549999999999999</v>
      </c>
    </row>
    <row r="315" spans="53:61">
      <c r="BA315">
        <v>45969054</v>
      </c>
      <c r="BB315">
        <v>2</v>
      </c>
      <c r="BC315">
        <v>9</v>
      </c>
      <c r="BH315">
        <v>45288357</v>
      </c>
      <c r="BI315">
        <v>0</v>
      </c>
    </row>
    <row r="316" spans="53:61">
      <c r="BA316">
        <v>45969064</v>
      </c>
      <c r="BB316">
        <v>2</v>
      </c>
      <c r="BC316">
        <v>9</v>
      </c>
      <c r="BH316">
        <v>45306568</v>
      </c>
      <c r="BI316">
        <v>0</v>
      </c>
    </row>
    <row r="317" spans="53:61">
      <c r="BA317">
        <v>45969133</v>
      </c>
      <c r="BB317">
        <v>2</v>
      </c>
      <c r="BC317">
        <v>9</v>
      </c>
      <c r="BH317">
        <v>45307094</v>
      </c>
      <c r="BI317">
        <v>0</v>
      </c>
    </row>
    <row r="318" spans="53:61">
      <c r="BA318">
        <v>45969161</v>
      </c>
      <c r="BB318">
        <v>2</v>
      </c>
      <c r="BC318">
        <v>9</v>
      </c>
      <c r="BH318">
        <v>45323750</v>
      </c>
      <c r="BI318">
        <v>0</v>
      </c>
    </row>
    <row r="319" spans="53:61">
      <c r="BA319">
        <v>46014939</v>
      </c>
      <c r="BB319">
        <v>6</v>
      </c>
      <c r="BC319">
        <v>0.97</v>
      </c>
      <c r="BH319">
        <v>45326201</v>
      </c>
      <c r="BI319">
        <v>0</v>
      </c>
    </row>
    <row r="320" spans="53:61">
      <c r="BA320">
        <v>46016687</v>
      </c>
      <c r="BB320">
        <v>6</v>
      </c>
      <c r="BC320">
        <v>0.9</v>
      </c>
      <c r="BH320">
        <v>45345371</v>
      </c>
      <c r="BI320">
        <v>0</v>
      </c>
    </row>
    <row r="321" spans="53:61">
      <c r="BA321" s="3180">
        <v>46019177</v>
      </c>
      <c r="BB321" s="3180">
        <v>1</v>
      </c>
      <c r="BC321" s="3180">
        <v>0.65</v>
      </c>
      <c r="BH321">
        <v>45354281</v>
      </c>
      <c r="BI321">
        <v>0</v>
      </c>
    </row>
    <row r="322" spans="53:61">
      <c r="BA322" s="3180">
        <v>46019223</v>
      </c>
      <c r="BB322" s="3180">
        <v>19</v>
      </c>
      <c r="BC322" s="3180">
        <v>0.55159999999999998</v>
      </c>
      <c r="BH322">
        <v>45363778</v>
      </c>
      <c r="BI322">
        <v>0</v>
      </c>
    </row>
    <row r="323" spans="53:61">
      <c r="BA323" s="3180">
        <v>46042668</v>
      </c>
      <c r="BB323" s="3180">
        <v>19</v>
      </c>
      <c r="BC323" s="3180">
        <v>0.47070000000000001</v>
      </c>
      <c r="BH323">
        <v>45365334</v>
      </c>
      <c r="BI323">
        <v>0</v>
      </c>
    </row>
    <row r="324" spans="53:61">
      <c r="BA324">
        <v>46063738</v>
      </c>
      <c r="BB324">
        <v>6</v>
      </c>
      <c r="BC324">
        <v>0.7</v>
      </c>
      <c r="BH324">
        <v>45367643</v>
      </c>
      <c r="BI324">
        <v>0</v>
      </c>
    </row>
    <row r="325" spans="53:61">
      <c r="BA325">
        <v>46064547</v>
      </c>
      <c r="BB325">
        <v>6</v>
      </c>
      <c r="BC325">
        <v>1</v>
      </c>
      <c r="BH325">
        <v>45370093</v>
      </c>
      <c r="BI325">
        <v>0</v>
      </c>
    </row>
    <row r="326" spans="53:61">
      <c r="BA326">
        <v>46081587</v>
      </c>
      <c r="BB326">
        <v>2</v>
      </c>
      <c r="BC326">
        <v>0.75</v>
      </c>
      <c r="BH326">
        <v>45370577</v>
      </c>
      <c r="BI326">
        <v>0</v>
      </c>
    </row>
    <row r="327" spans="53:61">
      <c r="BA327">
        <v>46135010</v>
      </c>
      <c r="BB327">
        <v>2</v>
      </c>
      <c r="BC327">
        <v>1.65</v>
      </c>
      <c r="BH327">
        <v>45371444</v>
      </c>
      <c r="BI327">
        <v>0</v>
      </c>
    </row>
    <row r="328" spans="53:61">
      <c r="BA328" s="3180">
        <v>46157883</v>
      </c>
      <c r="BB328" s="3180">
        <v>15</v>
      </c>
      <c r="BC328" s="3180">
        <v>1.4</v>
      </c>
      <c r="BH328">
        <v>45372693</v>
      </c>
      <c r="BI328">
        <v>0</v>
      </c>
    </row>
    <row r="329" spans="53:61">
      <c r="BA329">
        <v>46161255</v>
      </c>
      <c r="BB329">
        <v>2</v>
      </c>
      <c r="BC329">
        <v>4</v>
      </c>
      <c r="BH329">
        <v>45377076</v>
      </c>
      <c r="BI329">
        <v>0</v>
      </c>
    </row>
    <row r="330" spans="53:61">
      <c r="BA330" s="3180">
        <v>46164702</v>
      </c>
      <c r="BB330" s="3180">
        <v>23</v>
      </c>
      <c r="BC330" s="3180">
        <v>0.55569999999999997</v>
      </c>
      <c r="BH330">
        <v>45398322</v>
      </c>
      <c r="BI330">
        <v>0</v>
      </c>
    </row>
    <row r="331" spans="53:61">
      <c r="BA331">
        <v>46166644</v>
      </c>
      <c r="BB331">
        <v>6</v>
      </c>
      <c r="BC331">
        <v>9</v>
      </c>
      <c r="BH331">
        <v>45415760</v>
      </c>
      <c r="BI331">
        <v>0</v>
      </c>
    </row>
    <row r="332" spans="53:61">
      <c r="BA332">
        <v>46170579</v>
      </c>
      <c r="BB332">
        <v>6</v>
      </c>
      <c r="BC332">
        <v>0.9</v>
      </c>
      <c r="BH332" s="3180">
        <v>45425119</v>
      </c>
      <c r="BI332" s="3180">
        <v>0.6361</v>
      </c>
    </row>
    <row r="333" spans="53:61">
      <c r="BA333">
        <v>46188322</v>
      </c>
      <c r="BB333">
        <v>6</v>
      </c>
      <c r="BC333">
        <v>0.7</v>
      </c>
      <c r="BH333">
        <v>45441033</v>
      </c>
      <c r="BI333">
        <v>0</v>
      </c>
    </row>
    <row r="334" spans="53:61">
      <c r="BA334">
        <v>46189325</v>
      </c>
      <c r="BB334">
        <v>2</v>
      </c>
      <c r="BC334">
        <v>0.83009999999999995</v>
      </c>
      <c r="BH334">
        <v>45443222</v>
      </c>
      <c r="BI334">
        <v>0</v>
      </c>
    </row>
    <row r="335" spans="53:61">
      <c r="BA335">
        <v>46193880</v>
      </c>
      <c r="BB335">
        <v>2</v>
      </c>
      <c r="BC335">
        <v>0.71709999999999996</v>
      </c>
      <c r="BH335">
        <v>45470561</v>
      </c>
      <c r="BI335">
        <v>0</v>
      </c>
    </row>
    <row r="336" spans="53:61">
      <c r="BA336">
        <v>46200059</v>
      </c>
      <c r="BB336">
        <v>2</v>
      </c>
      <c r="BC336">
        <v>3</v>
      </c>
      <c r="BH336" s="3180">
        <v>45479045</v>
      </c>
      <c r="BI336" s="3180">
        <v>0.49030000000000001</v>
      </c>
    </row>
    <row r="337" spans="53:61">
      <c r="BA337">
        <v>46200669</v>
      </c>
      <c r="BB337">
        <v>2</v>
      </c>
      <c r="BC337">
        <v>1.5432999999999999</v>
      </c>
      <c r="BH337">
        <v>45491480</v>
      </c>
      <c r="BI337">
        <v>0</v>
      </c>
    </row>
    <row r="338" spans="53:61">
      <c r="BA338">
        <v>46205685</v>
      </c>
      <c r="BB338">
        <v>2</v>
      </c>
      <c r="BC338">
        <v>9</v>
      </c>
      <c r="BH338" s="3180">
        <v>45660855</v>
      </c>
      <c r="BI338" s="3180">
        <v>0.34379999999999999</v>
      </c>
    </row>
    <row r="339" spans="53:61">
      <c r="BA339">
        <v>46219275</v>
      </c>
      <c r="BB339">
        <v>2</v>
      </c>
      <c r="BC339">
        <v>2</v>
      </c>
      <c r="BH339">
        <v>45701641</v>
      </c>
      <c r="BI339">
        <v>0</v>
      </c>
    </row>
    <row r="340" spans="53:61">
      <c r="BA340">
        <v>46221389</v>
      </c>
      <c r="BB340">
        <v>2</v>
      </c>
      <c r="BC340">
        <v>9</v>
      </c>
      <c r="BH340">
        <v>45710741</v>
      </c>
      <c r="BI340">
        <v>0</v>
      </c>
    </row>
    <row r="341" spans="53:61">
      <c r="BA341">
        <v>46231926</v>
      </c>
      <c r="BB341">
        <v>12</v>
      </c>
      <c r="BC341">
        <v>0.5</v>
      </c>
      <c r="BH341">
        <v>45721342</v>
      </c>
      <c r="BI341">
        <v>0</v>
      </c>
    </row>
    <row r="342" spans="53:61">
      <c r="BA342">
        <v>46238648</v>
      </c>
      <c r="BB342">
        <v>2</v>
      </c>
      <c r="BC342">
        <v>3</v>
      </c>
      <c r="BH342">
        <v>45727416</v>
      </c>
      <c r="BI342">
        <v>0</v>
      </c>
    </row>
    <row r="343" spans="53:61">
      <c r="BA343">
        <v>46242252</v>
      </c>
      <c r="BB343">
        <v>7</v>
      </c>
      <c r="BC343">
        <v>0.82389999999999997</v>
      </c>
      <c r="BH343">
        <v>45727534</v>
      </c>
      <c r="BI343">
        <v>0</v>
      </c>
    </row>
    <row r="344" spans="53:61">
      <c r="BA344" s="3180">
        <v>46245189</v>
      </c>
      <c r="BB344" s="3180">
        <v>15</v>
      </c>
      <c r="BC344" s="3180">
        <v>1.4</v>
      </c>
      <c r="BH344">
        <v>45728099</v>
      </c>
      <c r="BI344">
        <v>0</v>
      </c>
    </row>
    <row r="345" spans="53:61">
      <c r="BA345">
        <v>46246962</v>
      </c>
      <c r="BB345">
        <v>1</v>
      </c>
      <c r="BC345">
        <v>2.1484000000000001</v>
      </c>
      <c r="BH345">
        <v>45728215</v>
      </c>
      <c r="BI345">
        <v>0</v>
      </c>
    </row>
    <row r="346" spans="53:61">
      <c r="BA346" s="3180">
        <v>46254403</v>
      </c>
      <c r="BB346" s="3180">
        <v>20</v>
      </c>
      <c r="BC346" s="3180">
        <v>0.3846</v>
      </c>
      <c r="BH346">
        <v>45728742</v>
      </c>
      <c r="BI346">
        <v>0</v>
      </c>
    </row>
    <row r="347" spans="53:61">
      <c r="BA347">
        <v>46263473</v>
      </c>
      <c r="BB347">
        <v>6</v>
      </c>
      <c r="BC347">
        <v>0.9</v>
      </c>
      <c r="BH347">
        <v>45728845</v>
      </c>
      <c r="BI347">
        <v>0</v>
      </c>
    </row>
    <row r="348" spans="53:61">
      <c r="BA348">
        <v>46320527</v>
      </c>
      <c r="BB348">
        <v>6</v>
      </c>
      <c r="BC348">
        <v>3</v>
      </c>
      <c r="BH348">
        <v>45737953</v>
      </c>
      <c r="BI348">
        <v>0</v>
      </c>
    </row>
    <row r="349" spans="53:61">
      <c r="BA349">
        <v>46352176</v>
      </c>
      <c r="BB349">
        <v>2</v>
      </c>
      <c r="BC349">
        <v>1</v>
      </c>
      <c r="BH349">
        <v>45741216</v>
      </c>
      <c r="BI349">
        <v>0</v>
      </c>
    </row>
    <row r="350" spans="53:61">
      <c r="BA350">
        <v>46419669</v>
      </c>
      <c r="BB350">
        <v>6</v>
      </c>
      <c r="BC350">
        <v>0.4</v>
      </c>
      <c r="BH350">
        <v>45742474</v>
      </c>
      <c r="BI350">
        <v>0</v>
      </c>
    </row>
    <row r="351" spans="53:61">
      <c r="BA351">
        <v>46430095</v>
      </c>
      <c r="BB351">
        <v>1</v>
      </c>
      <c r="BC351">
        <v>0.13600000000000001</v>
      </c>
      <c r="BH351">
        <v>45746369</v>
      </c>
      <c r="BI351">
        <v>0</v>
      </c>
    </row>
    <row r="352" spans="53:61">
      <c r="BA352">
        <v>46430122</v>
      </c>
      <c r="BB352">
        <v>1</v>
      </c>
      <c r="BC352">
        <v>0.3</v>
      </c>
      <c r="BH352">
        <v>45748009</v>
      </c>
      <c r="BI352">
        <v>0</v>
      </c>
    </row>
    <row r="353" spans="53:61">
      <c r="BA353">
        <v>46452059</v>
      </c>
      <c r="BB353">
        <v>1</v>
      </c>
      <c r="BC353">
        <v>0.37319999999999998</v>
      </c>
      <c r="BH353">
        <v>45762155</v>
      </c>
      <c r="BI353">
        <v>0</v>
      </c>
    </row>
    <row r="354" spans="53:61">
      <c r="BA354">
        <v>46460329</v>
      </c>
      <c r="BB354">
        <v>2</v>
      </c>
      <c r="BC354">
        <v>5</v>
      </c>
      <c r="BH354">
        <v>45765801</v>
      </c>
      <c r="BI354">
        <v>0</v>
      </c>
    </row>
    <row r="355" spans="53:61">
      <c r="BA355">
        <v>46466289</v>
      </c>
      <c r="BB355">
        <v>15</v>
      </c>
      <c r="BC355">
        <v>1.4</v>
      </c>
      <c r="BH355">
        <v>45778100</v>
      </c>
      <c r="BI355">
        <v>0</v>
      </c>
    </row>
    <row r="356" spans="53:61">
      <c r="BA356">
        <v>46471893</v>
      </c>
      <c r="BB356">
        <v>2</v>
      </c>
      <c r="BC356">
        <v>0.8</v>
      </c>
      <c r="BH356">
        <v>45807907</v>
      </c>
      <c r="BI356">
        <v>0</v>
      </c>
    </row>
    <row r="357" spans="53:61">
      <c r="BA357" s="3180">
        <v>46481617</v>
      </c>
      <c r="BB357" s="3180">
        <v>15</v>
      </c>
      <c r="BC357" s="3180">
        <v>1</v>
      </c>
      <c r="BH357" s="3180">
        <v>45824033</v>
      </c>
      <c r="BI357" s="3180">
        <v>0.4819</v>
      </c>
    </row>
    <row r="358" spans="53:61">
      <c r="BA358">
        <v>46488671</v>
      </c>
      <c r="BB358">
        <v>2</v>
      </c>
      <c r="BC358">
        <v>9</v>
      </c>
      <c r="BH358">
        <v>45848554</v>
      </c>
      <c r="BI358">
        <v>0</v>
      </c>
    </row>
    <row r="359" spans="53:61">
      <c r="BA359">
        <v>46489277</v>
      </c>
      <c r="BB359">
        <v>6</v>
      </c>
      <c r="BC359">
        <v>1.5</v>
      </c>
      <c r="BH359">
        <v>45881431</v>
      </c>
      <c r="BI359">
        <v>0</v>
      </c>
    </row>
    <row r="360" spans="53:61">
      <c r="BA360">
        <v>46496857</v>
      </c>
      <c r="BB360">
        <v>2</v>
      </c>
      <c r="BC360">
        <v>0.65</v>
      </c>
      <c r="BH360">
        <v>45898184</v>
      </c>
      <c r="BI360">
        <v>0</v>
      </c>
    </row>
    <row r="361" spans="53:61">
      <c r="BA361" s="3180">
        <v>46576282</v>
      </c>
      <c r="BB361" s="3180">
        <v>23</v>
      </c>
      <c r="BC361" s="3180">
        <v>0.44090000000000001</v>
      </c>
      <c r="BH361">
        <v>45905720</v>
      </c>
      <c r="BI361">
        <v>0</v>
      </c>
    </row>
    <row r="362" spans="53:61">
      <c r="BA362" s="3180">
        <v>46618441</v>
      </c>
      <c r="BB362" s="3180">
        <v>20</v>
      </c>
      <c r="BC362" s="3180">
        <v>0.55940000000000001</v>
      </c>
      <c r="BH362">
        <v>45913580</v>
      </c>
      <c r="BI362">
        <v>0</v>
      </c>
    </row>
    <row r="363" spans="53:61">
      <c r="BA363">
        <v>46645506</v>
      </c>
      <c r="BB363">
        <v>2</v>
      </c>
      <c r="BC363">
        <v>9</v>
      </c>
      <c r="BH363">
        <v>45943002</v>
      </c>
      <c r="BI363">
        <v>0</v>
      </c>
    </row>
    <row r="364" spans="53:61">
      <c r="BA364">
        <v>46645580</v>
      </c>
      <c r="BB364">
        <v>2</v>
      </c>
      <c r="BC364">
        <v>9</v>
      </c>
      <c r="BH364">
        <v>45944536</v>
      </c>
      <c r="BI364">
        <v>0</v>
      </c>
    </row>
    <row r="365" spans="53:61">
      <c r="BA365">
        <v>46663761</v>
      </c>
      <c r="BB365">
        <v>2</v>
      </c>
      <c r="BC365">
        <v>9</v>
      </c>
      <c r="BH365">
        <v>45945816</v>
      </c>
      <c r="BI365">
        <v>0</v>
      </c>
    </row>
    <row r="366" spans="53:61">
      <c r="BA366">
        <v>46665256</v>
      </c>
      <c r="BB366">
        <v>2</v>
      </c>
      <c r="BC366">
        <v>2</v>
      </c>
      <c r="BH366" s="3180">
        <v>45946862</v>
      </c>
      <c r="BI366" s="3180">
        <v>0.64880000000000004</v>
      </c>
    </row>
    <row r="367" spans="53:61">
      <c r="BA367">
        <v>46666008</v>
      </c>
      <c r="BB367">
        <v>2</v>
      </c>
      <c r="BC367">
        <v>9</v>
      </c>
      <c r="BH367">
        <v>45947694</v>
      </c>
      <c r="BI367">
        <v>0</v>
      </c>
    </row>
    <row r="368" spans="53:61">
      <c r="BA368" s="3180">
        <v>46706072</v>
      </c>
      <c r="BB368" s="3180">
        <v>23</v>
      </c>
      <c r="BC368" s="3180">
        <v>0.54520000000000002</v>
      </c>
      <c r="BH368">
        <v>45955369</v>
      </c>
      <c r="BI368">
        <v>0</v>
      </c>
    </row>
    <row r="369" spans="53:61">
      <c r="BA369" s="3180">
        <v>46728243</v>
      </c>
      <c r="BB369" s="3180">
        <v>23</v>
      </c>
      <c r="BC369" s="3180">
        <v>0.4</v>
      </c>
      <c r="BH369" s="3180">
        <v>45965374</v>
      </c>
      <c r="BI369" s="3180">
        <v>0.21879999999999999</v>
      </c>
    </row>
    <row r="370" spans="53:61">
      <c r="BA370">
        <v>46765144</v>
      </c>
      <c r="BB370">
        <v>2</v>
      </c>
      <c r="BC370">
        <v>9</v>
      </c>
      <c r="BH370">
        <v>45969037</v>
      </c>
      <c r="BI370">
        <v>0</v>
      </c>
    </row>
    <row r="371" spans="53:61">
      <c r="BA371">
        <v>46782685</v>
      </c>
      <c r="BB371">
        <v>6</v>
      </c>
      <c r="BC371">
        <v>0.9</v>
      </c>
      <c r="BH371">
        <v>45969047</v>
      </c>
      <c r="BI371">
        <v>0</v>
      </c>
    </row>
    <row r="372" spans="53:61">
      <c r="BA372">
        <v>46796923</v>
      </c>
      <c r="BB372">
        <v>2</v>
      </c>
      <c r="BC372">
        <v>9</v>
      </c>
      <c r="BH372">
        <v>45969054</v>
      </c>
      <c r="BI372">
        <v>0</v>
      </c>
    </row>
    <row r="373" spans="53:61">
      <c r="BA373">
        <v>46832334</v>
      </c>
      <c r="BB373">
        <v>7</v>
      </c>
      <c r="BC373">
        <v>0.87580000000000002</v>
      </c>
      <c r="BH373">
        <v>45969064</v>
      </c>
      <c r="BI373">
        <v>0</v>
      </c>
    </row>
    <row r="374" spans="53:61">
      <c r="BA374" s="3180">
        <v>46833022</v>
      </c>
      <c r="BB374" s="3180">
        <v>23</v>
      </c>
      <c r="BC374" s="3180">
        <v>0.6</v>
      </c>
      <c r="BH374">
        <v>45969133</v>
      </c>
      <c r="BI374">
        <v>0</v>
      </c>
    </row>
    <row r="375" spans="53:61">
      <c r="BA375">
        <v>46886412</v>
      </c>
      <c r="BB375">
        <v>6</v>
      </c>
      <c r="BC375">
        <v>0.9</v>
      </c>
      <c r="BH375">
        <v>45969161</v>
      </c>
      <c r="BI375">
        <v>0</v>
      </c>
    </row>
    <row r="376" spans="53:61">
      <c r="BA376">
        <v>46893160</v>
      </c>
      <c r="BB376">
        <v>6</v>
      </c>
      <c r="BC376">
        <v>3</v>
      </c>
      <c r="BH376">
        <v>46014939</v>
      </c>
      <c r="BI376">
        <v>0</v>
      </c>
    </row>
    <row r="377" spans="53:61">
      <c r="BA377">
        <v>46897394</v>
      </c>
      <c r="BB377">
        <v>2</v>
      </c>
      <c r="BC377">
        <v>9</v>
      </c>
      <c r="BH377">
        <v>46016687</v>
      </c>
      <c r="BI377">
        <v>0</v>
      </c>
    </row>
    <row r="378" spans="53:61">
      <c r="BA378">
        <v>46902534</v>
      </c>
      <c r="BB378">
        <v>2</v>
      </c>
      <c r="BC378">
        <v>9</v>
      </c>
      <c r="BH378" s="3180">
        <v>46019177</v>
      </c>
      <c r="BI378" s="3180">
        <v>0.65</v>
      </c>
    </row>
    <row r="379" spans="53:61">
      <c r="BA379">
        <v>46904054</v>
      </c>
      <c r="BB379">
        <v>18</v>
      </c>
      <c r="BC379">
        <v>0.6</v>
      </c>
      <c r="BH379" s="3180">
        <v>46019223</v>
      </c>
      <c r="BI379" s="3180">
        <v>0.55159999999999998</v>
      </c>
    </row>
    <row r="380" spans="53:61">
      <c r="BA380">
        <v>46904058</v>
      </c>
      <c r="BB380">
        <v>18</v>
      </c>
      <c r="BC380">
        <v>0.6</v>
      </c>
      <c r="BH380" s="3180">
        <v>46042668</v>
      </c>
      <c r="BI380" s="3180">
        <v>0.47070000000000001</v>
      </c>
    </row>
    <row r="381" spans="53:61">
      <c r="BA381">
        <v>46904080</v>
      </c>
      <c r="BB381">
        <v>18</v>
      </c>
      <c r="BC381">
        <v>0.6</v>
      </c>
      <c r="BH381">
        <v>46063738</v>
      </c>
      <c r="BI381">
        <v>0</v>
      </c>
    </row>
    <row r="382" spans="53:61">
      <c r="BA382">
        <v>46904085</v>
      </c>
      <c r="BB382">
        <v>18</v>
      </c>
      <c r="BC382">
        <v>0.6</v>
      </c>
      <c r="BH382">
        <v>46064547</v>
      </c>
      <c r="BI382">
        <v>0</v>
      </c>
    </row>
    <row r="383" spans="53:61">
      <c r="BA383">
        <v>46904095</v>
      </c>
      <c r="BB383">
        <v>18</v>
      </c>
      <c r="BC383">
        <v>0.6</v>
      </c>
      <c r="BH383">
        <v>46081587</v>
      </c>
      <c r="BI383">
        <v>0</v>
      </c>
    </row>
    <row r="384" spans="53:61">
      <c r="BA384">
        <v>46904154</v>
      </c>
      <c r="BB384">
        <v>18</v>
      </c>
      <c r="BC384">
        <v>0.6</v>
      </c>
      <c r="BH384">
        <v>46135010</v>
      </c>
      <c r="BI384">
        <v>0</v>
      </c>
    </row>
    <row r="385" spans="53:61">
      <c r="BA385">
        <v>46905284</v>
      </c>
      <c r="BB385">
        <v>2</v>
      </c>
      <c r="BC385">
        <v>9</v>
      </c>
      <c r="BH385" s="3180">
        <v>46157883</v>
      </c>
      <c r="BI385" s="3180">
        <v>1.4</v>
      </c>
    </row>
    <row r="386" spans="53:61">
      <c r="BA386">
        <v>46905292</v>
      </c>
      <c r="BB386">
        <v>2</v>
      </c>
      <c r="BC386">
        <v>9</v>
      </c>
      <c r="BH386">
        <v>46161255</v>
      </c>
      <c r="BI386">
        <v>0</v>
      </c>
    </row>
    <row r="387" spans="53:61">
      <c r="BA387" s="3180">
        <v>46913330</v>
      </c>
      <c r="BB387" s="3180">
        <v>1</v>
      </c>
      <c r="BC387" s="3180">
        <v>0.6</v>
      </c>
      <c r="BH387" s="3180">
        <v>46164702</v>
      </c>
      <c r="BI387" s="3180">
        <v>0.55569999999999997</v>
      </c>
    </row>
    <row r="388" spans="53:61">
      <c r="BA388">
        <v>46930320</v>
      </c>
      <c r="BB388">
        <v>6</v>
      </c>
      <c r="BC388">
        <v>0.4</v>
      </c>
      <c r="BH388">
        <v>46166644</v>
      </c>
      <c r="BI388">
        <v>0</v>
      </c>
    </row>
    <row r="389" spans="53:61">
      <c r="BA389">
        <v>46953667</v>
      </c>
      <c r="BB389">
        <v>6</v>
      </c>
      <c r="BC389">
        <v>3</v>
      </c>
      <c r="BH389">
        <v>46170579</v>
      </c>
      <c r="BI389">
        <v>0</v>
      </c>
    </row>
    <row r="390" spans="53:61">
      <c r="BA390">
        <v>46959853</v>
      </c>
      <c r="BB390">
        <v>6</v>
      </c>
      <c r="BC390">
        <v>0.9</v>
      </c>
      <c r="BH390">
        <v>46188322</v>
      </c>
      <c r="BI390">
        <v>0</v>
      </c>
    </row>
    <row r="391" spans="53:61">
      <c r="BA391">
        <v>46971631</v>
      </c>
      <c r="BB391">
        <v>16</v>
      </c>
      <c r="BC391">
        <v>1.1584000000000001</v>
      </c>
      <c r="BH391">
        <v>46189325</v>
      </c>
      <c r="BI391">
        <v>0</v>
      </c>
    </row>
    <row r="392" spans="53:61">
      <c r="BA392" s="3180">
        <v>47026134</v>
      </c>
      <c r="BB392" s="3180">
        <v>23</v>
      </c>
      <c r="BC392" s="3180">
        <v>0.43740000000000001</v>
      </c>
      <c r="BH392">
        <v>46193880</v>
      </c>
      <c r="BI392">
        <v>0</v>
      </c>
    </row>
    <row r="393" spans="53:61">
      <c r="BA393">
        <v>47054194</v>
      </c>
      <c r="BB393">
        <v>6</v>
      </c>
      <c r="BC393">
        <v>0.9</v>
      </c>
      <c r="BH393">
        <v>46200059</v>
      </c>
      <c r="BI393">
        <v>0</v>
      </c>
    </row>
    <row r="394" spans="53:61">
      <c r="BA394">
        <v>47062531</v>
      </c>
      <c r="BB394">
        <v>6</v>
      </c>
      <c r="BC394">
        <v>0.95</v>
      </c>
      <c r="BH394">
        <v>46200669</v>
      </c>
      <c r="BI394">
        <v>0</v>
      </c>
    </row>
    <row r="395" spans="53:61">
      <c r="BA395">
        <v>47090572</v>
      </c>
      <c r="BB395">
        <v>1</v>
      </c>
      <c r="BC395">
        <v>2.2065000000000001</v>
      </c>
      <c r="BH395">
        <v>46205685</v>
      </c>
      <c r="BI395">
        <v>0</v>
      </c>
    </row>
    <row r="396" spans="53:61">
      <c r="BA396" s="3180">
        <v>47091224</v>
      </c>
      <c r="BB396" s="3180">
        <v>23</v>
      </c>
      <c r="BC396" s="3180">
        <v>0.57289999999999996</v>
      </c>
      <c r="BH396">
        <v>46219275</v>
      </c>
      <c r="BI396">
        <v>0</v>
      </c>
    </row>
    <row r="397" spans="53:61">
      <c r="BA397">
        <v>47092173</v>
      </c>
      <c r="BB397">
        <v>2</v>
      </c>
      <c r="BC397">
        <v>9</v>
      </c>
      <c r="BH397">
        <v>46221389</v>
      </c>
      <c r="BI397">
        <v>0</v>
      </c>
    </row>
    <row r="398" spans="53:61">
      <c r="BA398">
        <v>47099484</v>
      </c>
      <c r="BB398">
        <v>6</v>
      </c>
      <c r="BC398">
        <v>0.9</v>
      </c>
      <c r="BH398">
        <v>46231926</v>
      </c>
      <c r="BI398">
        <v>0</v>
      </c>
    </row>
    <row r="399" spans="53:61">
      <c r="BA399" s="3180">
        <v>47108386</v>
      </c>
      <c r="BB399" s="3180">
        <v>6</v>
      </c>
      <c r="BC399" s="3180">
        <v>0.54</v>
      </c>
      <c r="BH399">
        <v>46238648</v>
      </c>
      <c r="BI399">
        <v>0</v>
      </c>
    </row>
    <row r="400" spans="53:61">
      <c r="BA400" s="3180">
        <v>47115408</v>
      </c>
      <c r="BB400" s="3180">
        <v>23</v>
      </c>
      <c r="BC400" s="3180">
        <v>0.57989999999999997</v>
      </c>
      <c r="BH400">
        <v>46242252</v>
      </c>
      <c r="BI400">
        <v>0</v>
      </c>
    </row>
    <row r="401" spans="53:61">
      <c r="BA401" s="3180">
        <v>47153991</v>
      </c>
      <c r="BB401" s="3180">
        <v>22</v>
      </c>
      <c r="BC401" s="3180">
        <v>0.42049999999999998</v>
      </c>
      <c r="BH401" s="3180">
        <v>46245189</v>
      </c>
      <c r="BI401" s="3180">
        <v>1.4</v>
      </c>
    </row>
    <row r="402" spans="53:61">
      <c r="BA402">
        <v>47159278</v>
      </c>
      <c r="BB402">
        <v>2</v>
      </c>
      <c r="BC402">
        <v>9</v>
      </c>
      <c r="BH402">
        <v>46246962</v>
      </c>
      <c r="BI402">
        <v>0</v>
      </c>
    </row>
    <row r="403" spans="53:61">
      <c r="BA403">
        <v>47159290</v>
      </c>
      <c r="BB403">
        <v>2</v>
      </c>
      <c r="BC403">
        <v>9</v>
      </c>
      <c r="BH403" s="3180">
        <v>46254403</v>
      </c>
      <c r="BI403" s="3180">
        <v>0.3846</v>
      </c>
    </row>
    <row r="404" spans="53:61">
      <c r="BA404">
        <v>47159318</v>
      </c>
      <c r="BB404">
        <v>2</v>
      </c>
      <c r="BC404">
        <v>9</v>
      </c>
      <c r="BH404">
        <v>46263473</v>
      </c>
      <c r="BI404">
        <v>0</v>
      </c>
    </row>
    <row r="405" spans="53:61">
      <c r="BA405">
        <v>47159324</v>
      </c>
      <c r="BB405">
        <v>2</v>
      </c>
      <c r="BC405">
        <v>9</v>
      </c>
      <c r="BH405">
        <v>46320527</v>
      </c>
      <c r="BI405">
        <v>0</v>
      </c>
    </row>
    <row r="406" spans="53:61">
      <c r="BA406">
        <v>47159334</v>
      </c>
      <c r="BB406">
        <v>2</v>
      </c>
      <c r="BC406">
        <v>9</v>
      </c>
      <c r="BH406">
        <v>46352176</v>
      </c>
      <c r="BI406">
        <v>0</v>
      </c>
    </row>
    <row r="407" spans="53:61">
      <c r="BA407">
        <v>47159337</v>
      </c>
      <c r="BB407">
        <v>2</v>
      </c>
      <c r="BC407">
        <v>9</v>
      </c>
      <c r="BH407">
        <v>46419669</v>
      </c>
      <c r="BI407">
        <v>0</v>
      </c>
    </row>
    <row r="408" spans="53:61">
      <c r="BA408">
        <v>47159347</v>
      </c>
      <c r="BB408">
        <v>2</v>
      </c>
      <c r="BC408">
        <v>9</v>
      </c>
      <c r="BH408">
        <v>46430095</v>
      </c>
      <c r="BI408">
        <v>0</v>
      </c>
    </row>
    <row r="409" spans="53:61">
      <c r="BA409">
        <v>47159352</v>
      </c>
      <c r="BB409">
        <v>2</v>
      </c>
      <c r="BC409">
        <v>9</v>
      </c>
      <c r="BH409">
        <v>46430122</v>
      </c>
      <c r="BI409">
        <v>0</v>
      </c>
    </row>
    <row r="410" spans="53:61">
      <c r="BA410">
        <v>47159354</v>
      </c>
      <c r="BB410">
        <v>2</v>
      </c>
      <c r="BC410">
        <v>9</v>
      </c>
      <c r="BH410">
        <v>46452059</v>
      </c>
      <c r="BI410">
        <v>0</v>
      </c>
    </row>
    <row r="411" spans="53:61">
      <c r="BA411">
        <v>47205043</v>
      </c>
      <c r="BB411">
        <v>1</v>
      </c>
      <c r="BC411">
        <v>0.25409999999999999</v>
      </c>
      <c r="BH411">
        <v>46460329</v>
      </c>
      <c r="BI411">
        <v>0</v>
      </c>
    </row>
    <row r="412" spans="53:61">
      <c r="BA412" s="3180">
        <v>47247310</v>
      </c>
      <c r="BB412" s="3180">
        <v>23</v>
      </c>
      <c r="BC412" s="3180">
        <v>0.6</v>
      </c>
      <c r="BH412">
        <v>46466289</v>
      </c>
      <c r="BI412">
        <v>0</v>
      </c>
    </row>
    <row r="413" spans="53:61">
      <c r="BA413">
        <v>47261753</v>
      </c>
      <c r="BB413">
        <v>6</v>
      </c>
      <c r="BC413">
        <v>3</v>
      </c>
      <c r="BH413">
        <v>46471893</v>
      </c>
      <c r="BI413">
        <v>0</v>
      </c>
    </row>
    <row r="414" spans="53:61">
      <c r="BA414">
        <v>47263778</v>
      </c>
      <c r="BB414">
        <v>4</v>
      </c>
      <c r="BC414">
        <v>1</v>
      </c>
      <c r="BH414" s="3180">
        <v>46481617</v>
      </c>
      <c r="BI414" s="3180">
        <v>1</v>
      </c>
    </row>
    <row r="415" spans="53:61">
      <c r="BA415" s="3180">
        <v>47287256</v>
      </c>
      <c r="BB415" s="3180">
        <v>23</v>
      </c>
      <c r="BC415" s="3180">
        <v>0.57240000000000002</v>
      </c>
      <c r="BH415">
        <v>46488671</v>
      </c>
      <c r="BI415">
        <v>0</v>
      </c>
    </row>
    <row r="416" spans="53:61">
      <c r="BA416" s="3180">
        <v>47291130</v>
      </c>
      <c r="BB416" s="3180">
        <v>1</v>
      </c>
      <c r="BC416" s="3180">
        <v>0.9</v>
      </c>
      <c r="BH416">
        <v>46489277</v>
      </c>
      <c r="BI416">
        <v>0</v>
      </c>
    </row>
    <row r="417" spans="53:61">
      <c r="BA417" s="3180">
        <v>47293494</v>
      </c>
      <c r="BB417" s="3180">
        <v>1</v>
      </c>
      <c r="BC417" s="3180">
        <v>0.88570000000000004</v>
      </c>
      <c r="BH417">
        <v>46496857</v>
      </c>
      <c r="BI417">
        <v>0</v>
      </c>
    </row>
    <row r="418" spans="53:61">
      <c r="BA418" s="3180">
        <v>47293787</v>
      </c>
      <c r="BB418" s="3180">
        <v>23</v>
      </c>
      <c r="BC418" s="3180">
        <v>0.6</v>
      </c>
      <c r="BH418" s="3180">
        <v>46576282</v>
      </c>
      <c r="BI418" s="3180">
        <v>0.44090000000000001</v>
      </c>
    </row>
    <row r="419" spans="53:61">
      <c r="BA419">
        <v>47308189</v>
      </c>
      <c r="BB419">
        <v>6</v>
      </c>
      <c r="BC419">
        <v>0.311</v>
      </c>
      <c r="BH419" s="3180">
        <v>46618441</v>
      </c>
      <c r="BI419" s="3180">
        <v>0.55940000000000001</v>
      </c>
    </row>
    <row r="420" spans="53:61">
      <c r="BA420">
        <v>47415602</v>
      </c>
      <c r="BB420">
        <v>6</v>
      </c>
      <c r="BC420">
        <v>0.9</v>
      </c>
      <c r="BH420">
        <v>46645506</v>
      </c>
      <c r="BI420">
        <v>0</v>
      </c>
    </row>
    <row r="421" spans="53:61">
      <c r="BA421">
        <v>47425019</v>
      </c>
      <c r="BB421">
        <v>1</v>
      </c>
      <c r="BC421">
        <v>9.1999999999999998E-2</v>
      </c>
      <c r="BH421">
        <v>46645580</v>
      </c>
      <c r="BI421">
        <v>0</v>
      </c>
    </row>
    <row r="422" spans="53:61">
      <c r="BA422">
        <v>47530188</v>
      </c>
      <c r="BB422">
        <v>6</v>
      </c>
      <c r="BC422">
        <v>3</v>
      </c>
      <c r="BH422">
        <v>46663761</v>
      </c>
      <c r="BI422">
        <v>0</v>
      </c>
    </row>
    <row r="423" spans="53:61">
      <c r="BA423">
        <v>47627411</v>
      </c>
      <c r="BB423">
        <v>2</v>
      </c>
      <c r="BC423">
        <v>0.65</v>
      </c>
      <c r="BH423">
        <v>46665256</v>
      </c>
      <c r="BI423">
        <v>0</v>
      </c>
    </row>
    <row r="424" spans="53:61">
      <c r="BA424">
        <v>47669355</v>
      </c>
      <c r="BB424">
        <v>6</v>
      </c>
      <c r="BC424">
        <v>0.9</v>
      </c>
      <c r="BH424">
        <v>46666008</v>
      </c>
      <c r="BI424">
        <v>0</v>
      </c>
    </row>
    <row r="425" spans="53:61">
      <c r="BA425">
        <v>47670632</v>
      </c>
      <c r="BB425">
        <v>6</v>
      </c>
      <c r="BC425">
        <v>1.5</v>
      </c>
      <c r="BH425" s="3180">
        <v>46706072</v>
      </c>
      <c r="BI425" s="3180">
        <v>0.54520000000000002</v>
      </c>
    </row>
    <row r="426" spans="53:61">
      <c r="BA426">
        <v>47670637</v>
      </c>
      <c r="BB426">
        <v>6</v>
      </c>
      <c r="BC426">
        <v>2</v>
      </c>
      <c r="BH426" s="3180">
        <v>46728243</v>
      </c>
      <c r="BI426" s="3180">
        <v>0.4</v>
      </c>
    </row>
    <row r="427" spans="53:61">
      <c r="BA427">
        <v>47670678</v>
      </c>
      <c r="BB427">
        <v>6</v>
      </c>
      <c r="BC427">
        <v>2</v>
      </c>
      <c r="BH427">
        <v>46765144</v>
      </c>
      <c r="BI427">
        <v>0</v>
      </c>
    </row>
    <row r="428" spans="53:61">
      <c r="BA428">
        <v>47670690</v>
      </c>
      <c r="BB428">
        <v>6</v>
      </c>
      <c r="BC428">
        <v>1.5</v>
      </c>
      <c r="BH428">
        <v>46782685</v>
      </c>
      <c r="BI428">
        <v>0</v>
      </c>
    </row>
    <row r="429" spans="53:61">
      <c r="BA429">
        <v>47681199</v>
      </c>
      <c r="BB429">
        <v>6</v>
      </c>
      <c r="BC429">
        <v>1</v>
      </c>
      <c r="BH429">
        <v>46796923</v>
      </c>
      <c r="BI429">
        <v>0</v>
      </c>
    </row>
    <row r="430" spans="53:61">
      <c r="BA430">
        <v>50017677</v>
      </c>
      <c r="BB430">
        <v>1</v>
      </c>
      <c r="BC430">
        <v>0.32800000000000001</v>
      </c>
      <c r="BH430">
        <v>46832334</v>
      </c>
      <c r="BI430">
        <v>0</v>
      </c>
    </row>
    <row r="431" spans="53:61">
      <c r="BA431">
        <v>50106212</v>
      </c>
      <c r="BB431">
        <v>1</v>
      </c>
      <c r="BC431">
        <v>0.58609999999999995</v>
      </c>
      <c r="BH431" s="3180">
        <v>46833022</v>
      </c>
      <c r="BI431" s="3180">
        <v>0.6</v>
      </c>
    </row>
    <row r="432" spans="53:61">
      <c r="BA432">
        <v>50262252</v>
      </c>
      <c r="BB432">
        <v>6</v>
      </c>
      <c r="BC432">
        <v>0.7</v>
      </c>
      <c r="BH432">
        <v>46886412</v>
      </c>
      <c r="BI432">
        <v>0</v>
      </c>
    </row>
    <row r="433" spans="53:61">
      <c r="BA433">
        <v>50324192</v>
      </c>
      <c r="BB433">
        <v>1</v>
      </c>
      <c r="BC433">
        <v>0.52839999999999998</v>
      </c>
      <c r="BH433">
        <v>46893160</v>
      </c>
      <c r="BI433">
        <v>0</v>
      </c>
    </row>
    <row r="434" spans="53:61">
      <c r="BA434" t="s">
        <v>1555</v>
      </c>
      <c r="BB434">
        <v>12</v>
      </c>
      <c r="BC434">
        <v>0.16470000000000001</v>
      </c>
      <c r="BH434">
        <v>46897394</v>
      </c>
      <c r="BI434">
        <v>0</v>
      </c>
    </row>
    <row r="435" spans="53:61">
      <c r="BA435" t="s">
        <v>5031</v>
      </c>
      <c r="BB435">
        <v>12</v>
      </c>
      <c r="BC435">
        <v>1</v>
      </c>
      <c r="BH435">
        <v>46902534</v>
      </c>
      <c r="BI435">
        <v>0</v>
      </c>
    </row>
    <row r="436" spans="53:61">
      <c r="BA436" t="s">
        <v>5032</v>
      </c>
      <c r="BB436">
        <v>12</v>
      </c>
      <c r="BC436">
        <v>0.5</v>
      </c>
      <c r="BH436">
        <v>46904054</v>
      </c>
      <c r="BI436">
        <v>0</v>
      </c>
    </row>
    <row r="437" spans="53:61">
      <c r="BH437">
        <v>46904058</v>
      </c>
      <c r="BI437">
        <v>0</v>
      </c>
    </row>
    <row r="438" spans="53:61">
      <c r="BH438">
        <v>46904080</v>
      </c>
      <c r="BI438">
        <v>0</v>
      </c>
    </row>
    <row r="439" spans="53:61">
      <c r="BH439">
        <v>46904085</v>
      </c>
      <c r="BI439">
        <v>0</v>
      </c>
    </row>
    <row r="440" spans="53:61">
      <c r="BH440">
        <v>46904095</v>
      </c>
      <c r="BI440">
        <v>0</v>
      </c>
    </row>
    <row r="441" spans="53:61">
      <c r="BH441">
        <v>46904154</v>
      </c>
      <c r="BI441">
        <v>0</v>
      </c>
    </row>
    <row r="442" spans="53:61">
      <c r="BH442">
        <v>46905284</v>
      </c>
      <c r="BI442">
        <v>0</v>
      </c>
    </row>
    <row r="443" spans="53:61">
      <c r="BH443">
        <v>46905292</v>
      </c>
      <c r="BI443">
        <v>0</v>
      </c>
    </row>
    <row r="444" spans="53:61">
      <c r="BH444" s="3180">
        <v>46913330</v>
      </c>
      <c r="BI444" s="3180">
        <v>0.6</v>
      </c>
    </row>
    <row r="445" spans="53:61">
      <c r="BH445">
        <v>46930320</v>
      </c>
      <c r="BI445">
        <v>0</v>
      </c>
    </row>
    <row r="446" spans="53:61">
      <c r="BH446">
        <v>46953667</v>
      </c>
      <c r="BI446">
        <v>0</v>
      </c>
    </row>
    <row r="447" spans="53:61">
      <c r="BH447">
        <v>46959853</v>
      </c>
      <c r="BI447">
        <v>0</v>
      </c>
    </row>
    <row r="448" spans="53:61">
      <c r="BH448">
        <v>46971631</v>
      </c>
      <c r="BI448">
        <v>0</v>
      </c>
    </row>
    <row r="449" spans="60:61">
      <c r="BH449" s="3180">
        <v>47026134</v>
      </c>
      <c r="BI449" s="3180">
        <v>0.43740000000000001</v>
      </c>
    </row>
    <row r="450" spans="60:61">
      <c r="BH450">
        <v>47054194</v>
      </c>
      <c r="BI450">
        <v>0</v>
      </c>
    </row>
    <row r="451" spans="60:61">
      <c r="BH451">
        <v>47062531</v>
      </c>
      <c r="BI451">
        <v>0</v>
      </c>
    </row>
    <row r="452" spans="60:61">
      <c r="BH452">
        <v>47090572</v>
      </c>
      <c r="BI452">
        <v>0</v>
      </c>
    </row>
    <row r="453" spans="60:61">
      <c r="BH453" s="3180">
        <v>47091224</v>
      </c>
      <c r="BI453" s="3180">
        <v>0.57289999999999996</v>
      </c>
    </row>
    <row r="454" spans="60:61">
      <c r="BH454">
        <v>47092173</v>
      </c>
      <c r="BI454">
        <v>0</v>
      </c>
    </row>
    <row r="455" spans="60:61">
      <c r="BH455">
        <v>47099484</v>
      </c>
      <c r="BI455">
        <v>0</v>
      </c>
    </row>
    <row r="456" spans="60:61">
      <c r="BH456" s="3180">
        <v>47108386</v>
      </c>
      <c r="BI456" s="3180">
        <v>0.54</v>
      </c>
    </row>
    <row r="457" spans="60:61">
      <c r="BH457" s="3180">
        <v>47115408</v>
      </c>
      <c r="BI457" s="3180">
        <v>0.57989999999999997</v>
      </c>
    </row>
    <row r="458" spans="60:61">
      <c r="BH458" s="3180">
        <v>47153991</v>
      </c>
      <c r="BI458" s="3180">
        <v>0.42049999999999998</v>
      </c>
    </row>
    <row r="459" spans="60:61">
      <c r="BH459">
        <v>47159278</v>
      </c>
      <c r="BI459">
        <v>0</v>
      </c>
    </row>
    <row r="460" spans="60:61">
      <c r="BH460">
        <v>47159290</v>
      </c>
      <c r="BI460">
        <v>0</v>
      </c>
    </row>
    <row r="461" spans="60:61">
      <c r="BH461">
        <v>47159318</v>
      </c>
      <c r="BI461">
        <v>0</v>
      </c>
    </row>
    <row r="462" spans="60:61">
      <c r="BH462">
        <v>47159324</v>
      </c>
      <c r="BI462">
        <v>0</v>
      </c>
    </row>
    <row r="463" spans="60:61">
      <c r="BH463">
        <v>47159334</v>
      </c>
      <c r="BI463">
        <v>0</v>
      </c>
    </row>
    <row r="464" spans="60:61">
      <c r="BH464">
        <v>47159337</v>
      </c>
      <c r="BI464">
        <v>0</v>
      </c>
    </row>
    <row r="465" spans="60:61">
      <c r="BH465">
        <v>47159347</v>
      </c>
      <c r="BI465">
        <v>0</v>
      </c>
    </row>
    <row r="466" spans="60:61">
      <c r="BH466">
        <v>47159352</v>
      </c>
      <c r="BI466">
        <v>0</v>
      </c>
    </row>
    <row r="467" spans="60:61">
      <c r="BH467">
        <v>47159354</v>
      </c>
      <c r="BI467">
        <v>0</v>
      </c>
    </row>
    <row r="468" spans="60:61">
      <c r="BH468">
        <v>47205043</v>
      </c>
      <c r="BI468">
        <v>0</v>
      </c>
    </row>
    <row r="469" spans="60:61">
      <c r="BH469" s="3180">
        <v>47247310</v>
      </c>
      <c r="BI469" s="3180">
        <v>0.6</v>
      </c>
    </row>
    <row r="470" spans="60:61">
      <c r="BH470">
        <v>47261753</v>
      </c>
      <c r="BI470">
        <v>0</v>
      </c>
    </row>
    <row r="471" spans="60:61">
      <c r="BH471">
        <v>47263778</v>
      </c>
      <c r="BI471">
        <v>0</v>
      </c>
    </row>
    <row r="472" spans="60:61">
      <c r="BH472" s="3180">
        <v>47287256</v>
      </c>
      <c r="BI472" s="3180">
        <v>0.57240000000000002</v>
      </c>
    </row>
    <row r="473" spans="60:61">
      <c r="BH473" s="3180">
        <v>47291130</v>
      </c>
      <c r="BI473" s="3180">
        <v>0.9</v>
      </c>
    </row>
    <row r="474" spans="60:61">
      <c r="BH474" s="3180">
        <v>47293494</v>
      </c>
      <c r="BI474" s="3180">
        <v>0.88570000000000004</v>
      </c>
    </row>
    <row r="475" spans="60:61">
      <c r="BH475" s="3180">
        <v>47293787</v>
      </c>
      <c r="BI475" s="3180">
        <v>0.6</v>
      </c>
    </row>
    <row r="476" spans="60:61">
      <c r="BH476">
        <v>47308189</v>
      </c>
      <c r="BI476">
        <v>0</v>
      </c>
    </row>
    <row r="477" spans="60:61">
      <c r="BH477">
        <v>47415602</v>
      </c>
      <c r="BI477">
        <v>0</v>
      </c>
    </row>
    <row r="478" spans="60:61">
      <c r="BH478">
        <v>47425019</v>
      </c>
      <c r="BI478">
        <v>0</v>
      </c>
    </row>
    <row r="479" spans="60:61">
      <c r="BH479">
        <v>47530188</v>
      </c>
      <c r="BI479">
        <v>0</v>
      </c>
    </row>
    <row r="480" spans="60:61">
      <c r="BH480">
        <v>47627411</v>
      </c>
      <c r="BI480">
        <v>0</v>
      </c>
    </row>
    <row r="481" spans="60:61">
      <c r="BH481">
        <v>47669355</v>
      </c>
      <c r="BI481">
        <v>0</v>
      </c>
    </row>
    <row r="482" spans="60:61">
      <c r="BH482">
        <v>47670632</v>
      </c>
      <c r="BI482">
        <v>0</v>
      </c>
    </row>
    <row r="483" spans="60:61">
      <c r="BH483">
        <v>47670637</v>
      </c>
      <c r="BI483">
        <v>0</v>
      </c>
    </row>
    <row r="484" spans="60:61">
      <c r="BH484">
        <v>47670678</v>
      </c>
      <c r="BI484">
        <v>0</v>
      </c>
    </row>
    <row r="485" spans="60:61">
      <c r="BH485">
        <v>47670690</v>
      </c>
      <c r="BI485">
        <v>0</v>
      </c>
    </row>
    <row r="486" spans="60:61">
      <c r="BH486">
        <v>47681199</v>
      </c>
      <c r="BI486">
        <v>0</v>
      </c>
    </row>
    <row r="487" spans="60:61">
      <c r="BH487">
        <v>50017677</v>
      </c>
      <c r="BI487">
        <v>0</v>
      </c>
    </row>
    <row r="488" spans="60:61">
      <c r="BH488">
        <v>50106212</v>
      </c>
      <c r="BI488">
        <v>0</v>
      </c>
    </row>
    <row r="489" spans="60:61">
      <c r="BH489">
        <v>50262252</v>
      </c>
      <c r="BI489">
        <v>0</v>
      </c>
    </row>
    <row r="490" spans="60:61">
      <c r="BH490">
        <v>50324192</v>
      </c>
      <c r="BI490">
        <v>0</v>
      </c>
    </row>
    <row r="491" spans="60:61">
      <c r="BH491" t="s">
        <v>1555</v>
      </c>
      <c r="BI491">
        <v>0</v>
      </c>
    </row>
    <row r="492" spans="60:61">
      <c r="BH492" t="s">
        <v>5031</v>
      </c>
      <c r="BI492">
        <v>0</v>
      </c>
    </row>
    <row r="493" spans="60:61">
      <c r="BH493" t="s">
        <v>5032</v>
      </c>
      <c r="BI493">
        <v>0</v>
      </c>
    </row>
  </sheetData>
  <sheetProtection password="D2A1" sheet="1"/>
  <phoneticPr fontId="7" type="noConversion"/>
  <pageMargins left="0.75" right="0.75" top="1" bottom="1" header="0.5" footer="0.5"/>
  <pageSetup paperSize="9"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1">
    <tabColor indexed="51"/>
  </sheetPr>
  <dimension ref="A1:FF4800"/>
  <sheetViews>
    <sheetView tabSelected="1" zoomScale="75" zoomScaleNormal="75" workbookViewId="0">
      <pane xSplit="2" ySplit="3" topLeftCell="C4" activePane="bottomRight" state="frozen"/>
      <selection pane="topRight" activeCell="C1" sqref="C1"/>
      <selection pane="bottomLeft" activeCell="A3" sqref="A3"/>
      <selection pane="bottomRight" activeCell="X9" sqref="X9"/>
    </sheetView>
  </sheetViews>
  <sheetFormatPr defaultRowHeight="15.75"/>
  <cols>
    <col min="1" max="1" width="38.42578125" customWidth="1"/>
    <col min="2" max="2" width="8" customWidth="1"/>
    <col min="3" max="6" width="8" hidden="1" customWidth="1"/>
    <col min="7" max="7" width="9.85546875" hidden="1" customWidth="1"/>
    <col min="8" max="8" width="10.140625" hidden="1" customWidth="1"/>
    <col min="9" max="9" width="9.85546875" hidden="1" customWidth="1"/>
    <col min="10" max="11" width="8" hidden="1" customWidth="1"/>
    <col min="12" max="13" width="13.28515625" customWidth="1"/>
    <col min="14" max="14" width="11" hidden="1" customWidth="1"/>
    <col min="15" max="16" width="5.42578125" hidden="1" customWidth="1"/>
    <col min="17" max="17" width="7.5703125" customWidth="1"/>
    <col min="18" max="18" width="5" customWidth="1"/>
    <col min="19" max="19" width="8.5703125" customWidth="1"/>
    <col min="20" max="20" width="9" customWidth="1"/>
    <col min="21" max="21" width="3.5703125" customWidth="1"/>
    <col min="22" max="22" width="8.7109375" customWidth="1"/>
    <col min="23" max="23" width="9" customWidth="1"/>
    <col min="24" max="24" width="17.28515625" customWidth="1"/>
    <col min="25" max="25" width="12" customWidth="1"/>
    <col min="26" max="26" width="11.7109375" customWidth="1"/>
    <col min="27" max="28" width="6" hidden="1" customWidth="1"/>
    <col min="29" max="29" width="16.42578125" customWidth="1"/>
    <col min="30" max="30" width="16.42578125" hidden="1" customWidth="1"/>
    <col min="31" max="32" width="15" customWidth="1"/>
    <col min="33" max="33" width="13.85546875" hidden="1" customWidth="1"/>
    <col min="34" max="34" width="14.7109375" customWidth="1"/>
    <col min="35" max="35" width="16.28515625" customWidth="1"/>
    <col min="36" max="36" width="14.42578125" hidden="1" customWidth="1"/>
    <col min="37" max="38" width="14.5703125" hidden="1" customWidth="1"/>
    <col min="39" max="39" width="15.5703125" customWidth="1"/>
    <col min="40" max="40" width="15.28515625" customWidth="1"/>
    <col min="41" max="46" width="13.28515625" hidden="1" customWidth="1"/>
    <col min="47" max="47" width="14.5703125" customWidth="1"/>
    <col min="48" max="48" width="15" hidden="1" customWidth="1"/>
    <col min="49" max="49" width="15.42578125" hidden="1" customWidth="1"/>
    <col min="50" max="51" width="14.42578125" hidden="1" customWidth="1"/>
    <col min="52" max="53" width="14.42578125" customWidth="1"/>
    <col min="54" max="54" width="15" customWidth="1"/>
    <col min="55" max="55" width="10.42578125" style="75" customWidth="1"/>
    <col min="56" max="56" width="16.140625" style="75" customWidth="1"/>
    <col min="57" max="57" width="6.85546875" style="75" customWidth="1"/>
    <col min="58" max="58" width="7" style="75" customWidth="1"/>
    <col min="59" max="59" width="7.140625" style="75" customWidth="1"/>
    <col min="60" max="60" width="7.5703125" style="75" customWidth="1"/>
    <col min="61" max="63" width="7.140625" style="75" customWidth="1"/>
    <col min="64" max="64" width="7.5703125" style="75" customWidth="1"/>
    <col min="65" max="65" width="7.140625" style="75" customWidth="1"/>
    <col min="66" max="66" width="6.85546875" style="75" customWidth="1"/>
    <col min="67" max="67" width="6.42578125" style="75" customWidth="1"/>
    <col min="68" max="68" width="6.28515625" style="75" customWidth="1"/>
    <col min="69" max="69" width="6.42578125" style="75" customWidth="1"/>
    <col min="70" max="70" width="6.85546875" customWidth="1"/>
    <col min="71" max="71" width="17.5703125" customWidth="1"/>
    <col min="72" max="75" width="14.42578125" customWidth="1"/>
    <col min="76" max="76" width="14.42578125" style="60" customWidth="1"/>
    <col min="77" max="77" width="39.85546875" style="60" customWidth="1"/>
    <col min="78" max="78" width="12" style="75" customWidth="1"/>
    <col min="79" max="79" width="12.7109375" style="75" customWidth="1"/>
    <col min="80" max="80" width="16.28515625" style="75" customWidth="1"/>
    <col min="81" max="81" width="14.140625" style="75" customWidth="1"/>
    <col min="82" max="82" width="13.7109375" style="75" customWidth="1"/>
    <col min="83" max="83" width="14.7109375" style="75" customWidth="1"/>
    <col min="84" max="84" width="18.140625" style="75" customWidth="1"/>
    <col min="85" max="85" width="9.140625" style="75" customWidth="1"/>
    <col min="86" max="86" width="12" style="75" customWidth="1"/>
    <col min="87" max="87" width="13.85546875" style="75" hidden="1" customWidth="1"/>
    <col min="88" max="88" width="9.140625" style="199" hidden="1" customWidth="1"/>
    <col min="89" max="89" width="21.85546875" style="199" hidden="1" customWidth="1"/>
    <col min="90" max="90" width="12.85546875" style="199" hidden="1" customWidth="1"/>
    <col min="91" max="91" width="13.28515625" style="199" hidden="1" customWidth="1"/>
    <col min="92" max="92" width="10.85546875" style="199" hidden="1" customWidth="1"/>
    <col min="93" max="93" width="14.42578125" style="199" hidden="1" customWidth="1"/>
    <col min="94" max="94" width="10" style="199" hidden="1" customWidth="1"/>
    <col min="95" max="95" width="10.85546875" style="199" hidden="1" customWidth="1"/>
    <col min="96" max="96" width="15.140625" style="199" hidden="1" customWidth="1"/>
    <col min="97" max="98" width="9.140625" style="199" hidden="1" customWidth="1"/>
    <col min="99" max="99" width="26.140625" style="199" hidden="1" customWidth="1"/>
    <col min="100" max="101" width="9.140625" style="199" hidden="1" customWidth="1"/>
    <col min="102" max="107" width="9.140625" style="891" hidden="1" customWidth="1"/>
    <col min="108" max="108" width="13.85546875" style="891" hidden="1" customWidth="1"/>
    <col min="109" max="109" width="16.42578125" style="891" hidden="1" customWidth="1"/>
    <col min="110" max="112" width="9.140625" style="891" hidden="1" customWidth="1"/>
    <col min="113" max="113" width="16.28515625" style="885" hidden="1" customWidth="1"/>
    <col min="114" max="115" width="9.140625" style="885" hidden="1" customWidth="1"/>
    <col min="116" max="116" width="13.5703125" style="885" customWidth="1"/>
    <col min="117" max="117" width="5.7109375" style="885" customWidth="1"/>
    <col min="118" max="118" width="5.42578125" style="885" customWidth="1"/>
    <col min="119" max="119" width="5.5703125" style="885" customWidth="1"/>
    <col min="120" max="120" width="5.42578125" style="885" customWidth="1"/>
    <col min="121" max="121" width="4.5703125" style="885" customWidth="1"/>
    <col min="122" max="122" width="5.28515625" style="885" customWidth="1"/>
    <col min="123" max="123" width="5" style="885" customWidth="1"/>
    <col min="124" max="124" width="5.140625" style="885" customWidth="1"/>
    <col min="125" max="125" width="4.42578125" style="885" customWidth="1"/>
    <col min="126" max="126" width="4.5703125" style="885" customWidth="1"/>
    <col min="127" max="127" width="5.5703125" style="885" customWidth="1"/>
    <col min="128" max="128" width="4.5703125" style="885" customWidth="1"/>
    <col min="129" max="129" width="4.28515625" style="885" customWidth="1"/>
    <col min="130" max="130" width="5.140625" style="885" customWidth="1"/>
    <col min="131" max="131" width="4.85546875" style="885" customWidth="1"/>
    <col min="132" max="132" width="5.42578125" style="886" hidden="1" customWidth="1"/>
    <col min="133" max="133" width="34.140625" style="886" hidden="1" customWidth="1"/>
    <col min="134" max="134" width="29.28515625" style="886" hidden="1" customWidth="1"/>
    <col min="135" max="135" width="14.7109375" style="939" hidden="1" customWidth="1"/>
    <col min="136" max="136" width="15" style="886" hidden="1" customWidth="1"/>
    <col min="137" max="137" width="13.85546875" style="886" hidden="1" customWidth="1"/>
    <col min="138" max="138" width="14.140625" style="964" hidden="1" customWidth="1"/>
    <col min="139" max="139" width="13.28515625" style="964" hidden="1" customWidth="1"/>
    <col min="140" max="140" width="14.140625" style="964" hidden="1" customWidth="1"/>
    <col min="141" max="142" width="16" style="964" hidden="1" customWidth="1"/>
    <col min="143" max="144" width="15.5703125" style="886" hidden="1" customWidth="1"/>
    <col min="145" max="145" width="25.5703125" style="886" hidden="1" customWidth="1"/>
    <col min="146" max="146" width="18.140625" style="886" hidden="1" customWidth="1"/>
    <col min="147" max="147" width="23.5703125" style="1646" hidden="1" customWidth="1"/>
    <col min="148" max="148" width="11.42578125" style="886" hidden="1" customWidth="1"/>
    <col min="149" max="149" width="31" style="886" hidden="1" customWidth="1"/>
    <col min="150" max="150" width="13" style="886" hidden="1" customWidth="1"/>
    <col min="151" max="151" width="18.140625" style="895" hidden="1" customWidth="1"/>
    <col min="152" max="152" width="24.5703125" style="889" hidden="1" customWidth="1"/>
    <col min="153" max="153" width="19" style="889" hidden="1" customWidth="1"/>
    <col min="154" max="154" width="43.140625" style="889" hidden="1" customWidth="1"/>
    <col min="155" max="155" width="36.5703125" style="889" hidden="1" customWidth="1"/>
    <col min="156" max="156" width="31" style="889" hidden="1" customWidth="1"/>
    <col min="157" max="157" width="9.140625" style="859" customWidth="1"/>
    <col min="158" max="158" width="9.140625" style="859"/>
    <col min="159" max="162" width="9.140625" style="712"/>
  </cols>
  <sheetData>
    <row r="1" spans="1:162" ht="52.5" customHeight="1" thickTop="1" thickBot="1">
      <c r="A1" s="3459" t="s">
        <v>4888</v>
      </c>
      <c r="B1" s="3460"/>
      <c r="C1" s="585"/>
      <c r="D1" s="585"/>
      <c r="E1" s="585"/>
      <c r="F1" s="1694" t="s">
        <v>5160</v>
      </c>
      <c r="G1" s="1694"/>
      <c r="H1" s="1694"/>
      <c r="I1" s="1694"/>
      <c r="J1" s="1694"/>
      <c r="K1" s="1694"/>
      <c r="L1" s="3468" t="s">
        <v>5394</v>
      </c>
      <c r="M1" s="3468"/>
      <c r="N1" s="3468"/>
      <c r="O1" s="3468"/>
      <c r="P1" s="3468"/>
      <c r="Q1" s="3468"/>
      <c r="R1" s="3468"/>
      <c r="S1" s="3468"/>
      <c r="T1" s="3468"/>
      <c r="U1" s="3468"/>
      <c r="V1" s="3468"/>
      <c r="W1" s="3468"/>
      <c r="X1" s="3468"/>
      <c r="Y1" s="3468"/>
      <c r="Z1" s="3468"/>
      <c r="AA1" s="1694"/>
      <c r="AB1" s="1694"/>
      <c r="AC1" s="3438" t="s">
        <v>5394</v>
      </c>
      <c r="AD1" s="3438"/>
      <c r="AE1" s="3438"/>
      <c r="AF1" s="3438"/>
      <c r="AG1" s="3438"/>
      <c r="AH1" s="3438"/>
      <c r="AI1" s="3438"/>
      <c r="AJ1" s="413"/>
      <c r="AK1" s="413"/>
      <c r="AL1" s="413"/>
      <c r="AM1" s="3438" t="s">
        <v>5394</v>
      </c>
      <c r="AN1" s="3438"/>
      <c r="AO1" s="3438"/>
      <c r="AP1" s="3438"/>
      <c r="AQ1" s="3438"/>
      <c r="AR1" s="3438"/>
      <c r="AS1" s="3438"/>
      <c r="AT1" s="3438"/>
      <c r="AU1" s="3438"/>
      <c r="AV1" s="3438"/>
      <c r="AW1" s="3438"/>
      <c r="AX1" s="3438"/>
      <c r="AY1" s="3438"/>
      <c r="AZ1" s="3438"/>
      <c r="BA1" s="3438"/>
      <c r="BB1" s="3439"/>
      <c r="BC1" s="1456"/>
      <c r="BD1" s="1456"/>
      <c r="BE1" s="1456"/>
      <c r="BF1" s="1456"/>
      <c r="BG1" s="1456"/>
      <c r="BH1" s="1456"/>
      <c r="BI1" s="1456"/>
      <c r="BJ1" s="1456"/>
      <c r="BK1" s="1456"/>
      <c r="BL1" s="1456"/>
      <c r="BM1" s="1456"/>
      <c r="BN1" s="1456"/>
      <c r="BO1" s="1456"/>
      <c r="BP1" s="1456"/>
      <c r="BQ1" s="1456"/>
      <c r="BR1" s="1456"/>
      <c r="BS1" s="1456"/>
      <c r="BT1" s="1456"/>
      <c r="BU1" s="1456"/>
      <c r="BV1" s="1456"/>
      <c r="BW1" s="1456"/>
      <c r="BX1" s="1456"/>
      <c r="BY1" s="1456"/>
      <c r="BZ1" s="1769"/>
      <c r="CA1" s="233"/>
      <c r="CB1" s="233"/>
      <c r="CC1" s="233"/>
      <c r="CD1" s="233"/>
      <c r="CE1" s="233"/>
      <c r="CJ1" s="325"/>
      <c r="CK1" s="325"/>
      <c r="CL1" s="325"/>
      <c r="CM1" s="325"/>
      <c r="CN1" s="325"/>
      <c r="CO1" s="325"/>
      <c r="CP1" s="325"/>
      <c r="CQ1" s="325"/>
      <c r="CR1" s="325"/>
      <c r="CS1" s="325"/>
      <c r="CT1" s="325"/>
      <c r="CU1" s="325"/>
      <c r="CV1" s="325"/>
      <c r="CW1" s="325"/>
      <c r="CX1" s="884"/>
      <c r="CY1" s="884"/>
      <c r="CZ1" s="884"/>
      <c r="DA1" s="884"/>
      <c r="DB1" s="884"/>
      <c r="DC1" s="884"/>
      <c r="DD1" s="884"/>
      <c r="DE1" s="884"/>
      <c r="DF1" s="884"/>
      <c r="DG1" s="884"/>
      <c r="DH1" s="884"/>
      <c r="DI1" s="2125"/>
      <c r="EC1" s="1182"/>
      <c r="EE1" s="3174" t="s">
        <v>5355</v>
      </c>
      <c r="EF1" s="997"/>
      <c r="EG1" s="1027" t="s">
        <v>3145</v>
      </c>
      <c r="EH1" s="998"/>
      <c r="EI1" s="998"/>
      <c r="EJ1" s="2541" t="s">
        <v>5099</v>
      </c>
      <c r="EK1" s="998"/>
      <c r="EL1" s="998"/>
      <c r="EM1" s="997"/>
      <c r="EN1" s="997"/>
      <c r="EO1" s="999" t="s">
        <v>4201</v>
      </c>
      <c r="EP1" s="1000"/>
      <c r="EQ1" s="1649"/>
      <c r="ER1" s="887"/>
      <c r="ES1" s="996" t="s">
        <v>3881</v>
      </c>
      <c r="ET1" s="888"/>
      <c r="EU1" s="3078" t="s">
        <v>5340</v>
      </c>
      <c r="EV1" s="995"/>
      <c r="EW1" s="235"/>
      <c r="EX1" s="235"/>
      <c r="EY1" s="235"/>
      <c r="FC1" s="74"/>
      <c r="FD1" s="74"/>
      <c r="FE1" s="74"/>
      <c r="FF1" s="74"/>
    </row>
    <row r="2" spans="1:162" ht="108" customHeight="1" thickTop="1" thickBot="1">
      <c r="A2" s="3461"/>
      <c r="B2" s="3462"/>
      <c r="C2" s="586"/>
      <c r="D2" s="586"/>
      <c r="E2" s="586"/>
      <c r="F2" s="3463" t="s">
        <v>2284</v>
      </c>
      <c r="G2" s="3464"/>
      <c r="H2" s="3464"/>
      <c r="I2" s="3464"/>
      <c r="J2" s="3464"/>
      <c r="K2" s="3464"/>
      <c r="L2" s="3452" t="s">
        <v>530</v>
      </c>
      <c r="M2" s="3453"/>
      <c r="N2" s="1573"/>
      <c r="O2" s="1554"/>
      <c r="P2" s="1369"/>
      <c r="Q2" s="2020"/>
      <c r="R2" s="2021"/>
      <c r="S2" s="2021"/>
      <c r="T2" s="2021"/>
      <c r="U2" s="3440" t="s">
        <v>531</v>
      </c>
      <c r="V2" s="3441"/>
      <c r="W2" s="3441"/>
      <c r="X2" s="3442"/>
      <c r="Y2" s="3454" t="s">
        <v>5236</v>
      </c>
      <c r="Z2" s="3455"/>
      <c r="AA2" s="1369"/>
      <c r="AB2" s="1370"/>
      <c r="AC2" s="622">
        <f>B52</f>
        <v>1114</v>
      </c>
      <c r="AD2" s="1343" t="str">
        <f>IF(CIG!G1=CIG!F2,CIG!F3,CIG!F4)</f>
        <v>Általános flottadíj</v>
      </c>
      <c r="AE2" s="623" t="str">
        <f>L52</f>
        <v>Budapest</v>
      </c>
      <c r="AF2" s="1050">
        <f>$B$52</f>
        <v>1114</v>
      </c>
      <c r="AG2" s="293"/>
      <c r="AH2" s="421" t="s">
        <v>1148</v>
      </c>
      <c r="AI2" s="1050"/>
      <c r="AJ2" s="1050">
        <f t="shared" ref="AJ2:AU2" si="0">$B$52</f>
        <v>1114</v>
      </c>
      <c r="AK2" s="1050">
        <f t="shared" si="0"/>
        <v>1114</v>
      </c>
      <c r="AL2" s="1050">
        <f t="shared" si="0"/>
        <v>1114</v>
      </c>
      <c r="AM2" s="1050">
        <f t="shared" si="0"/>
        <v>1114</v>
      </c>
      <c r="AN2" s="1050">
        <f t="shared" si="0"/>
        <v>1114</v>
      </c>
      <c r="AO2" s="1050">
        <f t="shared" si="0"/>
        <v>1114</v>
      </c>
      <c r="AP2" s="1050">
        <f t="shared" si="0"/>
        <v>1114</v>
      </c>
      <c r="AQ2" s="1050">
        <f t="shared" si="0"/>
        <v>1114</v>
      </c>
      <c r="AR2" s="1050">
        <f t="shared" si="0"/>
        <v>1114</v>
      </c>
      <c r="AS2" s="1050">
        <f t="shared" si="0"/>
        <v>1114</v>
      </c>
      <c r="AT2" s="1050">
        <f t="shared" si="0"/>
        <v>1114</v>
      </c>
      <c r="AU2" s="1050">
        <f t="shared" si="0"/>
        <v>1114</v>
      </c>
      <c r="AV2" s="625">
        <f>$B$52</f>
        <v>1114</v>
      </c>
      <c r="AW2" s="625">
        <f>KÉRDÉSEK!$C$15</f>
        <v>0</v>
      </c>
      <c r="AX2" s="1162"/>
      <c r="AY2" s="1163"/>
      <c r="AZ2" s="1509" t="s">
        <v>2712</v>
      </c>
      <c r="BA2" s="624">
        <f>B52</f>
        <v>1114</v>
      </c>
      <c r="BB2" s="1499" t="s">
        <v>2712</v>
      </c>
      <c r="BC2" s="1458"/>
      <c r="BD2" s="1754"/>
      <c r="BE2" s="1754"/>
      <c r="BF2" s="1754"/>
      <c r="BG2" s="1754"/>
      <c r="BH2" s="1754"/>
      <c r="BI2" s="1754"/>
      <c r="BJ2" s="1754"/>
      <c r="BK2" s="1754"/>
      <c r="BL2" s="1754"/>
      <c r="BM2" s="1754"/>
      <c r="BN2" s="1754"/>
      <c r="BO2" s="1754"/>
      <c r="BP2" s="1754"/>
      <c r="BQ2" s="1754"/>
      <c r="BR2" s="1754"/>
      <c r="BS2" s="1754"/>
      <c r="BT2" s="1458"/>
      <c r="BU2" s="1458"/>
      <c r="BV2" s="1458"/>
      <c r="BW2" s="1458"/>
      <c r="BX2" s="1458"/>
      <c r="BY2" s="1459"/>
      <c r="BZ2" s="1769"/>
      <c r="CA2" s="233"/>
      <c r="CB2" s="233"/>
      <c r="CC2" s="233"/>
      <c r="CD2" s="233"/>
      <c r="CE2" s="233"/>
      <c r="CJ2" s="326">
        <v>1</v>
      </c>
      <c r="CK2" s="197"/>
      <c r="CL2" s="327"/>
      <c r="CM2" s="1770" t="s">
        <v>5397</v>
      </c>
      <c r="CN2" s="328"/>
      <c r="CO2" s="329"/>
      <c r="CP2" s="328"/>
      <c r="CQ2" s="328"/>
      <c r="CR2" s="328"/>
      <c r="CS2" s="328"/>
      <c r="CT2" s="328"/>
      <c r="CU2" s="328"/>
      <c r="CV2" s="328"/>
      <c r="CW2" s="328"/>
      <c r="CX2" s="890"/>
      <c r="CY2" s="890"/>
      <c r="CZ2" s="890"/>
      <c r="DA2" s="890"/>
      <c r="DB2" s="890"/>
      <c r="DC2" s="890"/>
      <c r="DD2" s="890"/>
      <c r="DE2" s="890"/>
      <c r="DF2" s="890"/>
      <c r="DI2" s="2125"/>
      <c r="DN2" s="892"/>
      <c r="DO2" s="232"/>
      <c r="DP2" s="232"/>
      <c r="DQ2" s="232"/>
      <c r="DR2" s="232"/>
      <c r="DS2" s="232"/>
      <c r="DT2" s="232"/>
      <c r="DU2" s="232"/>
      <c r="DV2" s="232"/>
      <c r="DW2" s="232"/>
      <c r="DX2" s="232"/>
      <c r="DY2" s="232"/>
      <c r="DZ2" s="232"/>
      <c r="EA2" s="227"/>
      <c r="EB2" s="1175"/>
      <c r="EC2" s="1182"/>
      <c r="ED2" s="889"/>
      <c r="EE2" s="1001">
        <v>1</v>
      </c>
      <c r="EF2" s="1002">
        <v>2</v>
      </c>
      <c r="EG2" s="1002">
        <v>3</v>
      </c>
      <c r="EH2" s="1003">
        <v>4</v>
      </c>
      <c r="EI2" s="1003">
        <v>5</v>
      </c>
      <c r="EJ2" s="1003">
        <v>6</v>
      </c>
      <c r="EK2" s="1003">
        <v>7</v>
      </c>
      <c r="EL2" s="1003">
        <v>8</v>
      </c>
      <c r="EM2" s="1002">
        <v>9</v>
      </c>
      <c r="EN2" s="1002">
        <v>10</v>
      </c>
      <c r="EO2" s="1016" t="s">
        <v>4749</v>
      </c>
      <c r="EP2" s="1004"/>
      <c r="EQ2" s="1650" t="s">
        <v>1568</v>
      </c>
      <c r="ER2" s="894" t="s">
        <v>3123</v>
      </c>
      <c r="ES2" s="894" t="s">
        <v>3124</v>
      </c>
      <c r="ET2" s="2689" t="s">
        <v>5189</v>
      </c>
      <c r="EV2" s="233"/>
      <c r="EW2" s="233"/>
      <c r="EX2" s="233"/>
      <c r="EY2" s="233"/>
      <c r="FC2" s="74"/>
      <c r="FD2" s="74"/>
      <c r="FE2" s="74"/>
      <c r="FF2" s="74"/>
    </row>
    <row r="3" spans="1:162" s="3" customFormat="1" ht="97.5" customHeight="1" thickTop="1" thickBot="1">
      <c r="A3" s="285" t="s">
        <v>4075</v>
      </c>
      <c r="B3" s="283" t="s">
        <v>4875</v>
      </c>
      <c r="C3" s="595" t="s">
        <v>3195</v>
      </c>
      <c r="D3" s="594" t="s">
        <v>3196</v>
      </c>
      <c r="E3" s="596" t="s">
        <v>3197</v>
      </c>
      <c r="F3" s="1226" t="s">
        <v>2806</v>
      </c>
      <c r="G3" s="822" t="s">
        <v>2801</v>
      </c>
      <c r="H3" s="822" t="s">
        <v>2802</v>
      </c>
      <c r="I3" s="822" t="s">
        <v>2803</v>
      </c>
      <c r="J3" s="822" t="s">
        <v>2804</v>
      </c>
      <c r="K3" s="1555" t="s">
        <v>2805</v>
      </c>
      <c r="L3" s="1556" t="s">
        <v>2123</v>
      </c>
      <c r="M3" s="1557" t="s">
        <v>2124</v>
      </c>
      <c r="N3" s="1574"/>
      <c r="O3" s="614"/>
      <c r="P3" s="613"/>
      <c r="Q3" s="3465" t="s">
        <v>5536</v>
      </c>
      <c r="R3" s="3466"/>
      <c r="S3" s="3466"/>
      <c r="T3" s="3466"/>
      <c r="U3" s="3466"/>
      <c r="V3" s="3466"/>
      <c r="W3" s="3467"/>
      <c r="X3" s="2040" t="s">
        <v>3697</v>
      </c>
      <c r="Y3" s="1870" t="s">
        <v>4989</v>
      </c>
      <c r="Z3" s="1871" t="s">
        <v>4990</v>
      </c>
      <c r="AA3" s="614" t="s">
        <v>3698</v>
      </c>
      <c r="AB3" s="615" t="s">
        <v>3699</v>
      </c>
      <c r="AC3" s="1596" t="s">
        <v>1190</v>
      </c>
      <c r="AD3" s="459" t="s">
        <v>1403</v>
      </c>
      <c r="AE3" s="102" t="s">
        <v>1153</v>
      </c>
      <c r="AF3" s="250" t="s">
        <v>269</v>
      </c>
      <c r="AG3" s="102"/>
      <c r="AH3" s="2165" t="s">
        <v>5395</v>
      </c>
      <c r="AI3" s="103" t="s">
        <v>3308</v>
      </c>
      <c r="AJ3" s="103" t="s">
        <v>495</v>
      </c>
      <c r="AK3" s="103" t="s">
        <v>496</v>
      </c>
      <c r="AL3" s="103" t="s">
        <v>4854</v>
      </c>
      <c r="AM3" s="104" t="s">
        <v>2714</v>
      </c>
      <c r="AN3" s="2146" t="s">
        <v>2413</v>
      </c>
      <c r="AO3" s="104"/>
      <c r="AP3" s="104"/>
      <c r="AQ3" s="104"/>
      <c r="AR3" s="104"/>
      <c r="AS3" s="104"/>
      <c r="AT3" s="104"/>
      <c r="AU3" s="105" t="s">
        <v>528</v>
      </c>
      <c r="AV3" s="105" t="s">
        <v>3871</v>
      </c>
      <c r="AW3" s="105" t="s">
        <v>3200</v>
      </c>
      <c r="AX3" s="1164"/>
      <c r="AY3" s="1165"/>
      <c r="AZ3" s="239" t="s">
        <v>2713</v>
      </c>
      <c r="BA3" s="1240" t="s">
        <v>1163</v>
      </c>
      <c r="BB3" s="1500" t="s">
        <v>1391</v>
      </c>
      <c r="BC3" s="1755"/>
      <c r="BD3" s="1755"/>
      <c r="BE3" s="1755"/>
      <c r="BF3" s="1755"/>
      <c r="BG3" s="1756"/>
      <c r="BH3" s="1756"/>
      <c r="BI3" s="1756"/>
      <c r="BJ3" s="1756"/>
      <c r="BK3" s="1756"/>
      <c r="BL3" s="1756"/>
      <c r="BM3" s="1756"/>
      <c r="BN3" s="1756"/>
      <c r="BO3" s="1756"/>
      <c r="BP3" s="1756"/>
      <c r="BQ3" s="1756"/>
      <c r="BR3" s="1756"/>
      <c r="BS3" s="1771"/>
      <c r="BT3" s="1772"/>
      <c r="BU3" s="1773"/>
      <c r="BV3" s="1774"/>
      <c r="BW3" s="1460"/>
      <c r="BX3" s="1460"/>
      <c r="BY3" s="1461"/>
      <c r="BZ3" s="17"/>
      <c r="CA3" s="509"/>
      <c r="CB3" s="509"/>
      <c r="CC3" s="509"/>
      <c r="CD3" s="509"/>
      <c r="CE3" s="509"/>
      <c r="CF3" s="509"/>
      <c r="CG3" s="509"/>
      <c r="CH3" s="509"/>
      <c r="CI3" s="509"/>
      <c r="CJ3" s="325"/>
      <c r="CK3" s="197"/>
      <c r="CL3" s="330"/>
      <c r="CM3" s="331"/>
      <c r="CN3" s="332"/>
      <c r="CO3" s="332"/>
      <c r="CP3" s="332"/>
      <c r="CQ3" s="332"/>
      <c r="CR3" s="332"/>
      <c r="CS3" s="332"/>
      <c r="CT3" s="332"/>
      <c r="CU3" s="332"/>
      <c r="CV3" s="332"/>
      <c r="CW3" s="332"/>
      <c r="CX3" s="896"/>
      <c r="CY3" s="896"/>
      <c r="CZ3" s="896"/>
      <c r="DA3" s="897"/>
      <c r="DB3" s="897"/>
      <c r="DC3" s="897"/>
      <c r="DD3" s="897"/>
      <c r="DE3" s="897"/>
      <c r="DF3" s="890"/>
      <c r="DG3" s="891"/>
      <c r="DH3" s="891"/>
      <c r="DI3" s="2765" t="s">
        <v>5222</v>
      </c>
      <c r="DJ3" s="898"/>
      <c r="DK3" s="898"/>
      <c r="DL3" s="1775"/>
      <c r="DM3" s="898"/>
      <c r="DN3" s="898"/>
      <c r="DO3" s="898"/>
      <c r="DP3" s="898"/>
      <c r="DQ3" s="898"/>
      <c r="DR3" s="1176"/>
      <c r="DS3" s="1176"/>
      <c r="DT3" s="1176"/>
      <c r="DU3" s="1176"/>
      <c r="DV3" s="1176"/>
      <c r="DW3" s="1176"/>
      <c r="DX3" s="1176"/>
      <c r="DY3" s="1176"/>
      <c r="DZ3" s="1176"/>
      <c r="EA3" s="1176"/>
      <c r="EB3" s="1177"/>
      <c r="EC3" s="1181"/>
      <c r="ED3" s="868"/>
      <c r="EE3" s="2683" t="s">
        <v>5179</v>
      </c>
      <c r="EF3" s="2684" t="s">
        <v>5180</v>
      </c>
      <c r="EG3" s="2684" t="s">
        <v>5181</v>
      </c>
      <c r="EH3" s="2684" t="s">
        <v>5182</v>
      </c>
      <c r="EI3" s="2684" t="s">
        <v>5183</v>
      </c>
      <c r="EJ3" s="2684" t="s">
        <v>5184</v>
      </c>
      <c r="EK3" s="2684" t="s">
        <v>5185</v>
      </c>
      <c r="EL3" s="2684" t="s">
        <v>5186</v>
      </c>
      <c r="EM3" s="2684" t="s">
        <v>5187</v>
      </c>
      <c r="EN3" s="2684" t="s">
        <v>5188</v>
      </c>
      <c r="EO3" s="1005"/>
      <c r="EP3" s="1006" t="s">
        <v>3891</v>
      </c>
      <c r="EQ3" s="1651"/>
      <c r="ER3" s="894">
        <v>1000</v>
      </c>
      <c r="ES3" s="894" t="s">
        <v>401</v>
      </c>
      <c r="ET3" s="2685">
        <v>1</v>
      </c>
      <c r="EU3" s="899"/>
      <c r="EV3" s="2945" t="s">
        <v>5268</v>
      </c>
      <c r="EW3" s="2946" t="s">
        <v>3882</v>
      </c>
      <c r="EX3" s="387"/>
      <c r="EY3" s="2692" t="s">
        <v>5191</v>
      </c>
      <c r="EZ3" s="868"/>
      <c r="FA3" s="863"/>
      <c r="FB3" s="863"/>
      <c r="FC3" s="711"/>
      <c r="FD3" s="711"/>
      <c r="FE3" s="711"/>
      <c r="FF3" s="711"/>
    </row>
    <row r="4" spans="1:162" ht="22.5" customHeight="1" thickTop="1" thickBot="1">
      <c r="A4" s="106" t="s">
        <v>2451</v>
      </c>
      <c r="B4" s="620">
        <f>$X4</f>
        <v>0</v>
      </c>
      <c r="C4" s="587" t="e">
        <f>0.5508*(N4+O4+P4+#REF!+#REF!+#REF!)+0.8137*(#REF!+#REF!+#REF!+#REF!)+X4+1.3206*(Y4+Z4+AA4+AB4)</f>
        <v>#REF!</v>
      </c>
      <c r="D4" s="587"/>
      <c r="E4" s="587"/>
      <c r="F4" s="1677">
        <v>0</v>
      </c>
      <c r="G4" s="1678"/>
      <c r="H4" s="1678"/>
      <c r="I4" s="1678">
        <v>0</v>
      </c>
      <c r="J4" s="1678"/>
      <c r="K4" s="1679">
        <v>0</v>
      </c>
      <c r="L4" s="1675"/>
      <c r="M4" s="1676"/>
      <c r="N4" s="510"/>
      <c r="O4" s="583"/>
      <c r="P4" s="583"/>
      <c r="Q4" s="3456" t="s">
        <v>218</v>
      </c>
      <c r="R4" s="3457"/>
      <c r="S4" s="3457"/>
      <c r="T4" s="3457"/>
      <c r="U4" s="3458"/>
      <c r="V4" s="1883">
        <f>$X$18</f>
        <v>0</v>
      </c>
      <c r="W4" s="1884" t="s">
        <v>673</v>
      </c>
      <c r="X4" s="1868">
        <v>0</v>
      </c>
      <c r="Y4" s="1872"/>
      <c r="Z4" s="1873"/>
      <c r="AA4" s="510"/>
      <c r="AB4" s="584"/>
      <c r="AC4" s="370">
        <f>Wáberer!S3</f>
        <v>27684</v>
      </c>
      <c r="AD4" s="460">
        <f>CIG!H2</f>
        <v>390600</v>
      </c>
      <c r="AE4" s="107">
        <f>Allianz!AB3</f>
        <v>14858</v>
      </c>
      <c r="AF4" s="107">
        <f>Signal!H3</f>
        <v>86160</v>
      </c>
      <c r="AG4" s="107"/>
      <c r="AH4" s="1032"/>
      <c r="AI4" s="107">
        <f>IF(KÉRDÉSEK!$C$5=KÉRDÉSEK!$C$10,NDK!$AL4,IF($AM$438=1,$AJ4,$AK4))</f>
        <v>46100</v>
      </c>
      <c r="AJ4" s="2814">
        <v>46100</v>
      </c>
      <c r="AK4" s="2814">
        <v>42300</v>
      </c>
      <c r="AL4" s="2814">
        <v>32004</v>
      </c>
      <c r="AM4" s="109">
        <f>IF(KÉRDÉSEK!$C$259=KÉRDÉSEK!$F$259,NDK!$EQ4,NDK!$EO4)</f>
        <v>117800</v>
      </c>
      <c r="AN4" s="109">
        <f>CIG!H2</f>
        <v>390600</v>
      </c>
      <c r="AO4" s="1029"/>
      <c r="AP4" s="1029"/>
      <c r="AQ4" s="1029"/>
      <c r="AR4" s="1029"/>
      <c r="AS4" s="1029"/>
      <c r="AT4" s="1029"/>
      <c r="AU4" s="109">
        <f>GROUPAMA!$Q4</f>
        <v>55764</v>
      </c>
      <c r="AV4" s="109"/>
      <c r="AW4" s="606"/>
      <c r="AX4" s="1166"/>
      <c r="AY4" s="1167"/>
      <c r="AZ4" s="224">
        <f>$CL$16</f>
        <v>75951</v>
      </c>
      <c r="BA4" s="109">
        <f>UNION!AB2</f>
        <v>47652</v>
      </c>
      <c r="BB4" s="1501">
        <f>Posta!B4</f>
        <v>51948</v>
      </c>
      <c r="BC4" s="903"/>
      <c r="BD4" s="903"/>
      <c r="BE4" s="903"/>
      <c r="BF4" s="903"/>
      <c r="BG4" s="903"/>
      <c r="BH4" s="903"/>
      <c r="BI4" s="903"/>
      <c r="BJ4" s="903"/>
      <c r="BK4" s="903"/>
      <c r="BL4" s="903"/>
      <c r="BM4" s="903"/>
      <c r="BN4" s="903"/>
      <c r="BO4" s="903"/>
      <c r="BP4" s="903"/>
      <c r="BQ4" s="903"/>
      <c r="BR4" s="903"/>
      <c r="BS4" s="1776"/>
      <c r="BT4" s="1776"/>
      <c r="BU4" s="903"/>
      <c r="BV4" s="1776"/>
      <c r="BW4" s="1776"/>
      <c r="BX4" s="1462"/>
      <c r="BY4" s="231"/>
      <c r="BZ4" s="1769"/>
      <c r="CA4" s="1777"/>
      <c r="CB4" s="233"/>
      <c r="CC4" s="233"/>
      <c r="CD4" s="233"/>
      <c r="CE4" s="233"/>
      <c r="CF4" s="1173"/>
      <c r="CG4" s="1173"/>
      <c r="CH4" s="1173"/>
      <c r="CI4" s="1173"/>
      <c r="CJ4" s="325"/>
      <c r="CK4" s="343" t="s">
        <v>500</v>
      </c>
      <c r="CL4" s="125"/>
      <c r="CM4" s="126"/>
      <c r="CN4" s="126"/>
      <c r="CO4" s="126"/>
      <c r="CP4" s="126"/>
      <c r="CQ4" s="126"/>
      <c r="CR4" s="126"/>
      <c r="CS4" s="127"/>
      <c r="CT4" s="332"/>
      <c r="CU4" s="344" t="s">
        <v>501</v>
      </c>
      <c r="CV4" s="333"/>
      <c r="CW4" s="333"/>
      <c r="CX4" s="900"/>
      <c r="DA4" s="3248">
        <f>KÉRDÉSEK!C84</f>
        <v>0</v>
      </c>
      <c r="DB4" s="901"/>
      <c r="DC4" s="897"/>
      <c r="DD4" s="897"/>
      <c r="DE4" s="897"/>
      <c r="DF4" s="890"/>
      <c r="DI4" s="2766">
        <f>UNION!W2</f>
        <v>38000</v>
      </c>
      <c r="DJ4" s="902"/>
      <c r="DK4" s="1778"/>
      <c r="DL4" s="228"/>
      <c r="DM4" s="232"/>
      <c r="DN4" s="921"/>
      <c r="DO4" s="921"/>
      <c r="DP4" s="921"/>
      <c r="DQ4" s="921"/>
      <c r="DR4" s="921"/>
      <c r="DS4" s="921"/>
      <c r="DT4" s="232"/>
      <c r="DU4" s="232"/>
      <c r="DV4" s="232"/>
      <c r="DW4" s="232"/>
      <c r="DX4" s="232"/>
      <c r="DY4" s="232"/>
      <c r="DZ4" s="232"/>
      <c r="EB4" s="1174"/>
      <c r="EC4" s="904" t="s">
        <v>2451</v>
      </c>
      <c r="ED4" s="904">
        <v>100</v>
      </c>
      <c r="EE4" s="3175">
        <v>117800</v>
      </c>
      <c r="EF4" s="3176"/>
      <c r="EG4" s="3176">
        <v>95900</v>
      </c>
      <c r="EH4" s="3176"/>
      <c r="EI4" s="3176"/>
      <c r="EJ4" s="3176"/>
      <c r="EK4" s="3176"/>
      <c r="EL4" s="3176"/>
      <c r="EM4" s="3176">
        <v>84500</v>
      </c>
      <c r="EN4" s="2341"/>
      <c r="EO4" s="1007">
        <f>VLOOKUP($ED4,ED4:EN49,($EY4+1))</f>
        <v>117800</v>
      </c>
      <c r="EP4" s="1008"/>
      <c r="EQ4" s="1652">
        <f>Generali!BG4</f>
        <v>109100</v>
      </c>
      <c r="ER4" s="905">
        <v>2000</v>
      </c>
      <c r="ES4" s="906" t="s">
        <v>2819</v>
      </c>
      <c r="ET4" s="2686">
        <v>2</v>
      </c>
      <c r="EU4" s="895">
        <v>1</v>
      </c>
      <c r="EV4" s="2947" t="s">
        <v>5167</v>
      </c>
      <c r="EW4" s="2948" t="s">
        <v>3883</v>
      </c>
      <c r="EX4" s="904" t="s">
        <v>2451</v>
      </c>
      <c r="EY4" s="2690">
        <f>IF(AND($EW$15&gt;=8,$EW$15&lt;=11),1,IF(AND($EW$15&gt;=19,$EW$15&lt;=77),3,9))</f>
        <v>1</v>
      </c>
      <c r="EZ4" s="886"/>
    </row>
    <row r="5" spans="1:162" ht="48" customHeight="1" thickTop="1">
      <c r="A5" s="111" t="s">
        <v>201</v>
      </c>
      <c r="B5" s="1693">
        <f t="shared" ref="B5:B49" si="1">$X5</f>
        <v>0</v>
      </c>
      <c r="C5" s="587"/>
      <c r="D5" s="587"/>
      <c r="E5" s="587"/>
      <c r="F5" s="1680"/>
      <c r="G5" s="1681"/>
      <c r="H5" s="1681"/>
      <c r="I5" s="1681"/>
      <c r="J5" s="1681"/>
      <c r="K5" s="1682"/>
      <c r="L5" s="1667"/>
      <c r="M5" s="1668"/>
      <c r="N5" s="1238"/>
      <c r="O5" s="1237"/>
      <c r="P5" s="1237">
        <v>0</v>
      </c>
      <c r="Q5" s="3436" t="s">
        <v>219</v>
      </c>
      <c r="R5" s="3437"/>
      <c r="S5" s="3437"/>
      <c r="T5" s="3437"/>
      <c r="U5" s="3437"/>
      <c r="V5" s="2038" t="s">
        <v>3767</v>
      </c>
      <c r="W5" s="2039" t="s">
        <v>3766</v>
      </c>
      <c r="X5" s="2041"/>
      <c r="Y5" s="1874"/>
      <c r="Z5" s="1875"/>
      <c r="AA5" s="1238"/>
      <c r="AB5" s="1239"/>
      <c r="AC5" s="371"/>
      <c r="AD5" s="371"/>
      <c r="AE5" s="108"/>
      <c r="AF5" s="108"/>
      <c r="AG5" s="108"/>
      <c r="AH5" s="1033"/>
      <c r="AI5" s="108"/>
      <c r="AJ5" s="2815"/>
      <c r="AK5" s="2815"/>
      <c r="AL5" s="2815"/>
      <c r="AM5" s="112"/>
      <c r="AN5" s="112"/>
      <c r="AO5" s="1029"/>
      <c r="AP5" s="1029"/>
      <c r="AQ5" s="1029"/>
      <c r="AR5" s="1029"/>
      <c r="AS5" s="1029"/>
      <c r="AT5" s="1029"/>
      <c r="AU5" s="112"/>
      <c r="AV5" s="112"/>
      <c r="AW5" s="607"/>
      <c r="AX5" s="1166"/>
      <c r="AY5" s="1167"/>
      <c r="AZ5" s="225"/>
      <c r="BA5" s="112"/>
      <c r="BB5" s="1502">
        <f>Posta!B5</f>
        <v>86597</v>
      </c>
      <c r="BC5" s="921"/>
      <c r="BD5" s="921"/>
      <c r="BE5" s="921"/>
      <c r="BF5" s="921"/>
      <c r="BG5" s="921"/>
      <c r="BH5" s="921"/>
      <c r="BI5" s="921"/>
      <c r="BJ5" s="921"/>
      <c r="BK5" s="921"/>
      <c r="BL5" s="921"/>
      <c r="BM5" s="921"/>
      <c r="BN5" s="921"/>
      <c r="BO5" s="921"/>
      <c r="BP5" s="921"/>
      <c r="BQ5" s="921"/>
      <c r="BR5" s="921"/>
      <c r="BS5" s="1779"/>
      <c r="BT5" s="1779"/>
      <c r="BU5" s="921"/>
      <c r="BV5" s="1779"/>
      <c r="BW5" s="1779"/>
      <c r="BX5" s="1462"/>
      <c r="BY5" s="926"/>
      <c r="BZ5" s="1769"/>
      <c r="CA5" s="1777"/>
      <c r="CB5" s="233"/>
      <c r="CC5" s="233"/>
      <c r="CD5" s="233"/>
      <c r="CE5" s="233"/>
      <c r="CF5" s="1173"/>
      <c r="CG5" s="1173"/>
      <c r="CH5" s="1173"/>
      <c r="CI5" s="1173"/>
      <c r="CJ5" s="325"/>
      <c r="CK5" s="343"/>
      <c r="CL5" s="383"/>
      <c r="CM5" s="384"/>
      <c r="CN5" s="384"/>
      <c r="CO5" s="384"/>
      <c r="CP5" s="384"/>
      <c r="CQ5" s="384"/>
      <c r="CR5" s="384"/>
      <c r="CS5" s="385"/>
      <c r="CT5" s="332"/>
      <c r="CU5" s="344"/>
      <c r="CV5" s="333"/>
      <c r="CW5" s="333"/>
      <c r="CX5" s="900"/>
      <c r="DA5" s="2185" t="s">
        <v>83</v>
      </c>
      <c r="DB5" s="901"/>
      <c r="DC5" s="897"/>
      <c r="DD5" s="897"/>
      <c r="DE5" s="897"/>
      <c r="DF5" s="890"/>
      <c r="DI5" s="2767"/>
      <c r="DJ5" s="902"/>
      <c r="DK5" s="1778"/>
      <c r="DL5" s="228"/>
      <c r="DM5" s="232"/>
      <c r="DN5" s="921"/>
      <c r="DO5" s="921"/>
      <c r="DP5" s="921"/>
      <c r="DQ5" s="921"/>
      <c r="DR5" s="921"/>
      <c r="DS5" s="921"/>
      <c r="DT5" s="232"/>
      <c r="DU5" s="232"/>
      <c r="DV5" s="232"/>
      <c r="DW5" s="232"/>
      <c r="DX5" s="232"/>
      <c r="DY5" s="232"/>
      <c r="DZ5" s="232"/>
      <c r="EB5" s="1177"/>
      <c r="EC5" s="904"/>
      <c r="ED5" s="904">
        <v>101</v>
      </c>
      <c r="EE5" s="2337"/>
      <c r="EF5" s="2338"/>
      <c r="EG5" s="2338"/>
      <c r="EH5" s="2338"/>
      <c r="EI5" s="2338"/>
      <c r="EJ5" s="2338"/>
      <c r="EK5" s="2338"/>
      <c r="EL5" s="2338"/>
      <c r="EM5" s="2338"/>
      <c r="EN5" s="2338"/>
      <c r="EO5" s="1007"/>
      <c r="EP5" s="1009"/>
      <c r="EQ5" s="1653"/>
      <c r="ER5" s="905"/>
      <c r="ES5" s="906"/>
      <c r="ET5" s="2686"/>
      <c r="EV5" s="2947" t="s">
        <v>5168</v>
      </c>
      <c r="EW5" s="2948" t="s">
        <v>3884</v>
      </c>
      <c r="EX5" s="904"/>
      <c r="EY5" s="2690"/>
      <c r="EZ5" s="886"/>
    </row>
    <row r="6" spans="1:162" ht="30.75" customHeight="1">
      <c r="A6" s="106" t="s">
        <v>2452</v>
      </c>
      <c r="B6" s="620">
        <f t="shared" si="1"/>
        <v>0</v>
      </c>
      <c r="C6" s="587" t="e">
        <f>0.5508*(N6+O6+P6+#REF!+#REF!+#REF!)+0.8137*(#REF!+#REF!+#REF!+#REF!)+X8+1.3206*(Y6+Z6+AA6+AB6)</f>
        <v>#REF!</v>
      </c>
      <c r="D6" s="587"/>
      <c r="E6" s="587"/>
      <c r="F6" s="1677"/>
      <c r="G6" s="1678"/>
      <c r="H6" s="1678"/>
      <c r="I6" s="1678"/>
      <c r="J6" s="1678"/>
      <c r="K6" s="1679"/>
      <c r="L6" s="1669"/>
      <c r="M6" s="1670"/>
      <c r="N6" s="510"/>
      <c r="O6" s="583"/>
      <c r="P6" s="583"/>
      <c r="Q6" s="3447" t="s">
        <v>5369</v>
      </c>
      <c r="R6" s="3448"/>
      <c r="S6" s="3449"/>
      <c r="T6" s="1666"/>
      <c r="U6" s="1882" t="s">
        <v>673</v>
      </c>
      <c r="V6" s="1885"/>
      <c r="W6" s="1886"/>
      <c r="X6" s="1868"/>
      <c r="Y6" s="1872"/>
      <c r="Z6" s="1873"/>
      <c r="AA6" s="510"/>
      <c r="AB6" s="584"/>
      <c r="AC6" s="370">
        <f>Wáberer!S5</f>
        <v>32520</v>
      </c>
      <c r="AD6" s="460">
        <f>CIG!H4</f>
        <v>327600</v>
      </c>
      <c r="AE6" s="107">
        <f>Allianz!AB5</f>
        <v>49844</v>
      </c>
      <c r="AF6" s="107">
        <f>Signal!H5</f>
        <v>111120</v>
      </c>
      <c r="AG6" s="107"/>
      <c r="AH6" s="1033"/>
      <c r="AI6" s="107">
        <f>IF(KÉRDÉSEK!$C$5=KÉRDÉSEK!$C$10,NDK!$AL6,IF($AM$438=1,$AJ6,$AK6))</f>
        <v>61500</v>
      </c>
      <c r="AJ6" s="2814">
        <v>61500</v>
      </c>
      <c r="AK6" s="2814">
        <v>55700</v>
      </c>
      <c r="AL6" s="2816">
        <v>37404</v>
      </c>
      <c r="AM6" s="109">
        <f>IF(KÉRDÉSEK!$C$259=KÉRDÉSEK!$F$259,NDK!$EQ6,NDK!$EO6)</f>
        <v>131000</v>
      </c>
      <c r="AN6" s="109">
        <f>CIG!H4</f>
        <v>327600</v>
      </c>
      <c r="AO6" s="1029"/>
      <c r="AP6" s="1029"/>
      <c r="AQ6" s="1029"/>
      <c r="AR6" s="1029"/>
      <c r="AS6" s="1029"/>
      <c r="AT6" s="1029"/>
      <c r="AU6" s="109">
        <f>GROUPAMA!$Q6</f>
        <v>74364</v>
      </c>
      <c r="AV6" s="109"/>
      <c r="AW6" s="606"/>
      <c r="AX6" s="1166"/>
      <c r="AY6" s="1167"/>
      <c r="AZ6" s="224">
        <f>$CL$17</f>
        <v>86115</v>
      </c>
      <c r="BA6" s="109">
        <f>UNION!AB4</f>
        <v>56273.25</v>
      </c>
      <c r="BB6" s="1501">
        <f>Posta!B6</f>
        <v>57714</v>
      </c>
      <c r="BC6" s="921"/>
      <c r="BD6" s="921"/>
      <c r="BE6" s="921"/>
      <c r="BF6" s="921"/>
      <c r="BG6" s="921"/>
      <c r="BH6" s="921"/>
      <c r="BI6" s="921"/>
      <c r="BJ6" s="921"/>
      <c r="BK6" s="921"/>
      <c r="BL6" s="921"/>
      <c r="BM6" s="921"/>
      <c r="BN6" s="921"/>
      <c r="BO6" s="921"/>
      <c r="BP6" s="921"/>
      <c r="BQ6" s="921"/>
      <c r="BR6" s="921"/>
      <c r="BS6" s="1779"/>
      <c r="BT6" s="1779"/>
      <c r="BU6" s="921"/>
      <c r="BV6" s="1779"/>
      <c r="BW6" s="1779"/>
      <c r="BX6" s="1462"/>
      <c r="BY6" s="231"/>
      <c r="BZ6" s="1769"/>
      <c r="CA6" s="1777"/>
      <c r="CB6" s="233"/>
      <c r="CC6" s="233"/>
      <c r="CD6" s="233"/>
      <c r="CE6" s="233"/>
      <c r="CF6" s="1173"/>
      <c r="CG6" s="1173"/>
      <c r="CH6" s="1173"/>
      <c r="CI6" s="1173"/>
      <c r="CJ6" s="325"/>
      <c r="CK6" s="342" t="s">
        <v>502</v>
      </c>
      <c r="CL6" s="128">
        <v>2120</v>
      </c>
      <c r="CM6" s="129"/>
      <c r="CN6" s="129"/>
      <c r="CO6" s="130" t="s">
        <v>503</v>
      </c>
      <c r="CP6" s="130"/>
      <c r="CQ6" s="130"/>
      <c r="CR6" s="130"/>
      <c r="CS6" s="131"/>
      <c r="CT6" s="332"/>
      <c r="CU6" s="345" t="s">
        <v>504</v>
      </c>
      <c r="CV6" s="335"/>
      <c r="CW6" s="335"/>
      <c r="CX6" s="907"/>
      <c r="CY6" s="907"/>
      <c r="CZ6" s="907"/>
      <c r="DA6" s="897"/>
      <c r="DB6" s="897"/>
      <c r="DC6" s="897"/>
      <c r="DD6" s="897"/>
      <c r="DE6" s="897"/>
      <c r="DF6" s="890"/>
      <c r="DI6" s="2766">
        <f>UNION!W4</f>
        <v>44875</v>
      </c>
      <c r="DJ6" s="902"/>
      <c r="DK6" s="1778"/>
      <c r="DN6" s="903"/>
      <c r="DO6" s="903"/>
      <c r="DP6" s="903"/>
      <c r="DQ6" s="903"/>
      <c r="DR6" s="903"/>
      <c r="DS6" s="903"/>
      <c r="EB6" s="1174"/>
      <c r="EC6" s="904" t="s">
        <v>2452</v>
      </c>
      <c r="ED6" s="904">
        <v>102</v>
      </c>
      <c r="EE6" s="3175">
        <v>131000</v>
      </c>
      <c r="EF6" s="3176"/>
      <c r="EG6" s="3176">
        <v>107500</v>
      </c>
      <c r="EH6" s="3176"/>
      <c r="EI6" s="3176"/>
      <c r="EJ6" s="3176"/>
      <c r="EK6" s="3176"/>
      <c r="EL6" s="3176"/>
      <c r="EM6" s="3176">
        <v>94400</v>
      </c>
      <c r="EN6" s="2341"/>
      <c r="EO6" s="1007">
        <f>VLOOKUP($ED6,ED6:EN51,($EY6+1))</f>
        <v>131000</v>
      </c>
      <c r="EP6" s="1010"/>
      <c r="EQ6" s="1652">
        <f>Generali!BG5</f>
        <v>121300</v>
      </c>
      <c r="ER6" s="905">
        <v>2009</v>
      </c>
      <c r="ES6" s="906" t="s">
        <v>2820</v>
      </c>
      <c r="ET6" s="2686">
        <v>6</v>
      </c>
      <c r="EV6" s="2947" t="s">
        <v>5169</v>
      </c>
      <c r="EW6" s="2948" t="s">
        <v>3885</v>
      </c>
      <c r="EX6" s="904" t="s">
        <v>2452</v>
      </c>
      <c r="EY6" s="2690">
        <f>IF(AND($EW$15&gt;=8,$EW$15&lt;=11),1,IF(AND($EW$15&gt;=19,$EW$15&lt;=77),3,9))</f>
        <v>1</v>
      </c>
      <c r="EZ6" s="886"/>
    </row>
    <row r="7" spans="1:162" ht="27.75" customHeight="1">
      <c r="A7" s="110" t="s">
        <v>3319</v>
      </c>
      <c r="B7" s="620">
        <f t="shared" si="1"/>
        <v>0</v>
      </c>
      <c r="C7" s="587" t="e">
        <f>0.5508*(N7+O7+P7+#REF!+#REF!+#REF!)+0.8137*(#REF!+#REF!+#REF!+#REF!)+X7+1.3206*(Y7+Z7+AA7+AB7)</f>
        <v>#REF!</v>
      </c>
      <c r="D7" s="587"/>
      <c r="E7" s="587"/>
      <c r="F7" s="1677"/>
      <c r="G7" s="1678"/>
      <c r="H7" s="1678"/>
      <c r="I7" s="1678">
        <v>0</v>
      </c>
      <c r="J7" s="1678"/>
      <c r="K7" s="1679"/>
      <c r="L7" s="1669"/>
      <c r="M7" s="1670"/>
      <c r="N7" s="510"/>
      <c r="O7" s="583"/>
      <c r="P7" s="583"/>
      <c r="Q7" s="3445" t="s">
        <v>5370</v>
      </c>
      <c r="R7" s="3446"/>
      <c r="S7" s="3446"/>
      <c r="T7" s="1666"/>
      <c r="U7" s="1882" t="s">
        <v>673</v>
      </c>
      <c r="V7" s="1885"/>
      <c r="W7" s="1886"/>
      <c r="X7" s="1868"/>
      <c r="Y7" s="1872"/>
      <c r="Z7" s="1873"/>
      <c r="AA7" s="510"/>
      <c r="AB7" s="584"/>
      <c r="AC7" s="370">
        <f>Wáberer!S6</f>
        <v>36852</v>
      </c>
      <c r="AD7" s="460">
        <f>CIG!H5</f>
        <v>441000</v>
      </c>
      <c r="AE7" s="107">
        <f>Allianz!AB6</f>
        <v>77679</v>
      </c>
      <c r="AF7" s="107">
        <f>Signal!H6</f>
        <v>127440</v>
      </c>
      <c r="AG7" s="107"/>
      <c r="AH7" s="1033"/>
      <c r="AI7" s="107">
        <f>IF(KÉRDÉSEK!$C$5=KÉRDÉSEK!$C$10,NDK!$AL7,IF($AM$438=1,$AJ7,$AK7))</f>
        <v>71100</v>
      </c>
      <c r="AJ7" s="2814">
        <v>71100</v>
      </c>
      <c r="AK7" s="2814">
        <v>65400</v>
      </c>
      <c r="AL7" s="2816">
        <v>42696</v>
      </c>
      <c r="AM7" s="109">
        <f>IF(KÉRDÉSEK!$C$259=KÉRDÉSEK!$F$259,NDK!$EQ7,NDK!$EO7)</f>
        <v>131000</v>
      </c>
      <c r="AN7" s="109">
        <f>CIG!H5</f>
        <v>441000</v>
      </c>
      <c r="AO7" s="1029"/>
      <c r="AP7" s="1029"/>
      <c r="AQ7" s="1029"/>
      <c r="AR7" s="1029"/>
      <c r="AS7" s="1029"/>
      <c r="AT7" s="1029"/>
      <c r="AU7" s="109">
        <f>GROUPAMA!$Q7</f>
        <v>105348</v>
      </c>
      <c r="AV7" s="109"/>
      <c r="AW7" s="606"/>
      <c r="AX7" s="1166"/>
      <c r="AY7" s="1167"/>
      <c r="AZ7" s="224">
        <f>$CL$18</f>
        <v>92986</v>
      </c>
      <c r="BA7" s="109">
        <f>UNION!AB5</f>
        <v>65364.75</v>
      </c>
      <c r="BB7" s="1501">
        <f>Posta!B7</f>
        <v>64649</v>
      </c>
      <c r="BC7" s="903"/>
      <c r="BD7" s="903"/>
      <c r="BE7" s="903"/>
      <c r="BF7" s="903"/>
      <c r="BG7" s="903"/>
      <c r="BH7" s="903"/>
      <c r="BI7" s="903"/>
      <c r="BJ7" s="903"/>
      <c r="BK7" s="903"/>
      <c r="BL7" s="903"/>
      <c r="BM7" s="903"/>
      <c r="BN7" s="903"/>
      <c r="BO7" s="903"/>
      <c r="BP7" s="903"/>
      <c r="BQ7" s="903"/>
      <c r="BR7" s="903"/>
      <c r="BS7" s="1776"/>
      <c r="BT7" s="1776"/>
      <c r="BU7" s="903"/>
      <c r="BV7" s="1776"/>
      <c r="BW7" s="1776"/>
      <c r="BX7" s="1462"/>
      <c r="BY7" s="922"/>
      <c r="BZ7" s="1769"/>
      <c r="CA7" s="1777"/>
      <c r="CB7" s="233"/>
      <c r="CC7" s="233"/>
      <c r="CD7" s="233"/>
      <c r="CE7" s="233"/>
      <c r="CF7" s="1173"/>
      <c r="CG7" s="1173"/>
      <c r="CH7" s="1173"/>
      <c r="CI7" s="1173"/>
      <c r="CJ7" s="325"/>
      <c r="CK7" s="334"/>
      <c r="CL7" s="132"/>
      <c r="CM7" s="133"/>
      <c r="CN7" s="133"/>
      <c r="CO7" s="134"/>
      <c r="CP7" s="134"/>
      <c r="CQ7" s="134"/>
      <c r="CR7" s="134"/>
      <c r="CS7" s="135"/>
      <c r="CT7" s="332"/>
      <c r="CU7" s="335"/>
      <c r="CV7" s="335"/>
      <c r="CW7" s="335"/>
      <c r="CX7" s="907"/>
      <c r="CY7" s="907"/>
      <c r="CZ7" s="907"/>
      <c r="DA7" s="897"/>
      <c r="DB7" s="897"/>
      <c r="DC7" s="897"/>
      <c r="DD7" s="897"/>
      <c r="DE7" s="897"/>
      <c r="DF7" s="890"/>
      <c r="DI7" s="2766">
        <f>UNION!W5</f>
        <v>52125</v>
      </c>
      <c r="DJ7" s="902"/>
      <c r="DK7" s="1778"/>
      <c r="DN7" s="903"/>
      <c r="DO7" s="903"/>
      <c r="DP7" s="903"/>
      <c r="DQ7" s="903"/>
      <c r="DR7" s="903"/>
      <c r="DS7" s="903"/>
      <c r="EB7" s="1177"/>
      <c r="EC7" s="908" t="s">
        <v>2447</v>
      </c>
      <c r="ED7" s="904">
        <v>103</v>
      </c>
      <c r="EE7" s="3175">
        <v>131000</v>
      </c>
      <c r="EF7" s="3176"/>
      <c r="EG7" s="3176">
        <v>107500</v>
      </c>
      <c r="EH7" s="3176"/>
      <c r="EI7" s="3176"/>
      <c r="EJ7" s="3176"/>
      <c r="EK7" s="3176"/>
      <c r="EL7" s="3176"/>
      <c r="EM7" s="3176">
        <v>94400</v>
      </c>
      <c r="EN7" s="2341"/>
      <c r="EO7" s="1007">
        <f>VLOOKUP($ED7,ED7:EN52,($EY7+1))</f>
        <v>131000</v>
      </c>
      <c r="EP7" s="1011"/>
      <c r="EQ7" s="1652">
        <f>Generali!BG6</f>
        <v>121300</v>
      </c>
      <c r="ER7" s="905">
        <v>2011</v>
      </c>
      <c r="ES7" s="906" t="s">
        <v>2821</v>
      </c>
      <c r="ET7" s="2686">
        <v>2</v>
      </c>
      <c r="EU7" s="895">
        <v>1</v>
      </c>
      <c r="EV7" s="2947" t="s">
        <v>5170</v>
      </c>
      <c r="EW7" s="2948" t="s">
        <v>3886</v>
      </c>
      <c r="EX7" s="908" t="s">
        <v>2447</v>
      </c>
      <c r="EY7" s="2690">
        <f>IF(AND($EW$15&gt;=8,$EW$15&lt;=11),1,IF(AND($EW$15&gt;=19,$EW$15&lt;=77),3,9))</f>
        <v>1</v>
      </c>
      <c r="EZ7" s="886"/>
    </row>
    <row r="8" spans="1:162" ht="30.75" customHeight="1" thickBot="1">
      <c r="A8" s="1972" t="s">
        <v>1491</v>
      </c>
      <c r="B8" s="1973">
        <f t="shared" si="1"/>
        <v>0</v>
      </c>
      <c r="C8" s="587"/>
      <c r="D8" s="587"/>
      <c r="E8" s="587"/>
      <c r="F8" s="1683"/>
      <c r="G8" s="1684"/>
      <c r="H8" s="1684"/>
      <c r="I8" s="1684"/>
      <c r="J8" s="1684"/>
      <c r="K8" s="1685"/>
      <c r="L8" s="1671"/>
      <c r="M8" s="1670"/>
      <c r="N8" s="510"/>
      <c r="O8" s="583"/>
      <c r="P8" s="599"/>
      <c r="Q8" s="3447" t="s">
        <v>5371</v>
      </c>
      <c r="R8" s="3450"/>
      <c r="S8" s="3451"/>
      <c r="T8" s="1666"/>
      <c r="U8" s="1882" t="s">
        <v>673</v>
      </c>
      <c r="V8" s="1885"/>
      <c r="W8" s="1886"/>
      <c r="X8" s="2042"/>
      <c r="Y8" s="1874"/>
      <c r="Z8" s="1875"/>
      <c r="AA8" s="582"/>
      <c r="AB8" s="548"/>
      <c r="AC8" s="371"/>
      <c r="AD8" s="371"/>
      <c r="AE8" s="108"/>
      <c r="AF8" s="108"/>
      <c r="AG8" s="108"/>
      <c r="AH8" s="1033"/>
      <c r="AI8" s="108"/>
      <c r="AJ8" s="2815"/>
      <c r="AK8" s="2815"/>
      <c r="AL8" s="2815"/>
      <c r="AM8" s="1974">
        <f>IF(KÉRDÉSEK!$C$259=KÉRDÉSEK!$F$259,NDK!$EQ8,NDK!$EO8)</f>
        <v>0</v>
      </c>
      <c r="AN8" s="112"/>
      <c r="AO8" s="1029"/>
      <c r="AP8" s="1029"/>
      <c r="AQ8" s="1029"/>
      <c r="AR8" s="1029"/>
      <c r="AS8" s="1029"/>
      <c r="AT8" s="1029"/>
      <c r="AU8" s="112"/>
      <c r="AV8" s="112"/>
      <c r="AW8" s="607"/>
      <c r="AX8" s="1166"/>
      <c r="AY8" s="1167"/>
      <c r="AZ8" s="225"/>
      <c r="BA8" s="112"/>
      <c r="BB8" s="1503"/>
      <c r="BC8" s="903"/>
      <c r="BD8" s="903"/>
      <c r="BE8" s="903"/>
      <c r="BF8" s="903"/>
      <c r="BG8" s="903"/>
      <c r="BH8" s="903"/>
      <c r="BI8" s="903"/>
      <c r="BJ8" s="903"/>
      <c r="BK8" s="903"/>
      <c r="BL8" s="903"/>
      <c r="BM8" s="903"/>
      <c r="BN8" s="903"/>
      <c r="BO8" s="903"/>
      <c r="BP8" s="903"/>
      <c r="BQ8" s="903"/>
      <c r="BR8" s="903"/>
      <c r="BS8" s="1776"/>
      <c r="BT8" s="1776"/>
      <c r="BU8" s="1776"/>
      <c r="BV8" s="1776"/>
      <c r="BW8" s="1776"/>
      <c r="BX8" s="1462"/>
      <c r="BY8" s="926"/>
      <c r="BZ8" s="1769"/>
      <c r="CA8" s="1777"/>
      <c r="CB8" s="233"/>
      <c r="CC8" s="233"/>
      <c r="CD8" s="233"/>
      <c r="CE8" s="233"/>
      <c r="CF8" s="1173"/>
      <c r="CG8" s="1173"/>
      <c r="CH8" s="1173"/>
      <c r="CI8" s="1173"/>
      <c r="CJ8" s="325"/>
      <c r="CK8" s="197"/>
      <c r="CL8" s="336"/>
      <c r="CM8" s="337"/>
      <c r="CN8" s="338"/>
      <c r="CO8" s="339"/>
      <c r="CP8" s="339"/>
      <c r="CQ8" s="339"/>
      <c r="CR8" s="339"/>
      <c r="CS8" s="339"/>
      <c r="CT8" s="339"/>
      <c r="CU8" s="340"/>
      <c r="CV8" s="341"/>
      <c r="CW8" s="341"/>
      <c r="CY8" s="909"/>
      <c r="CZ8" s="909"/>
      <c r="DA8" s="2184"/>
      <c r="DB8" s="910"/>
      <c r="DC8" s="910"/>
      <c r="DD8" s="910"/>
      <c r="DE8" s="910"/>
      <c r="DF8" s="909"/>
      <c r="DG8" s="884"/>
      <c r="DI8" s="2767"/>
      <c r="DJ8" s="902"/>
      <c r="DK8" s="1778"/>
      <c r="DN8" s="903"/>
      <c r="DO8" s="903"/>
      <c r="DP8" s="903"/>
      <c r="DQ8" s="903"/>
      <c r="DR8" s="903"/>
      <c r="DS8" s="903"/>
      <c r="EB8" s="1174"/>
      <c r="EC8" s="911" t="s">
        <v>2448</v>
      </c>
      <c r="ED8" s="904">
        <v>104</v>
      </c>
      <c r="EE8" s="2338"/>
      <c r="EF8" s="2338"/>
      <c r="EG8" s="2338"/>
      <c r="EH8" s="2338"/>
      <c r="EI8" s="2338"/>
      <c r="EJ8" s="2338"/>
      <c r="EK8" s="2338"/>
      <c r="EL8" s="2338"/>
      <c r="EM8" s="2338"/>
      <c r="EN8" s="2338"/>
      <c r="EO8" s="1007"/>
      <c r="EP8" s="1012">
        <f>'GP területek'!B7</f>
        <v>11</v>
      </c>
      <c r="EQ8" s="1652">
        <f>Generali!BG7</f>
        <v>0</v>
      </c>
      <c r="ER8" s="905">
        <v>2013</v>
      </c>
      <c r="ES8" s="906" t="s">
        <v>3125</v>
      </c>
      <c r="ET8" s="2686">
        <v>2</v>
      </c>
      <c r="EU8" s="895">
        <v>1</v>
      </c>
      <c r="EV8" s="2947" t="s">
        <v>5171</v>
      </c>
      <c r="EW8" s="2948" t="s">
        <v>3887</v>
      </c>
      <c r="EX8" s="911" t="s">
        <v>2448</v>
      </c>
      <c r="EY8" s="2690"/>
      <c r="EZ8" s="886"/>
    </row>
    <row r="9" spans="1:162" ht="31.5" customHeight="1" thickTop="1" thickBot="1">
      <c r="A9" s="111" t="s">
        <v>3826</v>
      </c>
      <c r="B9" s="1693">
        <f t="shared" si="1"/>
        <v>0</v>
      </c>
      <c r="C9" s="587"/>
      <c r="D9" s="587"/>
      <c r="E9" s="587"/>
      <c r="F9" s="1683"/>
      <c r="G9" s="1684"/>
      <c r="H9" s="1684"/>
      <c r="I9" s="1684"/>
      <c r="J9" s="1684"/>
      <c r="K9" s="1685"/>
      <c r="L9" s="1671"/>
      <c r="M9" s="1670"/>
      <c r="N9" s="510"/>
      <c r="O9" s="583"/>
      <c r="P9" s="599"/>
      <c r="Q9" s="3443" t="s">
        <v>5372</v>
      </c>
      <c r="R9" s="3444"/>
      <c r="S9" s="3444"/>
      <c r="T9" s="2045">
        <f>$V$4-$T$6-$T$7-$T$8</f>
        <v>0</v>
      </c>
      <c r="U9" s="2046" t="s">
        <v>673</v>
      </c>
      <c r="V9" s="2047"/>
      <c r="W9" s="2048"/>
      <c r="X9" s="1869"/>
      <c r="Y9" s="1874"/>
      <c r="Z9" s="1875"/>
      <c r="AA9" s="510"/>
      <c r="AB9" s="584"/>
      <c r="AC9" s="371"/>
      <c r="AD9" s="371"/>
      <c r="AE9" s="108"/>
      <c r="AF9" s="108"/>
      <c r="AG9" s="108"/>
      <c r="AH9" s="1033"/>
      <c r="AI9" s="108"/>
      <c r="AJ9" s="2815"/>
      <c r="AK9" s="2815"/>
      <c r="AL9" s="2815"/>
      <c r="AM9" s="112"/>
      <c r="AN9" s="112"/>
      <c r="AO9" s="1029"/>
      <c r="AP9" s="1029"/>
      <c r="AQ9" s="1029"/>
      <c r="AR9" s="1029"/>
      <c r="AS9" s="1029"/>
      <c r="AT9" s="1029"/>
      <c r="AU9" s="112"/>
      <c r="AV9" s="112"/>
      <c r="AW9" s="607"/>
      <c r="AX9" s="1166"/>
      <c r="AY9" s="1167"/>
      <c r="AZ9" s="225"/>
      <c r="BA9" s="112"/>
      <c r="BB9" s="1502">
        <f>Posta!B9</f>
        <v>61195</v>
      </c>
      <c r="BC9" s="903"/>
      <c r="BD9" s="903"/>
      <c r="BE9" s="903"/>
      <c r="BF9" s="903"/>
      <c r="BG9" s="903"/>
      <c r="BH9" s="903"/>
      <c r="BI9" s="903"/>
      <c r="BJ9" s="903"/>
      <c r="BK9" s="903"/>
      <c r="BL9" s="903"/>
      <c r="BM9" s="903"/>
      <c r="BN9" s="903"/>
      <c r="BO9" s="903"/>
      <c r="BP9" s="903"/>
      <c r="BQ9" s="903"/>
      <c r="BR9" s="903"/>
      <c r="BS9" s="1776"/>
      <c r="BT9" s="1776"/>
      <c r="BU9" s="903"/>
      <c r="BV9" s="1776"/>
      <c r="BW9" s="1776"/>
      <c r="BX9" s="1462"/>
      <c r="BY9" s="926"/>
      <c r="BZ9" s="1769"/>
      <c r="CA9" s="1777"/>
      <c r="CB9" s="233"/>
      <c r="CC9" s="233"/>
      <c r="CD9" s="233"/>
      <c r="CE9" s="233"/>
      <c r="CF9" s="1173"/>
      <c r="CG9" s="1173"/>
      <c r="CH9" s="1173"/>
      <c r="CI9" s="1173"/>
      <c r="CJ9" s="325"/>
      <c r="CK9" s="197"/>
      <c r="CL9" s="386"/>
      <c r="CM9" s="337"/>
      <c r="CN9" s="387"/>
      <c r="CO9" s="341"/>
      <c r="CP9" s="341"/>
      <c r="CQ9" s="341"/>
      <c r="CR9" s="341"/>
      <c r="CS9" s="341"/>
      <c r="CT9" s="341"/>
      <c r="CU9" s="340"/>
      <c r="CV9" s="341"/>
      <c r="CW9" s="341"/>
      <c r="CX9" s="909"/>
      <c r="CY9" s="909"/>
      <c r="CZ9" s="909"/>
      <c r="DA9" s="910"/>
      <c r="DB9" s="910"/>
      <c r="DC9" s="910"/>
      <c r="DD9" s="910"/>
      <c r="DE9" s="910"/>
      <c r="DF9" s="909"/>
      <c r="DG9" s="884"/>
      <c r="DI9" s="2767"/>
      <c r="DJ9" s="902"/>
      <c r="DK9" s="1780"/>
      <c r="DN9" s="903"/>
      <c r="DO9" s="903"/>
      <c r="DP9" s="903"/>
      <c r="DQ9" s="903"/>
      <c r="DR9" s="903"/>
      <c r="DS9" s="903"/>
      <c r="EB9" s="1177"/>
      <c r="EC9" s="911"/>
      <c r="ED9" s="904">
        <v>105</v>
      </c>
      <c r="EE9" s="2337"/>
      <c r="EF9" s="2338"/>
      <c r="EG9" s="2338"/>
      <c r="EH9" s="2338"/>
      <c r="EI9" s="2338"/>
      <c r="EJ9" s="2338"/>
      <c r="EK9" s="2338"/>
      <c r="EL9" s="2338"/>
      <c r="EM9" s="2338"/>
      <c r="EN9" s="2338"/>
      <c r="EO9" s="1007"/>
      <c r="EP9" s="1013"/>
      <c r="EQ9" s="1653"/>
      <c r="ER9" s="905"/>
      <c r="ES9" s="906"/>
      <c r="ET9" s="2686"/>
      <c r="EV9" s="2947" t="s">
        <v>5172</v>
      </c>
      <c r="EW9" s="2948" t="s">
        <v>3888</v>
      </c>
      <c r="EX9" s="911"/>
      <c r="EY9" s="2690"/>
      <c r="EZ9" s="886"/>
    </row>
    <row r="10" spans="1:162" ht="27.75" customHeight="1" thickTop="1">
      <c r="A10" s="110" t="s">
        <v>3320</v>
      </c>
      <c r="B10" s="620">
        <f t="shared" si="1"/>
        <v>0</v>
      </c>
      <c r="C10" s="587" t="e">
        <f>0.5508*(N10+O10+P10+Q10+R10+S10)+0.8137*(T10+U10+V10+W10)+X10+1.3206*(Y10+Z10+AA10+AB10)</f>
        <v>#VALUE!</v>
      </c>
      <c r="D10" s="587"/>
      <c r="E10" s="587"/>
      <c r="F10" s="1677"/>
      <c r="G10" s="1678"/>
      <c r="H10" s="1678"/>
      <c r="I10" s="1678"/>
      <c r="J10" s="1678"/>
      <c r="K10" s="1679"/>
      <c r="L10" s="1669"/>
      <c r="M10" s="1670"/>
      <c r="N10" s="510"/>
      <c r="O10" s="583"/>
      <c r="P10" s="599"/>
      <c r="Q10" s="3502" t="s">
        <v>5243</v>
      </c>
      <c r="R10" s="3503"/>
      <c r="S10" s="3503"/>
      <c r="T10" s="3503"/>
      <c r="U10" s="3503"/>
      <c r="V10" s="3503"/>
      <c r="W10" s="3504"/>
      <c r="X10" s="2043"/>
      <c r="Y10" s="1872"/>
      <c r="Z10" s="1873"/>
      <c r="AA10" s="510"/>
      <c r="AB10" s="584"/>
      <c r="AC10" s="370">
        <f>Wáberer!S9</f>
        <v>39828</v>
      </c>
      <c r="AD10" s="460">
        <f>CIG!H8</f>
        <v>498960</v>
      </c>
      <c r="AE10" s="107">
        <f>Allianz!AB9</f>
        <v>79618</v>
      </c>
      <c r="AF10" s="107">
        <f>Signal!H9</f>
        <v>148320</v>
      </c>
      <c r="AG10" s="107"/>
      <c r="AH10" s="1033"/>
      <c r="AI10" s="107">
        <f>IF(KÉRDÉSEK!$C$5=KÉRDÉSEK!$C$10,NDK!$AL10,IF($AM$438=1,$AJ10,$AK10))</f>
        <v>100000</v>
      </c>
      <c r="AJ10" s="2814">
        <v>100000</v>
      </c>
      <c r="AK10" s="2814">
        <v>88400</v>
      </c>
      <c r="AL10" s="2816">
        <v>45396</v>
      </c>
      <c r="AM10" s="109">
        <f>IF(KÉRDÉSEK!$C$259=KÉRDÉSEK!$F$259,NDK!$EQ10,NDK!$EO10)</f>
        <v>143000</v>
      </c>
      <c r="AN10" s="109">
        <f>CIG!H8</f>
        <v>498960</v>
      </c>
      <c r="AO10" s="1029"/>
      <c r="AP10" s="1029"/>
      <c r="AQ10" s="1029"/>
      <c r="AR10" s="1029"/>
      <c r="AS10" s="1029"/>
      <c r="AT10" s="1029"/>
      <c r="AU10" s="109">
        <f>GROUPAMA!$Q10</f>
        <v>123948</v>
      </c>
      <c r="AV10" s="109"/>
      <c r="AW10" s="606"/>
      <c r="AX10" s="1166"/>
      <c r="AY10" s="1167"/>
      <c r="AZ10" s="224">
        <f>$CL$21</f>
        <v>100186</v>
      </c>
      <c r="BA10" s="109">
        <f>UNION!AB12</f>
        <v>76964.25</v>
      </c>
      <c r="BB10" s="1501">
        <f>Posta!B10</f>
        <v>75039</v>
      </c>
      <c r="BC10" s="903"/>
      <c r="BD10" s="903"/>
      <c r="BE10" s="903"/>
      <c r="BF10" s="903"/>
      <c r="BG10" s="903"/>
      <c r="BH10" s="903"/>
      <c r="BI10" s="903"/>
      <c r="BJ10" s="903"/>
      <c r="BK10" s="903"/>
      <c r="BL10" s="903"/>
      <c r="BM10" s="903"/>
      <c r="BN10" s="903"/>
      <c r="BO10" s="903"/>
      <c r="BP10" s="903"/>
      <c r="BQ10" s="903"/>
      <c r="BR10" s="903"/>
      <c r="BS10" s="1776"/>
      <c r="BT10" s="1776"/>
      <c r="BU10" s="903"/>
      <c r="BV10" s="1776"/>
      <c r="BW10" s="1776"/>
      <c r="BX10" s="1462"/>
      <c r="BY10" s="922"/>
      <c r="BZ10" s="1769"/>
      <c r="CA10" s="1777"/>
      <c r="CB10" s="1781"/>
      <c r="CC10" s="1781"/>
      <c r="CD10" s="1781"/>
      <c r="CE10" s="233"/>
      <c r="CF10" s="1173"/>
      <c r="CG10" s="1173"/>
      <c r="CH10" s="1173"/>
      <c r="CI10" s="1173"/>
      <c r="CJ10" s="957"/>
      <c r="CK10" s="136" t="s">
        <v>505</v>
      </c>
      <c r="CL10" s="137" t="str">
        <f>CZ63</f>
        <v>Terület 3.</v>
      </c>
      <c r="CM10" s="1782" t="s">
        <v>506</v>
      </c>
      <c r="CN10" s="138" t="s">
        <v>507</v>
      </c>
      <c r="CO10" s="139" t="s">
        <v>508</v>
      </c>
      <c r="CP10" s="140"/>
      <c r="CQ10" s="140"/>
      <c r="CR10" s="141" t="s">
        <v>509</v>
      </c>
      <c r="CS10" s="141"/>
      <c r="CT10" s="142"/>
      <c r="CU10" s="143"/>
      <c r="CV10" s="144"/>
      <c r="CW10" s="144"/>
      <c r="CX10" s="884"/>
      <c r="CY10" s="912"/>
      <c r="CZ10" s="913"/>
      <c r="DA10" s="913"/>
      <c r="DB10" s="913"/>
      <c r="DC10" s="913"/>
      <c r="DD10" s="913"/>
      <c r="DE10" s="913"/>
      <c r="DF10" s="913"/>
      <c r="DG10" s="884"/>
      <c r="DI10" s="2766">
        <f>UNION!W12</f>
        <v>61375</v>
      </c>
      <c r="DJ10" s="902"/>
      <c r="DK10" s="1780"/>
      <c r="DN10" s="903"/>
      <c r="DO10" s="903"/>
      <c r="DP10" s="903"/>
      <c r="DQ10" s="903"/>
      <c r="DR10" s="903"/>
      <c r="DS10" s="903"/>
      <c r="EB10" s="1174"/>
      <c r="EC10" s="908" t="s">
        <v>2450</v>
      </c>
      <c r="ED10" s="904">
        <v>106</v>
      </c>
      <c r="EE10" s="3175">
        <v>143000</v>
      </c>
      <c r="EF10" s="3176"/>
      <c r="EG10" s="3176">
        <v>117400</v>
      </c>
      <c r="EH10" s="3176"/>
      <c r="EI10" s="3176"/>
      <c r="EJ10" s="3176"/>
      <c r="EK10" s="3176"/>
      <c r="EL10" s="3176"/>
      <c r="EM10" s="3176">
        <v>103100</v>
      </c>
      <c r="EN10" s="2341"/>
      <c r="EO10" s="1007">
        <f>VLOOKUP($ED10,$ED$10:$EN$55,($EY10+1))</f>
        <v>143000</v>
      </c>
      <c r="EP10" s="1004"/>
      <c r="EQ10" s="1652">
        <f>Generali!BG8</f>
        <v>132400</v>
      </c>
      <c r="ER10" s="905">
        <v>2014</v>
      </c>
      <c r="ES10" s="906" t="s">
        <v>2823</v>
      </c>
      <c r="ET10" s="2686">
        <v>2</v>
      </c>
      <c r="EV10" s="2947" t="s">
        <v>5173</v>
      </c>
      <c r="EW10" s="2948" t="s">
        <v>3889</v>
      </c>
      <c r="EX10" s="908" t="s">
        <v>2450</v>
      </c>
      <c r="EY10" s="2690">
        <f>IF(AND($EW$15&gt;=8,$EW$15&lt;=11),1,IF(AND($EW$15&gt;=19,$EW$15&lt;=77),3,9))</f>
        <v>1</v>
      </c>
      <c r="EZ10" s="886"/>
    </row>
    <row r="11" spans="1:162" ht="20.25" customHeight="1">
      <c r="A11" s="1972" t="s">
        <v>1493</v>
      </c>
      <c r="B11" s="1973">
        <f t="shared" si="1"/>
        <v>0</v>
      </c>
      <c r="C11" s="587"/>
      <c r="D11" s="587"/>
      <c r="E11" s="587"/>
      <c r="F11" s="1683"/>
      <c r="G11" s="1684"/>
      <c r="H11" s="1684"/>
      <c r="I11" s="1684"/>
      <c r="J11" s="1684"/>
      <c r="K11" s="1685"/>
      <c r="L11" s="1671"/>
      <c r="M11" s="1670"/>
      <c r="N11" s="510"/>
      <c r="O11" s="583"/>
      <c r="P11" s="599"/>
      <c r="Q11" s="2633"/>
      <c r="R11" s="2632"/>
      <c r="S11" s="2632"/>
      <c r="T11" s="2632"/>
      <c r="U11" s="2632"/>
      <c r="V11" s="2632"/>
      <c r="W11" s="2634"/>
      <c r="X11" s="2042"/>
      <c r="Y11" s="1874"/>
      <c r="Z11" s="1875"/>
      <c r="AA11" s="582"/>
      <c r="AB11" s="548"/>
      <c r="AC11" s="371"/>
      <c r="AD11" s="371"/>
      <c r="AE11" s="108"/>
      <c r="AF11" s="108"/>
      <c r="AG11" s="108"/>
      <c r="AH11" s="1033"/>
      <c r="AI11" s="108"/>
      <c r="AJ11" s="2815"/>
      <c r="AK11" s="2815"/>
      <c r="AL11" s="2815"/>
      <c r="AM11" s="1974">
        <f>IF(KÉRDÉSEK!$C$259=KÉRDÉSEK!$F$259,NDK!$EQ11,NDK!$EO11)</f>
        <v>0</v>
      </c>
      <c r="AN11" s="1029"/>
      <c r="AO11" s="1029"/>
      <c r="AP11" s="1029"/>
      <c r="AQ11" s="1029"/>
      <c r="AR11" s="1029"/>
      <c r="AS11" s="1029"/>
      <c r="AT11" s="1029"/>
      <c r="AU11" s="112"/>
      <c r="AV11" s="112"/>
      <c r="AW11" s="607"/>
      <c r="AX11" s="1166"/>
      <c r="AY11" s="1167"/>
      <c r="AZ11" s="225"/>
      <c r="BA11" s="112"/>
      <c r="BB11" s="1503"/>
      <c r="BC11" s="903"/>
      <c r="BD11" s="903"/>
      <c r="BE11" s="903"/>
      <c r="BF11" s="903"/>
      <c r="BG11" s="903"/>
      <c r="BH11" s="903"/>
      <c r="BI11" s="903"/>
      <c r="BJ11" s="903"/>
      <c r="BK11" s="903"/>
      <c r="BL11" s="903"/>
      <c r="BM11" s="903"/>
      <c r="BN11" s="903"/>
      <c r="BO11" s="903"/>
      <c r="BP11" s="903"/>
      <c r="BQ11" s="903"/>
      <c r="BR11" s="903"/>
      <c r="BS11" s="1776"/>
      <c r="BT11" s="1776"/>
      <c r="BU11" s="1776"/>
      <c r="BV11" s="1776"/>
      <c r="BW11" s="1776"/>
      <c r="BX11" s="1462"/>
      <c r="BY11" s="926"/>
      <c r="BZ11" s="1769"/>
      <c r="CA11" s="1777"/>
      <c r="CB11" s="233"/>
      <c r="CC11" s="233"/>
      <c r="CD11" s="233"/>
      <c r="CE11" s="233"/>
      <c r="CF11" s="1173"/>
      <c r="CG11" s="1173"/>
      <c r="CH11" s="1173"/>
      <c r="CI11" s="1173"/>
      <c r="CJ11" s="957"/>
      <c r="CK11" s="1783"/>
      <c r="CL11" s="1784"/>
      <c r="CM11" s="1785"/>
      <c r="CN11" s="145"/>
      <c r="CO11" s="139"/>
      <c r="CP11" s="140"/>
      <c r="CQ11" s="140"/>
      <c r="CR11" s="146"/>
      <c r="CS11" s="146"/>
      <c r="CT11" s="147"/>
      <c r="CU11" s="148"/>
      <c r="CV11" s="144"/>
      <c r="CW11" s="144"/>
      <c r="CX11" s="912"/>
      <c r="CY11" s="912"/>
      <c r="CZ11" s="913"/>
      <c r="DA11" s="913"/>
      <c r="DB11" s="913"/>
      <c r="DC11" s="913"/>
      <c r="DD11" s="913"/>
      <c r="DE11" s="913"/>
      <c r="DF11" s="913"/>
      <c r="DG11" s="884"/>
      <c r="DI11" s="2767"/>
      <c r="DJ11" s="902"/>
      <c r="DK11" s="1780"/>
      <c r="DN11" s="903"/>
      <c r="DO11" s="903"/>
      <c r="DP11" s="903"/>
      <c r="DQ11" s="903"/>
      <c r="DR11" s="903"/>
      <c r="DS11" s="903"/>
      <c r="EB11" s="1177"/>
      <c r="EC11" s="914" t="s">
        <v>2449</v>
      </c>
      <c r="ED11" s="904">
        <v>107</v>
      </c>
      <c r="EE11" s="2338"/>
      <c r="EF11" s="2338"/>
      <c r="EG11" s="2338"/>
      <c r="EH11" s="2338"/>
      <c r="EI11" s="2338"/>
      <c r="EJ11" s="2338"/>
      <c r="EK11" s="2338"/>
      <c r="EL11" s="2338"/>
      <c r="EM11" s="2338"/>
      <c r="EN11" s="2338"/>
      <c r="EO11" s="1007"/>
      <c r="EP11" s="1004"/>
      <c r="EQ11" s="1652">
        <f>Generali!BG9</f>
        <v>0</v>
      </c>
      <c r="ER11" s="905">
        <v>2015</v>
      </c>
      <c r="ES11" s="906" t="s">
        <v>3126</v>
      </c>
      <c r="ET11" s="2686">
        <v>6</v>
      </c>
      <c r="EV11" s="2947" t="s">
        <v>5174</v>
      </c>
      <c r="EW11" s="2948" t="s">
        <v>5178</v>
      </c>
      <c r="EX11" s="914" t="s">
        <v>2449</v>
      </c>
      <c r="EY11" s="2690"/>
      <c r="EZ11" s="886"/>
    </row>
    <row r="12" spans="1:162" ht="20.25" customHeight="1">
      <c r="A12" s="2942"/>
      <c r="B12" s="1693">
        <f t="shared" si="1"/>
        <v>0</v>
      </c>
      <c r="C12" s="587"/>
      <c r="D12" s="587"/>
      <c r="E12" s="587"/>
      <c r="F12" s="1677"/>
      <c r="G12" s="1678"/>
      <c r="H12" s="1678"/>
      <c r="I12" s="1678"/>
      <c r="J12" s="1678"/>
      <c r="K12" s="1679"/>
      <c r="L12" s="1671"/>
      <c r="M12" s="1670"/>
      <c r="N12" s="510"/>
      <c r="O12" s="583"/>
      <c r="P12" s="599"/>
      <c r="Q12" s="3505" t="s">
        <v>5144</v>
      </c>
      <c r="R12" s="3506"/>
      <c r="S12" s="3506"/>
      <c r="T12" s="3506"/>
      <c r="U12" s="3506"/>
      <c r="V12" s="3506"/>
      <c r="W12" s="2634"/>
      <c r="X12" s="2044"/>
      <c r="Y12" s="1874"/>
      <c r="Z12" s="1875"/>
      <c r="AA12" s="582"/>
      <c r="AB12" s="548"/>
      <c r="AC12" s="371"/>
      <c r="AD12" s="371"/>
      <c r="AE12" s="108"/>
      <c r="AF12" s="108"/>
      <c r="AG12" s="108"/>
      <c r="AH12" s="1033"/>
      <c r="AI12" s="108"/>
      <c r="AJ12" s="2815"/>
      <c r="AK12" s="2815"/>
      <c r="AL12" s="2815"/>
      <c r="AM12" s="112"/>
      <c r="AN12" s="112"/>
      <c r="AO12" s="1029"/>
      <c r="AP12" s="1029"/>
      <c r="AQ12" s="1029"/>
      <c r="AR12" s="1029"/>
      <c r="AS12" s="1029"/>
      <c r="AT12" s="1029"/>
      <c r="AU12" s="112"/>
      <c r="AV12" s="112"/>
      <c r="AW12" s="607"/>
      <c r="AX12" s="1166"/>
      <c r="AY12" s="1167"/>
      <c r="AZ12" s="225"/>
      <c r="BA12" s="112"/>
      <c r="BB12" s="1503"/>
      <c r="BC12" s="903"/>
      <c r="BD12" s="903"/>
      <c r="BE12" s="903"/>
      <c r="BF12" s="903"/>
      <c r="BG12" s="903"/>
      <c r="BH12" s="903"/>
      <c r="BI12" s="903"/>
      <c r="BJ12" s="903"/>
      <c r="BK12" s="903"/>
      <c r="BL12" s="903"/>
      <c r="BM12" s="903"/>
      <c r="BN12" s="903"/>
      <c r="BO12" s="903"/>
      <c r="BP12" s="903"/>
      <c r="BQ12" s="903"/>
      <c r="BR12" s="903"/>
      <c r="BS12" s="1776"/>
      <c r="BT12" s="1776"/>
      <c r="BU12" s="1776"/>
      <c r="BV12" s="1776"/>
      <c r="BW12" s="1776"/>
      <c r="BX12" s="1462"/>
      <c r="BY12" s="926"/>
      <c r="BZ12" s="1769"/>
      <c r="CA12" s="1777"/>
      <c r="CB12" s="233"/>
      <c r="CC12" s="233"/>
      <c r="CD12" s="233"/>
      <c r="CE12" s="233"/>
      <c r="CF12" s="1173"/>
      <c r="CG12" s="1173"/>
      <c r="CH12" s="1173"/>
      <c r="CI12" s="1173"/>
      <c r="CJ12" s="957"/>
      <c r="CK12" s="1786"/>
      <c r="CL12" s="1787"/>
      <c r="CM12" s="1785"/>
      <c r="CN12" s="138"/>
      <c r="CO12" s="139"/>
      <c r="CP12" s="140"/>
      <c r="CQ12" s="140"/>
      <c r="CR12" s="152"/>
      <c r="CS12" s="152"/>
      <c r="CT12" s="153"/>
      <c r="CU12" s="148"/>
      <c r="CV12" s="144"/>
      <c r="CW12" s="144"/>
      <c r="CX12" s="912"/>
      <c r="CY12" s="912"/>
      <c r="CZ12" s="913"/>
      <c r="DA12" s="913"/>
      <c r="DB12" s="913"/>
      <c r="DC12" s="913"/>
      <c r="DD12" s="913"/>
      <c r="DE12" s="913"/>
      <c r="DF12" s="913"/>
      <c r="DG12" s="884"/>
      <c r="DI12" s="2767"/>
      <c r="DJ12" s="902"/>
      <c r="DK12" s="902"/>
      <c r="DN12" s="903"/>
      <c r="DO12" s="903"/>
      <c r="DP12" s="903"/>
      <c r="DQ12" s="903"/>
      <c r="DR12" s="903"/>
      <c r="DS12" s="903"/>
      <c r="EB12" s="1177"/>
      <c r="EC12" s="914"/>
      <c r="ED12" s="904">
        <v>108</v>
      </c>
      <c r="EE12" s="2337"/>
      <c r="EF12" s="2338"/>
      <c r="EG12" s="2338"/>
      <c r="EH12" s="2338"/>
      <c r="EI12" s="2338"/>
      <c r="EJ12" s="2338"/>
      <c r="EK12" s="2338"/>
      <c r="EL12" s="2338"/>
      <c r="EM12" s="2338"/>
      <c r="EN12" s="2338"/>
      <c r="EO12" s="1007"/>
      <c r="EP12" s="1004"/>
      <c r="EQ12" s="1653"/>
      <c r="ER12" s="905"/>
      <c r="ES12" s="906"/>
      <c r="ET12" s="2686"/>
      <c r="EV12" s="2949" t="s">
        <v>5175</v>
      </c>
      <c r="EW12" s="2950" t="s">
        <v>3890</v>
      </c>
      <c r="EX12" s="914"/>
      <c r="EY12" s="2690"/>
      <c r="EZ12" s="886"/>
    </row>
    <row r="13" spans="1:162" ht="18" customHeight="1" thickBot="1">
      <c r="A13" s="114" t="s">
        <v>2453</v>
      </c>
      <c r="B13" s="620">
        <f t="shared" si="1"/>
        <v>0</v>
      </c>
      <c r="C13" s="587" t="e">
        <f>0.5508*(N13+O13+P13+#REF!+#REF!+#REF!)+0.8137*(#REF!+#REF!+#REF!+#REF!)+X13+1.3206*(Y13+Z13+AA13+AB13)</f>
        <v>#REF!</v>
      </c>
      <c r="D13" s="587"/>
      <c r="E13" s="587"/>
      <c r="F13" s="1677"/>
      <c r="G13" s="1678"/>
      <c r="H13" s="1678"/>
      <c r="I13" s="1678"/>
      <c r="J13" s="1678"/>
      <c r="K13" s="1679"/>
      <c r="L13" s="1669"/>
      <c r="M13" s="1670"/>
      <c r="N13" s="510"/>
      <c r="O13" s="583"/>
      <c r="P13" s="599"/>
      <c r="Q13" s="3505"/>
      <c r="R13" s="3506"/>
      <c r="S13" s="3506"/>
      <c r="T13" s="3506"/>
      <c r="U13" s="3506"/>
      <c r="V13" s="3506"/>
      <c r="W13" s="2663">
        <v>0</v>
      </c>
      <c r="X13" s="1868"/>
      <c r="Y13" s="1872"/>
      <c r="Z13" s="1873"/>
      <c r="AA13" s="510"/>
      <c r="AB13" s="584"/>
      <c r="AC13" s="370">
        <f>Wáberer!S12</f>
        <v>42384</v>
      </c>
      <c r="AD13" s="460">
        <f>CIG!H11</f>
        <v>655200</v>
      </c>
      <c r="AE13" s="107">
        <f>Allianz!AB11</f>
        <v>85505</v>
      </c>
      <c r="AF13" s="107">
        <f>Signal!H12</f>
        <v>168480</v>
      </c>
      <c r="AG13" s="107"/>
      <c r="AH13" s="1033"/>
      <c r="AI13" s="107">
        <f>IF(KÉRDÉSEK!$C$5=KÉRDÉSEK!$C$10,NDK!$AL13,IF($AM$438=1,$AJ13,$AK13))</f>
        <v>132600</v>
      </c>
      <c r="AJ13" s="2814">
        <v>132600</v>
      </c>
      <c r="AK13" s="2814">
        <v>119200</v>
      </c>
      <c r="AL13" s="2816">
        <v>58704</v>
      </c>
      <c r="AM13" s="109">
        <f>IF(KÉRDÉSEK!$C$259=KÉRDÉSEK!$F$259,NDK!$EQ13,NDK!$EO13)</f>
        <v>168900</v>
      </c>
      <c r="AN13" s="109">
        <f>CIG!H11</f>
        <v>655200</v>
      </c>
      <c r="AO13" s="1029"/>
      <c r="AP13" s="1029"/>
      <c r="AQ13" s="1029"/>
      <c r="AR13" s="1029"/>
      <c r="AS13" s="1029"/>
      <c r="AT13" s="1029"/>
      <c r="AU13" s="109">
        <f>GROUPAMA!$Q13</f>
        <v>130140</v>
      </c>
      <c r="AV13" s="109"/>
      <c r="AW13" s="606"/>
      <c r="AX13" s="1166"/>
      <c r="AY13" s="1167"/>
      <c r="AZ13" s="224">
        <f>$CL$24</f>
        <v>124301</v>
      </c>
      <c r="BA13" s="109">
        <f>UNION!AB15</f>
        <v>85585.5</v>
      </c>
      <c r="BB13" s="1501">
        <f>Posta!B13</f>
        <v>103896</v>
      </c>
      <c r="BC13" s="903"/>
      <c r="BD13" s="903"/>
      <c r="BE13" s="903"/>
      <c r="BF13" s="903"/>
      <c r="BG13" s="903"/>
      <c r="BH13" s="903"/>
      <c r="BI13" s="903"/>
      <c r="BJ13" s="903"/>
      <c r="BK13" s="903"/>
      <c r="BL13" s="903"/>
      <c r="BM13" s="903"/>
      <c r="BN13" s="903"/>
      <c r="BO13" s="903"/>
      <c r="BP13" s="903"/>
      <c r="BQ13" s="903"/>
      <c r="BR13" s="903"/>
      <c r="BS13" s="1776"/>
      <c r="BT13" s="1776"/>
      <c r="BU13" s="903"/>
      <c r="BV13" s="1776"/>
      <c r="BW13" s="1776"/>
      <c r="BX13" s="1462"/>
      <c r="BY13" s="231"/>
      <c r="BZ13" s="1769"/>
      <c r="CA13" s="1777"/>
      <c r="CB13" s="233"/>
      <c r="CC13" s="233"/>
      <c r="CD13" s="233"/>
      <c r="CE13" s="233"/>
      <c r="CF13" s="1173"/>
      <c r="CG13" s="1173"/>
      <c r="CH13" s="1173"/>
      <c r="CI13" s="1173"/>
      <c r="CJ13" s="957"/>
      <c r="CK13" s="149" t="s">
        <v>510</v>
      </c>
      <c r="CL13" s="150" t="s">
        <v>511</v>
      </c>
      <c r="CM13" s="1785"/>
      <c r="CN13" s="151" t="s">
        <v>512</v>
      </c>
      <c r="CO13" s="139"/>
      <c r="CP13" s="140"/>
      <c r="CQ13" s="140"/>
      <c r="CR13" s="152"/>
      <c r="CS13" s="152"/>
      <c r="CT13" s="153"/>
      <c r="CU13" s="154"/>
      <c r="CV13" s="144"/>
      <c r="CW13" s="144"/>
      <c r="CX13" s="912"/>
      <c r="CY13" s="912"/>
      <c r="CZ13" s="913"/>
      <c r="DA13" s="913"/>
      <c r="DB13" s="913"/>
      <c r="DC13" s="913"/>
      <c r="DD13" s="913"/>
      <c r="DE13" s="913"/>
      <c r="DF13" s="913"/>
      <c r="DG13" s="884"/>
      <c r="DI13" s="2766">
        <f>UNION!W15</f>
        <v>68250</v>
      </c>
      <c r="DJ13" s="902"/>
      <c r="DK13" s="1780"/>
      <c r="DN13" s="903"/>
      <c r="DO13" s="903"/>
      <c r="DP13" s="903"/>
      <c r="DQ13" s="903"/>
      <c r="DR13" s="903"/>
      <c r="DS13" s="903"/>
      <c r="EB13" s="1174"/>
      <c r="EC13" s="915" t="s">
        <v>2453</v>
      </c>
      <c r="ED13" s="904">
        <v>109</v>
      </c>
      <c r="EE13" s="3175">
        <v>168900</v>
      </c>
      <c r="EF13" s="3176"/>
      <c r="EG13" s="3176">
        <v>138900</v>
      </c>
      <c r="EH13" s="3176"/>
      <c r="EI13" s="3176"/>
      <c r="EJ13" s="3176"/>
      <c r="EK13" s="3176"/>
      <c r="EL13" s="3176"/>
      <c r="EM13" s="3176">
        <v>121900</v>
      </c>
      <c r="EN13" s="2341"/>
      <c r="EO13" s="1007">
        <f>VLOOKUP($ED13,$ED$10:$EN$55,($EY13+1))</f>
        <v>168900</v>
      </c>
      <c r="EP13" s="1004"/>
      <c r="EQ13" s="1652">
        <f>Generali!BG10</f>
        <v>156400</v>
      </c>
      <c r="ER13" s="905">
        <v>2016</v>
      </c>
      <c r="ES13" s="906" t="s">
        <v>2825</v>
      </c>
      <c r="ET13" s="2686">
        <v>2</v>
      </c>
      <c r="EV13" s="2949" t="s">
        <v>5176</v>
      </c>
      <c r="EW13" s="2950" t="s">
        <v>5166</v>
      </c>
      <c r="EX13" s="915" t="s">
        <v>2453</v>
      </c>
      <c r="EY13" s="2690">
        <f>IF(AND($EW$15&gt;=8,$EW$15&lt;=11),1,IF(AND($EW$15&gt;=19,$EW$15&lt;=77),3,9))</f>
        <v>1</v>
      </c>
      <c r="EZ13" s="886"/>
    </row>
    <row r="14" spans="1:162" ht="18" customHeight="1" thickTop="1" thickBot="1">
      <c r="A14" s="2942"/>
      <c r="B14" s="1693">
        <f t="shared" si="1"/>
        <v>0</v>
      </c>
      <c r="C14" s="587"/>
      <c r="D14" s="588"/>
      <c r="E14" s="588"/>
      <c r="F14" s="1677"/>
      <c r="G14" s="1678"/>
      <c r="H14" s="1678"/>
      <c r="I14" s="1678"/>
      <c r="J14" s="1678"/>
      <c r="K14" s="1679"/>
      <c r="L14" s="1671"/>
      <c r="M14" s="1670"/>
      <c r="N14" s="510"/>
      <c r="O14" s="583"/>
      <c r="P14" s="599"/>
      <c r="Q14" s="2640" t="s">
        <v>1069</v>
      </c>
      <c r="R14" s="2638"/>
      <c r="S14" s="2638"/>
      <c r="T14" s="2638"/>
      <c r="U14" s="2638"/>
      <c r="V14" s="2638"/>
      <c r="W14" s="2639"/>
      <c r="X14" s="1881"/>
      <c r="Y14" s="1874"/>
      <c r="Z14" s="1875"/>
      <c r="AA14" s="582"/>
      <c r="AB14" s="548"/>
      <c r="AC14" s="371"/>
      <c r="AD14" s="371"/>
      <c r="AE14" s="108"/>
      <c r="AF14" s="108"/>
      <c r="AG14" s="108"/>
      <c r="AH14" s="1033"/>
      <c r="AI14" s="108"/>
      <c r="AJ14" s="2815"/>
      <c r="AK14" s="2815"/>
      <c r="AL14" s="2815"/>
      <c r="AM14" s="112"/>
      <c r="AN14" s="112"/>
      <c r="AO14" s="1029"/>
      <c r="AP14" s="1029"/>
      <c r="AQ14" s="1029"/>
      <c r="AR14" s="1029"/>
      <c r="AS14" s="1029"/>
      <c r="AT14" s="1029"/>
      <c r="AU14" s="112"/>
      <c r="AV14" s="112"/>
      <c r="AW14" s="843"/>
      <c r="AX14" s="1166"/>
      <c r="AY14" s="1167"/>
      <c r="AZ14" s="225"/>
      <c r="BA14" s="112"/>
      <c r="BB14" s="1503"/>
      <c r="BC14" s="903"/>
      <c r="BD14" s="903"/>
      <c r="BE14" s="903"/>
      <c r="BF14" s="903"/>
      <c r="BG14" s="903"/>
      <c r="BH14" s="903"/>
      <c r="BI14" s="903"/>
      <c r="BJ14" s="903"/>
      <c r="BK14" s="903"/>
      <c r="BL14" s="903"/>
      <c r="BM14" s="903"/>
      <c r="BN14" s="903"/>
      <c r="BO14" s="903"/>
      <c r="BP14" s="903"/>
      <c r="BQ14" s="903"/>
      <c r="BR14" s="903"/>
      <c r="BS14" s="1776"/>
      <c r="BT14" s="1776"/>
      <c r="BU14" s="1776"/>
      <c r="BV14" s="1776"/>
      <c r="BW14" s="1776"/>
      <c r="BX14" s="1462"/>
      <c r="BY14" s="231"/>
      <c r="BZ14" s="1769"/>
      <c r="CA14" s="1777"/>
      <c r="CB14" s="233"/>
      <c r="CC14" s="233"/>
      <c r="CD14" s="233"/>
      <c r="CE14" s="233"/>
      <c r="CF14" s="1173"/>
      <c r="CG14" s="1173"/>
      <c r="CH14" s="1173"/>
      <c r="CI14" s="1173"/>
      <c r="CJ14" s="957"/>
      <c r="CK14" s="717"/>
      <c r="CL14" s="718"/>
      <c r="CM14" s="1785"/>
      <c r="CN14" s="719"/>
      <c r="CO14" s="139"/>
      <c r="CP14" s="140"/>
      <c r="CQ14" s="140"/>
      <c r="CR14" s="720"/>
      <c r="CS14" s="721"/>
      <c r="CT14" s="722"/>
      <c r="CU14" s="154"/>
      <c r="CV14" s="144"/>
      <c r="CW14" s="144"/>
      <c r="CX14" s="912"/>
      <c r="CY14" s="912"/>
      <c r="CZ14" s="913"/>
      <c r="DA14" s="913"/>
      <c r="DB14" s="913"/>
      <c r="DC14" s="913"/>
      <c r="DD14" s="913"/>
      <c r="DE14" s="913"/>
      <c r="DF14" s="913"/>
      <c r="DG14" s="884"/>
      <c r="DI14" s="2767"/>
      <c r="DJ14" s="902"/>
      <c r="DK14" s="902"/>
      <c r="DN14" s="903"/>
      <c r="DO14" s="903"/>
      <c r="DP14" s="903"/>
      <c r="DQ14" s="903"/>
      <c r="DR14" s="903"/>
      <c r="DS14" s="903"/>
      <c r="EB14" s="1174"/>
      <c r="EC14" s="915"/>
      <c r="ED14" s="904">
        <v>110</v>
      </c>
      <c r="EE14" s="2337"/>
      <c r="EF14" s="2338"/>
      <c r="EG14" s="2338"/>
      <c r="EH14" s="2338"/>
      <c r="EI14" s="2338"/>
      <c r="EJ14" s="2338"/>
      <c r="EK14" s="2338"/>
      <c r="EL14" s="2338"/>
      <c r="EM14" s="2338"/>
      <c r="EN14" s="2338"/>
      <c r="EO14" s="1007"/>
      <c r="EP14" s="1004"/>
      <c r="EQ14" s="1653"/>
      <c r="ER14" s="905"/>
      <c r="ES14" s="906"/>
      <c r="ET14" s="2686"/>
      <c r="EV14" s="2951"/>
      <c r="EW14" s="2952"/>
      <c r="EX14" s="915"/>
      <c r="EY14" s="2690"/>
      <c r="EZ14" s="886"/>
    </row>
    <row r="15" spans="1:162" ht="18" customHeight="1" thickTop="1" thickBot="1">
      <c r="A15" s="2942"/>
      <c r="B15" s="1693">
        <f t="shared" si="1"/>
        <v>0</v>
      </c>
      <c r="C15" s="587"/>
      <c r="D15" s="588"/>
      <c r="E15" s="588"/>
      <c r="F15" s="1677"/>
      <c r="G15" s="1678"/>
      <c r="H15" s="1678"/>
      <c r="I15" s="1678"/>
      <c r="J15" s="1678"/>
      <c r="K15" s="1679"/>
      <c r="L15" s="1671"/>
      <c r="M15" s="1670"/>
      <c r="N15" s="510"/>
      <c r="O15" s="583"/>
      <c r="P15" s="599"/>
      <c r="Q15" s="2645">
        <f>$X$31+$X$32</f>
        <v>0</v>
      </c>
      <c r="R15" s="2641" t="s">
        <v>5145</v>
      </c>
      <c r="S15" s="1261"/>
      <c r="T15" s="1261"/>
      <c r="U15" s="1261"/>
      <c r="V15" s="1261"/>
      <c r="W15" s="1504"/>
      <c r="X15" s="1881"/>
      <c r="Y15" s="1874"/>
      <c r="Z15" s="1875"/>
      <c r="AA15" s="582"/>
      <c r="AB15" s="548"/>
      <c r="AC15" s="371"/>
      <c r="AD15" s="371"/>
      <c r="AE15" s="108"/>
      <c r="AF15" s="108"/>
      <c r="AG15" s="108"/>
      <c r="AH15" s="1033"/>
      <c r="AI15" s="108"/>
      <c r="AJ15" s="2815"/>
      <c r="AK15" s="2815"/>
      <c r="AL15" s="2815"/>
      <c r="AM15" s="112"/>
      <c r="AN15" s="112"/>
      <c r="AO15" s="1029"/>
      <c r="AP15" s="1029"/>
      <c r="AQ15" s="1029"/>
      <c r="AR15" s="1029"/>
      <c r="AS15" s="1029"/>
      <c r="AT15" s="1029"/>
      <c r="AU15" s="112"/>
      <c r="AV15" s="112"/>
      <c r="AW15" s="843"/>
      <c r="AX15" s="1166"/>
      <c r="AY15" s="1167"/>
      <c r="AZ15" s="225"/>
      <c r="BA15" s="112"/>
      <c r="BB15" s="1503"/>
      <c r="BC15" s="903"/>
      <c r="BD15" s="903"/>
      <c r="BE15" s="903"/>
      <c r="BF15" s="903"/>
      <c r="BG15" s="903"/>
      <c r="BH15" s="903"/>
      <c r="BI15" s="903"/>
      <c r="BJ15" s="903"/>
      <c r="BK15" s="903"/>
      <c r="BL15" s="903"/>
      <c r="BM15" s="903"/>
      <c r="BN15" s="903"/>
      <c r="BO15" s="903"/>
      <c r="BP15" s="903"/>
      <c r="BQ15" s="903"/>
      <c r="BR15" s="903"/>
      <c r="BS15" s="1776"/>
      <c r="BT15" s="1776"/>
      <c r="BU15" s="1776"/>
      <c r="BV15" s="1776"/>
      <c r="BW15" s="1776"/>
      <c r="BX15" s="1462"/>
      <c r="BY15" s="231"/>
      <c r="BZ15" s="1769"/>
      <c r="CA15" s="1777"/>
      <c r="CB15" s="233"/>
      <c r="CC15" s="233"/>
      <c r="CD15" s="233"/>
      <c r="CE15" s="233"/>
      <c r="CF15" s="1173"/>
      <c r="CG15" s="1173"/>
      <c r="CH15" s="1173"/>
      <c r="CI15" s="1173"/>
      <c r="CJ15" s="957"/>
      <c r="CK15" s="717"/>
      <c r="CL15" s="718"/>
      <c r="CM15" s="1785"/>
      <c r="CN15" s="719"/>
      <c r="CO15" s="139"/>
      <c r="CP15" s="140"/>
      <c r="CQ15" s="140"/>
      <c r="CR15" s="720"/>
      <c r="CS15" s="721"/>
      <c r="CT15" s="722"/>
      <c r="CU15" s="154"/>
      <c r="CV15" s="144"/>
      <c r="CW15" s="144"/>
      <c r="CX15" s="912"/>
      <c r="CY15" s="912"/>
      <c r="CZ15" s="913"/>
      <c r="DA15" s="913"/>
      <c r="DB15" s="913"/>
      <c r="DC15" s="913"/>
      <c r="DD15" s="913"/>
      <c r="DE15" s="913"/>
      <c r="DF15" s="913"/>
      <c r="DG15" s="884"/>
      <c r="DI15" s="2767"/>
      <c r="DJ15" s="902"/>
      <c r="DK15" s="902"/>
      <c r="DN15" s="903"/>
      <c r="DO15" s="903"/>
      <c r="DP15" s="903"/>
      <c r="DQ15" s="903"/>
      <c r="DR15" s="903"/>
      <c r="DS15" s="903"/>
      <c r="EB15" s="1174"/>
      <c r="EC15" s="915"/>
      <c r="ED15" s="904">
        <v>111</v>
      </c>
      <c r="EE15" s="2337"/>
      <c r="EF15" s="2338"/>
      <c r="EG15" s="2338"/>
      <c r="EH15" s="2338"/>
      <c r="EI15" s="2338"/>
      <c r="EJ15" s="2338"/>
      <c r="EK15" s="2338"/>
      <c r="EL15" s="2338"/>
      <c r="EM15" s="2338"/>
      <c r="EN15" s="2338"/>
      <c r="EO15" s="1007"/>
      <c r="EP15" s="1004"/>
      <c r="EQ15" s="1653"/>
      <c r="ER15" s="905"/>
      <c r="ES15" s="906"/>
      <c r="ET15" s="2686"/>
      <c r="EV15" s="2953" t="s">
        <v>5190</v>
      </c>
      <c r="EW15" s="2954">
        <f>'GP területek'!B7</f>
        <v>11</v>
      </c>
      <c r="EX15" s="915"/>
      <c r="EY15" s="2690"/>
      <c r="EZ15" s="886"/>
    </row>
    <row r="16" spans="1:162" ht="19.5" customHeight="1" thickBot="1">
      <c r="A16" s="114" t="s">
        <v>2454</v>
      </c>
      <c r="B16" s="620">
        <f t="shared" si="1"/>
        <v>0</v>
      </c>
      <c r="C16" s="587" t="e">
        <f>0.5508*(N16+O16+P16+Q4+R4+S4)+0.8137*(T4+U4+V4+W4)+X16+1.3206*(Y16+Z16+AA16+AB16)</f>
        <v>#VALUE!</v>
      </c>
      <c r="D16" s="588"/>
      <c r="E16" s="588"/>
      <c r="F16" s="1686"/>
      <c r="G16" s="1687"/>
      <c r="H16" s="1687"/>
      <c r="I16" s="1687"/>
      <c r="J16" s="1687"/>
      <c r="K16" s="1688"/>
      <c r="L16" s="1669"/>
      <c r="M16" s="1670"/>
      <c r="N16" s="510"/>
      <c r="O16" s="583"/>
      <c r="P16" s="599"/>
      <c r="Q16" s="2645">
        <f>L31+L32</f>
        <v>0</v>
      </c>
      <c r="R16" s="2641" t="s">
        <v>5147</v>
      </c>
      <c r="S16" s="1261"/>
      <c r="T16" s="1261"/>
      <c r="U16" s="1261"/>
      <c r="V16" s="1261"/>
      <c r="W16" s="1504"/>
      <c r="X16" s="1868"/>
      <c r="Y16" s="1872"/>
      <c r="Z16" s="1873"/>
      <c r="AA16" s="510"/>
      <c r="AB16" s="584"/>
      <c r="AC16" s="370">
        <f>Wáberer!S15</f>
        <v>43200</v>
      </c>
      <c r="AD16" s="460">
        <f>CIG!H14</f>
        <v>647640</v>
      </c>
      <c r="AE16" s="107">
        <f>Allianz!AB12</f>
        <v>97258</v>
      </c>
      <c r="AF16" s="107">
        <f>Signal!H15</f>
        <v>168480</v>
      </c>
      <c r="AG16" s="107"/>
      <c r="AH16" s="1033"/>
      <c r="AI16" s="107">
        <f>IF(KÉRDÉSEK!$C$5=KÉRDÉSEK!$C$10,NDK!$AL16,IF($AM$438=1,$AJ16,$AK16))</f>
        <v>140300</v>
      </c>
      <c r="AJ16" s="2814">
        <v>140300</v>
      </c>
      <c r="AK16" s="2814">
        <v>125000</v>
      </c>
      <c r="AL16" s="2814">
        <v>80100</v>
      </c>
      <c r="AM16" s="109">
        <f>IF(KÉRDÉSEK!$C$259=KÉRDÉSEK!$F$259,NDK!$EQ16,NDK!$EO16)</f>
        <v>168900</v>
      </c>
      <c r="AN16" s="109">
        <f>CIG!H14</f>
        <v>647640</v>
      </c>
      <c r="AO16" s="1029"/>
      <c r="AP16" s="1029"/>
      <c r="AQ16" s="1029"/>
      <c r="AR16" s="1029"/>
      <c r="AS16" s="1029"/>
      <c r="AT16" s="1029"/>
      <c r="AU16" s="109">
        <f>GROUPAMA!$Q16</f>
        <v>141216</v>
      </c>
      <c r="AV16" s="109"/>
      <c r="AW16" s="606"/>
      <c r="AX16" s="1166"/>
      <c r="AY16" s="1167"/>
      <c r="AZ16" s="224">
        <f>$CL$25</f>
        <v>144718</v>
      </c>
      <c r="BA16" s="109">
        <f>UNION!AB18</f>
        <v>101417.25</v>
      </c>
      <c r="BB16" s="1501">
        <f>Posta!B16</f>
        <v>115455</v>
      </c>
      <c r="BC16" s="903"/>
      <c r="BD16" s="903"/>
      <c r="BE16" s="903"/>
      <c r="BF16" s="903"/>
      <c r="BG16" s="903"/>
      <c r="BH16" s="903"/>
      <c r="BI16" s="903"/>
      <c r="BJ16" s="903"/>
      <c r="BK16" s="903"/>
      <c r="BL16" s="903"/>
      <c r="BM16" s="903"/>
      <c r="BN16" s="903"/>
      <c r="BO16" s="903"/>
      <c r="BP16" s="903"/>
      <c r="BQ16" s="903"/>
      <c r="BR16" s="903"/>
      <c r="BS16" s="1776"/>
      <c r="BT16" s="1776"/>
      <c r="BU16" s="903"/>
      <c r="BV16" s="1776"/>
      <c r="BW16" s="1776"/>
      <c r="BX16" s="1462"/>
      <c r="BY16" s="231"/>
      <c r="BZ16" s="1769"/>
      <c r="CA16" s="1777"/>
      <c r="CB16" s="233"/>
      <c r="CC16" s="233"/>
      <c r="CD16" s="233"/>
      <c r="CE16" s="233"/>
      <c r="CF16" s="1173"/>
      <c r="CG16" s="1173"/>
      <c r="CH16" s="1173"/>
      <c r="CI16" s="1173"/>
      <c r="CJ16" s="957">
        <v>1000</v>
      </c>
      <c r="CK16" s="155" t="s">
        <v>513</v>
      </c>
      <c r="CL16" s="156">
        <f>VLOOKUP(1000,$CJ$59:$CQ$85,$DA$62+2)</f>
        <v>75951</v>
      </c>
      <c r="CM16" s="157" t="e">
        <f t="shared" ref="CM16:CM25" si="2">-$CN$156</f>
        <v>#N/A</v>
      </c>
      <c r="CN16" s="158">
        <f>B4</f>
        <v>0</v>
      </c>
      <c r="CO16" s="1788">
        <f t="shared" ref="CO16:CO25" si="3">CN16*CL16</f>
        <v>0</v>
      </c>
      <c r="CP16" s="1789"/>
      <c r="CQ16" s="1790"/>
      <c r="CR16" s="1791" t="e">
        <f t="shared" ref="CR16:CR25" si="4">CO16*(1+CM16)</f>
        <v>#N/A</v>
      </c>
      <c r="CS16" s="1789"/>
      <c r="CT16" s="1792"/>
      <c r="CU16" s="931"/>
      <c r="CV16" s="144"/>
      <c r="CW16" s="144"/>
      <c r="CX16" s="912"/>
      <c r="CY16" s="912"/>
      <c r="CZ16" s="913"/>
      <c r="DA16" s="913"/>
      <c r="DB16" s="913"/>
      <c r="DC16" s="913"/>
      <c r="DD16" s="913"/>
      <c r="DE16" s="913"/>
      <c r="DF16" s="913"/>
      <c r="DG16" s="884"/>
      <c r="DI16" s="2766">
        <f>UNION!W18</f>
        <v>80875</v>
      </c>
      <c r="DJ16" s="902"/>
      <c r="DK16" s="1780"/>
      <c r="DL16" s="916"/>
      <c r="DN16" s="903"/>
      <c r="DO16" s="903"/>
      <c r="DP16" s="903"/>
      <c r="DQ16" s="903"/>
      <c r="DR16" s="903"/>
      <c r="DS16" s="903"/>
      <c r="EB16" s="1177"/>
      <c r="EC16" s="95" t="s">
        <v>2454</v>
      </c>
      <c r="ED16" s="904">
        <v>112</v>
      </c>
      <c r="EE16" s="3175">
        <v>168900</v>
      </c>
      <c r="EF16" s="3176"/>
      <c r="EG16" s="3176">
        <v>138900</v>
      </c>
      <c r="EH16" s="3176"/>
      <c r="EI16" s="3176"/>
      <c r="EJ16" s="3176"/>
      <c r="EK16" s="3176"/>
      <c r="EL16" s="3176"/>
      <c r="EM16" s="3176">
        <v>121900</v>
      </c>
      <c r="EN16" s="2341"/>
      <c r="EO16" s="1007">
        <f>VLOOKUP($ED16,$ED$10:$EN$55,($EY16+1))</f>
        <v>168900</v>
      </c>
      <c r="EP16" s="1004"/>
      <c r="EQ16" s="1652">
        <f>Generali!BG11</f>
        <v>156400</v>
      </c>
      <c r="ER16" s="905">
        <v>2017</v>
      </c>
      <c r="ES16" s="906" t="s">
        <v>2377</v>
      </c>
      <c r="ET16" s="2686">
        <v>6</v>
      </c>
      <c r="EV16" s="985"/>
      <c r="EW16" s="985"/>
      <c r="EX16" s="95" t="s">
        <v>2454</v>
      </c>
      <c r="EY16" s="2690">
        <f>IF(AND($EW$15&gt;=8,$EW$15&lt;=11),1,IF(AND($EW$15&gt;=19,$EW$15&lt;=77),3,9))</f>
        <v>1</v>
      </c>
      <c r="EZ16" s="886"/>
    </row>
    <row r="17" spans="1:156" ht="23.25" customHeight="1" thickTop="1" thickBot="1">
      <c r="A17" s="114" t="s">
        <v>150</v>
      </c>
      <c r="B17" s="620">
        <f t="shared" si="1"/>
        <v>0</v>
      </c>
      <c r="C17" s="587" t="e">
        <f>0.5508*(N17+O17+P17+#REF!+R17+S17)+0.8137*(T17+U17+V17+W17)+X17+1.3206*(Y17+Z17+AA17+AB17)</f>
        <v>#REF!</v>
      </c>
      <c r="D17" s="589"/>
      <c r="E17" s="589"/>
      <c r="F17" s="835"/>
      <c r="G17" s="3489" t="s">
        <v>3118</v>
      </c>
      <c r="H17" s="3490"/>
      <c r="I17" s="3490"/>
      <c r="J17" s="3474" t="s">
        <v>4324</v>
      </c>
      <c r="K17" s="3475"/>
      <c r="L17" s="1671"/>
      <c r="M17" s="1670"/>
      <c r="N17" s="510"/>
      <c r="O17" s="583"/>
      <c r="P17" s="599"/>
      <c r="Q17" s="2608">
        <f>M31+M32</f>
        <v>0</v>
      </c>
      <c r="R17" s="2642" t="s">
        <v>1072</v>
      </c>
      <c r="S17" s="2049"/>
      <c r="T17" s="2049"/>
      <c r="U17" s="2049"/>
      <c r="V17" s="2050"/>
      <c r="W17" s="2635"/>
      <c r="X17" s="1868"/>
      <c r="Y17" s="1872"/>
      <c r="Z17" s="1873"/>
      <c r="AA17" s="510"/>
      <c r="AB17" s="584"/>
      <c r="AC17" s="371"/>
      <c r="AD17" s="371"/>
      <c r="AE17" s="107">
        <f>Allianz!AB13</f>
        <v>58469</v>
      </c>
      <c r="AF17" s="108"/>
      <c r="AG17" s="108"/>
      <c r="AH17" s="1033"/>
      <c r="AI17" s="108"/>
      <c r="AJ17" s="2815"/>
      <c r="AK17" s="2815"/>
      <c r="AL17" s="2815"/>
      <c r="AM17" s="112"/>
      <c r="AN17" s="112"/>
      <c r="AO17" s="1029"/>
      <c r="AP17" s="1029"/>
      <c r="AQ17" s="1029"/>
      <c r="AR17" s="1029"/>
      <c r="AS17" s="1029"/>
      <c r="AT17" s="1029"/>
      <c r="AU17" s="112"/>
      <c r="AV17" s="112"/>
      <c r="AW17" s="607"/>
      <c r="AX17" s="1166"/>
      <c r="AY17" s="1167"/>
      <c r="AZ17" s="225"/>
      <c r="BA17" s="112"/>
      <c r="BB17" s="1503"/>
      <c r="BC17" s="903"/>
      <c r="BD17" s="903"/>
      <c r="BE17" s="903"/>
      <c r="BF17" s="903"/>
      <c r="BG17" s="903"/>
      <c r="BH17" s="903"/>
      <c r="BI17" s="903"/>
      <c r="BJ17" s="903"/>
      <c r="BK17" s="903"/>
      <c r="BL17" s="903"/>
      <c r="BM17" s="903"/>
      <c r="BN17" s="903"/>
      <c r="BO17" s="903"/>
      <c r="BP17" s="903"/>
      <c r="BQ17" s="903"/>
      <c r="BR17" s="903"/>
      <c r="BS17" s="1776"/>
      <c r="BT17" s="1776"/>
      <c r="BU17" s="1776"/>
      <c r="BV17" s="1776"/>
      <c r="BW17" s="1776"/>
      <c r="BX17" s="1462"/>
      <c r="BY17" s="231"/>
      <c r="BZ17" s="1769"/>
      <c r="CA17" s="1777"/>
      <c r="CB17" s="233"/>
      <c r="CC17" s="233"/>
      <c r="CD17" s="233"/>
      <c r="CE17" s="233"/>
      <c r="CF17" s="1173"/>
      <c r="CG17" s="1173"/>
      <c r="CH17" s="1173"/>
      <c r="CI17" s="1173"/>
      <c r="CJ17" s="957">
        <v>1001</v>
      </c>
      <c r="CK17" s="159" t="s">
        <v>514</v>
      </c>
      <c r="CL17" s="156">
        <f>VLOOKUP(1001,$CJ$59:$CQ$85,$DA$62+2)</f>
        <v>86115</v>
      </c>
      <c r="CM17" s="157" t="e">
        <f t="shared" si="2"/>
        <v>#N/A</v>
      </c>
      <c r="CN17" s="160">
        <f>B6</f>
        <v>0</v>
      </c>
      <c r="CO17" s="1788">
        <f t="shared" si="3"/>
        <v>0</v>
      </c>
      <c r="CP17" s="1793"/>
      <c r="CQ17" s="1794"/>
      <c r="CR17" s="1791" t="e">
        <f t="shared" si="4"/>
        <v>#N/A</v>
      </c>
      <c r="CS17" s="1793"/>
      <c r="CT17" s="1795"/>
      <c r="CU17" s="931"/>
      <c r="CV17" s="144"/>
      <c r="CW17" s="144"/>
      <c r="CX17" s="912"/>
      <c r="CY17" s="912"/>
      <c r="CZ17" s="913"/>
      <c r="DA17" s="913"/>
      <c r="DB17" s="913"/>
      <c r="DC17" s="913"/>
      <c r="DD17" s="913"/>
      <c r="DE17" s="913"/>
      <c r="DF17" s="913"/>
      <c r="DG17" s="884"/>
      <c r="DI17" s="2767"/>
      <c r="DJ17" s="902"/>
      <c r="DK17" s="1780"/>
      <c r="DL17" s="1796"/>
      <c r="DM17" s="917"/>
      <c r="DN17" s="917"/>
      <c r="DO17" s="917"/>
      <c r="DP17" s="917"/>
      <c r="DQ17" s="917"/>
      <c r="DR17" s="917"/>
      <c r="DS17" s="917"/>
      <c r="DT17" s="917"/>
      <c r="DU17" s="917"/>
      <c r="DV17" s="917"/>
      <c r="DW17" s="917"/>
      <c r="DX17" s="917"/>
      <c r="DY17" s="917"/>
      <c r="DZ17" s="917"/>
      <c r="EB17" s="1174"/>
      <c r="EC17" s="918" t="s">
        <v>2455</v>
      </c>
      <c r="ED17" s="904">
        <v>113</v>
      </c>
      <c r="EE17" s="2337"/>
      <c r="EF17" s="2338"/>
      <c r="EG17" s="2338"/>
      <c r="EH17" s="2338"/>
      <c r="EI17" s="2338"/>
      <c r="EJ17" s="2338"/>
      <c r="EK17" s="2338"/>
      <c r="EL17" s="2338"/>
      <c r="EM17" s="2338"/>
      <c r="EN17" s="2338"/>
      <c r="EO17" s="1007"/>
      <c r="EP17" s="1004"/>
      <c r="EQ17" s="1653"/>
      <c r="ER17" s="905">
        <v>2021</v>
      </c>
      <c r="ES17" s="906" t="s">
        <v>2378</v>
      </c>
      <c r="ET17" s="2686">
        <v>6</v>
      </c>
      <c r="EV17" s="986"/>
      <c r="EW17" s="985"/>
      <c r="EX17" s="918" t="s">
        <v>2455</v>
      </c>
      <c r="EY17" s="2690"/>
      <c r="EZ17" s="886"/>
    </row>
    <row r="18" spans="1:156" ht="19.5" thickBot="1">
      <c r="A18" s="114" t="s">
        <v>2438</v>
      </c>
      <c r="B18" s="620">
        <f t="shared" si="1"/>
        <v>0</v>
      </c>
      <c r="C18" s="587" t="e">
        <f>0.5508*(N18+O18+P18+Q18+R18+S18)+0.8137*(T18+U18+V18+W18)+X18+1.3206*(Y18+Z18+AA18+AB18)</f>
        <v>#VALUE!</v>
      </c>
      <c r="D18" s="284"/>
      <c r="E18" s="284"/>
      <c r="F18" s="836"/>
      <c r="G18" s="823" t="s">
        <v>3819</v>
      </c>
      <c r="H18" s="824" t="s">
        <v>3820</v>
      </c>
      <c r="I18" s="824" t="s">
        <v>3821</v>
      </c>
      <c r="J18" s="3476"/>
      <c r="K18" s="3477"/>
      <c r="L18" s="1999"/>
      <c r="M18" s="1672"/>
      <c r="N18" s="510"/>
      <c r="O18" s="583"/>
      <c r="P18" s="599"/>
      <c r="Q18" s="2608">
        <f>Q15-Q16-Q17-Q21</f>
        <v>0</v>
      </c>
      <c r="R18" s="2607" t="s">
        <v>5317</v>
      </c>
      <c r="S18" s="2049"/>
      <c r="T18" s="2049"/>
      <c r="U18" s="2049"/>
      <c r="V18" s="2050"/>
      <c r="W18" s="2635"/>
      <c r="X18" s="1868"/>
      <c r="Y18" s="1916">
        <f>V6+V7+V8+V9</f>
        <v>0</v>
      </c>
      <c r="Z18" s="1917">
        <f>W6+W7+W8+W9</f>
        <v>0</v>
      </c>
      <c r="AA18" s="510"/>
      <c r="AB18" s="584"/>
      <c r="AC18" s="370">
        <f>Wáberer!H17</f>
        <v>69996</v>
      </c>
      <c r="AD18" s="460">
        <f>CIG!H16</f>
        <v>801360</v>
      </c>
      <c r="AE18" s="107">
        <f>Allianz!AB14</f>
        <v>157230</v>
      </c>
      <c r="AF18" s="107">
        <f>Signal!H17</f>
        <v>228960</v>
      </c>
      <c r="AG18" s="107"/>
      <c r="AH18" s="1033"/>
      <c r="AI18" s="107">
        <f>IF(KÉRDÉSEK!$C$5=KÉRDÉSEK!$C$10,NDK!$AL18,IF($AM$438=1,$AJ18,$AK18))</f>
        <v>101900</v>
      </c>
      <c r="AJ18" s="2814">
        <v>101900</v>
      </c>
      <c r="AK18" s="2814">
        <v>90400</v>
      </c>
      <c r="AL18" s="2816">
        <v>53400</v>
      </c>
      <c r="AM18" s="109">
        <f>IF(KÉRDÉSEK!$C$259=KÉRDÉSEK!$F$259,NDK!$EQ18,NDK!$EO18)</f>
        <v>298400</v>
      </c>
      <c r="AN18" s="109">
        <f>CIG!H16</f>
        <v>801360</v>
      </c>
      <c r="AO18" s="1029"/>
      <c r="AP18" s="1029"/>
      <c r="AQ18" s="1029"/>
      <c r="AR18" s="1029"/>
      <c r="AS18" s="1029"/>
      <c r="AT18" s="1029"/>
      <c r="AU18" s="109">
        <f>GROUPAMA!$Q18</f>
        <v>141216</v>
      </c>
      <c r="AV18" s="109"/>
      <c r="AW18" s="606"/>
      <c r="AX18" s="1166"/>
      <c r="AY18" s="1167"/>
      <c r="AZ18" s="224">
        <f>$CL$27</f>
        <v>172548</v>
      </c>
      <c r="BA18" s="109">
        <f>UNION!AB24</f>
        <v>117073.44</v>
      </c>
      <c r="BB18" s="1501">
        <f>Posta!B18</f>
        <v>128701</v>
      </c>
      <c r="BC18" s="1797"/>
      <c r="BD18" s="1797"/>
      <c r="BE18" s="1797"/>
      <c r="BF18" s="1797"/>
      <c r="BG18" s="1797"/>
      <c r="BH18" s="1797"/>
      <c r="BI18" s="1797"/>
      <c r="BJ18" s="1797"/>
      <c r="BK18" s="1797"/>
      <c r="BL18" s="1797"/>
      <c r="BM18" s="1797"/>
      <c r="BN18" s="1797"/>
      <c r="BO18" s="1797"/>
      <c r="BP18" s="1797"/>
      <c r="BQ18" s="1797"/>
      <c r="BR18" s="1797"/>
      <c r="BS18" s="1798"/>
      <c r="BT18" s="1798"/>
      <c r="BU18" s="1798"/>
      <c r="BV18" s="1798"/>
      <c r="BW18" s="1798"/>
      <c r="BX18" s="1462"/>
      <c r="BY18" s="231"/>
      <c r="BZ18" s="1769"/>
      <c r="CA18" s="1777"/>
      <c r="CB18" s="233"/>
      <c r="CC18" s="233"/>
      <c r="CD18" s="233"/>
      <c r="CE18" s="233"/>
      <c r="CF18" s="1173"/>
      <c r="CG18" s="1173"/>
      <c r="CH18" s="1173"/>
      <c r="CI18" s="1173"/>
      <c r="CJ18" s="957">
        <v>1002</v>
      </c>
      <c r="CK18" s="159" t="s">
        <v>515</v>
      </c>
      <c r="CL18" s="156">
        <f>VLOOKUP(1002,$CJ$59:$CQ$85,$DA$62+2)</f>
        <v>92986</v>
      </c>
      <c r="CM18" s="157" t="e">
        <f t="shared" si="2"/>
        <v>#N/A</v>
      </c>
      <c r="CN18" s="160">
        <f>B7</f>
        <v>0</v>
      </c>
      <c r="CO18" s="1788">
        <f t="shared" si="3"/>
        <v>0</v>
      </c>
      <c r="CP18" s="1793"/>
      <c r="CQ18" s="1794"/>
      <c r="CR18" s="1791" t="e">
        <f t="shared" si="4"/>
        <v>#N/A</v>
      </c>
      <c r="CS18" s="1793"/>
      <c r="CT18" s="1795"/>
      <c r="CU18" s="931"/>
      <c r="CV18" s="144"/>
      <c r="CW18" s="144"/>
      <c r="CX18" s="912"/>
      <c r="CY18" s="912"/>
      <c r="CZ18" s="913"/>
      <c r="DA18" s="913"/>
      <c r="DB18" s="913"/>
      <c r="DC18" s="913"/>
      <c r="DD18" s="913"/>
      <c r="DE18" s="913"/>
      <c r="DF18" s="913"/>
      <c r="DG18" s="884"/>
      <c r="DI18" s="2766">
        <f>UNION!W24</f>
        <v>93360</v>
      </c>
      <c r="DJ18" s="902"/>
      <c r="DK18" s="1780"/>
      <c r="EB18" s="1177"/>
      <c r="EC18" s="95" t="s">
        <v>2457</v>
      </c>
      <c r="ED18" s="904">
        <v>114</v>
      </c>
      <c r="EE18" s="3175">
        <v>298400</v>
      </c>
      <c r="EF18" s="3176"/>
      <c r="EG18" s="3176"/>
      <c r="EH18" s="3176">
        <v>275700</v>
      </c>
      <c r="EI18" s="3176"/>
      <c r="EJ18" s="3176">
        <v>264800</v>
      </c>
      <c r="EK18" s="3176">
        <v>275700</v>
      </c>
      <c r="EL18" s="3176">
        <v>264800</v>
      </c>
      <c r="EM18" s="3176"/>
      <c r="EN18" s="3176">
        <v>250700</v>
      </c>
      <c r="EO18" s="1007">
        <f>VLOOKUP($ED18,$ED$10:$EN$55,($EY18+1))</f>
        <v>298400</v>
      </c>
      <c r="EP18" s="1004"/>
      <c r="EQ18" s="1652">
        <f>Generali!BG24</f>
        <v>167900</v>
      </c>
      <c r="ER18" s="905">
        <v>2022</v>
      </c>
      <c r="ES18" s="906" t="s">
        <v>2379</v>
      </c>
      <c r="ET18" s="2686">
        <v>6</v>
      </c>
      <c r="EV18" s="986"/>
      <c r="EW18" s="985"/>
      <c r="EX18" s="95" t="s">
        <v>2457</v>
      </c>
      <c r="EY18" s="2690">
        <f>IF(AND(EW15&gt;=8,EW15&lt;=11),1,IF(AND(EW15&gt;=19,EW15&lt;=33),4,IF(AND(EW15&gt;=45,EW15&lt;=55),7,IF(AND(EW15&gt;=34,EW15&lt;=44),6,IF(AND(EW15&gt;=56,EW15&lt;=88),8,10)))))</f>
        <v>1</v>
      </c>
      <c r="EZ18" s="886"/>
    </row>
    <row r="19" spans="1:156" ht="30.75" hidden="1" customHeight="1" thickBot="1">
      <c r="A19" s="491" t="s">
        <v>2439</v>
      </c>
      <c r="B19" s="620">
        <f t="shared" si="1"/>
        <v>0</v>
      </c>
      <c r="C19" s="590"/>
      <c r="D19" s="590"/>
      <c r="E19" s="590"/>
      <c r="F19" s="836"/>
      <c r="G19" s="825"/>
      <c r="H19" s="826"/>
      <c r="I19" s="826"/>
      <c r="J19" s="3476"/>
      <c r="K19" s="3477"/>
      <c r="L19" s="1669"/>
      <c r="M19" s="1670"/>
      <c r="N19" s="582"/>
      <c r="O19" s="269"/>
      <c r="P19" s="590"/>
      <c r="Q19" s="2608"/>
      <c r="R19" s="2049"/>
      <c r="S19" s="2049"/>
      <c r="T19" s="2049"/>
      <c r="U19" s="2049"/>
      <c r="V19" s="2050"/>
      <c r="W19" s="2635"/>
      <c r="X19" s="1868"/>
      <c r="Y19" s="1874"/>
      <c r="Z19" s="1875"/>
      <c r="AA19" s="582"/>
      <c r="AB19" s="548"/>
      <c r="AC19" s="488"/>
      <c r="AD19" s="460">
        <f>CIG!H17</f>
        <v>0</v>
      </c>
      <c r="AE19" s="107"/>
      <c r="AF19" s="107">
        <f>Signal!H18</f>
        <v>0</v>
      </c>
      <c r="AG19" s="489"/>
      <c r="AH19" s="1034"/>
      <c r="AI19" s="107">
        <f>IF(KÉRDÉSEK!$C$5=KÉRDÉSEK!$C$10,NDK!$AL19,IF($AM$438=1,$AJ19,$AK19))</f>
        <v>0</v>
      </c>
      <c r="AJ19" s="2817"/>
      <c r="AK19" s="2817"/>
      <c r="AL19" s="2817"/>
      <c r="AM19" s="109">
        <f>IF(KÉRDÉSEK!$C$259=KÉRDÉSEK!$F$259,NDK!$EQ19,NDK!$EO19)</f>
        <v>0</v>
      </c>
      <c r="AN19" s="109"/>
      <c r="AO19" s="1029"/>
      <c r="AP19" s="1029"/>
      <c r="AQ19" s="1029"/>
      <c r="AR19" s="1029"/>
      <c r="AS19" s="1029"/>
      <c r="AT19" s="1029"/>
      <c r="AU19" s="109">
        <f>GROUPAMA!$Q19</f>
        <v>0</v>
      </c>
      <c r="AV19" s="490"/>
      <c r="AW19" s="608"/>
      <c r="AX19" s="1166"/>
      <c r="AY19" s="1167"/>
      <c r="AZ19" s="380"/>
      <c r="BA19" s="490">
        <f>DI19</f>
        <v>0</v>
      </c>
      <c r="BB19" s="1501">
        <f>$BU19</f>
        <v>0</v>
      </c>
      <c r="BC19" s="903"/>
      <c r="BD19" s="903"/>
      <c r="BE19" s="903"/>
      <c r="BF19" s="903"/>
      <c r="BG19" s="903"/>
      <c r="BH19" s="903"/>
      <c r="BI19" s="903"/>
      <c r="BJ19" s="903"/>
      <c r="BK19" s="903"/>
      <c r="BL19" s="903"/>
      <c r="BM19" s="903"/>
      <c r="BN19" s="903"/>
      <c r="BO19" s="903"/>
      <c r="BP19" s="903"/>
      <c r="BQ19" s="903"/>
      <c r="BR19" s="903"/>
      <c r="BS19" s="1776"/>
      <c r="BT19" s="1776"/>
      <c r="BU19" s="1776"/>
      <c r="BV19" s="1776"/>
      <c r="BW19" s="1776"/>
      <c r="BX19" s="1462"/>
      <c r="BY19" s="922"/>
      <c r="BZ19" s="1769"/>
      <c r="CA19" s="1777"/>
      <c r="CB19" s="233"/>
      <c r="CC19" s="233"/>
      <c r="CD19" s="233"/>
      <c r="CE19" s="233"/>
      <c r="CF19" s="1173"/>
      <c r="CG19" s="1173"/>
      <c r="CH19" s="1173"/>
      <c r="CI19" s="1173"/>
      <c r="CJ19" s="957"/>
      <c r="CK19" s="159"/>
      <c r="CL19" s="156"/>
      <c r="CM19" s="157"/>
      <c r="CN19" s="160"/>
      <c r="CO19" s="1788"/>
      <c r="CP19" s="1793"/>
      <c r="CQ19" s="1794"/>
      <c r="CR19" s="1791"/>
      <c r="CS19" s="1793"/>
      <c r="CT19" s="1795"/>
      <c r="CU19" s="931"/>
      <c r="CV19" s="144"/>
      <c r="CW19" s="144"/>
      <c r="CX19" s="912"/>
      <c r="CY19" s="912"/>
      <c r="CZ19" s="913"/>
      <c r="DA19" s="913"/>
      <c r="DB19" s="913"/>
      <c r="DC19" s="913"/>
      <c r="DD19" s="913"/>
      <c r="DE19" s="913"/>
      <c r="DF19" s="913"/>
      <c r="DG19" s="884"/>
      <c r="DI19" s="2767"/>
      <c r="DJ19" s="902"/>
      <c r="DK19" s="1780"/>
      <c r="DN19" s="892"/>
      <c r="DO19" s="232"/>
      <c r="DP19" s="232"/>
      <c r="DQ19" s="232"/>
      <c r="DR19" s="232"/>
      <c r="DS19" s="232"/>
      <c r="DT19" s="232"/>
      <c r="DU19" s="232"/>
      <c r="DV19" s="232"/>
      <c r="DW19" s="232"/>
      <c r="DX19" s="232"/>
      <c r="DY19" s="232"/>
      <c r="DZ19" s="232"/>
      <c r="EB19" s="939"/>
      <c r="EC19" s="919" t="s">
        <v>3835</v>
      </c>
      <c r="ED19" s="904">
        <v>115</v>
      </c>
      <c r="EE19" s="2337"/>
      <c r="EF19" s="2338"/>
      <c r="EG19" s="2338"/>
      <c r="EH19" s="2338"/>
      <c r="EI19" s="2338"/>
      <c r="EJ19" s="2338"/>
      <c r="EK19" s="2338"/>
      <c r="EL19" s="2338"/>
      <c r="EM19" s="2338"/>
      <c r="EN19" s="2338"/>
      <c r="EO19" s="1007"/>
      <c r="EP19" s="1004"/>
      <c r="EQ19" s="1653"/>
      <c r="ER19" s="905">
        <v>2023</v>
      </c>
      <c r="ES19" s="906" t="s">
        <v>2830</v>
      </c>
      <c r="ET19" s="2686">
        <v>6</v>
      </c>
      <c r="EV19" s="985"/>
      <c r="EW19" s="985"/>
      <c r="EX19" s="919" t="s">
        <v>3835</v>
      </c>
      <c r="EY19" s="2690"/>
      <c r="EZ19" s="886"/>
    </row>
    <row r="20" spans="1:156" ht="20.25" hidden="1" customHeight="1" thickBot="1">
      <c r="A20" s="492" t="s">
        <v>4937</v>
      </c>
      <c r="B20" s="620">
        <f t="shared" si="1"/>
        <v>0</v>
      </c>
      <c r="C20" s="590"/>
      <c r="D20" s="590"/>
      <c r="E20" s="590"/>
      <c r="F20" s="836"/>
      <c r="G20" s="825"/>
      <c r="H20" s="826"/>
      <c r="I20" s="826"/>
      <c r="J20" s="3476"/>
      <c r="K20" s="3477"/>
      <c r="L20" s="1669"/>
      <c r="M20" s="1670"/>
      <c r="N20" s="582"/>
      <c r="O20" s="269"/>
      <c r="P20" s="590"/>
      <c r="Q20" s="2608"/>
      <c r="R20" s="2049"/>
      <c r="S20" s="2049"/>
      <c r="T20" s="2049"/>
      <c r="U20" s="2049"/>
      <c r="V20" s="2050"/>
      <c r="W20" s="2635"/>
      <c r="X20" s="1868"/>
      <c r="Y20" s="1874"/>
      <c r="Z20" s="1875"/>
      <c r="AA20" s="582"/>
      <c r="AB20" s="548"/>
      <c r="AC20" s="488"/>
      <c r="AD20" s="460">
        <f>CIG!H18</f>
        <v>0</v>
      </c>
      <c r="AE20" s="107"/>
      <c r="AF20" s="107">
        <f>Signal!H19</f>
        <v>0</v>
      </c>
      <c r="AG20" s="489"/>
      <c r="AH20" s="1034"/>
      <c r="AI20" s="107">
        <f>IF(KÉRDÉSEK!$C$5=KÉRDÉSEK!$C$10,NDK!$AL20,IF($AM$438=1,$AJ20,$AK20))</f>
        <v>0</v>
      </c>
      <c r="AJ20" s="2817"/>
      <c r="AK20" s="2817"/>
      <c r="AL20" s="2817"/>
      <c r="AM20" s="109">
        <f>IF(KÉRDÉSEK!$C$259=KÉRDÉSEK!$F$259,NDK!$EQ20,NDK!$EO20)</f>
        <v>0</v>
      </c>
      <c r="AN20" s="109"/>
      <c r="AO20" s="1029"/>
      <c r="AP20" s="1029"/>
      <c r="AQ20" s="1029"/>
      <c r="AR20" s="1029"/>
      <c r="AS20" s="1029"/>
      <c r="AT20" s="1029"/>
      <c r="AU20" s="109">
        <f>GROUPAMA!$Q20</f>
        <v>0</v>
      </c>
      <c r="AV20" s="490"/>
      <c r="AW20" s="608"/>
      <c r="AX20" s="1166"/>
      <c r="AY20" s="1167"/>
      <c r="AZ20" s="380"/>
      <c r="BA20" s="490">
        <f>DI20</f>
        <v>0</v>
      </c>
      <c r="BB20" s="1501">
        <f>$BU20</f>
        <v>0</v>
      </c>
      <c r="BC20" s="921"/>
      <c r="BD20" s="921"/>
      <c r="BE20" s="921"/>
      <c r="BF20" s="921"/>
      <c r="BG20" s="921"/>
      <c r="BH20" s="921"/>
      <c r="BI20" s="921"/>
      <c r="BJ20" s="921"/>
      <c r="BK20" s="921"/>
      <c r="BL20" s="921"/>
      <c r="BM20" s="921"/>
      <c r="BN20" s="921"/>
      <c r="BO20" s="921"/>
      <c r="BP20" s="921"/>
      <c r="BQ20" s="921"/>
      <c r="BR20" s="921"/>
      <c r="BS20" s="1779"/>
      <c r="BT20" s="1779"/>
      <c r="BU20" s="1779"/>
      <c r="BV20" s="1779"/>
      <c r="BW20" s="1779"/>
      <c r="BX20" s="1462"/>
      <c r="BY20" s="231"/>
      <c r="BZ20" s="1769"/>
      <c r="CA20" s="1777"/>
      <c r="CB20" s="233"/>
      <c r="CC20" s="233"/>
      <c r="CD20" s="233"/>
      <c r="CE20" s="233"/>
      <c r="CF20" s="1173"/>
      <c r="CG20" s="1173"/>
      <c r="CH20" s="1173"/>
      <c r="CI20" s="1173"/>
      <c r="CJ20" s="957"/>
      <c r="CK20" s="159"/>
      <c r="CL20" s="156"/>
      <c r="CM20" s="157"/>
      <c r="CN20" s="160"/>
      <c r="CO20" s="1788"/>
      <c r="CP20" s="1793"/>
      <c r="CQ20" s="1794"/>
      <c r="CR20" s="1791"/>
      <c r="CS20" s="1793"/>
      <c r="CT20" s="1795"/>
      <c r="CU20" s="931"/>
      <c r="CV20" s="144"/>
      <c r="CW20" s="144"/>
      <c r="CX20" s="912"/>
      <c r="CY20" s="912"/>
      <c r="CZ20" s="913"/>
      <c r="DA20" s="913"/>
      <c r="DB20" s="913"/>
      <c r="DC20" s="913"/>
      <c r="DD20" s="913"/>
      <c r="DE20" s="913"/>
      <c r="DF20" s="913"/>
      <c r="DG20" s="884"/>
      <c r="DI20" s="2767"/>
      <c r="DJ20" s="902"/>
      <c r="DK20" s="1780"/>
      <c r="DN20" s="898"/>
      <c r="DO20" s="898"/>
      <c r="DP20" s="898"/>
      <c r="DQ20" s="898"/>
      <c r="DR20" s="1176"/>
      <c r="DS20" s="1176"/>
      <c r="EB20" s="939"/>
      <c r="EC20" s="920" t="s">
        <v>1575</v>
      </c>
      <c r="ED20" s="904">
        <v>116</v>
      </c>
      <c r="EE20" s="2337"/>
      <c r="EF20" s="2338"/>
      <c r="EG20" s="2338"/>
      <c r="EH20" s="2338"/>
      <c r="EI20" s="2338"/>
      <c r="EJ20" s="2338"/>
      <c r="EK20" s="2338"/>
      <c r="EL20" s="2338"/>
      <c r="EM20" s="2338"/>
      <c r="EN20" s="2338"/>
      <c r="EO20" s="1007"/>
      <c r="EP20" s="1004"/>
      <c r="EQ20" s="1653"/>
      <c r="ER20" s="905">
        <v>2024</v>
      </c>
      <c r="ES20" s="906" t="s">
        <v>2831</v>
      </c>
      <c r="ET20" s="2686">
        <v>6</v>
      </c>
      <c r="EV20" s="985"/>
      <c r="EW20" s="985"/>
      <c r="EX20" s="920" t="s">
        <v>1575</v>
      </c>
      <c r="EY20" s="2690"/>
      <c r="EZ20" s="886"/>
    </row>
    <row r="21" spans="1:156" ht="19.5" thickBot="1">
      <c r="A21" s="114" t="s">
        <v>2456</v>
      </c>
      <c r="B21" s="620">
        <f t="shared" si="1"/>
        <v>0</v>
      </c>
      <c r="C21" s="587" t="e">
        <f>0.5508*(N21+O21+P21+Q17+R21+S21)+0.8137*(T21+U21+V21+W21)+X21+1.3206*(Y21+Z21+AA21+AB21)</f>
        <v>#VALUE!</v>
      </c>
      <c r="D21" s="284"/>
      <c r="E21" s="284"/>
      <c r="F21" s="836"/>
      <c r="G21" s="1689"/>
      <c r="H21" s="1690"/>
      <c r="I21" s="1690">
        <v>0</v>
      </c>
      <c r="J21" s="3478"/>
      <c r="K21" s="3479"/>
      <c r="L21" s="1669"/>
      <c r="M21" s="1672"/>
      <c r="N21" s="510"/>
      <c r="O21" s="583"/>
      <c r="P21" s="599"/>
      <c r="Q21" s="2608">
        <f>W13</f>
        <v>0</v>
      </c>
      <c r="R21" s="2641" t="s">
        <v>5146</v>
      </c>
      <c r="S21" s="2049"/>
      <c r="T21" s="2049"/>
      <c r="U21" s="2049"/>
      <c r="V21" s="2050"/>
      <c r="W21" s="2635"/>
      <c r="X21" s="1868"/>
      <c r="Y21" s="1872"/>
      <c r="Z21" s="1873"/>
      <c r="AA21" s="510"/>
      <c r="AB21" s="584"/>
      <c r="AC21" s="370">
        <f>Wáberer!$H20</f>
        <v>150000</v>
      </c>
      <c r="AD21" s="460">
        <f>CIG!H19</f>
        <v>2585520</v>
      </c>
      <c r="AE21" s="107">
        <f>Allianz!AB17</f>
        <v>135960</v>
      </c>
      <c r="AF21" s="107">
        <f>Signal!H20</f>
        <v>473760</v>
      </c>
      <c r="AG21" s="107"/>
      <c r="AH21" s="1033"/>
      <c r="AI21" s="107">
        <f>IF(KÉRDÉSEK!$C$5=KÉRDÉSEK!$C$10,NDK!$AL21,IF($AM$438=1,$AJ21,$AK21))</f>
        <v>500000</v>
      </c>
      <c r="AJ21" s="2814">
        <v>500000</v>
      </c>
      <c r="AK21" s="2814">
        <v>500000</v>
      </c>
      <c r="AL21" s="2814">
        <v>279996</v>
      </c>
      <c r="AM21" s="109">
        <f>IF(KÉRDÉSEK!$C$259=KÉRDÉSEK!$F$259,NDK!$EQ21,NDK!$EO21)</f>
        <v>260000</v>
      </c>
      <c r="AN21" s="109">
        <f>CIG!H19</f>
        <v>2585520</v>
      </c>
      <c r="AO21" s="1029"/>
      <c r="AP21" s="1029"/>
      <c r="AQ21" s="1029"/>
      <c r="AR21" s="1029"/>
      <c r="AS21" s="1029"/>
      <c r="AT21" s="1029"/>
      <c r="AU21" s="109">
        <f>GROUPAMA!$Q21</f>
        <v>733872</v>
      </c>
      <c r="AV21" s="109"/>
      <c r="AW21" s="606"/>
      <c r="AX21" s="1166"/>
      <c r="AY21" s="1167"/>
      <c r="AZ21" s="224">
        <f>$CL$29</f>
        <v>598120</v>
      </c>
      <c r="BA21" s="109">
        <f>UNION!AB27</f>
        <v>273121.2</v>
      </c>
      <c r="BB21" s="1501">
        <f>Posta!B19</f>
        <v>519481</v>
      </c>
      <c r="BC21" s="903"/>
      <c r="BD21" s="903"/>
      <c r="BE21" s="903"/>
      <c r="BF21" s="903"/>
      <c r="BG21" s="903"/>
      <c r="BH21" s="903"/>
      <c r="BI21" s="903"/>
      <c r="BJ21" s="903"/>
      <c r="BK21" s="903"/>
      <c r="BL21" s="903"/>
      <c r="BM21" s="903"/>
      <c r="BN21" s="903"/>
      <c r="BO21" s="903"/>
      <c r="BP21" s="903"/>
      <c r="BQ21" s="903"/>
      <c r="BR21" s="903"/>
      <c r="BS21" s="1776"/>
      <c r="BT21" s="1776"/>
      <c r="BU21" s="1776"/>
      <c r="BV21" s="1776"/>
      <c r="BW21" s="1776"/>
      <c r="BX21" s="1462"/>
      <c r="BY21" s="231"/>
      <c r="BZ21" s="1769"/>
      <c r="CA21" s="1777"/>
      <c r="CB21" s="233"/>
      <c r="CC21" s="233"/>
      <c r="CD21" s="233"/>
      <c r="CE21" s="233"/>
      <c r="CF21" s="1173"/>
      <c r="CG21" s="1173"/>
      <c r="CH21" s="1173"/>
      <c r="CI21" s="1173"/>
      <c r="CJ21" s="957">
        <v>1003</v>
      </c>
      <c r="CK21" s="159" t="s">
        <v>516</v>
      </c>
      <c r="CL21" s="156">
        <f>VLOOKUP(1003,$CJ$59:$CQ$85,$DA$62+2)</f>
        <v>100186</v>
      </c>
      <c r="CM21" s="157" t="e">
        <f t="shared" si="2"/>
        <v>#N/A</v>
      </c>
      <c r="CN21" s="160">
        <f>B10</f>
        <v>0</v>
      </c>
      <c r="CO21" s="1788">
        <f t="shared" si="3"/>
        <v>0</v>
      </c>
      <c r="CP21" s="1793"/>
      <c r="CQ21" s="1794"/>
      <c r="CR21" s="1791" t="e">
        <f t="shared" si="4"/>
        <v>#N/A</v>
      </c>
      <c r="CS21" s="1793"/>
      <c r="CT21" s="1795"/>
      <c r="CU21" s="931"/>
      <c r="CV21" s="144"/>
      <c r="CW21" s="144"/>
      <c r="CX21" s="912"/>
      <c r="CY21" s="912"/>
      <c r="CZ21" s="913"/>
      <c r="DA21" s="913"/>
      <c r="DB21" s="913"/>
      <c r="DC21" s="913"/>
      <c r="DD21" s="913"/>
      <c r="DE21" s="913"/>
      <c r="DF21" s="913"/>
      <c r="DG21" s="884"/>
      <c r="DI21" s="2766">
        <f>UNION!W27</f>
        <v>217800</v>
      </c>
      <c r="DJ21" s="902"/>
      <c r="DK21" s="1780"/>
      <c r="DM21" s="231"/>
      <c r="DN21" s="921"/>
      <c r="DO21" s="921"/>
      <c r="DP21" s="921"/>
      <c r="DQ21" s="921"/>
      <c r="DR21" s="921"/>
      <c r="DS21" s="921"/>
      <c r="DT21" s="232"/>
      <c r="DU21" s="232"/>
      <c r="DV21" s="232"/>
      <c r="DW21" s="232"/>
      <c r="DX21" s="232"/>
      <c r="DY21" s="232"/>
      <c r="DZ21" s="232"/>
      <c r="EB21" s="939"/>
      <c r="EC21" s="95" t="s">
        <v>2456</v>
      </c>
      <c r="ED21" s="904">
        <v>117</v>
      </c>
      <c r="EE21" s="2340"/>
      <c r="EF21" s="3176">
        <v>260000</v>
      </c>
      <c r="EG21" s="3176"/>
      <c r="EH21" s="3176"/>
      <c r="EI21" s="3176">
        <v>210000</v>
      </c>
      <c r="EJ21" s="2341"/>
      <c r="EK21" s="2341"/>
      <c r="EL21" s="2341"/>
      <c r="EM21" s="2341"/>
      <c r="EN21" s="2341"/>
      <c r="EO21" s="1007">
        <f>VLOOKUP($ED21,$ED$10:$EN$55,($EY21+1))</f>
        <v>260000</v>
      </c>
      <c r="EP21" s="1004"/>
      <c r="EQ21" s="1652">
        <f>Generali!BG25</f>
        <v>260000</v>
      </c>
      <c r="ER21" s="905">
        <v>2025</v>
      </c>
      <c r="ES21" s="906" t="s">
        <v>2380</v>
      </c>
      <c r="ET21" s="2686">
        <v>6</v>
      </c>
      <c r="EV21" s="986"/>
      <c r="EW21" s="985"/>
      <c r="EX21" s="95" t="s">
        <v>2456</v>
      </c>
      <c r="EY21" s="2690">
        <f>IF(AND($EW$15&gt;=8,$EW$15&lt;=22),2,5)</f>
        <v>2</v>
      </c>
      <c r="EZ21" s="886"/>
    </row>
    <row r="22" spans="1:156" ht="30.75" customHeight="1" thickTop="1" thickBot="1">
      <c r="A22" s="258" t="s">
        <v>1863</v>
      </c>
      <c r="B22" s="1693">
        <f t="shared" si="1"/>
        <v>0</v>
      </c>
      <c r="C22" s="587"/>
      <c r="D22" s="284"/>
      <c r="E22" s="284"/>
      <c r="F22" s="836"/>
      <c r="G22" s="827" t="s">
        <v>3823</v>
      </c>
      <c r="H22" s="828" t="s">
        <v>3821</v>
      </c>
      <c r="I22" s="3480" t="s">
        <v>4324</v>
      </c>
      <c r="J22" s="3481"/>
      <c r="K22" s="3482"/>
      <c r="L22" s="1671"/>
      <c r="M22" s="1670"/>
      <c r="N22" s="510"/>
      <c r="O22" s="583"/>
      <c r="P22" s="599"/>
      <c r="Q22" s="2646"/>
      <c r="R22" s="2643"/>
      <c r="S22" s="2636"/>
      <c r="T22" s="2636"/>
      <c r="U22" s="2636"/>
      <c r="V22" s="2636"/>
      <c r="W22" s="2637"/>
      <c r="X22" s="1869"/>
      <c r="Y22" s="1872"/>
      <c r="Z22" s="1873"/>
      <c r="AA22" s="582"/>
      <c r="AB22" s="548"/>
      <c r="AC22" s="371"/>
      <c r="AD22" s="371"/>
      <c r="AE22" s="108"/>
      <c r="AF22" s="108"/>
      <c r="AG22" s="108"/>
      <c r="AH22" s="1033"/>
      <c r="AI22" s="108"/>
      <c r="AJ22" s="2815"/>
      <c r="AK22" s="2815"/>
      <c r="AL22" s="2815"/>
      <c r="AM22" s="112"/>
      <c r="AN22" s="112"/>
      <c r="AO22" s="1029"/>
      <c r="AP22" s="1029"/>
      <c r="AQ22" s="1029"/>
      <c r="AR22" s="1029"/>
      <c r="AS22" s="1029"/>
      <c r="AT22" s="1029"/>
      <c r="AU22" s="112"/>
      <c r="AV22" s="112"/>
      <c r="AW22" s="607"/>
      <c r="AX22" s="1166"/>
      <c r="AY22" s="1167"/>
      <c r="AZ22" s="225"/>
      <c r="BA22" s="1183">
        <f>UNION!AB28</f>
        <v>-89109.24</v>
      </c>
      <c r="BB22" s="1503"/>
      <c r="BC22" s="921"/>
      <c r="BD22" s="921"/>
      <c r="BE22" s="921"/>
      <c r="BF22" s="921"/>
      <c r="BG22" s="921"/>
      <c r="BH22" s="921"/>
      <c r="BI22" s="921"/>
      <c r="BJ22" s="921"/>
      <c r="BK22" s="921"/>
      <c r="BL22" s="921"/>
      <c r="BM22" s="921"/>
      <c r="BN22" s="921"/>
      <c r="BO22" s="921"/>
      <c r="BP22" s="921"/>
      <c r="BQ22" s="921"/>
      <c r="BR22" s="921"/>
      <c r="BS22" s="1779"/>
      <c r="BT22" s="1779"/>
      <c r="BU22" s="1779"/>
      <c r="BV22" s="1779"/>
      <c r="BW22" s="1779"/>
      <c r="BX22" s="1462"/>
      <c r="BY22" s="231"/>
      <c r="BZ22" s="1769"/>
      <c r="CA22" s="1777"/>
      <c r="CB22" s="233"/>
      <c r="CC22" s="233"/>
      <c r="CD22" s="233"/>
      <c r="CE22" s="233"/>
      <c r="CF22" s="1173"/>
      <c r="CG22" s="1173"/>
      <c r="CH22" s="1173"/>
      <c r="CI22" s="1173"/>
      <c r="CJ22" s="957"/>
      <c r="CK22" s="159"/>
      <c r="CL22" s="156"/>
      <c r="CM22" s="157"/>
      <c r="CN22" s="160"/>
      <c r="CO22" s="1788"/>
      <c r="CP22" s="1793"/>
      <c r="CQ22" s="1794"/>
      <c r="CR22" s="1791"/>
      <c r="CS22" s="1793"/>
      <c r="CT22" s="1795"/>
      <c r="CU22" s="931"/>
      <c r="CV22" s="144"/>
      <c r="CW22" s="144"/>
      <c r="CX22" s="912"/>
      <c r="CY22" s="912"/>
      <c r="CZ22" s="913"/>
      <c r="DA22" s="913"/>
      <c r="DB22" s="913"/>
      <c r="DC22" s="913"/>
      <c r="DD22" s="913"/>
      <c r="DE22" s="913"/>
      <c r="DF22" s="913"/>
      <c r="DG22" s="884"/>
      <c r="DI22" s="2766">
        <f>UNION!W28</f>
        <v>-71060</v>
      </c>
      <c r="DJ22" s="902"/>
      <c r="DK22" s="1780"/>
      <c r="DM22" s="231"/>
      <c r="DN22" s="921"/>
      <c r="DO22" s="921"/>
      <c r="DP22" s="921"/>
      <c r="DQ22" s="921"/>
      <c r="DR22" s="921"/>
      <c r="DS22" s="921"/>
      <c r="DT22" s="232"/>
      <c r="DU22" s="232"/>
      <c r="DV22" s="232"/>
      <c r="DW22" s="232"/>
      <c r="DX22" s="232"/>
      <c r="DY22" s="232"/>
      <c r="DZ22" s="232"/>
      <c r="EB22" s="939"/>
      <c r="EC22" s="920" t="s">
        <v>1576</v>
      </c>
      <c r="ED22" s="904">
        <v>118</v>
      </c>
      <c r="EE22" s="2337"/>
      <c r="EF22" s="2338"/>
      <c r="EG22" s="2338"/>
      <c r="EH22" s="2338"/>
      <c r="EI22" s="2338"/>
      <c r="EJ22" s="2338"/>
      <c r="EK22" s="2338"/>
      <c r="EL22" s="2338"/>
      <c r="EM22" s="2338"/>
      <c r="EN22" s="2338"/>
      <c r="EO22" s="1007"/>
      <c r="EP22" s="1004"/>
      <c r="EQ22" s="1653"/>
      <c r="ER22" s="905">
        <v>2026</v>
      </c>
      <c r="ES22" s="906" t="s">
        <v>2381</v>
      </c>
      <c r="ET22" s="2687">
        <v>6</v>
      </c>
      <c r="EV22" s="985"/>
      <c r="EW22" s="985"/>
      <c r="EX22" s="920" t="s">
        <v>1576</v>
      </c>
      <c r="EY22" s="2690"/>
      <c r="EZ22" s="886"/>
    </row>
    <row r="23" spans="1:156" ht="16.5" hidden="1" customHeight="1" thickBot="1">
      <c r="A23" s="458" t="s">
        <v>2440</v>
      </c>
      <c r="B23" s="620">
        <f t="shared" si="1"/>
        <v>0</v>
      </c>
      <c r="C23" s="591"/>
      <c r="D23" s="591"/>
      <c r="E23" s="591"/>
      <c r="F23" s="836"/>
      <c r="G23" s="829"/>
      <c r="H23" s="830"/>
      <c r="I23" s="3483"/>
      <c r="J23" s="3484"/>
      <c r="K23" s="3485"/>
      <c r="L23" s="1669"/>
      <c r="M23" s="1672"/>
      <c r="N23" s="510"/>
      <c r="O23" s="583"/>
      <c r="P23" s="599"/>
      <c r="Q23" s="2051"/>
      <c r="R23" s="2052"/>
      <c r="S23" s="2052"/>
      <c r="T23" s="2053"/>
      <c r="U23" s="2052"/>
      <c r="V23" s="2054"/>
      <c r="W23" s="2055"/>
      <c r="X23" s="1868"/>
      <c r="Y23" s="1872"/>
      <c r="Z23" s="1873"/>
      <c r="AA23" s="582"/>
      <c r="AB23" s="548"/>
      <c r="AC23" s="371"/>
      <c r="AD23" s="371"/>
      <c r="AE23" s="108"/>
      <c r="AF23" s="108"/>
      <c r="AG23" s="108"/>
      <c r="AH23" s="1033"/>
      <c r="AI23" s="108"/>
      <c r="AJ23" s="2815"/>
      <c r="AK23" s="2815"/>
      <c r="AL23" s="2815"/>
      <c r="AM23" s="112"/>
      <c r="AN23" s="1029"/>
      <c r="AO23" s="1029"/>
      <c r="AP23" s="1029"/>
      <c r="AQ23" s="1029"/>
      <c r="AR23" s="1029"/>
      <c r="AS23" s="1029"/>
      <c r="AT23" s="1029"/>
      <c r="AU23" s="112"/>
      <c r="AV23" s="112"/>
      <c r="AW23" s="607"/>
      <c r="AX23" s="1166"/>
      <c r="AY23" s="1167"/>
      <c r="AZ23" s="225"/>
      <c r="BA23" s="112"/>
      <c r="BB23" s="1501"/>
      <c r="BC23" s="921"/>
      <c r="BD23" s="921"/>
      <c r="BE23" s="921"/>
      <c r="BF23" s="921"/>
      <c r="BG23" s="921"/>
      <c r="BH23" s="921"/>
      <c r="BI23" s="921"/>
      <c r="BJ23" s="921"/>
      <c r="BK23" s="921"/>
      <c r="BL23" s="921"/>
      <c r="BM23" s="921"/>
      <c r="BN23" s="921"/>
      <c r="BO23" s="921"/>
      <c r="BP23" s="921"/>
      <c r="BQ23" s="921"/>
      <c r="BR23" s="921"/>
      <c r="BS23" s="1779"/>
      <c r="BT23" s="1779"/>
      <c r="BU23" s="1779"/>
      <c r="BV23" s="1779"/>
      <c r="BW23" s="1779"/>
      <c r="BX23" s="1462"/>
      <c r="BY23" s="231"/>
      <c r="BZ23" s="1769"/>
      <c r="CA23" s="1777"/>
      <c r="CB23" s="233"/>
      <c r="CC23" s="233"/>
      <c r="CD23" s="233"/>
      <c r="CE23" s="233"/>
      <c r="CF23" s="1173"/>
      <c r="CG23" s="1173"/>
      <c r="CH23" s="1173"/>
      <c r="CI23" s="1173"/>
      <c r="CJ23" s="957"/>
      <c r="CK23" s="159"/>
      <c r="CL23" s="156"/>
      <c r="CM23" s="157"/>
      <c r="CN23" s="160"/>
      <c r="CO23" s="1788"/>
      <c r="CP23" s="1793"/>
      <c r="CQ23" s="1794"/>
      <c r="CR23" s="1791"/>
      <c r="CS23" s="1793"/>
      <c r="CT23" s="1795"/>
      <c r="CU23" s="931"/>
      <c r="CV23" s="144"/>
      <c r="CW23" s="144"/>
      <c r="CX23" s="912"/>
      <c r="CY23" s="912"/>
      <c r="CZ23" s="913"/>
      <c r="DA23" s="913"/>
      <c r="DB23" s="913"/>
      <c r="DC23" s="913"/>
      <c r="DD23" s="913"/>
      <c r="DE23" s="913"/>
      <c r="DF23" s="913"/>
      <c r="DG23" s="884"/>
      <c r="DI23" s="2767"/>
      <c r="DJ23" s="902"/>
      <c r="DK23" s="1780"/>
      <c r="DM23" s="231"/>
      <c r="DN23" s="921"/>
      <c r="DO23" s="921"/>
      <c r="DP23" s="921"/>
      <c r="DQ23" s="921"/>
      <c r="DR23" s="921"/>
      <c r="DS23" s="921"/>
      <c r="DT23" s="232"/>
      <c r="DU23" s="232"/>
      <c r="DV23" s="232"/>
      <c r="DW23" s="232"/>
      <c r="DX23" s="232"/>
      <c r="DY23" s="232"/>
      <c r="DZ23" s="232"/>
      <c r="EB23" s="939"/>
      <c r="EC23" s="920"/>
      <c r="ED23" s="904">
        <v>119</v>
      </c>
      <c r="EE23" s="2337"/>
      <c r="EF23" s="2338"/>
      <c r="EG23" s="2338"/>
      <c r="EH23" s="2338"/>
      <c r="EI23" s="2338"/>
      <c r="EJ23" s="2338"/>
      <c r="EK23" s="2338"/>
      <c r="EL23" s="2338"/>
      <c r="EM23" s="2338"/>
      <c r="EN23" s="2338"/>
      <c r="EO23" s="1007"/>
      <c r="EP23" s="1004"/>
      <c r="EQ23" s="1653"/>
      <c r="ER23" s="905"/>
      <c r="ES23" s="906"/>
      <c r="ET23" s="2686"/>
      <c r="EV23" s="985"/>
      <c r="EW23" s="985"/>
      <c r="EX23" s="920"/>
      <c r="EY23" s="2690"/>
      <c r="EZ23" s="886"/>
    </row>
    <row r="24" spans="1:156" ht="20.25" thickTop="1" thickBot="1">
      <c r="A24" s="106" t="s">
        <v>4134</v>
      </c>
      <c r="B24" s="620">
        <f t="shared" si="1"/>
        <v>0</v>
      </c>
      <c r="C24" s="587" t="e">
        <f>0.5508*(N24+O24+P24+Q7+R7+S7)+0.8137*(T7+U7+V7+W7)+X24+1.3206*(Y24+Z24+AA24+AB24)</f>
        <v>#VALUE!</v>
      </c>
      <c r="D24" s="284"/>
      <c r="E24" s="284"/>
      <c r="F24" s="836"/>
      <c r="G24" s="1691"/>
      <c r="H24" s="1692"/>
      <c r="I24" s="3486"/>
      <c r="J24" s="3487"/>
      <c r="K24" s="3488"/>
      <c r="L24" s="1669"/>
      <c r="M24" s="1672"/>
      <c r="N24" s="510"/>
      <c r="O24" s="583"/>
      <c r="P24" s="599"/>
      <c r="Q24" s="3500" t="s">
        <v>5131</v>
      </c>
      <c r="R24" s="3500"/>
      <c r="S24" s="3500"/>
      <c r="T24" s="3500"/>
      <c r="U24" s="3500"/>
      <c r="V24" s="3500"/>
      <c r="W24" s="3500"/>
      <c r="X24" s="1868"/>
      <c r="Y24" s="1872"/>
      <c r="Z24" s="1873"/>
      <c r="AA24" s="510"/>
      <c r="AB24" s="584"/>
      <c r="AC24" s="370">
        <f>Wáberer!$H23</f>
        <v>250000</v>
      </c>
      <c r="AD24" s="460">
        <f>CIG!H22</f>
        <v>2989980</v>
      </c>
      <c r="AE24" s="107">
        <f>Allianz!AB20</f>
        <v>490903</v>
      </c>
      <c r="AF24" s="107">
        <f>Signal!H23</f>
        <v>866880</v>
      </c>
      <c r="AG24" s="107"/>
      <c r="AH24" s="1033"/>
      <c r="AI24" s="107">
        <f>IF(KÉRDÉSEK!$C$5=KÉRDÉSEK!$C$10,NDK!$AL24,IF($AM$438=1,$AJ24,$AK24))</f>
        <v>800000</v>
      </c>
      <c r="AJ24" s="2814">
        <v>800000</v>
      </c>
      <c r="AK24" s="2814">
        <v>800000</v>
      </c>
      <c r="AL24" s="2814">
        <v>600000</v>
      </c>
      <c r="AM24" s="109">
        <f>IF(KÉRDÉSEK!$C$259=KÉRDÉSEK!$F$259,NDK!$EQ24,NDK!$EO24)</f>
        <v>408000</v>
      </c>
      <c r="AN24" s="109">
        <f>CIG!H22</f>
        <v>2989980</v>
      </c>
      <c r="AO24" s="1029"/>
      <c r="AP24" s="1029"/>
      <c r="AQ24" s="1029"/>
      <c r="AR24" s="1029"/>
      <c r="AS24" s="1029"/>
      <c r="AT24" s="1029"/>
      <c r="AU24" s="109">
        <f>GROUPAMA!$Q24</f>
        <v>907212</v>
      </c>
      <c r="AV24" s="109"/>
      <c r="AW24" s="606"/>
      <c r="AX24" s="1166"/>
      <c r="AY24" s="1167"/>
      <c r="AZ24" s="224">
        <f>$CL$30</f>
        <v>1071529</v>
      </c>
      <c r="BA24" s="109">
        <f>UNION!AB30</f>
        <v>2886000</v>
      </c>
      <c r="BB24" s="1501">
        <f>Posta!B21</f>
        <v>1227273</v>
      </c>
      <c r="BC24" s="921"/>
      <c r="BD24" s="921"/>
      <c r="BE24" s="921"/>
      <c r="BF24" s="921"/>
      <c r="BG24" s="921"/>
      <c r="BH24" s="921"/>
      <c r="BI24" s="921"/>
      <c r="BJ24" s="921"/>
      <c r="BK24" s="921"/>
      <c r="BL24" s="921"/>
      <c r="BM24" s="921"/>
      <c r="BN24" s="921"/>
      <c r="BO24" s="921"/>
      <c r="BP24" s="921"/>
      <c r="BQ24" s="921"/>
      <c r="BR24" s="921"/>
      <c r="BS24" s="1779"/>
      <c r="BT24" s="1779"/>
      <c r="BU24" s="1779"/>
      <c r="BV24" s="1779"/>
      <c r="BW24" s="1779"/>
      <c r="BX24" s="1462"/>
      <c r="BY24" s="228"/>
      <c r="BZ24" s="1769"/>
      <c r="CA24" s="1777"/>
      <c r="CB24" s="233"/>
      <c r="CC24" s="233"/>
      <c r="CD24" s="233"/>
      <c r="CE24" s="233"/>
      <c r="CF24" s="1173"/>
      <c r="CG24" s="1173"/>
      <c r="CH24" s="1173"/>
      <c r="CI24" s="1173"/>
      <c r="CJ24" s="957">
        <v>1004</v>
      </c>
      <c r="CK24" s="159" t="s">
        <v>517</v>
      </c>
      <c r="CL24" s="156">
        <f>VLOOKUP(1004,$CJ$59:$CQ$85,$DA$62+2)</f>
        <v>124301</v>
      </c>
      <c r="CM24" s="157" t="e">
        <f t="shared" si="2"/>
        <v>#N/A</v>
      </c>
      <c r="CN24" s="160">
        <f>B13</f>
        <v>0</v>
      </c>
      <c r="CO24" s="1788">
        <f t="shared" si="3"/>
        <v>0</v>
      </c>
      <c r="CP24" s="1793"/>
      <c r="CQ24" s="1794"/>
      <c r="CR24" s="1791" t="e">
        <f t="shared" si="4"/>
        <v>#N/A</v>
      </c>
      <c r="CS24" s="1793"/>
      <c r="CT24" s="1795"/>
      <c r="CU24" s="931"/>
      <c r="CV24" s="144"/>
      <c r="CW24" s="144"/>
      <c r="CX24" s="912"/>
      <c r="CY24" s="912"/>
      <c r="CZ24" s="913"/>
      <c r="DA24" s="913"/>
      <c r="DB24" s="913"/>
      <c r="DC24" s="913"/>
      <c r="DD24" s="913"/>
      <c r="DE24" s="913"/>
      <c r="DF24" s="913"/>
      <c r="DG24" s="884"/>
      <c r="DI24" s="2766">
        <f>UNION!W30</f>
        <v>1443000</v>
      </c>
      <c r="DJ24" s="902"/>
      <c r="DK24" s="1780"/>
      <c r="DM24" s="922"/>
      <c r="DN24" s="921"/>
      <c r="DO24" s="921"/>
      <c r="DP24" s="921"/>
      <c r="DQ24" s="921"/>
      <c r="DR24" s="921"/>
      <c r="DS24" s="921"/>
      <c r="DT24" s="232"/>
      <c r="DU24" s="232"/>
      <c r="DV24" s="232"/>
      <c r="DW24" s="232"/>
      <c r="DX24" s="232"/>
      <c r="DY24" s="232"/>
      <c r="DZ24" s="232"/>
      <c r="EB24" s="939"/>
      <c r="EC24" s="923" t="s">
        <v>2458</v>
      </c>
      <c r="ED24" s="904">
        <v>120</v>
      </c>
      <c r="EE24" s="2695">
        <f>IF(KÉRDÉSEK!$D$287=TRUE,NDK!EE$69,NDK!EE$68)</f>
        <v>0</v>
      </c>
      <c r="EF24" s="3177">
        <v>408000</v>
      </c>
      <c r="EG24" s="2695">
        <f>IF(KÉRDÉSEK!$D$287=TRUE,NDK!EG$69,NDK!EG$68)</f>
        <v>0</v>
      </c>
      <c r="EH24" s="2695">
        <f>IF(KÉRDÉSEK!$D$287=TRUE,NDK!EH$69,NDK!EH$68)</f>
        <v>0</v>
      </c>
      <c r="EI24" s="3177">
        <v>330000</v>
      </c>
      <c r="EJ24" s="2695">
        <f>IF(KÉRDÉSEK!$D$287=TRUE,NDK!EJ$69,NDK!EJ$68)</f>
        <v>0</v>
      </c>
      <c r="EK24" s="2695">
        <f>IF(KÉRDÉSEK!$D$287=TRUE,NDK!EK$69,NDK!EK$68)</f>
        <v>0</v>
      </c>
      <c r="EL24" s="2695"/>
      <c r="EM24" s="2695">
        <f>IF(KÉRDÉSEK!$D$287=TRUE,NDK!EM$69,NDK!EM$68)</f>
        <v>0</v>
      </c>
      <c r="EN24" s="2699"/>
      <c r="EO24" s="1007">
        <f>VLOOKUP($ED24,$ED$10:$EN$55,($EY24+1))</f>
        <v>408000</v>
      </c>
      <c r="EP24" s="1004"/>
      <c r="EQ24" s="1652">
        <f>Generali!BG26</f>
        <v>340000</v>
      </c>
      <c r="ER24" s="905">
        <v>2027</v>
      </c>
      <c r="ES24" s="906" t="s">
        <v>2833</v>
      </c>
      <c r="ET24" s="2686">
        <v>6</v>
      </c>
      <c r="EV24" s="985"/>
      <c r="EW24" s="985"/>
      <c r="EX24" s="923" t="s">
        <v>2458</v>
      </c>
      <c r="EY24" s="2690">
        <f>IF(AND($EW$15&gt;=8,$EW$15&lt;=22),2,5)</f>
        <v>2</v>
      </c>
      <c r="EZ24" s="886"/>
    </row>
    <row r="25" spans="1:156" ht="18.75" customHeight="1" thickTop="1" thickBot="1">
      <c r="A25" s="106" t="s">
        <v>149</v>
      </c>
      <c r="B25" s="620">
        <f t="shared" si="1"/>
        <v>0</v>
      </c>
      <c r="C25" s="587" t="e">
        <f>0.5508*(N25+O25+P25+Q8+R8+S8)+0.8137*(T8+U8+V8+W8)+X25+1.3206*(Y25+Z25+AA25+AB25)</f>
        <v>#VALUE!</v>
      </c>
      <c r="D25" s="284"/>
      <c r="E25" s="284"/>
      <c r="F25" s="836"/>
      <c r="G25" s="841"/>
      <c r="H25" s="841"/>
      <c r="I25" s="841"/>
      <c r="J25" s="841"/>
      <c r="K25" s="842"/>
      <c r="L25" s="1671"/>
      <c r="M25" s="1670"/>
      <c r="N25" s="510"/>
      <c r="O25" s="583"/>
      <c r="P25" s="599"/>
      <c r="Q25" s="3501"/>
      <c r="R25" s="3501"/>
      <c r="S25" s="3501"/>
      <c r="T25" s="3501"/>
      <c r="U25" s="3501"/>
      <c r="V25" s="3501"/>
      <c r="W25" s="3501"/>
      <c r="X25" s="1868"/>
      <c r="Y25" s="1872"/>
      <c r="Z25" s="1873"/>
      <c r="AA25" s="510"/>
      <c r="AB25" s="584"/>
      <c r="AC25" s="371"/>
      <c r="AD25" s="371"/>
      <c r="AE25" s="107">
        <f>Allianz!AB21</f>
        <v>452028</v>
      </c>
      <c r="AF25" s="108"/>
      <c r="AG25" s="107"/>
      <c r="AH25" s="1033"/>
      <c r="AI25" s="108"/>
      <c r="AJ25" s="2815"/>
      <c r="AK25" s="2815"/>
      <c r="AL25" s="2815"/>
      <c r="AM25" s="112"/>
      <c r="AN25" s="112"/>
      <c r="AO25" s="1029"/>
      <c r="AP25" s="1029"/>
      <c r="AQ25" s="1029"/>
      <c r="AR25" s="1029"/>
      <c r="AS25" s="1029"/>
      <c r="AT25" s="1029"/>
      <c r="AU25" s="112"/>
      <c r="AV25" s="112"/>
      <c r="AW25" s="607"/>
      <c r="AX25" s="1166"/>
      <c r="AY25" s="1167"/>
      <c r="AZ25" s="225"/>
      <c r="BA25" s="112"/>
      <c r="BB25" s="1503"/>
      <c r="BC25" s="921"/>
      <c r="BD25" s="921"/>
      <c r="BE25" s="921"/>
      <c r="BF25" s="921"/>
      <c r="BG25" s="921"/>
      <c r="BH25" s="921"/>
      <c r="BI25" s="921"/>
      <c r="BJ25" s="921"/>
      <c r="BK25" s="921"/>
      <c r="BL25" s="921"/>
      <c r="BM25" s="921"/>
      <c r="BN25" s="921"/>
      <c r="BO25" s="921"/>
      <c r="BP25" s="921"/>
      <c r="BQ25" s="921"/>
      <c r="BR25" s="921"/>
      <c r="BS25" s="1779"/>
      <c r="BT25" s="1779"/>
      <c r="BU25" s="1779"/>
      <c r="BV25" s="1779"/>
      <c r="BW25" s="1779"/>
      <c r="BX25" s="1462"/>
      <c r="BY25" s="228"/>
      <c r="BZ25" s="1769"/>
      <c r="CA25" s="1777"/>
      <c r="CB25" s="233"/>
      <c r="CC25" s="233"/>
      <c r="CD25" s="233"/>
      <c r="CE25" s="233"/>
      <c r="CF25" s="1173"/>
      <c r="CG25" s="1173"/>
      <c r="CH25" s="1173"/>
      <c r="CI25" s="1173"/>
      <c r="CJ25" s="957">
        <v>1005</v>
      </c>
      <c r="CK25" s="161" t="s">
        <v>518</v>
      </c>
      <c r="CL25" s="156">
        <f>VLOOKUP(1005,$CJ$59:$CQ$85,$DA$62+2)</f>
        <v>144718</v>
      </c>
      <c r="CM25" s="157" t="e">
        <f t="shared" si="2"/>
        <v>#N/A</v>
      </c>
      <c r="CN25" s="162">
        <f>B16</f>
        <v>0</v>
      </c>
      <c r="CO25" s="1788">
        <f t="shared" si="3"/>
        <v>0</v>
      </c>
      <c r="CP25" s="1799"/>
      <c r="CQ25" s="1800"/>
      <c r="CR25" s="1791" t="e">
        <f t="shared" si="4"/>
        <v>#N/A</v>
      </c>
      <c r="CS25" s="1799"/>
      <c r="CT25" s="1801"/>
      <c r="CU25" s="931"/>
      <c r="CV25" s="163"/>
      <c r="CW25" s="163"/>
      <c r="CX25" s="924"/>
      <c r="CY25" s="924"/>
      <c r="CZ25" s="925"/>
      <c r="DA25" s="925"/>
      <c r="DB25" s="925"/>
      <c r="DC25" s="925"/>
      <c r="DD25" s="925"/>
      <c r="DE25" s="925"/>
      <c r="DF25" s="925"/>
      <c r="DG25" s="884"/>
      <c r="DI25" s="2767"/>
      <c r="DJ25" s="902"/>
      <c r="DK25" s="1780"/>
      <c r="DL25" s="916"/>
      <c r="DM25" s="926"/>
      <c r="DN25" s="921"/>
      <c r="DO25" s="921"/>
      <c r="DP25" s="921"/>
      <c r="DQ25" s="921"/>
      <c r="DR25" s="921"/>
      <c r="DS25" s="921"/>
      <c r="DT25" s="232"/>
      <c r="DU25" s="232"/>
      <c r="DV25" s="232"/>
      <c r="DW25" s="232"/>
      <c r="DX25" s="232"/>
      <c r="DY25" s="232"/>
      <c r="DZ25" s="232"/>
      <c r="EB25" s="939"/>
      <c r="EC25" s="923" t="s">
        <v>2459</v>
      </c>
      <c r="ED25" s="904">
        <v>121</v>
      </c>
      <c r="EE25" s="2337"/>
      <c r="EF25" s="2338"/>
      <c r="EG25" s="2338"/>
      <c r="EH25" s="2338"/>
      <c r="EI25" s="2338"/>
      <c r="EJ25" s="2338"/>
      <c r="EK25" s="2338"/>
      <c r="EL25" s="2338"/>
      <c r="EM25" s="2338"/>
      <c r="EN25" s="2338"/>
      <c r="EO25" s="1007"/>
      <c r="EP25" s="1004"/>
      <c r="EQ25" s="1653"/>
      <c r="ER25" s="905">
        <v>2028</v>
      </c>
      <c r="ES25" s="906" t="s">
        <v>2834</v>
      </c>
      <c r="ET25" s="2686">
        <v>6</v>
      </c>
      <c r="EV25" s="985"/>
      <c r="EW25" s="985"/>
      <c r="EX25" s="923" t="s">
        <v>2459</v>
      </c>
      <c r="EY25" s="2690"/>
      <c r="EZ25" s="886"/>
    </row>
    <row r="26" spans="1:156" ht="18.75" customHeight="1" thickBot="1">
      <c r="A26" s="114" t="s">
        <v>1494</v>
      </c>
      <c r="B26" s="620">
        <f t="shared" si="1"/>
        <v>0</v>
      </c>
      <c r="C26" s="587" t="e">
        <f>0.5508*(N26+O26+P26+Q9+R9+S9)+0.8137*(T9+U9+V9+W9)+X26+1.3206*(Y26+Z26+AA26+AB26)</f>
        <v>#VALUE!</v>
      </c>
      <c r="D26" s="284"/>
      <c r="E26" s="284"/>
      <c r="F26" s="836"/>
      <c r="G26" s="837"/>
      <c r="H26" s="837"/>
      <c r="I26" s="837"/>
      <c r="J26" s="837"/>
      <c r="K26" s="838"/>
      <c r="L26" s="1669"/>
      <c r="M26" s="1670"/>
      <c r="N26" s="510"/>
      <c r="O26" s="583"/>
      <c r="P26" s="599"/>
      <c r="Q26" s="3528" t="s">
        <v>5132</v>
      </c>
      <c r="R26" s="3528"/>
      <c r="S26" s="3528"/>
      <c r="T26" s="3528"/>
      <c r="U26" s="3528"/>
      <c r="V26" s="3528"/>
      <c r="W26" s="2631"/>
      <c r="X26" s="1868"/>
      <c r="Y26" s="1872"/>
      <c r="Z26" s="1873"/>
      <c r="AA26" s="582"/>
      <c r="AB26" s="548"/>
      <c r="AC26" s="370">
        <f>Wáberer!$H25</f>
        <v>3000</v>
      </c>
      <c r="AD26" s="460">
        <f>CIG!H24</f>
        <v>75600</v>
      </c>
      <c r="AE26" s="107">
        <f>Allianz!AB22</f>
        <v>13290</v>
      </c>
      <c r="AF26" s="107">
        <f>Signal!H25</f>
        <v>7200</v>
      </c>
      <c r="AG26" s="107"/>
      <c r="AH26" s="1033"/>
      <c r="AI26" s="107">
        <f>IF(KÉRDÉSEK!$C$5=KÉRDÉSEK!$C$10,NDK!$AL26,IF($AM$438=1,$AJ26,$AK26))</f>
        <v>10000</v>
      </c>
      <c r="AJ26" s="2814">
        <v>10000</v>
      </c>
      <c r="AK26" s="2814">
        <v>10000</v>
      </c>
      <c r="AL26" s="2816">
        <v>2100</v>
      </c>
      <c r="AM26" s="109">
        <f>IF(KÉRDÉSEK!$C$259=KÉRDÉSEK!$F$259,NDK!$EQ26,NDK!$EO26)</f>
        <v>5200</v>
      </c>
      <c r="AN26" s="109">
        <f>CIG!H24</f>
        <v>75600</v>
      </c>
      <c r="AO26" s="1029"/>
      <c r="AP26" s="1029"/>
      <c r="AQ26" s="1029"/>
      <c r="AR26" s="1029"/>
      <c r="AS26" s="1029"/>
      <c r="AT26" s="1029"/>
      <c r="AU26" s="109">
        <f>GROUPAMA!$Q26</f>
        <v>18036</v>
      </c>
      <c r="AV26" s="109"/>
      <c r="AW26" s="606"/>
      <c r="AX26" s="1166"/>
      <c r="AY26" s="1167"/>
      <c r="AZ26" s="224">
        <f>$CL$46</f>
        <v>18040</v>
      </c>
      <c r="BA26" s="109">
        <f>UNION!AB32</f>
        <v>7774.8</v>
      </c>
      <c r="BB26" s="1501">
        <f>Posta!B23</f>
        <v>5299</v>
      </c>
      <c r="BC26" s="921"/>
      <c r="BD26" s="921"/>
      <c r="BE26" s="921"/>
      <c r="BF26" s="921"/>
      <c r="BG26" s="921"/>
      <c r="BH26" s="921"/>
      <c r="BI26" s="921"/>
      <c r="BJ26" s="921"/>
      <c r="BK26" s="921"/>
      <c r="BL26" s="921"/>
      <c r="BM26" s="921"/>
      <c r="BN26" s="921"/>
      <c r="BO26" s="921"/>
      <c r="BP26" s="921"/>
      <c r="BQ26" s="921"/>
      <c r="BR26" s="921"/>
      <c r="BS26" s="1779"/>
      <c r="BT26" s="1779"/>
      <c r="BU26" s="921"/>
      <c r="BV26" s="1779"/>
      <c r="BW26" s="1779"/>
      <c r="BX26" s="1462"/>
      <c r="BY26" s="231"/>
      <c r="BZ26" s="1769"/>
      <c r="CA26" s="1777"/>
      <c r="CB26" s="233"/>
      <c r="CC26" s="233"/>
      <c r="CD26" s="233"/>
      <c r="CE26" s="233"/>
      <c r="CF26" s="1173"/>
      <c r="CG26" s="1173"/>
      <c r="CH26" s="1173"/>
      <c r="CI26" s="1173"/>
      <c r="CJ26" s="957"/>
      <c r="CK26" s="164" t="s">
        <v>519</v>
      </c>
      <c r="CL26" s="1802"/>
      <c r="CM26" s="165"/>
      <c r="CN26" s="166"/>
      <c r="CO26" s="1803"/>
      <c r="CP26" s="1804"/>
      <c r="CQ26" s="1805"/>
      <c r="CR26" s="1791"/>
      <c r="CS26" s="1804"/>
      <c r="CT26" s="1806"/>
      <c r="CU26" s="1807"/>
      <c r="CV26" s="163"/>
      <c r="CW26" s="163"/>
      <c r="CX26" s="924"/>
      <c r="CY26" s="924"/>
      <c r="CZ26" s="925"/>
      <c r="DA26" s="925"/>
      <c r="DB26" s="925"/>
      <c r="DC26" s="925"/>
      <c r="DD26" s="925"/>
      <c r="DE26" s="925"/>
      <c r="DF26" s="925"/>
      <c r="DG26" s="884"/>
      <c r="DI26" s="2766">
        <f>UNION!W32</f>
        <v>6200</v>
      </c>
      <c r="DJ26" s="902"/>
      <c r="DK26" s="902"/>
      <c r="DM26" s="922"/>
      <c r="DN26" s="921"/>
      <c r="DO26" s="921"/>
      <c r="DP26" s="921"/>
      <c r="DQ26" s="921"/>
      <c r="DR26" s="921"/>
      <c r="DS26" s="921"/>
      <c r="DT26" s="232"/>
      <c r="DU26" s="232"/>
      <c r="DV26" s="232"/>
      <c r="DW26" s="232"/>
      <c r="DX26" s="232"/>
      <c r="DY26" s="232"/>
      <c r="DZ26" s="232"/>
      <c r="EB26" s="939"/>
      <c r="EC26" s="95" t="s">
        <v>1494</v>
      </c>
      <c r="ED26" s="904">
        <v>122</v>
      </c>
      <c r="EE26" s="3175">
        <v>5200</v>
      </c>
      <c r="EF26" s="2340"/>
      <c r="EG26" s="2340"/>
      <c r="EH26" s="2340"/>
      <c r="EI26" s="2340"/>
      <c r="EJ26" s="2340"/>
      <c r="EK26" s="2340"/>
      <c r="EL26" s="2340"/>
      <c r="EM26" s="2340"/>
      <c r="EN26" s="2665"/>
      <c r="EO26" s="2691">
        <f>$EE26</f>
        <v>5200</v>
      </c>
      <c r="EP26" s="1004"/>
      <c r="EQ26" s="1652">
        <f>Generali!BG29</f>
        <v>5200</v>
      </c>
      <c r="ER26" s="905">
        <v>2030</v>
      </c>
      <c r="ES26" s="906" t="s">
        <v>2835</v>
      </c>
      <c r="ET26" s="2686">
        <v>2</v>
      </c>
      <c r="EV26" s="985"/>
      <c r="EW26" s="985"/>
      <c r="EX26" s="95" t="s">
        <v>1494</v>
      </c>
      <c r="EY26" s="2690"/>
      <c r="EZ26" s="886"/>
    </row>
    <row r="27" spans="1:156" ht="18.75" customHeight="1" thickTop="1" thickBot="1">
      <c r="A27" s="114" t="s">
        <v>3072</v>
      </c>
      <c r="B27" s="620">
        <f t="shared" si="1"/>
        <v>0</v>
      </c>
      <c r="C27" s="587">
        <f>0.5508*(N27+O27+P27+Q27+R27+S27)+0.8137*(T27+U27+V27+W27)+X27+1.3206*(Y27+Z27+AA27+AB27)</f>
        <v>0</v>
      </c>
      <c r="D27" s="284"/>
      <c r="E27" s="284"/>
      <c r="F27" s="836"/>
      <c r="G27" s="837"/>
      <c r="H27" s="837"/>
      <c r="I27" s="837"/>
      <c r="J27" s="837"/>
      <c r="K27" s="838"/>
      <c r="L27" s="1669"/>
      <c r="M27" s="1670"/>
      <c r="N27" s="510"/>
      <c r="O27" s="583"/>
      <c r="P27" s="599"/>
      <c r="Q27" s="3528"/>
      <c r="R27" s="3528"/>
      <c r="S27" s="3528"/>
      <c r="T27" s="3528"/>
      <c r="U27" s="3528"/>
      <c r="V27" s="3528"/>
      <c r="W27" s="2609">
        <v>0</v>
      </c>
      <c r="X27" s="1868"/>
      <c r="Y27" s="1879"/>
      <c r="Z27" s="1880"/>
      <c r="AA27" s="582"/>
      <c r="AB27" s="548"/>
      <c r="AC27" s="370">
        <f>Wáberer!$H26</f>
        <v>6996</v>
      </c>
      <c r="AD27" s="460">
        <f>CIG!H25</f>
        <v>642600</v>
      </c>
      <c r="AE27" s="107">
        <f>Allianz!AB23</f>
        <v>49658</v>
      </c>
      <c r="AF27" s="107">
        <f>Signal!H26</f>
        <v>10800</v>
      </c>
      <c r="AG27" s="107"/>
      <c r="AH27" s="1033"/>
      <c r="AI27" s="107">
        <f>IF(KÉRDÉSEK!$C$5=KÉRDÉSEK!$C$10,NDK!$AL27,IF($AM$438=1,$AJ27,$AK27))</f>
        <v>73000</v>
      </c>
      <c r="AJ27" s="2814">
        <v>73000</v>
      </c>
      <c r="AK27" s="2814">
        <v>73000</v>
      </c>
      <c r="AL27" s="2814">
        <v>72996</v>
      </c>
      <c r="AM27" s="109">
        <f>IF(KÉRDÉSEK!$C$259=KÉRDÉSEK!$F$259,NDK!$EQ27,NDK!$EO27)</f>
        <v>5600</v>
      </c>
      <c r="AN27" s="109">
        <f>CIG!H25</f>
        <v>642600</v>
      </c>
      <c r="AO27" s="1029"/>
      <c r="AP27" s="1029"/>
      <c r="AQ27" s="1029"/>
      <c r="AR27" s="1029"/>
      <c r="AS27" s="1029"/>
      <c r="AT27" s="1029"/>
      <c r="AU27" s="109">
        <f>GROUPAMA!$Q27</f>
        <v>18036</v>
      </c>
      <c r="AV27" s="109"/>
      <c r="AW27" s="606"/>
      <c r="AX27" s="1166"/>
      <c r="AY27" s="1167"/>
      <c r="AZ27" s="224">
        <f>$CL$47</f>
        <v>32312</v>
      </c>
      <c r="BA27" s="109">
        <f>UNION!AB33</f>
        <v>31350</v>
      </c>
      <c r="BB27" s="1501">
        <f>Posta!B24</f>
        <v>12805</v>
      </c>
      <c r="BC27" s="921"/>
      <c r="BD27" s="921"/>
      <c r="BE27" s="921"/>
      <c r="BF27" s="921"/>
      <c r="BG27" s="921"/>
      <c r="BH27" s="921"/>
      <c r="BI27" s="921"/>
      <c r="BJ27" s="921"/>
      <c r="BK27" s="921"/>
      <c r="BL27" s="921"/>
      <c r="BM27" s="921"/>
      <c r="BN27" s="921"/>
      <c r="BO27" s="921"/>
      <c r="BP27" s="921"/>
      <c r="BQ27" s="921"/>
      <c r="BR27" s="921"/>
      <c r="BS27" s="1779"/>
      <c r="BT27" s="1779"/>
      <c r="BU27" s="921"/>
      <c r="BV27" s="1779"/>
      <c r="BW27" s="1779"/>
      <c r="BX27" s="1462"/>
      <c r="BY27" s="231"/>
      <c r="BZ27" s="1769"/>
      <c r="CA27" s="1777"/>
      <c r="CB27" s="233"/>
      <c r="CC27" s="233"/>
      <c r="CD27" s="233"/>
      <c r="CE27" s="233"/>
      <c r="CF27" s="1173"/>
      <c r="CG27" s="1173"/>
      <c r="CH27" s="1173"/>
      <c r="CI27" s="1173"/>
      <c r="CJ27" s="957">
        <v>1006</v>
      </c>
      <c r="CK27" s="167" t="s">
        <v>520</v>
      </c>
      <c r="CL27" s="156">
        <f>VLOOKUP(1006,$CJ$59:$CQ$85,$DA$62+2)</f>
        <v>172548</v>
      </c>
      <c r="CM27" s="157" t="e">
        <f>-$CN$156</f>
        <v>#N/A</v>
      </c>
      <c r="CN27" s="160">
        <f>B18</f>
        <v>0</v>
      </c>
      <c r="CO27" s="1788">
        <f>CN27*CL27</f>
        <v>0</v>
      </c>
      <c r="CP27" s="1793"/>
      <c r="CQ27" s="1794"/>
      <c r="CR27" s="1791" t="e">
        <f>CO27*(1+CM27)</f>
        <v>#N/A</v>
      </c>
      <c r="CS27" s="1793"/>
      <c r="CT27" s="1795"/>
      <c r="CU27" s="931"/>
      <c r="CV27" s="163"/>
      <c r="CW27" s="163"/>
      <c r="CX27" s="924"/>
      <c r="CY27" s="924"/>
      <c r="CZ27" s="925"/>
      <c r="DA27" s="925"/>
      <c r="DB27" s="925"/>
      <c r="DC27" s="925"/>
      <c r="DD27" s="925"/>
      <c r="DE27" s="925"/>
      <c r="DF27" s="925"/>
      <c r="DG27" s="884"/>
      <c r="DI27" s="2766">
        <f>UNION!W33</f>
        <v>25000</v>
      </c>
      <c r="DJ27" s="902"/>
      <c r="DK27" s="902"/>
      <c r="DM27" s="926"/>
      <c r="DN27" s="921"/>
      <c r="DO27" s="921"/>
      <c r="DP27" s="921"/>
      <c r="DQ27" s="921"/>
      <c r="DR27" s="921"/>
      <c r="DS27" s="921"/>
      <c r="DT27" s="232"/>
      <c r="DU27" s="232"/>
      <c r="DV27" s="232"/>
      <c r="DW27" s="232"/>
      <c r="DX27" s="232"/>
      <c r="DY27" s="232"/>
      <c r="DZ27" s="232"/>
      <c r="EB27" s="939"/>
      <c r="EC27" s="95" t="s">
        <v>3072</v>
      </c>
      <c r="ED27" s="904">
        <v>123</v>
      </c>
      <c r="EE27" s="3175">
        <v>5600</v>
      </c>
      <c r="EF27" s="2340"/>
      <c r="EG27" s="2340"/>
      <c r="EH27" s="2340"/>
      <c r="EI27" s="2340"/>
      <c r="EJ27" s="2340"/>
      <c r="EK27" s="2340"/>
      <c r="EL27" s="2340"/>
      <c r="EM27" s="2340"/>
      <c r="EN27" s="2665"/>
      <c r="EO27" s="2691">
        <f>$EE27</f>
        <v>5600</v>
      </c>
      <c r="EP27" s="1004"/>
      <c r="EQ27" s="1652">
        <f>Generali!BG30</f>
        <v>5600</v>
      </c>
      <c r="ER27" s="905">
        <v>2035</v>
      </c>
      <c r="ES27" s="927" t="s">
        <v>2382</v>
      </c>
      <c r="ET27" s="2686">
        <v>2</v>
      </c>
      <c r="EV27" s="985"/>
      <c r="EW27" s="985"/>
      <c r="EX27" s="95" t="s">
        <v>3072</v>
      </c>
      <c r="EY27" s="2690"/>
      <c r="EZ27" s="886"/>
    </row>
    <row r="28" spans="1:156" ht="19.5" thickBot="1">
      <c r="A28" s="257" t="s">
        <v>1862</v>
      </c>
      <c r="B28" s="1693">
        <f t="shared" si="1"/>
        <v>0</v>
      </c>
      <c r="C28" s="284"/>
      <c r="D28" s="284"/>
      <c r="E28" s="284"/>
      <c r="F28" s="836"/>
      <c r="G28" s="837"/>
      <c r="H28" s="837"/>
      <c r="I28" s="837"/>
      <c r="J28" s="837"/>
      <c r="K28" s="838"/>
      <c r="L28" s="1671"/>
      <c r="M28" s="1670"/>
      <c r="N28" s="510"/>
      <c r="O28" s="583"/>
      <c r="P28" s="599"/>
      <c r="Q28" s="3509" t="s">
        <v>1068</v>
      </c>
      <c r="R28" s="3510"/>
      <c r="S28" s="3510"/>
      <c r="T28" s="3510"/>
      <c r="U28" s="3510"/>
      <c r="V28" s="3510"/>
      <c r="W28" s="2056"/>
      <c r="X28" s="1869"/>
      <c r="Y28" s="1874"/>
      <c r="Z28" s="1875"/>
      <c r="AA28" s="582"/>
      <c r="AB28" s="548"/>
      <c r="AC28" s="371"/>
      <c r="AD28" s="371"/>
      <c r="AE28" s="108"/>
      <c r="AF28" s="108"/>
      <c r="AG28" s="108"/>
      <c r="AH28" s="1033"/>
      <c r="AI28" s="108"/>
      <c r="AJ28" s="2815"/>
      <c r="AK28" s="2815"/>
      <c r="AL28" s="2815"/>
      <c r="AM28" s="112"/>
      <c r="AN28" s="112"/>
      <c r="AO28" s="1029"/>
      <c r="AP28" s="1029"/>
      <c r="AQ28" s="1029"/>
      <c r="AR28" s="1029"/>
      <c r="AS28" s="1029"/>
      <c r="AT28" s="1029"/>
      <c r="AU28" s="112"/>
      <c r="AV28" s="112"/>
      <c r="AW28" s="607"/>
      <c r="AX28" s="1166"/>
      <c r="AY28" s="1167"/>
      <c r="AZ28" s="225"/>
      <c r="BA28" s="1241">
        <f>UNION!AB34</f>
        <v>-16678.2</v>
      </c>
      <c r="BB28" s="1503"/>
      <c r="BC28" s="921"/>
      <c r="BD28" s="921"/>
      <c r="BE28" s="921"/>
      <c r="BF28" s="921"/>
      <c r="BG28" s="921"/>
      <c r="BH28" s="921"/>
      <c r="BI28" s="921"/>
      <c r="BJ28" s="921"/>
      <c r="BK28" s="921"/>
      <c r="BL28" s="921"/>
      <c r="BM28" s="921"/>
      <c r="BN28" s="921"/>
      <c r="BO28" s="921"/>
      <c r="BP28" s="921"/>
      <c r="BQ28" s="921"/>
      <c r="BR28" s="921"/>
      <c r="BS28" s="1779"/>
      <c r="BT28" s="1779"/>
      <c r="BU28" s="921"/>
      <c r="BV28" s="1779"/>
      <c r="BW28" s="1779"/>
      <c r="BX28" s="1462"/>
      <c r="BY28" s="231"/>
      <c r="BZ28" s="1769"/>
      <c r="CA28" s="1777"/>
      <c r="CB28" s="233"/>
      <c r="CC28" s="233"/>
      <c r="CD28" s="233"/>
      <c r="CE28" s="233"/>
      <c r="CF28" s="1173"/>
      <c r="CG28" s="1173"/>
      <c r="CH28" s="1173"/>
      <c r="CI28" s="1173"/>
      <c r="CJ28" s="957"/>
      <c r="CK28" s="167"/>
      <c r="CL28" s="156"/>
      <c r="CM28" s="157"/>
      <c r="CN28" s="160"/>
      <c r="CO28" s="1788"/>
      <c r="CP28" s="1793"/>
      <c r="CQ28" s="1794"/>
      <c r="CR28" s="1791"/>
      <c r="CS28" s="1793"/>
      <c r="CT28" s="1795"/>
      <c r="CU28" s="931"/>
      <c r="CV28" s="163"/>
      <c r="CW28" s="163"/>
      <c r="CX28" s="924"/>
      <c r="CY28" s="924"/>
      <c r="CZ28" s="925"/>
      <c r="DA28" s="925"/>
      <c r="DB28" s="925"/>
      <c r="DC28" s="925"/>
      <c r="DD28" s="925"/>
      <c r="DE28" s="925"/>
      <c r="DF28" s="925"/>
      <c r="DG28" s="884"/>
      <c r="DI28" s="2766">
        <f>UNION!W34</f>
        <v>-13300</v>
      </c>
      <c r="DJ28" s="902"/>
      <c r="DK28" s="902"/>
      <c r="DN28" s="903"/>
      <c r="DO28" s="903"/>
      <c r="DP28" s="903"/>
      <c r="DQ28" s="903"/>
      <c r="DR28" s="903"/>
      <c r="DS28" s="903"/>
      <c r="EB28" s="939"/>
      <c r="EC28" s="928" t="s">
        <v>1577</v>
      </c>
      <c r="ED28" s="904">
        <v>124</v>
      </c>
      <c r="EE28" s="3175"/>
      <c r="EF28" s="2340"/>
      <c r="EG28" s="2340"/>
      <c r="EH28" s="2340"/>
      <c r="EI28" s="2340"/>
      <c r="EJ28" s="2340"/>
      <c r="EK28" s="2340"/>
      <c r="EL28" s="2340"/>
      <c r="EM28" s="2340"/>
      <c r="EN28" s="2665"/>
      <c r="EO28" s="1007"/>
      <c r="EP28" s="1004"/>
      <c r="EQ28" s="1653"/>
      <c r="ER28" s="905">
        <v>2036</v>
      </c>
      <c r="ES28" s="906" t="s">
        <v>2383</v>
      </c>
      <c r="ET28" s="2686">
        <v>2</v>
      </c>
      <c r="EV28" s="985"/>
      <c r="EW28" s="985"/>
      <c r="EX28" s="928" t="s">
        <v>1577</v>
      </c>
      <c r="EY28" s="2690"/>
      <c r="EZ28" s="886"/>
    </row>
    <row r="29" spans="1:156" ht="19.5" thickBot="1">
      <c r="A29" s="114" t="s">
        <v>3071</v>
      </c>
      <c r="B29" s="620">
        <f t="shared" si="1"/>
        <v>0</v>
      </c>
      <c r="C29" s="587">
        <f>0.5508*(N29+O29+P29+Q29+R29+S29)+0.8137*(T29+U29+V29+W29)+X29+1.3206*(Y29+Z29+AA29+AB29)</f>
        <v>0</v>
      </c>
      <c r="D29" s="284"/>
      <c r="E29" s="284"/>
      <c r="F29" s="836"/>
      <c r="G29" s="837"/>
      <c r="H29" s="837"/>
      <c r="I29" s="837"/>
      <c r="J29" s="837"/>
      <c r="K29" s="838"/>
      <c r="L29" s="1669"/>
      <c r="M29" s="1672">
        <v>0</v>
      </c>
      <c r="N29" s="510"/>
      <c r="O29" s="583"/>
      <c r="P29" s="599"/>
      <c r="Q29" s="3509"/>
      <c r="R29" s="3510"/>
      <c r="S29" s="3510"/>
      <c r="T29" s="3510"/>
      <c r="U29" s="3510"/>
      <c r="V29" s="3510"/>
      <c r="W29" s="2610"/>
      <c r="X29" s="1868"/>
      <c r="Y29" s="1874"/>
      <c r="Z29" s="1875"/>
      <c r="AA29" s="582"/>
      <c r="AB29" s="548"/>
      <c r="AC29" s="370">
        <f>Wáberer!BI5</f>
        <v>24000</v>
      </c>
      <c r="AD29" s="460">
        <f>CIG!H27</f>
        <v>3144960</v>
      </c>
      <c r="AE29" s="107">
        <f>Allianz!AB25</f>
        <v>14859</v>
      </c>
      <c r="AF29" s="107">
        <f>Signal!H28</f>
        <v>25680</v>
      </c>
      <c r="AG29" s="107"/>
      <c r="AH29" s="1033"/>
      <c r="AI29" s="107">
        <f>IF(KÉRDÉSEK!$C$5=KÉRDÉSEK!$C$10,NDK!$AL29,IF($AM$438=1,$AJ29,$AK29))</f>
        <v>801000</v>
      </c>
      <c r="AJ29" s="2816">
        <v>801000</v>
      </c>
      <c r="AK29" s="2816">
        <v>801000</v>
      </c>
      <c r="AL29" s="2816">
        <v>801000</v>
      </c>
      <c r="AM29" s="109">
        <f>IF(KÉRDÉSEK!$C$259=KÉRDÉSEK!$F$259,NDK!$EQ29,NDK!$EO29)</f>
        <v>52300</v>
      </c>
      <c r="AN29" s="109">
        <f>CIG!H27</f>
        <v>3144960</v>
      </c>
      <c r="AO29" s="1029"/>
      <c r="AP29" s="1029"/>
      <c r="AQ29" s="1029"/>
      <c r="AR29" s="1029"/>
      <c r="AS29" s="1029"/>
      <c r="AT29" s="1029"/>
      <c r="AU29" s="109">
        <f>GROUPAMA!$Q29</f>
        <v>18036</v>
      </c>
      <c r="AV29" s="109"/>
      <c r="AW29" s="606"/>
      <c r="AX29" s="1166"/>
      <c r="AY29" s="1167"/>
      <c r="AZ29" s="224">
        <f>$CL$48</f>
        <v>397368</v>
      </c>
      <c r="BA29" s="109">
        <f>UNION!AC35</f>
        <v>0</v>
      </c>
      <c r="BB29" s="1501">
        <f>Posta!B26</f>
        <v>324675</v>
      </c>
      <c r="BC29" s="903"/>
      <c r="BD29" s="903"/>
      <c r="BE29" s="903"/>
      <c r="BF29" s="903"/>
      <c r="BG29" s="903"/>
      <c r="BH29" s="903"/>
      <c r="BI29" s="903"/>
      <c r="BJ29" s="903"/>
      <c r="BK29" s="903"/>
      <c r="BL29" s="903"/>
      <c r="BM29" s="903"/>
      <c r="BN29" s="903"/>
      <c r="BO29" s="903"/>
      <c r="BP29" s="903"/>
      <c r="BQ29" s="903"/>
      <c r="BR29" s="903"/>
      <c r="BS29" s="1776"/>
      <c r="BT29" s="1776"/>
      <c r="BU29" s="903"/>
      <c r="BV29" s="1776"/>
      <c r="BW29" s="1776"/>
      <c r="BX29" s="1462"/>
      <c r="BY29" s="231"/>
      <c r="BZ29" s="1769"/>
      <c r="CA29" s="1777"/>
      <c r="CB29" s="233"/>
      <c r="CC29" s="233"/>
      <c r="CD29" s="233"/>
      <c r="CE29" s="233"/>
      <c r="CF29" s="1173"/>
      <c r="CG29" s="1173"/>
      <c r="CH29" s="1173"/>
      <c r="CI29" s="1173"/>
      <c r="CJ29" s="957">
        <v>1007</v>
      </c>
      <c r="CK29" s="167" t="s">
        <v>521</v>
      </c>
      <c r="CL29" s="156">
        <f>VLOOKUP(1007,$CJ$59:$CQ$85,$DA$62+2)</f>
        <v>598120</v>
      </c>
      <c r="CM29" s="157" t="e">
        <f>-$CN$156</f>
        <v>#N/A</v>
      </c>
      <c r="CN29" s="160">
        <f>B21</f>
        <v>0</v>
      </c>
      <c r="CO29" s="1788">
        <f>CN29*CL29</f>
        <v>0</v>
      </c>
      <c r="CP29" s="1793"/>
      <c r="CQ29" s="1794"/>
      <c r="CR29" s="1791" t="e">
        <f>CO29*(1+CM29)</f>
        <v>#N/A</v>
      </c>
      <c r="CS29" s="1793"/>
      <c r="CT29" s="1795"/>
      <c r="CU29" s="931"/>
      <c r="CV29" s="163"/>
      <c r="CW29" s="163"/>
      <c r="CX29" s="924"/>
      <c r="CY29" s="924"/>
      <c r="CZ29" s="929"/>
      <c r="DA29" s="929"/>
      <c r="DB29" s="929"/>
      <c r="DC29" s="929"/>
      <c r="DD29" s="929"/>
      <c r="DE29" s="929"/>
      <c r="DF29" s="929"/>
      <c r="DG29" s="884"/>
      <c r="DI29" s="2766">
        <f>UNION!W35</f>
        <v>347500</v>
      </c>
      <c r="DJ29" s="902"/>
      <c r="DK29" s="902"/>
      <c r="DN29" s="903"/>
      <c r="DO29" s="903"/>
      <c r="DP29" s="903"/>
      <c r="DQ29" s="903"/>
      <c r="DR29" s="903"/>
      <c r="DS29" s="903"/>
      <c r="EB29" s="939"/>
      <c r="EC29" s="915" t="s">
        <v>3071</v>
      </c>
      <c r="ED29" s="904">
        <v>125</v>
      </c>
      <c r="EE29" s="3176">
        <v>52300</v>
      </c>
      <c r="EF29" s="2341"/>
      <c r="EG29" s="2341"/>
      <c r="EH29" s="2341"/>
      <c r="EI29" s="2341"/>
      <c r="EJ29" s="2341"/>
      <c r="EK29" s="2341"/>
      <c r="EL29" s="2341"/>
      <c r="EM29" s="2341"/>
      <c r="EN29" s="2341"/>
      <c r="EO29" s="2691">
        <f>$EE29</f>
        <v>52300</v>
      </c>
      <c r="EP29" s="1004"/>
      <c r="EQ29" s="1652">
        <f>Generali!BG31</f>
        <v>52300</v>
      </c>
      <c r="ER29" s="905">
        <v>2038</v>
      </c>
      <c r="ES29" s="906" t="s">
        <v>2838</v>
      </c>
      <c r="ET29" s="2686">
        <v>6</v>
      </c>
      <c r="EV29" s="985"/>
      <c r="EW29" s="985"/>
      <c r="EX29" s="915" t="s">
        <v>3071</v>
      </c>
      <c r="EY29" s="2690"/>
      <c r="EZ29" s="886"/>
    </row>
    <row r="30" spans="1:156" ht="20.25" thickTop="1" thickBot="1">
      <c r="A30" s="114" t="s">
        <v>148</v>
      </c>
      <c r="B30" s="620">
        <f t="shared" si="1"/>
        <v>0</v>
      </c>
      <c r="C30" s="587" t="e">
        <f>0.5508*(N30+O30+P30+Q30+R30+S30)+0.8137*(T30+U30+V30+W30)+X30+1.3206*(Y30+Z30+AA30+AB30)</f>
        <v>#VALUE!</v>
      </c>
      <c r="D30" s="284"/>
      <c r="E30" s="284"/>
      <c r="F30" s="836"/>
      <c r="G30" s="837"/>
      <c r="H30" s="837"/>
      <c r="I30" s="837"/>
      <c r="J30" s="837"/>
      <c r="K30" s="838"/>
      <c r="L30" s="1671"/>
      <c r="M30" s="1670"/>
      <c r="N30" s="510"/>
      <c r="O30" s="583"/>
      <c r="P30" s="599"/>
      <c r="Q30" s="2060" t="s">
        <v>1069</v>
      </c>
      <c r="R30" s="2061"/>
      <c r="S30" s="3062" t="s">
        <v>430</v>
      </c>
      <c r="T30" s="3507"/>
      <c r="U30" s="3507"/>
      <c r="V30" s="3507"/>
      <c r="W30" s="3508"/>
      <c r="X30" s="1868"/>
      <c r="Y30" s="1874"/>
      <c r="Z30" s="1875"/>
      <c r="AA30" s="582"/>
      <c r="AB30" s="548"/>
      <c r="AC30" s="371"/>
      <c r="AD30" s="371"/>
      <c r="AE30" s="107">
        <f>Allianz!AB26</f>
        <v>213106</v>
      </c>
      <c r="AF30" s="108"/>
      <c r="AG30" s="107"/>
      <c r="AH30" s="1033"/>
      <c r="AI30" s="108"/>
      <c r="AJ30" s="2815"/>
      <c r="AK30" s="2815"/>
      <c r="AL30" s="2815"/>
      <c r="AM30" s="112"/>
      <c r="AN30" s="112"/>
      <c r="AO30" s="1029"/>
      <c r="AP30" s="1029"/>
      <c r="AQ30" s="1029"/>
      <c r="AR30" s="1029"/>
      <c r="AS30" s="1029"/>
      <c r="AT30" s="1029"/>
      <c r="AU30" s="112"/>
      <c r="AV30" s="112"/>
      <c r="AW30" s="607"/>
      <c r="AX30" s="1166"/>
      <c r="AY30" s="1167"/>
      <c r="AZ30" s="225"/>
      <c r="BA30" s="112"/>
      <c r="BB30" s="1503"/>
      <c r="BC30" s="903"/>
      <c r="BD30" s="903"/>
      <c r="BE30" s="903"/>
      <c r="BF30" s="903"/>
      <c r="BG30" s="903"/>
      <c r="BH30" s="903"/>
      <c r="BI30" s="903"/>
      <c r="BJ30" s="903"/>
      <c r="BK30" s="903"/>
      <c r="BL30" s="903"/>
      <c r="BM30" s="903"/>
      <c r="BN30" s="903"/>
      <c r="BO30" s="903"/>
      <c r="BP30" s="903"/>
      <c r="BQ30" s="903"/>
      <c r="BR30" s="903"/>
      <c r="BS30" s="1776"/>
      <c r="BT30" s="1776"/>
      <c r="BU30" s="903"/>
      <c r="BV30" s="1776"/>
      <c r="BW30" s="1776"/>
      <c r="BX30" s="1462"/>
      <c r="BY30" s="231"/>
      <c r="BZ30" s="1769"/>
      <c r="CA30" s="1777"/>
      <c r="CB30" s="233"/>
      <c r="CC30" s="233"/>
      <c r="CD30" s="233"/>
      <c r="CE30" s="233"/>
      <c r="CF30" s="1173"/>
      <c r="CG30" s="1173"/>
      <c r="CH30" s="1173"/>
      <c r="CI30" s="1173"/>
      <c r="CJ30" s="957">
        <v>1008</v>
      </c>
      <c r="CK30" s="168" t="s">
        <v>522</v>
      </c>
      <c r="CL30" s="156">
        <f>VLOOKUP(1008,$CJ$59:$CQ$85,$DA$62+2)</f>
        <v>1071529</v>
      </c>
      <c r="CM30" s="157" t="e">
        <f>-$CN$156</f>
        <v>#N/A</v>
      </c>
      <c r="CN30" s="162">
        <f>B24</f>
        <v>0</v>
      </c>
      <c r="CO30" s="1788">
        <f>CN30*CL30</f>
        <v>0</v>
      </c>
      <c r="CP30" s="1799"/>
      <c r="CQ30" s="1800"/>
      <c r="CR30" s="1791" t="e">
        <f>CO30*(1+CM30)</f>
        <v>#N/A</v>
      </c>
      <c r="CS30" s="1799"/>
      <c r="CT30" s="1801"/>
      <c r="CU30" s="931"/>
      <c r="CV30" s="163"/>
      <c r="CW30" s="163"/>
      <c r="CX30" s="924"/>
      <c r="CY30" s="924"/>
      <c r="CZ30" s="929"/>
      <c r="DA30" s="929"/>
      <c r="DB30" s="929"/>
      <c r="DC30" s="929"/>
      <c r="DD30" s="929"/>
      <c r="DE30" s="929"/>
      <c r="DF30" s="929"/>
      <c r="DG30" s="884"/>
      <c r="DI30" s="2767"/>
      <c r="DJ30" s="902"/>
      <c r="DK30" s="902"/>
      <c r="EB30" s="939"/>
      <c r="EC30" s="915" t="s">
        <v>3073</v>
      </c>
      <c r="ED30" s="904">
        <v>126</v>
      </c>
      <c r="EE30" s="3178"/>
      <c r="EF30" s="2338"/>
      <c r="EG30" s="2338"/>
      <c r="EH30" s="2338"/>
      <c r="EI30" s="2338"/>
      <c r="EJ30" s="2338"/>
      <c r="EK30" s="2338"/>
      <c r="EL30" s="2338"/>
      <c r="EM30" s="2338"/>
      <c r="EN30" s="2338"/>
      <c r="EO30" s="1007"/>
      <c r="EP30" s="1004"/>
      <c r="EQ30" s="1653"/>
      <c r="ER30" s="905">
        <v>2039</v>
      </c>
      <c r="ES30" s="906" t="s">
        <v>2839</v>
      </c>
      <c r="ET30" s="2686">
        <v>6</v>
      </c>
      <c r="EV30" s="985"/>
      <c r="EW30" s="985"/>
      <c r="EX30" s="915" t="s">
        <v>3073</v>
      </c>
      <c r="EY30" s="2690"/>
      <c r="EZ30" s="886"/>
    </row>
    <row r="31" spans="1:156" ht="19.5" thickBot="1">
      <c r="A31" s="114" t="s">
        <v>491</v>
      </c>
      <c r="B31" s="620">
        <f t="shared" si="1"/>
        <v>0</v>
      </c>
      <c r="C31" s="587" t="e">
        <f>0.5508*(N31+O31+P31+Q31+R31+S31)+0.8137*(T31+U31+V31+W31)+X31+1.3206*(Y31+Z31+AA31+AB31)</f>
        <v>#VALUE!</v>
      </c>
      <c r="D31" s="284"/>
      <c r="E31" s="284"/>
      <c r="F31" s="836"/>
      <c r="G31" s="837"/>
      <c r="H31" s="837"/>
      <c r="I31" s="837"/>
      <c r="J31" s="837"/>
      <c r="K31" s="838"/>
      <c r="L31" s="1669"/>
      <c r="M31" s="1672">
        <v>0</v>
      </c>
      <c r="N31" s="510"/>
      <c r="O31" s="583"/>
      <c r="P31" s="599"/>
      <c r="Q31" s="2063">
        <f>B29</f>
        <v>0</v>
      </c>
      <c r="R31" s="2058" t="s">
        <v>1070</v>
      </c>
      <c r="S31" s="2058"/>
      <c r="T31" s="2059"/>
      <c r="U31" s="2059"/>
      <c r="V31" s="2059"/>
      <c r="W31" s="2062"/>
      <c r="X31" s="1868"/>
      <c r="Y31" s="1872"/>
      <c r="Z31" s="1873"/>
      <c r="AA31" s="510"/>
      <c r="AB31" s="584"/>
      <c r="AC31" s="370">
        <f>Wáberer!$H30</f>
        <v>250000</v>
      </c>
      <c r="AD31" s="460">
        <f>CIG!H29</f>
        <v>4415040</v>
      </c>
      <c r="AE31" s="107">
        <f>Allianz!AB27</f>
        <v>505779</v>
      </c>
      <c r="AF31" s="107">
        <f>Signal!H30</f>
        <v>3780000</v>
      </c>
      <c r="AG31" s="107"/>
      <c r="AH31" s="1033"/>
      <c r="AI31" s="107">
        <f>IF(KÉRDÉSEK!$C$5=KÉRDÉSEK!$C$10,NDK!$AL31,IF($AM$438=1,$AJ31,$AK31))</f>
        <v>3000000</v>
      </c>
      <c r="AJ31" s="2814">
        <v>3000000</v>
      </c>
      <c r="AK31" s="2814">
        <v>3000000</v>
      </c>
      <c r="AL31" s="2814">
        <v>3000000</v>
      </c>
      <c r="AM31" s="109">
        <f>IF(KÉRDÉSEK!$C$259=KÉRDÉSEK!$F$259,NDK!$EQ31,NDK!$EO31)</f>
        <v>1000000</v>
      </c>
      <c r="AN31" s="109">
        <f>CIG!H29</f>
        <v>4415040</v>
      </c>
      <c r="AO31" s="1029"/>
      <c r="AP31" s="1029"/>
      <c r="AQ31" s="1029"/>
      <c r="AR31" s="1029"/>
      <c r="AS31" s="1029"/>
      <c r="AT31" s="1029"/>
      <c r="AU31" s="109">
        <f>GROUPAMA!$Q31</f>
        <v>2400000</v>
      </c>
      <c r="AV31" s="109"/>
      <c r="AW31" s="606"/>
      <c r="AX31" s="1166"/>
      <c r="AY31" s="1167"/>
      <c r="AZ31" s="224">
        <f>$CL$42</f>
        <v>1639963</v>
      </c>
      <c r="BA31" s="109">
        <f>UNION!AB37</f>
        <v>4160000</v>
      </c>
      <c r="BB31" s="1501">
        <f>Posta!B28</f>
        <v>9740260</v>
      </c>
      <c r="BC31" s="903"/>
      <c r="BD31" s="903"/>
      <c r="BE31" s="903"/>
      <c r="BF31" s="903"/>
      <c r="BG31" s="903"/>
      <c r="BH31" s="903"/>
      <c r="BI31" s="903"/>
      <c r="BJ31" s="903"/>
      <c r="BK31" s="903"/>
      <c r="BL31" s="903"/>
      <c r="BM31" s="903"/>
      <c r="BN31" s="903"/>
      <c r="BO31" s="903"/>
      <c r="BP31" s="903"/>
      <c r="BQ31" s="903"/>
      <c r="BR31" s="903"/>
      <c r="BS31" s="1776"/>
      <c r="BT31" s="1776"/>
      <c r="BU31" s="903"/>
      <c r="BV31" s="1776"/>
      <c r="BW31" s="1776"/>
      <c r="BX31" s="1462"/>
      <c r="BY31" s="231"/>
      <c r="BZ31" s="1769"/>
      <c r="CA31" s="1777"/>
      <c r="CB31" s="233"/>
      <c r="CC31" s="233"/>
      <c r="CD31" s="233"/>
      <c r="CE31" s="233"/>
      <c r="CF31" s="1173"/>
      <c r="CG31" s="1173"/>
      <c r="CH31" s="1173"/>
      <c r="CI31" s="1173"/>
      <c r="CJ31" s="957"/>
      <c r="CK31" s="164" t="s">
        <v>523</v>
      </c>
      <c r="CL31" s="1802"/>
      <c r="CM31" s="165"/>
      <c r="CN31" s="166"/>
      <c r="CO31" s="1808"/>
      <c r="CP31" s="1809"/>
      <c r="CQ31" s="1810"/>
      <c r="CR31" s="1791"/>
      <c r="CS31" s="1804"/>
      <c r="CT31" s="1806"/>
      <c r="CU31" s="1807"/>
      <c r="CV31" s="163"/>
      <c r="CW31" s="163"/>
      <c r="CX31" s="924"/>
      <c r="CY31" s="924"/>
      <c r="CZ31" s="929"/>
      <c r="DA31" s="929"/>
      <c r="DB31" s="929"/>
      <c r="DC31" s="929"/>
      <c r="DD31" s="929"/>
      <c r="DE31" s="929"/>
      <c r="DF31" s="929"/>
      <c r="DG31" s="884"/>
      <c r="DI31" s="2766">
        <f>UNION!W37</f>
        <v>2080000</v>
      </c>
      <c r="DJ31" s="902"/>
      <c r="DK31" s="902"/>
      <c r="EB31" s="939"/>
      <c r="EC31" s="915" t="s">
        <v>491</v>
      </c>
      <c r="ED31" s="904">
        <v>127</v>
      </c>
      <c r="EE31" s="3175">
        <v>1000000</v>
      </c>
      <c r="EF31" s="2340"/>
      <c r="EG31" s="2340"/>
      <c r="EH31" s="2340"/>
      <c r="EI31" s="2340"/>
      <c r="EJ31" s="2340"/>
      <c r="EK31" s="2340"/>
      <c r="EL31" s="2340"/>
      <c r="EM31" s="2340"/>
      <c r="EN31" s="2665"/>
      <c r="EO31" s="2691">
        <f t="shared" ref="EO31:EO37" si="5">$EE31</f>
        <v>1000000</v>
      </c>
      <c r="EP31" s="1004"/>
      <c r="EQ31" s="1652">
        <f>Generali!BG27</f>
        <v>1000000</v>
      </c>
      <c r="ER31" s="905">
        <v>2040</v>
      </c>
      <c r="ES31" s="906" t="s">
        <v>2840</v>
      </c>
      <c r="ET31" s="2686">
        <v>2</v>
      </c>
      <c r="EU31" s="895">
        <v>1</v>
      </c>
      <c r="EV31" s="985"/>
      <c r="EW31" s="985"/>
      <c r="EX31" s="915" t="s">
        <v>491</v>
      </c>
      <c r="EY31" s="2690"/>
      <c r="EZ31" s="886"/>
    </row>
    <row r="32" spans="1:156" ht="19.5" thickBot="1">
      <c r="A32" s="114" t="s">
        <v>492</v>
      </c>
      <c r="B32" s="620">
        <f t="shared" si="1"/>
        <v>0</v>
      </c>
      <c r="C32" s="587" t="e">
        <f t="shared" ref="C32:C38" si="6">0.5508*(N32+O32+P32+Q32+R32+S32)+0.8137*(T32+U32+V32+W32)+X32+1.3206*(Y32+Z32+AA32+AB32)</f>
        <v>#VALUE!</v>
      </c>
      <c r="D32" s="284"/>
      <c r="E32" s="284"/>
      <c r="F32" s="836"/>
      <c r="G32" s="837"/>
      <c r="H32" s="837"/>
      <c r="I32" s="837"/>
      <c r="J32" s="837"/>
      <c r="K32" s="838"/>
      <c r="L32" s="1669"/>
      <c r="M32" s="1672">
        <v>0</v>
      </c>
      <c r="N32" s="510"/>
      <c r="O32" s="583"/>
      <c r="P32" s="599"/>
      <c r="Q32" s="2064">
        <f>W29</f>
        <v>0</v>
      </c>
      <c r="R32" s="2058" t="s">
        <v>1071</v>
      </c>
      <c r="S32" s="2058"/>
      <c r="T32" s="2057"/>
      <c r="U32" s="2057"/>
      <c r="V32" s="2057"/>
      <c r="W32" s="2065"/>
      <c r="X32" s="1868"/>
      <c r="Y32" s="1872"/>
      <c r="Z32" s="1873"/>
      <c r="AA32" s="510"/>
      <c r="AB32" s="584"/>
      <c r="AC32" s="370">
        <f>Wáberer!$H31</f>
        <v>250000</v>
      </c>
      <c r="AD32" s="460">
        <f>CIG!H30</f>
        <v>4415040</v>
      </c>
      <c r="AE32" s="107">
        <f>Allianz!AB28</f>
        <v>505779</v>
      </c>
      <c r="AF32" s="107">
        <f>Signal!H31</f>
        <v>3780000</v>
      </c>
      <c r="AG32" s="107"/>
      <c r="AH32" s="1033"/>
      <c r="AI32" s="107">
        <f>IF(KÉRDÉSEK!$C$5=KÉRDÉSEK!$C$10,NDK!$AL32,IF($AM$438=1,$AJ32,$AK32))</f>
        <v>3000000</v>
      </c>
      <c r="AJ32" s="2814">
        <v>3000000</v>
      </c>
      <c r="AK32" s="2814">
        <v>3000000</v>
      </c>
      <c r="AL32" s="2814">
        <v>3000000</v>
      </c>
      <c r="AM32" s="109">
        <f>IF(KÉRDÉSEK!$C$259=KÉRDÉSEK!$F$259,NDK!$EQ32,NDK!$EO32)</f>
        <v>1000000</v>
      </c>
      <c r="AN32" s="109">
        <f>CIG!H30</f>
        <v>4415040</v>
      </c>
      <c r="AO32" s="1029"/>
      <c r="AP32" s="1029"/>
      <c r="AQ32" s="1029"/>
      <c r="AR32" s="1029"/>
      <c r="AS32" s="1029"/>
      <c r="AT32" s="1029"/>
      <c r="AU32" s="109">
        <f>GROUPAMA!$Q32</f>
        <v>2400000</v>
      </c>
      <c r="AV32" s="109"/>
      <c r="AW32" s="606"/>
      <c r="AX32" s="1166"/>
      <c r="AY32" s="1167"/>
      <c r="AZ32" s="224">
        <f>$CL$42</f>
        <v>1639963</v>
      </c>
      <c r="BA32" s="109">
        <f>UNION!AC38</f>
        <v>0</v>
      </c>
      <c r="BB32" s="1501">
        <f>Posta!B29</f>
        <v>9740260</v>
      </c>
      <c r="BC32" s="903"/>
      <c r="BD32" s="903"/>
      <c r="BE32" s="903"/>
      <c r="BF32" s="903"/>
      <c r="BG32" s="903"/>
      <c r="BH32" s="903"/>
      <c r="BI32" s="903"/>
      <c r="BJ32" s="903"/>
      <c r="BK32" s="903"/>
      <c r="BL32" s="903"/>
      <c r="BM32" s="903"/>
      <c r="BN32" s="903"/>
      <c r="BO32" s="903"/>
      <c r="BP32" s="903"/>
      <c r="BQ32" s="903"/>
      <c r="BR32" s="903"/>
      <c r="BS32" s="1776"/>
      <c r="BT32" s="1776"/>
      <c r="BU32" s="903"/>
      <c r="BV32" s="1776"/>
      <c r="BW32" s="1776"/>
      <c r="BX32" s="1462"/>
      <c r="BY32" s="231"/>
      <c r="BZ32" s="1769"/>
      <c r="CA32" s="1777"/>
      <c r="CB32" s="233"/>
      <c r="CC32" s="233"/>
      <c r="CD32" s="233"/>
      <c r="CE32" s="233"/>
      <c r="CF32" s="1173"/>
      <c r="CG32" s="1173"/>
      <c r="CH32" s="1173"/>
      <c r="CI32" s="1173"/>
      <c r="CJ32" s="957">
        <v>1009</v>
      </c>
      <c r="CK32" s="167" t="s">
        <v>524</v>
      </c>
      <c r="CL32" s="156">
        <f>VLOOKUP(1009,$CJ$59:$CQ$85,$DA$62+2)</f>
        <v>244735</v>
      </c>
      <c r="CM32" s="157" t="e">
        <f>-$CN$156</f>
        <v>#N/A</v>
      </c>
      <c r="CN32" s="160">
        <f>B44</f>
        <v>0</v>
      </c>
      <c r="CO32" s="1788">
        <f>CN32*CL32</f>
        <v>0</v>
      </c>
      <c r="CP32" s="1793"/>
      <c r="CQ32" s="1794"/>
      <c r="CR32" s="1791" t="e">
        <f t="shared" ref="CR32:CR52" si="7">CO32*(1+CM32)</f>
        <v>#N/A</v>
      </c>
      <c r="CS32" s="1793"/>
      <c r="CT32" s="1795"/>
      <c r="CU32" s="931"/>
      <c r="CV32" s="163"/>
      <c r="CW32" s="163"/>
      <c r="CX32" s="924"/>
      <c r="CY32" s="924"/>
      <c r="CZ32" s="929"/>
      <c r="DA32" s="929"/>
      <c r="DB32" s="929"/>
      <c r="DC32" s="929"/>
      <c r="DD32" s="929"/>
      <c r="DE32" s="929"/>
      <c r="DF32" s="929"/>
      <c r="DG32" s="884"/>
      <c r="DI32" s="2766">
        <f>UNION!W38</f>
        <v>2080000</v>
      </c>
      <c r="DJ32" s="902"/>
      <c r="DK32" s="902"/>
      <c r="EB32" s="939"/>
      <c r="EC32" s="915" t="s">
        <v>492</v>
      </c>
      <c r="ED32" s="904">
        <v>128</v>
      </c>
      <c r="EE32" s="3175">
        <v>1000000</v>
      </c>
      <c r="EF32" s="2340"/>
      <c r="EG32" s="2340"/>
      <c r="EH32" s="2340"/>
      <c r="EI32" s="2340"/>
      <c r="EJ32" s="2340"/>
      <c r="EK32" s="2340"/>
      <c r="EL32" s="2340"/>
      <c r="EM32" s="2340"/>
      <c r="EN32" s="2665"/>
      <c r="EO32" s="2691">
        <f t="shared" si="5"/>
        <v>1000000</v>
      </c>
      <c r="EP32" s="1004"/>
      <c r="EQ32" s="1652">
        <f>Generali!BG27</f>
        <v>1000000</v>
      </c>
      <c r="ER32" s="905">
        <v>2042</v>
      </c>
      <c r="ES32" s="930" t="s">
        <v>2384</v>
      </c>
      <c r="ET32" s="2686">
        <v>9</v>
      </c>
      <c r="EU32" s="895">
        <v>1</v>
      </c>
      <c r="EV32" s="985"/>
      <c r="EW32" s="985"/>
      <c r="EX32" s="915" t="s">
        <v>492</v>
      </c>
      <c r="EY32" s="2690"/>
      <c r="EZ32" s="886"/>
    </row>
    <row r="33" spans="1:156" ht="19.5" thickBot="1">
      <c r="A33" s="114" t="s">
        <v>1179</v>
      </c>
      <c r="B33" s="620">
        <f t="shared" si="1"/>
        <v>0</v>
      </c>
      <c r="C33" s="587" t="e">
        <f t="shared" si="6"/>
        <v>#VALUE!</v>
      </c>
      <c r="D33" s="284"/>
      <c r="E33" s="284"/>
      <c r="F33" s="836"/>
      <c r="G33" s="839"/>
      <c r="H33" s="839"/>
      <c r="I33" s="839"/>
      <c r="J33" s="839"/>
      <c r="K33" s="840"/>
      <c r="L33" s="1669"/>
      <c r="M33" s="1670"/>
      <c r="N33" s="510"/>
      <c r="O33" s="583"/>
      <c r="P33" s="599"/>
      <c r="Q33" s="2066">
        <f>M29</f>
        <v>0</v>
      </c>
      <c r="R33" s="2057" t="s">
        <v>1072</v>
      </c>
      <c r="S33" s="2057"/>
      <c r="T33" s="2057"/>
      <c r="U33" s="2057"/>
      <c r="V33" s="2057"/>
      <c r="W33" s="2065"/>
      <c r="X33" s="1868"/>
      <c r="Y33" s="1872"/>
      <c r="Z33" s="1873"/>
      <c r="AA33" s="510"/>
      <c r="AB33" s="584"/>
      <c r="AC33" s="370">
        <f>Wáberer!$H32</f>
        <v>15744</v>
      </c>
      <c r="AD33" s="460">
        <f>CIG!H31</f>
        <v>219240</v>
      </c>
      <c r="AE33" s="107">
        <f>Allianz!AB29</f>
        <v>27084</v>
      </c>
      <c r="AF33" s="107">
        <f>Signal!H32</f>
        <v>32400</v>
      </c>
      <c r="AG33" s="107"/>
      <c r="AH33" s="1033"/>
      <c r="AI33" s="107">
        <f>IF(KÉRDÉSEK!$C$5=KÉRDÉSEK!$C$10,NDK!$AL33,IF($AM$438=1,$AJ33,$AK33))</f>
        <v>38400</v>
      </c>
      <c r="AJ33" s="2814">
        <v>38400</v>
      </c>
      <c r="AK33" s="2814">
        <v>38400</v>
      </c>
      <c r="AL33" s="2814">
        <v>38400</v>
      </c>
      <c r="AM33" s="109">
        <f>IF(KÉRDÉSEK!$C$259=KÉRDÉSEK!$F$259,NDK!$EQ33,NDK!$EO33)</f>
        <v>47100</v>
      </c>
      <c r="AN33" s="109">
        <f>CIG!H31</f>
        <v>219240</v>
      </c>
      <c r="AO33" s="1029"/>
      <c r="AP33" s="1029"/>
      <c r="AQ33" s="1029"/>
      <c r="AR33" s="1029"/>
      <c r="AS33" s="1029"/>
      <c r="AT33" s="1029"/>
      <c r="AU33" s="109">
        <f>GROUPAMA!$Q33</f>
        <v>33384</v>
      </c>
      <c r="AV33" s="109"/>
      <c r="AW33" s="606"/>
      <c r="AX33" s="1166"/>
      <c r="AY33" s="1167"/>
      <c r="AZ33" s="224">
        <f>$CL$43</f>
        <v>75241</v>
      </c>
      <c r="BA33" s="109">
        <f>UNION!AB39</f>
        <v>52492.44</v>
      </c>
      <c r="BB33" s="1501">
        <f>Posta!B30</f>
        <v>31974</v>
      </c>
      <c r="BC33" s="903"/>
      <c r="BD33" s="903"/>
      <c r="BE33" s="903"/>
      <c r="BF33" s="903"/>
      <c r="BG33" s="903"/>
      <c r="BH33" s="903"/>
      <c r="BI33" s="903"/>
      <c r="BJ33" s="903"/>
      <c r="BK33" s="903"/>
      <c r="BL33" s="903"/>
      <c r="BM33" s="903"/>
      <c r="BN33" s="903"/>
      <c r="BO33" s="903"/>
      <c r="BP33" s="903"/>
      <c r="BQ33" s="903"/>
      <c r="BR33" s="903"/>
      <c r="BS33" s="1776"/>
      <c r="BT33" s="1776"/>
      <c r="BU33" s="903"/>
      <c r="BV33" s="1776"/>
      <c r="BW33" s="1776"/>
      <c r="BX33" s="1462"/>
      <c r="BY33" s="231"/>
      <c r="BZ33" s="1769"/>
      <c r="CA33" s="1777"/>
      <c r="CB33" s="233"/>
      <c r="CC33" s="233"/>
      <c r="CD33" s="233"/>
      <c r="CE33" s="233"/>
      <c r="CF33" s="1173"/>
      <c r="CG33" s="1173"/>
      <c r="CH33" s="1173"/>
      <c r="CI33" s="1173"/>
      <c r="CJ33" s="957">
        <v>1010</v>
      </c>
      <c r="CK33" s="167" t="s">
        <v>525</v>
      </c>
      <c r="CL33" s="156">
        <f>VLOOKUP(1010,$CJ$59:$CQ$85,$DA$62+2)</f>
        <v>470218</v>
      </c>
      <c r="CM33" s="157" t="e">
        <f>-$CN$156</f>
        <v>#N/A</v>
      </c>
      <c r="CN33" s="160">
        <f>B45</f>
        <v>0</v>
      </c>
      <c r="CO33" s="1788">
        <f>CN33*CL33</f>
        <v>0</v>
      </c>
      <c r="CP33" s="1793"/>
      <c r="CQ33" s="1794"/>
      <c r="CR33" s="1791" t="e">
        <f t="shared" si="7"/>
        <v>#N/A</v>
      </c>
      <c r="CS33" s="1793"/>
      <c r="CT33" s="1795"/>
      <c r="CU33" s="931"/>
      <c r="CV33" s="163"/>
      <c r="CW33" s="163"/>
      <c r="CX33" s="924"/>
      <c r="CY33" s="924"/>
      <c r="CZ33" s="929"/>
      <c r="DA33" s="929"/>
      <c r="DB33" s="929"/>
      <c r="DC33" s="929"/>
      <c r="DD33" s="929"/>
      <c r="DE33" s="929"/>
      <c r="DF33" s="929"/>
      <c r="DG33" s="884"/>
      <c r="DI33" s="2766">
        <f>UNION!W39</f>
        <v>41860</v>
      </c>
      <c r="DJ33" s="902"/>
      <c r="DK33" s="902"/>
      <c r="DO33" s="903"/>
      <c r="DP33" s="903"/>
      <c r="DQ33" s="903"/>
      <c r="DR33" s="903"/>
      <c r="EB33" s="939"/>
      <c r="EC33" s="915" t="s">
        <v>1179</v>
      </c>
      <c r="ED33" s="904">
        <v>129</v>
      </c>
      <c r="EE33" s="3175">
        <v>47100</v>
      </c>
      <c r="EF33" s="2340"/>
      <c r="EG33" s="2340"/>
      <c r="EH33" s="2340"/>
      <c r="EI33" s="2340"/>
      <c r="EJ33" s="2340"/>
      <c r="EK33" s="2340"/>
      <c r="EL33" s="2340"/>
      <c r="EM33" s="2340"/>
      <c r="EN33" s="2665"/>
      <c r="EO33" s="2691">
        <f t="shared" si="5"/>
        <v>47100</v>
      </c>
      <c r="EP33" s="1004"/>
      <c r="EQ33" s="1652">
        <f>Generali!BG32</f>
        <v>21200</v>
      </c>
      <c r="ER33" s="905">
        <v>2045</v>
      </c>
      <c r="ES33" s="906" t="s">
        <v>2385</v>
      </c>
      <c r="ET33" s="2686">
        <v>2</v>
      </c>
      <c r="EV33" s="985"/>
      <c r="EW33" s="985"/>
      <c r="EX33" s="915" t="s">
        <v>1179</v>
      </c>
      <c r="EY33" s="2690"/>
      <c r="EZ33" s="886"/>
    </row>
    <row r="34" spans="1:156" ht="20.25" customHeight="1" thickTop="1" thickBot="1">
      <c r="A34" s="114" t="s">
        <v>3074</v>
      </c>
      <c r="B34" s="620">
        <f t="shared" si="1"/>
        <v>0</v>
      </c>
      <c r="C34" s="587" t="e">
        <f t="shared" si="6"/>
        <v>#VALUE!</v>
      </c>
      <c r="D34" s="284"/>
      <c r="E34" s="284"/>
      <c r="F34" s="836"/>
      <c r="G34" s="3491" t="s">
        <v>5122</v>
      </c>
      <c r="H34" s="3492"/>
      <c r="I34" s="3492"/>
      <c r="J34" s="3492"/>
      <c r="K34" s="3493"/>
      <c r="L34" s="1669"/>
      <c r="M34" s="1670"/>
      <c r="N34" s="510"/>
      <c r="O34" s="583"/>
      <c r="P34" s="599"/>
      <c r="Q34" s="2067">
        <f>L29-W29</f>
        <v>0</v>
      </c>
      <c r="R34" s="2057" t="s">
        <v>4809</v>
      </c>
      <c r="S34" s="2057"/>
      <c r="T34" s="2057"/>
      <c r="U34" s="2057"/>
      <c r="V34" s="2057"/>
      <c r="W34" s="2065"/>
      <c r="X34" s="1868"/>
      <c r="Y34" s="1872"/>
      <c r="Z34" s="1873"/>
      <c r="AA34" s="510"/>
      <c r="AB34" s="584"/>
      <c r="AC34" s="370">
        <f>Wáberer!$H33</f>
        <v>9804</v>
      </c>
      <c r="AD34" s="460">
        <f>CIG!H32</f>
        <v>93240</v>
      </c>
      <c r="AE34" s="107">
        <f>Allianz!AB30</f>
        <v>13964</v>
      </c>
      <c r="AF34" s="107">
        <f>Signal!H33</f>
        <v>16560</v>
      </c>
      <c r="AG34" s="107"/>
      <c r="AH34" s="1033"/>
      <c r="AI34" s="107">
        <f>IF(KÉRDÉSEK!$C$5=KÉRDÉSEK!$C$10,NDK!$AL34,IF($AM$438=1,$AJ34,$AK34))</f>
        <v>17300</v>
      </c>
      <c r="AJ34" s="2814">
        <v>17300</v>
      </c>
      <c r="AK34" s="2814">
        <v>17300</v>
      </c>
      <c r="AL34" s="2816">
        <v>5304</v>
      </c>
      <c r="AM34" s="109">
        <f>IF(KÉRDÉSEK!$C$259=KÉRDÉSEK!$F$259,NDK!$EQ34,NDK!$EO34)</f>
        <v>19000</v>
      </c>
      <c r="AN34" s="109">
        <f>CIG!H32</f>
        <v>93240</v>
      </c>
      <c r="AO34" s="1029"/>
      <c r="AP34" s="1029"/>
      <c r="AQ34" s="1029"/>
      <c r="AR34" s="1029"/>
      <c r="AS34" s="1029"/>
      <c r="AT34" s="1029"/>
      <c r="AU34" s="109">
        <f>GROUPAMA!$Q34</f>
        <v>19836</v>
      </c>
      <c r="AV34" s="109"/>
      <c r="AW34" s="606"/>
      <c r="AX34" s="1166"/>
      <c r="AY34" s="1167"/>
      <c r="AZ34" s="224">
        <f>$CL$37</f>
        <v>18019</v>
      </c>
      <c r="BA34" s="109">
        <f>UNION!AB40</f>
        <v>10408.200000000001</v>
      </c>
      <c r="BB34" s="1501">
        <f>Posta!B31</f>
        <v>23221</v>
      </c>
      <c r="BC34" s="903"/>
      <c r="BD34" s="903"/>
      <c r="BE34" s="903"/>
      <c r="BF34" s="903"/>
      <c r="BG34" s="903"/>
      <c r="BH34" s="903"/>
      <c r="BI34" s="903"/>
      <c r="BJ34" s="903"/>
      <c r="BK34" s="903"/>
      <c r="BL34" s="903"/>
      <c r="BM34" s="903"/>
      <c r="BN34" s="903"/>
      <c r="BO34" s="903"/>
      <c r="BP34" s="903"/>
      <c r="BQ34" s="903"/>
      <c r="BR34" s="903"/>
      <c r="BS34" s="1776"/>
      <c r="BT34" s="1776"/>
      <c r="BU34" s="903"/>
      <c r="BV34" s="1776"/>
      <c r="BW34" s="1776"/>
      <c r="BX34" s="1462"/>
      <c r="BY34" s="231"/>
      <c r="BZ34" s="1769"/>
      <c r="CA34" s="1777"/>
      <c r="CB34" s="233"/>
      <c r="CC34" s="233"/>
      <c r="CD34" s="233"/>
      <c r="CE34" s="233"/>
      <c r="CF34" s="1173"/>
      <c r="CG34" s="1173"/>
      <c r="CH34" s="1173"/>
      <c r="CI34" s="1173"/>
      <c r="CJ34" s="957">
        <v>1011</v>
      </c>
      <c r="CK34" s="169" t="s">
        <v>382</v>
      </c>
      <c r="CL34" s="156">
        <f>VLOOKUP(1011,$CJ$59:$CQ$85,$DA$62+2)</f>
        <v>687920</v>
      </c>
      <c r="CM34" s="157" t="e">
        <f>-$CN$156</f>
        <v>#N/A</v>
      </c>
      <c r="CN34" s="170">
        <f>B46</f>
        <v>0</v>
      </c>
      <c r="CO34" s="1788">
        <f>CN34*CL34</f>
        <v>0</v>
      </c>
      <c r="CP34" s="1811"/>
      <c r="CQ34" s="1812"/>
      <c r="CR34" s="1791" t="e">
        <f t="shared" si="7"/>
        <v>#N/A</v>
      </c>
      <c r="CS34" s="1793"/>
      <c r="CT34" s="1795"/>
      <c r="CU34" s="931"/>
      <c r="CV34" s="163"/>
      <c r="CW34" s="163"/>
      <c r="CX34" s="924"/>
      <c r="CY34" s="924"/>
      <c r="CZ34" s="929"/>
      <c r="DA34" s="929"/>
      <c r="DB34" s="929"/>
      <c r="DC34" s="929"/>
      <c r="DD34" s="929"/>
      <c r="DE34" s="929"/>
      <c r="DF34" s="929"/>
      <c r="DG34" s="884"/>
      <c r="DI34" s="2766">
        <f>UNION!W40</f>
        <v>8300</v>
      </c>
      <c r="DJ34" s="902"/>
      <c r="DK34" s="902"/>
      <c r="DO34" s="903"/>
      <c r="DP34" s="903"/>
      <c r="DQ34" s="903"/>
      <c r="DR34" s="903"/>
      <c r="EB34" s="939"/>
      <c r="EC34" s="915" t="s">
        <v>3074</v>
      </c>
      <c r="ED34" s="904">
        <v>130</v>
      </c>
      <c r="EE34" s="3175">
        <v>19000</v>
      </c>
      <c r="EF34" s="2340"/>
      <c r="EG34" s="2340"/>
      <c r="EH34" s="2340"/>
      <c r="EI34" s="2340"/>
      <c r="EJ34" s="2340"/>
      <c r="EK34" s="2340"/>
      <c r="EL34" s="2340"/>
      <c r="EM34" s="2340"/>
      <c r="EN34" s="2665"/>
      <c r="EO34" s="2691">
        <f t="shared" si="5"/>
        <v>19000</v>
      </c>
      <c r="EP34" s="1004"/>
      <c r="EQ34" s="1652">
        <f>Generali!BG13</f>
        <v>19000</v>
      </c>
      <c r="ER34" s="905">
        <v>2049</v>
      </c>
      <c r="ES34" s="906" t="s">
        <v>2842</v>
      </c>
      <c r="ET34" s="2686">
        <v>2</v>
      </c>
      <c r="EU34" s="895">
        <v>1</v>
      </c>
      <c r="EV34" s="985"/>
      <c r="EW34" s="985"/>
      <c r="EX34" s="915" t="s">
        <v>3074</v>
      </c>
      <c r="EY34" s="2690"/>
      <c r="EZ34" s="886"/>
    </row>
    <row r="35" spans="1:156" ht="19.5" thickBot="1">
      <c r="A35" s="114" t="s">
        <v>1234</v>
      </c>
      <c r="B35" s="620">
        <f t="shared" si="1"/>
        <v>0</v>
      </c>
      <c r="C35" s="587" t="e">
        <f t="shared" si="6"/>
        <v>#VALUE!</v>
      </c>
      <c r="D35" s="284"/>
      <c r="E35" s="284"/>
      <c r="F35" s="836"/>
      <c r="G35" s="3494"/>
      <c r="H35" s="3495"/>
      <c r="I35" s="3495"/>
      <c r="J35" s="3495"/>
      <c r="K35" s="3496"/>
      <c r="L35" s="1669"/>
      <c r="M35" s="1670"/>
      <c r="N35" s="510"/>
      <c r="O35" s="583"/>
      <c r="P35" s="599"/>
      <c r="Q35" s="2066">
        <f>B29-M29-L29-W27</f>
        <v>0</v>
      </c>
      <c r="R35" s="2644" t="s">
        <v>5318</v>
      </c>
      <c r="S35" s="2057"/>
      <c r="T35" s="2057"/>
      <c r="U35" s="2057"/>
      <c r="V35" s="2057"/>
      <c r="W35" s="2065"/>
      <c r="X35" s="1868"/>
      <c r="Y35" s="1872"/>
      <c r="Z35" s="1873"/>
      <c r="AA35" s="510"/>
      <c r="AB35" s="584"/>
      <c r="AC35" s="370">
        <f>Wáberer!$H34</f>
        <v>9804</v>
      </c>
      <c r="AD35" s="460">
        <f>CIG!H33</f>
        <v>241920</v>
      </c>
      <c r="AE35" s="107">
        <f>Allianz!AB31</f>
        <v>15547</v>
      </c>
      <c r="AF35" s="107">
        <f>Signal!H34</f>
        <v>22320</v>
      </c>
      <c r="AG35" s="107"/>
      <c r="AH35" s="1033"/>
      <c r="AI35" s="107">
        <f>IF(KÉRDÉSEK!$C$5=KÉRDÉSEK!$C$10,NDK!$AL35,IF($AM$438=1,$AJ35,$AK35))</f>
        <v>23100</v>
      </c>
      <c r="AJ35" s="2814">
        <v>23100</v>
      </c>
      <c r="AK35" s="2814">
        <v>23100</v>
      </c>
      <c r="AL35" s="2816">
        <v>6696</v>
      </c>
      <c r="AM35" s="109">
        <f>IF(KÉRDÉSEK!$C$259=KÉRDÉSEK!$F$259,NDK!$EQ35,NDK!$EO35)</f>
        <v>30300</v>
      </c>
      <c r="AN35" s="109">
        <f>CIG!H33</f>
        <v>241920</v>
      </c>
      <c r="AO35" s="1029"/>
      <c r="AP35" s="1029"/>
      <c r="AQ35" s="1029"/>
      <c r="AR35" s="1029"/>
      <c r="AS35" s="1029"/>
      <c r="AT35" s="1029"/>
      <c r="AU35" s="109">
        <f>GROUPAMA!$Q35</f>
        <v>26412</v>
      </c>
      <c r="AV35" s="109"/>
      <c r="AW35" s="606"/>
      <c r="AX35" s="1166"/>
      <c r="AY35" s="1167"/>
      <c r="AZ35" s="224">
        <f>$CL$39</f>
        <v>25626</v>
      </c>
      <c r="BA35" s="109">
        <f>UNION!AB41</f>
        <v>17179.8</v>
      </c>
      <c r="BB35" s="1501">
        <f>Posta!B32</f>
        <v>34727</v>
      </c>
      <c r="BC35" s="903"/>
      <c r="BD35" s="903"/>
      <c r="BE35" s="903"/>
      <c r="BF35" s="903"/>
      <c r="BG35" s="903"/>
      <c r="BH35" s="903"/>
      <c r="BI35" s="903"/>
      <c r="BJ35" s="903"/>
      <c r="BK35" s="903"/>
      <c r="BL35" s="903"/>
      <c r="BM35" s="903"/>
      <c r="BN35" s="903"/>
      <c r="BO35" s="903"/>
      <c r="BP35" s="903"/>
      <c r="BQ35" s="903"/>
      <c r="BR35" s="903"/>
      <c r="BS35" s="1776"/>
      <c r="BT35" s="1776"/>
      <c r="BU35" s="903"/>
      <c r="BV35" s="1776"/>
      <c r="BW35" s="1776"/>
      <c r="BX35" s="1462"/>
      <c r="BY35" s="231"/>
      <c r="BZ35" s="1769"/>
      <c r="CA35" s="1777"/>
      <c r="CB35" s="233"/>
      <c r="CC35" s="233"/>
      <c r="CD35" s="233"/>
      <c r="CE35" s="233"/>
      <c r="CF35" s="1173"/>
      <c r="CG35" s="1173"/>
      <c r="CH35" s="1173"/>
      <c r="CI35" s="1173"/>
      <c r="CJ35" s="957">
        <v>1012</v>
      </c>
      <c r="CK35" s="168" t="s">
        <v>383</v>
      </c>
      <c r="CL35" s="156">
        <f>VLOOKUP(1012,$CJ$59:$CQ$85,$DA$62+2)</f>
        <v>805399</v>
      </c>
      <c r="CM35" s="157" t="e">
        <f>-$CN$156</f>
        <v>#N/A</v>
      </c>
      <c r="CN35" s="162">
        <f>B47</f>
        <v>0</v>
      </c>
      <c r="CO35" s="1788">
        <f>CN35*CL35</f>
        <v>0</v>
      </c>
      <c r="CP35" s="1799"/>
      <c r="CQ35" s="1800"/>
      <c r="CR35" s="1791" t="e">
        <f t="shared" si="7"/>
        <v>#N/A</v>
      </c>
      <c r="CS35" s="1799"/>
      <c r="CT35" s="1801"/>
      <c r="CU35" s="931"/>
      <c r="CV35" s="163"/>
      <c r="CW35" s="163"/>
      <c r="CX35" s="924"/>
      <c r="CY35" s="924"/>
      <c r="CZ35" s="929"/>
      <c r="DA35" s="929"/>
      <c r="DB35" s="929"/>
      <c r="DC35" s="929"/>
      <c r="DD35" s="929"/>
      <c r="DE35" s="929"/>
      <c r="DF35" s="929"/>
      <c r="DG35" s="884"/>
      <c r="DI35" s="2766">
        <f>UNION!W41</f>
        <v>13700</v>
      </c>
      <c r="DJ35" s="902"/>
      <c r="DK35" s="902"/>
      <c r="DO35" s="903"/>
      <c r="DP35" s="903"/>
      <c r="DQ35" s="903"/>
      <c r="DR35" s="903"/>
      <c r="EB35" s="939"/>
      <c r="EC35" s="915" t="s">
        <v>1234</v>
      </c>
      <c r="ED35" s="904">
        <v>131</v>
      </c>
      <c r="EE35" s="3175">
        <v>30300</v>
      </c>
      <c r="EF35" s="2340"/>
      <c r="EG35" s="2340"/>
      <c r="EH35" s="2340"/>
      <c r="EI35" s="2340"/>
      <c r="EJ35" s="2340"/>
      <c r="EK35" s="2340"/>
      <c r="EL35" s="2340"/>
      <c r="EM35" s="2340"/>
      <c r="EN35" s="2665"/>
      <c r="EO35" s="2691">
        <f t="shared" si="5"/>
        <v>30300</v>
      </c>
      <c r="EP35" s="1004"/>
      <c r="EQ35" s="1652">
        <f>Generali!BG14</f>
        <v>30300</v>
      </c>
      <c r="ER35" s="905">
        <v>2051</v>
      </c>
      <c r="ES35" s="906" t="s">
        <v>2843</v>
      </c>
      <c r="ET35" s="2686">
        <v>6</v>
      </c>
      <c r="EV35" s="985"/>
      <c r="EW35" s="985"/>
      <c r="EX35" s="915" t="s">
        <v>1234</v>
      </c>
      <c r="EY35" s="2690"/>
      <c r="EZ35" s="886"/>
    </row>
    <row r="36" spans="1:156" ht="19.5" thickBot="1">
      <c r="A36" s="106" t="s">
        <v>5265</v>
      </c>
      <c r="B36" s="620">
        <f t="shared" si="1"/>
        <v>0</v>
      </c>
      <c r="C36" s="587" t="e">
        <f t="shared" si="6"/>
        <v>#VALUE!</v>
      </c>
      <c r="D36" s="284"/>
      <c r="E36" s="284"/>
      <c r="F36" s="836"/>
      <c r="G36" s="3494"/>
      <c r="H36" s="3495"/>
      <c r="I36" s="3495"/>
      <c r="J36" s="3495"/>
      <c r="K36" s="3496"/>
      <c r="L36" s="1669"/>
      <c r="M36" s="1670"/>
      <c r="N36" s="510"/>
      <c r="O36" s="583"/>
      <c r="P36" s="599"/>
      <c r="Q36" s="2608">
        <f>W27</f>
        <v>0</v>
      </c>
      <c r="R36" s="2607" t="s">
        <v>5130</v>
      </c>
      <c r="S36" s="2602"/>
      <c r="T36" s="2602"/>
      <c r="U36" s="2602"/>
      <c r="V36" s="2602"/>
      <c r="W36" s="2603"/>
      <c r="X36" s="1868"/>
      <c r="Y36" s="1872"/>
      <c r="Z36" s="1873"/>
      <c r="AA36" s="510"/>
      <c r="AB36" s="584"/>
      <c r="AC36" s="370">
        <f>Wáberer!$H35</f>
        <v>9804</v>
      </c>
      <c r="AD36" s="460">
        <f>CIG!H34</f>
        <v>748440</v>
      </c>
      <c r="AE36" s="107">
        <f>Allianz!AB32</f>
        <v>19985</v>
      </c>
      <c r="AF36" s="107">
        <f>Signal!H35</f>
        <v>29760</v>
      </c>
      <c r="AG36" s="107"/>
      <c r="AH36" s="1033"/>
      <c r="AI36" s="107">
        <f>IF(KÉRDÉSEK!$C$5=KÉRDÉSEK!$C$10,NDK!$AL36,IF($AM$438=1,$AJ36,$AK36))</f>
        <v>38400</v>
      </c>
      <c r="AJ36" s="2814">
        <v>38400</v>
      </c>
      <c r="AK36" s="2814">
        <v>38400</v>
      </c>
      <c r="AL36" s="2816">
        <v>13296</v>
      </c>
      <c r="AM36" s="109">
        <f>IF(KÉRDÉSEK!$C$259=KÉRDÉSEK!$F$259,NDK!$EQ36,NDK!$EO36)</f>
        <v>39200</v>
      </c>
      <c r="AN36" s="109">
        <f>CIG!H34</f>
        <v>748440</v>
      </c>
      <c r="AO36" s="1029"/>
      <c r="AP36" s="1029"/>
      <c r="AQ36" s="1029"/>
      <c r="AR36" s="1029"/>
      <c r="AS36" s="1029"/>
      <c r="AT36" s="1029"/>
      <c r="AU36" s="109">
        <f>GROUPAMA!$Q36</f>
        <v>41304</v>
      </c>
      <c r="AV36" s="109"/>
      <c r="AW36" s="606"/>
      <c r="AX36" s="1166"/>
      <c r="AY36" s="1167"/>
      <c r="AZ36" s="224">
        <f>$CL$40</f>
        <v>84682</v>
      </c>
      <c r="BA36" s="109">
        <f>UNION!AB42</f>
        <v>21067.200000000001</v>
      </c>
      <c r="BB36" s="1501">
        <f>Posta!B33</f>
        <v>47506</v>
      </c>
      <c r="BC36" s="903"/>
      <c r="BD36" s="903"/>
      <c r="BE36" s="903"/>
      <c r="BF36" s="903"/>
      <c r="BG36" s="903"/>
      <c r="BH36" s="903"/>
      <c r="BI36" s="903"/>
      <c r="BJ36" s="903"/>
      <c r="BK36" s="903"/>
      <c r="BL36" s="903"/>
      <c r="BM36" s="903"/>
      <c r="BN36" s="903"/>
      <c r="BO36" s="903"/>
      <c r="BP36" s="903"/>
      <c r="BQ36" s="903"/>
      <c r="BR36" s="903"/>
      <c r="BS36" s="1776"/>
      <c r="BT36" s="1776"/>
      <c r="BU36" s="903"/>
      <c r="BV36" s="1776"/>
      <c r="BW36" s="1776"/>
      <c r="BX36" s="1462"/>
      <c r="BY36" s="231"/>
      <c r="BZ36" s="1769"/>
      <c r="CA36" s="1777"/>
      <c r="CB36" s="233"/>
      <c r="CC36" s="233"/>
      <c r="CD36" s="233"/>
      <c r="CE36" s="233"/>
      <c r="CF36" s="1173"/>
      <c r="CG36" s="1173"/>
      <c r="CH36" s="1173"/>
      <c r="CI36" s="1173"/>
      <c r="CJ36" s="957"/>
      <c r="CK36" s="164" t="s">
        <v>384</v>
      </c>
      <c r="CL36" s="171"/>
      <c r="CM36" s="165"/>
      <c r="CN36" s="172"/>
      <c r="CO36" s="1808"/>
      <c r="CP36" s="1809"/>
      <c r="CQ36" s="1810"/>
      <c r="CR36" s="1791"/>
      <c r="CS36" s="1804"/>
      <c r="CT36" s="1806"/>
      <c r="CU36" s="1807"/>
      <c r="CV36" s="163"/>
      <c r="CW36" s="163"/>
      <c r="CX36" s="924"/>
      <c r="CY36" s="924"/>
      <c r="CZ36" s="929"/>
      <c r="DA36" s="929"/>
      <c r="DB36" s="929"/>
      <c r="DC36" s="929"/>
      <c r="DD36" s="929"/>
      <c r="DE36" s="929"/>
      <c r="DF36" s="929"/>
      <c r="DG36" s="884"/>
      <c r="DI36" s="2766">
        <f>UNION!W42</f>
        <v>16800</v>
      </c>
      <c r="DJ36" s="902"/>
      <c r="DK36" s="902"/>
      <c r="DO36" s="903"/>
      <c r="DP36" s="903"/>
      <c r="DQ36" s="903"/>
      <c r="DR36" s="903"/>
      <c r="EB36" s="939"/>
      <c r="EC36" s="915" t="s">
        <v>1235</v>
      </c>
      <c r="ED36" s="904">
        <v>132</v>
      </c>
      <c r="EE36" s="3175">
        <v>39200</v>
      </c>
      <c r="EF36" s="2340"/>
      <c r="EG36" s="2340"/>
      <c r="EH36" s="2340"/>
      <c r="EI36" s="2340"/>
      <c r="EJ36" s="2340"/>
      <c r="EK36" s="2340"/>
      <c r="EL36" s="2340"/>
      <c r="EM36" s="2340"/>
      <c r="EN36" s="2665"/>
      <c r="EO36" s="2691">
        <f t="shared" si="5"/>
        <v>39200</v>
      </c>
      <c r="EP36" s="1004"/>
      <c r="EQ36" s="1652">
        <f>Generali!BG15</f>
        <v>39200</v>
      </c>
      <c r="ER36" s="905">
        <v>2053</v>
      </c>
      <c r="ES36" s="906" t="s">
        <v>538</v>
      </c>
      <c r="ET36" s="2686">
        <v>6</v>
      </c>
      <c r="EV36" s="985"/>
      <c r="EW36" s="985"/>
      <c r="EX36" s="915" t="s">
        <v>1235</v>
      </c>
      <c r="EY36" s="2690"/>
      <c r="EZ36" s="886"/>
    </row>
    <row r="37" spans="1:156" ht="19.5" thickBot="1">
      <c r="A37" s="114" t="s">
        <v>1236</v>
      </c>
      <c r="B37" s="620">
        <f t="shared" si="1"/>
        <v>0</v>
      </c>
      <c r="C37" s="587">
        <f t="shared" si="6"/>
        <v>0</v>
      </c>
      <c r="D37" s="284"/>
      <c r="E37" s="284"/>
      <c r="F37" s="836"/>
      <c r="G37" s="3494"/>
      <c r="H37" s="3495"/>
      <c r="I37" s="3495"/>
      <c r="J37" s="3495"/>
      <c r="K37" s="3496"/>
      <c r="L37" s="1669"/>
      <c r="M37" s="1670"/>
      <c r="N37" s="510"/>
      <c r="O37" s="583"/>
      <c r="P37" s="599"/>
      <c r="Q37" s="2604"/>
      <c r="R37" s="2605"/>
      <c r="S37" s="2605"/>
      <c r="T37" s="2605"/>
      <c r="U37" s="2605"/>
      <c r="V37" s="2605"/>
      <c r="W37" s="2606"/>
      <c r="X37" s="1868"/>
      <c r="Y37" s="1872"/>
      <c r="Z37" s="1873"/>
      <c r="AA37" s="510"/>
      <c r="AB37" s="584"/>
      <c r="AC37" s="370">
        <f>Wáberer!$H36</f>
        <v>20004</v>
      </c>
      <c r="AD37" s="460">
        <f>CIG!H35</f>
        <v>1123920</v>
      </c>
      <c r="AE37" s="107">
        <f>Allianz!AB33</f>
        <v>42000</v>
      </c>
      <c r="AF37" s="107">
        <f>Signal!H36</f>
        <v>89040</v>
      </c>
      <c r="AG37" s="107"/>
      <c r="AH37" s="1033"/>
      <c r="AI37" s="107">
        <f>IF(KÉRDÉSEK!$C$5=KÉRDÉSEK!$C$10,NDK!$AL37,IF($AM$438=1,$AJ37,$AK37))</f>
        <v>51900</v>
      </c>
      <c r="AJ37" s="2814">
        <v>51900</v>
      </c>
      <c r="AK37" s="2814">
        <v>51900</v>
      </c>
      <c r="AL37" s="2816">
        <v>15996</v>
      </c>
      <c r="AM37" s="109">
        <f>IF(KÉRDÉSEK!$C$259=KÉRDÉSEK!$F$259,NDK!$EQ37,NDK!$EO37)</f>
        <v>53000</v>
      </c>
      <c r="AN37" s="109">
        <f>CIG!H35</f>
        <v>1123920</v>
      </c>
      <c r="AO37" s="1029"/>
      <c r="AP37" s="1029"/>
      <c r="AQ37" s="1029"/>
      <c r="AR37" s="1029"/>
      <c r="AS37" s="1029"/>
      <c r="AT37" s="1029"/>
      <c r="AU37" s="109">
        <f>GROUPAMA!$Q37</f>
        <v>82608</v>
      </c>
      <c r="AV37" s="109"/>
      <c r="AW37" s="606"/>
      <c r="AX37" s="1166"/>
      <c r="AY37" s="1167"/>
      <c r="AZ37" s="224">
        <f>$CL$41</f>
        <v>143742</v>
      </c>
      <c r="BA37" s="109">
        <f>UNION!AB45</f>
        <v>24453</v>
      </c>
      <c r="BB37" s="1501">
        <f>Posta!B34</f>
        <v>54831</v>
      </c>
      <c r="BC37" s="903"/>
      <c r="BD37" s="903"/>
      <c r="BE37" s="903"/>
      <c r="BF37" s="903"/>
      <c r="BG37" s="903"/>
      <c r="BH37" s="903"/>
      <c r="BI37" s="903"/>
      <c r="BJ37" s="903"/>
      <c r="BK37" s="903"/>
      <c r="BL37" s="903"/>
      <c r="BM37" s="903"/>
      <c r="BN37" s="903"/>
      <c r="BO37" s="903"/>
      <c r="BP37" s="903"/>
      <c r="BQ37" s="903"/>
      <c r="BR37" s="903"/>
      <c r="BS37" s="1776"/>
      <c r="BT37" s="1776"/>
      <c r="BU37" s="903"/>
      <c r="BV37" s="1776"/>
      <c r="BW37" s="1776"/>
      <c r="BX37" s="1462"/>
      <c r="BY37" s="231"/>
      <c r="BZ37" s="1769"/>
      <c r="CA37" s="1777"/>
      <c r="CB37" s="233"/>
      <c r="CC37" s="233"/>
      <c r="CD37" s="233"/>
      <c r="CE37" s="233"/>
      <c r="CF37" s="1173"/>
      <c r="CG37" s="1173"/>
      <c r="CH37" s="1173"/>
      <c r="CI37" s="1173"/>
      <c r="CJ37" s="957">
        <v>1013</v>
      </c>
      <c r="CK37" s="167" t="s">
        <v>385</v>
      </c>
      <c r="CL37" s="156">
        <f>VLOOKUP(1013,$CJ$59:$CQ$85,$DA$62+2)</f>
        <v>18019</v>
      </c>
      <c r="CM37" s="157" t="e">
        <f t="shared" ref="CM37:CM44" si="8">-$CN$156</f>
        <v>#N/A</v>
      </c>
      <c r="CN37" s="173">
        <f>B34</f>
        <v>0</v>
      </c>
      <c r="CO37" s="1788">
        <f t="shared" ref="CO37:CO44" si="9">CN37*CL37</f>
        <v>0</v>
      </c>
      <c r="CP37" s="1813"/>
      <c r="CQ37" s="1814"/>
      <c r="CR37" s="1791" t="e">
        <f t="shared" si="7"/>
        <v>#N/A</v>
      </c>
      <c r="CS37" s="1793"/>
      <c r="CT37" s="1795"/>
      <c r="CU37" s="931"/>
      <c r="CV37" s="931"/>
      <c r="CW37" s="931"/>
      <c r="CX37" s="932"/>
      <c r="CY37" s="932"/>
      <c r="CZ37" s="932"/>
      <c r="DA37" s="932"/>
      <c r="DB37" s="932"/>
      <c r="DC37" s="933"/>
      <c r="DD37" s="932"/>
      <c r="DE37" s="932"/>
      <c r="DF37" s="932"/>
      <c r="DG37" s="884"/>
      <c r="DI37" s="2766">
        <f>UNION!W45</f>
        <v>19500</v>
      </c>
      <c r="DJ37" s="902"/>
      <c r="DK37" s="902"/>
      <c r="DO37" s="903"/>
      <c r="DP37" s="903"/>
      <c r="DQ37" s="903"/>
      <c r="DR37" s="903"/>
      <c r="EB37" s="939"/>
      <c r="EC37" s="915" t="s">
        <v>1236</v>
      </c>
      <c r="ED37" s="904">
        <v>133</v>
      </c>
      <c r="EE37" s="3175">
        <v>53000</v>
      </c>
      <c r="EF37" s="2340"/>
      <c r="EG37" s="2340"/>
      <c r="EH37" s="2340"/>
      <c r="EI37" s="2340"/>
      <c r="EJ37" s="2340"/>
      <c r="EK37" s="2340"/>
      <c r="EL37" s="2340"/>
      <c r="EM37" s="2340"/>
      <c r="EN37" s="2665"/>
      <c r="EO37" s="2691">
        <f t="shared" si="5"/>
        <v>53000</v>
      </c>
      <c r="EP37" s="1004"/>
      <c r="EQ37" s="1652">
        <f>Generali!BG16</f>
        <v>53000</v>
      </c>
      <c r="ER37" s="905">
        <v>2060</v>
      </c>
      <c r="ES37" s="906" t="s">
        <v>539</v>
      </c>
      <c r="ET37" s="2686">
        <v>6</v>
      </c>
      <c r="EV37" s="985"/>
      <c r="EW37" s="985"/>
      <c r="EX37" s="915" t="s">
        <v>1236</v>
      </c>
      <c r="EY37" s="2690"/>
      <c r="EZ37" s="886"/>
    </row>
    <row r="38" spans="1:156" ht="21" customHeight="1" thickTop="1" thickBot="1">
      <c r="A38" s="2943" t="s">
        <v>5266</v>
      </c>
      <c r="B38" s="1693">
        <f t="shared" si="1"/>
        <v>0</v>
      </c>
      <c r="C38" s="2759" t="e">
        <f t="shared" si="6"/>
        <v>#VALUE!</v>
      </c>
      <c r="D38" s="2759"/>
      <c r="E38" s="2759"/>
      <c r="F38" s="836"/>
      <c r="G38" s="3494"/>
      <c r="H38" s="3495"/>
      <c r="I38" s="3495"/>
      <c r="J38" s="3495"/>
      <c r="K38" s="3496"/>
      <c r="L38" s="1671"/>
      <c r="M38" s="1670"/>
      <c r="N38" s="2760"/>
      <c r="O38" s="2761"/>
      <c r="P38" s="2761"/>
      <c r="Q38" s="3513" t="s">
        <v>4831</v>
      </c>
      <c r="R38" s="3514"/>
      <c r="S38" s="3514"/>
      <c r="T38" s="3514"/>
      <c r="U38" s="3514"/>
      <c r="V38" s="3514"/>
      <c r="W38" s="3515"/>
      <c r="X38" s="3071"/>
      <c r="Y38" s="1916"/>
      <c r="Z38" s="1917"/>
      <c r="AA38" s="1744"/>
      <c r="AB38" s="2762"/>
      <c r="AC38" s="371"/>
      <c r="AD38" s="371"/>
      <c r="AE38" s="108"/>
      <c r="AF38" s="108"/>
      <c r="AG38" s="108"/>
      <c r="AH38" s="1033"/>
      <c r="AI38" s="108"/>
      <c r="AJ38" s="2815"/>
      <c r="AK38" s="2815"/>
      <c r="AL38" s="2815"/>
      <c r="AM38" s="112"/>
      <c r="AN38" s="112"/>
      <c r="AO38" s="1029"/>
      <c r="AP38" s="1029"/>
      <c r="AQ38" s="1029"/>
      <c r="AR38" s="1029"/>
      <c r="AS38" s="1029"/>
      <c r="AT38" s="1029"/>
      <c r="AU38" s="112"/>
      <c r="AV38" s="112"/>
      <c r="AW38" s="607"/>
      <c r="AX38" s="1166"/>
      <c r="AY38" s="1167"/>
      <c r="AZ38" s="225"/>
      <c r="BA38" s="1241">
        <f>UNION!AB46</f>
        <v>-2382.6</v>
      </c>
      <c r="BB38" s="1503"/>
      <c r="BC38" s="903"/>
      <c r="BD38" s="903"/>
      <c r="BE38" s="903"/>
      <c r="BF38" s="903"/>
      <c r="BG38" s="903"/>
      <c r="BH38" s="903"/>
      <c r="BI38" s="903"/>
      <c r="BJ38" s="903"/>
      <c r="BK38" s="903"/>
      <c r="BL38" s="903"/>
      <c r="BM38" s="903"/>
      <c r="BN38" s="903"/>
      <c r="BO38" s="903"/>
      <c r="BP38" s="903"/>
      <c r="BQ38" s="903"/>
      <c r="BR38" s="903"/>
      <c r="BS38" s="1776"/>
      <c r="BT38" s="1776"/>
      <c r="BU38" s="903"/>
      <c r="BV38" s="1776"/>
      <c r="BW38" s="1776"/>
      <c r="BX38" s="1462"/>
      <c r="BY38" s="922"/>
      <c r="BZ38" s="1769"/>
      <c r="CA38" s="1777"/>
      <c r="CB38" s="233"/>
      <c r="CC38" s="233"/>
      <c r="CD38" s="233"/>
      <c r="CE38" s="233"/>
      <c r="CF38" s="1173"/>
      <c r="CG38" s="1173"/>
      <c r="CH38" s="1173"/>
      <c r="CI38" s="1173"/>
      <c r="CJ38" s="957"/>
      <c r="CK38" s="167"/>
      <c r="CL38" s="156"/>
      <c r="CM38" s="157"/>
      <c r="CN38" s="173"/>
      <c r="CO38" s="1788"/>
      <c r="CP38" s="1813"/>
      <c r="CQ38" s="1814"/>
      <c r="CR38" s="1791"/>
      <c r="CS38" s="1793"/>
      <c r="CT38" s="1795"/>
      <c r="CU38" s="931"/>
      <c r="CV38" s="931"/>
      <c r="CW38" s="931"/>
      <c r="CX38" s="932"/>
      <c r="CY38" s="932"/>
      <c r="CZ38" s="932"/>
      <c r="DA38" s="932"/>
      <c r="DB38" s="932"/>
      <c r="DC38" s="933"/>
      <c r="DD38" s="932"/>
      <c r="DE38" s="932"/>
      <c r="DF38" s="932"/>
      <c r="DG38" s="884"/>
      <c r="DI38" s="2767">
        <v>-1500</v>
      </c>
      <c r="DJ38" s="902"/>
      <c r="DK38" s="902"/>
      <c r="DO38" s="903"/>
      <c r="DP38" s="903"/>
      <c r="DQ38" s="903"/>
      <c r="DR38" s="903"/>
      <c r="EB38" s="939"/>
      <c r="EC38" s="934" t="s">
        <v>1574</v>
      </c>
      <c r="ED38" s="904">
        <v>134</v>
      </c>
      <c r="EE38" s="3178"/>
      <c r="EF38" s="2338"/>
      <c r="EG38" s="2338"/>
      <c r="EH38" s="2338"/>
      <c r="EI38" s="2338"/>
      <c r="EJ38" s="2338"/>
      <c r="EK38" s="2338"/>
      <c r="EL38" s="2338"/>
      <c r="EM38" s="2338"/>
      <c r="EN38" s="2338"/>
      <c r="EO38" s="1007"/>
      <c r="EP38" s="1004"/>
      <c r="EQ38" s="1653"/>
      <c r="ER38" s="905">
        <v>2063</v>
      </c>
      <c r="ES38" s="906" t="s">
        <v>540</v>
      </c>
      <c r="ET38" s="2686">
        <v>6</v>
      </c>
      <c r="EV38" s="985"/>
      <c r="EW38" s="985"/>
      <c r="EX38" s="934" t="s">
        <v>1574</v>
      </c>
      <c r="EY38" s="2690"/>
      <c r="EZ38" s="886"/>
    </row>
    <row r="39" spans="1:156" ht="20.25" customHeight="1" thickBot="1">
      <c r="A39" s="114" t="s">
        <v>1393</v>
      </c>
      <c r="B39" s="620">
        <f t="shared" si="1"/>
        <v>0</v>
      </c>
      <c r="C39" s="587">
        <f t="shared" ref="C39:C49" si="10">0.5508*(N39+O39+P39+Q39+R39+S39)+0.8137*(T39+U39+V39+W39)+X39+1.3206*(Y39+Z39+AA39+AB39)</f>
        <v>0</v>
      </c>
      <c r="D39" s="284"/>
      <c r="E39" s="284"/>
      <c r="F39" s="836"/>
      <c r="G39" s="3494"/>
      <c r="H39" s="3495"/>
      <c r="I39" s="3495"/>
      <c r="J39" s="3495"/>
      <c r="K39" s="3496"/>
      <c r="L39" s="1671"/>
      <c r="M39" s="1670"/>
      <c r="N39" s="510"/>
      <c r="O39" s="583"/>
      <c r="P39" s="583"/>
      <c r="Q39" s="3516"/>
      <c r="R39" s="3517"/>
      <c r="S39" s="3517"/>
      <c r="T39" s="3517"/>
      <c r="U39" s="3517"/>
      <c r="V39" s="3517"/>
      <c r="W39" s="3518"/>
      <c r="X39" s="1867"/>
      <c r="Y39" s="1872"/>
      <c r="Z39" s="1873"/>
      <c r="AA39" s="510"/>
      <c r="AB39" s="584"/>
      <c r="AC39" s="371"/>
      <c r="AD39" s="371"/>
      <c r="AE39" s="107">
        <f>Allianz!AB35</f>
        <v>45371</v>
      </c>
      <c r="AF39" s="108"/>
      <c r="AG39" s="107"/>
      <c r="AH39" s="1033"/>
      <c r="AI39" s="108"/>
      <c r="AJ39" s="2815"/>
      <c r="AK39" s="2815"/>
      <c r="AL39" s="2815"/>
      <c r="AM39" s="112"/>
      <c r="AN39" s="112"/>
      <c r="AO39" s="1029"/>
      <c r="AP39" s="1029"/>
      <c r="AQ39" s="1029"/>
      <c r="AR39" s="1029"/>
      <c r="AS39" s="1029"/>
      <c r="AT39" s="1029"/>
      <c r="AU39" s="112"/>
      <c r="AV39" s="112"/>
      <c r="AW39" s="607"/>
      <c r="AX39" s="1166"/>
      <c r="AY39" s="1167"/>
      <c r="AZ39" s="225"/>
      <c r="BA39" s="112"/>
      <c r="BB39" s="1503"/>
      <c r="BC39" s="903"/>
      <c r="BD39" s="903"/>
      <c r="BE39" s="903"/>
      <c r="BF39" s="903"/>
      <c r="BG39" s="903"/>
      <c r="BH39" s="903"/>
      <c r="BI39" s="903"/>
      <c r="BJ39" s="903"/>
      <c r="BK39" s="903"/>
      <c r="BL39" s="903"/>
      <c r="BM39" s="903"/>
      <c r="BN39" s="903"/>
      <c r="BO39" s="903"/>
      <c r="BP39" s="903"/>
      <c r="BQ39" s="903"/>
      <c r="BR39" s="903"/>
      <c r="BS39" s="1776"/>
      <c r="BT39" s="1776"/>
      <c r="BU39" s="903"/>
      <c r="BV39" s="1776"/>
      <c r="BW39" s="1776"/>
      <c r="BX39" s="1462"/>
      <c r="BY39" s="231"/>
      <c r="BZ39" s="1769"/>
      <c r="CA39" s="1777"/>
      <c r="CB39" s="233"/>
      <c r="CC39" s="233"/>
      <c r="CD39" s="233"/>
      <c r="CE39" s="233"/>
      <c r="CF39" s="1173"/>
      <c r="CG39" s="1173"/>
      <c r="CH39" s="1173"/>
      <c r="CI39" s="1173"/>
      <c r="CJ39" s="957">
        <v>1014</v>
      </c>
      <c r="CK39" s="167" t="s">
        <v>386</v>
      </c>
      <c r="CL39" s="156">
        <f>VLOOKUP(1014,$CJ$59:$CQ$85,$DA$62+2)</f>
        <v>25626</v>
      </c>
      <c r="CM39" s="157" t="e">
        <f t="shared" si="8"/>
        <v>#N/A</v>
      </c>
      <c r="CN39" s="173">
        <f>B35</f>
        <v>0</v>
      </c>
      <c r="CO39" s="1788">
        <f t="shared" si="9"/>
        <v>0</v>
      </c>
      <c r="CP39" s="1813"/>
      <c r="CQ39" s="1814"/>
      <c r="CR39" s="1791" t="e">
        <f t="shared" si="7"/>
        <v>#N/A</v>
      </c>
      <c r="CS39" s="1793"/>
      <c r="CT39" s="1795"/>
      <c r="CU39" s="931"/>
      <c r="CV39" s="931"/>
      <c r="CW39" s="931"/>
      <c r="CX39" s="932"/>
      <c r="CY39" s="932"/>
      <c r="CZ39" s="932"/>
      <c r="DA39" s="932"/>
      <c r="DB39" s="932"/>
      <c r="DC39" s="933"/>
      <c r="DD39" s="932"/>
      <c r="DE39" s="932"/>
      <c r="DF39" s="932"/>
      <c r="DG39" s="884"/>
      <c r="DI39" s="2767"/>
      <c r="DJ39" s="902"/>
      <c r="DK39" s="902"/>
      <c r="DO39" s="903"/>
      <c r="DP39" s="903"/>
      <c r="DQ39" s="903"/>
      <c r="DR39" s="903"/>
      <c r="EB39" s="939"/>
      <c r="EC39" s="915" t="s">
        <v>1237</v>
      </c>
      <c r="ED39" s="904">
        <v>135</v>
      </c>
      <c r="EE39" s="3178"/>
      <c r="EF39" s="2338"/>
      <c r="EG39" s="2338"/>
      <c r="EH39" s="2338"/>
      <c r="EI39" s="2338"/>
      <c r="EJ39" s="2338"/>
      <c r="EK39" s="2338"/>
      <c r="EL39" s="2338"/>
      <c r="EM39" s="2338"/>
      <c r="EN39" s="2338"/>
      <c r="EO39" s="1007"/>
      <c r="EP39" s="1004"/>
      <c r="EQ39" s="1653"/>
      <c r="ER39" s="905">
        <v>2064</v>
      </c>
      <c r="ES39" s="906" t="s">
        <v>1079</v>
      </c>
      <c r="ET39" s="2686">
        <v>6</v>
      </c>
      <c r="EV39" s="985"/>
      <c r="EW39" s="985"/>
      <c r="EX39" s="915" t="s">
        <v>1237</v>
      </c>
      <c r="EY39" s="2690"/>
      <c r="EZ39" s="886"/>
    </row>
    <row r="40" spans="1:156" ht="20.25" thickTop="1" thickBot="1">
      <c r="A40" s="114" t="s">
        <v>2531</v>
      </c>
      <c r="B40" s="620">
        <f t="shared" si="1"/>
        <v>0</v>
      </c>
      <c r="C40" s="587" t="e">
        <f t="shared" si="10"/>
        <v>#VALUE!</v>
      </c>
      <c r="D40" s="284"/>
      <c r="E40" s="284"/>
      <c r="F40" s="836"/>
      <c r="G40" s="3494"/>
      <c r="H40" s="3495"/>
      <c r="I40" s="3495"/>
      <c r="J40" s="3495"/>
      <c r="K40" s="3496"/>
      <c r="L40" s="1669"/>
      <c r="M40" s="1670"/>
      <c r="N40" s="510"/>
      <c r="O40" s="583"/>
      <c r="P40" s="599"/>
      <c r="Q40" s="3529" t="s">
        <v>5393</v>
      </c>
      <c r="R40" s="3500"/>
      <c r="S40" s="3500"/>
      <c r="T40" s="3500"/>
      <c r="U40" s="3500"/>
      <c r="V40" s="3500"/>
      <c r="W40" s="3500"/>
      <c r="X40" s="1867"/>
      <c r="Y40" s="1874"/>
      <c r="Z40" s="1875"/>
      <c r="AA40" s="582"/>
      <c r="AB40" s="548"/>
      <c r="AC40" s="370">
        <f>Wáberer!$H39</f>
        <v>8000</v>
      </c>
      <c r="AD40" s="460">
        <f>CIG!H38</f>
        <v>78120</v>
      </c>
      <c r="AE40" s="107">
        <f>Allianz!AB36</f>
        <v>12908</v>
      </c>
      <c r="AF40" s="107">
        <f>Signal!H39</f>
        <v>17040</v>
      </c>
      <c r="AG40" s="107"/>
      <c r="AH40" s="1033"/>
      <c r="AI40" s="107">
        <f>IF(KÉRDÉSEK!$C$5=KÉRDÉSEK!$C$10,NDK!$AL40,IF($AM$438=1,$AJ40,$AK40))</f>
        <v>0</v>
      </c>
      <c r="AJ40" s="2816">
        <v>0</v>
      </c>
      <c r="AK40" s="2816">
        <v>0</v>
      </c>
      <c r="AL40" s="2816">
        <v>0</v>
      </c>
      <c r="AM40" s="109">
        <f>IF(KÉRDÉSEK!$C$259=KÉRDÉSEK!$F$259,NDK!$EQ40,NDK!$EO40)</f>
        <v>12600</v>
      </c>
      <c r="AN40" s="109">
        <f>CIG!H38</f>
        <v>78120</v>
      </c>
      <c r="AO40" s="1029"/>
      <c r="AP40" s="1029"/>
      <c r="AQ40" s="1029"/>
      <c r="AR40" s="1029"/>
      <c r="AS40" s="1029"/>
      <c r="AT40" s="1029"/>
      <c r="AU40" s="109">
        <f>GROUPAMA!$Q40</f>
        <v>12258</v>
      </c>
      <c r="AV40" s="109"/>
      <c r="AW40" s="606"/>
      <c r="AX40" s="1166"/>
      <c r="AY40" s="1167"/>
      <c r="AZ40" s="224">
        <f>$CL$51</f>
        <v>10074</v>
      </c>
      <c r="BA40" s="109">
        <f>UNION!AB48</f>
        <v>25669.38</v>
      </c>
      <c r="BB40" s="1501">
        <f>Posta!B37</f>
        <v>15532</v>
      </c>
      <c r="BC40" s="903"/>
      <c r="BD40" s="903"/>
      <c r="BE40" s="903"/>
      <c r="BF40" s="903"/>
      <c r="BG40" s="903"/>
      <c r="BH40" s="903"/>
      <c r="BI40" s="903"/>
      <c r="BJ40" s="903"/>
      <c r="BK40" s="903"/>
      <c r="BL40" s="903"/>
      <c r="BM40" s="903"/>
      <c r="BN40" s="903"/>
      <c r="BO40" s="903"/>
      <c r="BP40" s="903"/>
      <c r="BQ40" s="903"/>
      <c r="BR40" s="903"/>
      <c r="BS40" s="1776"/>
      <c r="BT40" s="1776"/>
      <c r="BU40" s="903"/>
      <c r="BV40" s="1776"/>
      <c r="BW40" s="1776"/>
      <c r="BX40" s="1462"/>
      <c r="BY40" s="231"/>
      <c r="BZ40" s="1769"/>
      <c r="CA40" s="1777"/>
      <c r="CB40" s="233"/>
      <c r="CC40" s="233"/>
      <c r="CD40" s="233"/>
      <c r="CE40" s="233"/>
      <c r="CF40" s="1173"/>
      <c r="CG40" s="1173"/>
      <c r="CH40" s="1173"/>
      <c r="CI40" s="1173"/>
      <c r="CJ40" s="957">
        <v>1015</v>
      </c>
      <c r="CK40" s="167" t="s">
        <v>387</v>
      </c>
      <c r="CL40" s="156">
        <f>VLOOKUP(1015,$CJ$59:$CQ$85,$DA$62+2)</f>
        <v>84682</v>
      </c>
      <c r="CM40" s="157" t="e">
        <f t="shared" si="8"/>
        <v>#N/A</v>
      </c>
      <c r="CN40" s="173">
        <f>B36</f>
        <v>0</v>
      </c>
      <c r="CO40" s="1788">
        <f t="shared" si="9"/>
        <v>0</v>
      </c>
      <c r="CP40" s="1813"/>
      <c r="CQ40" s="1814"/>
      <c r="CR40" s="1791" t="e">
        <f t="shared" si="7"/>
        <v>#N/A</v>
      </c>
      <c r="CS40" s="1793"/>
      <c r="CT40" s="1795"/>
      <c r="CU40" s="931"/>
      <c r="CV40" s="931"/>
      <c r="CW40" s="931"/>
      <c r="CX40" s="932"/>
      <c r="CY40" s="932"/>
      <c r="CZ40" s="932"/>
      <c r="DA40" s="932"/>
      <c r="DB40" s="932"/>
      <c r="DC40" s="933"/>
      <c r="DD40" s="932"/>
      <c r="DE40" s="932"/>
      <c r="DF40" s="932"/>
      <c r="DG40" s="884"/>
      <c r="DI40" s="2766">
        <f>UNION!W48</f>
        <v>20470</v>
      </c>
      <c r="DJ40" s="902"/>
      <c r="DK40" s="902"/>
      <c r="EB40" s="939"/>
      <c r="EC40" s="915" t="s">
        <v>1238</v>
      </c>
      <c r="ED40" s="904">
        <v>136</v>
      </c>
      <c r="EE40" s="3175">
        <v>12600</v>
      </c>
      <c r="EF40" s="2340"/>
      <c r="EG40" s="2340"/>
      <c r="EH40" s="2340"/>
      <c r="EI40" s="2340"/>
      <c r="EJ40" s="2340"/>
      <c r="EK40" s="2340"/>
      <c r="EL40" s="2340"/>
      <c r="EM40" s="2340"/>
      <c r="EN40" s="2665"/>
      <c r="EO40" s="2691">
        <f t="shared" ref="EO40:EO47" si="11">$EE40</f>
        <v>12600</v>
      </c>
      <c r="EP40" s="1004"/>
      <c r="EQ40" s="1652">
        <f>Generali!BG35</f>
        <v>12600</v>
      </c>
      <c r="ER40" s="905">
        <v>2065</v>
      </c>
      <c r="ES40" s="906" t="s">
        <v>542</v>
      </c>
      <c r="ET40" s="2686">
        <v>6</v>
      </c>
      <c r="EV40" s="985"/>
      <c r="EW40" s="985"/>
      <c r="EX40" s="915" t="s">
        <v>1238</v>
      </c>
      <c r="EY40" s="2690"/>
      <c r="EZ40" s="886"/>
    </row>
    <row r="41" spans="1:156" ht="15.75" customHeight="1" thickBot="1">
      <c r="A41" s="115" t="s">
        <v>497</v>
      </c>
      <c r="B41" s="620">
        <f t="shared" si="1"/>
        <v>0</v>
      </c>
      <c r="C41" s="587">
        <f t="shared" si="10"/>
        <v>0</v>
      </c>
      <c r="D41" s="284"/>
      <c r="E41" s="284"/>
      <c r="F41" s="836"/>
      <c r="G41" s="3497"/>
      <c r="H41" s="3498"/>
      <c r="I41" s="3498"/>
      <c r="J41" s="3498"/>
      <c r="K41" s="3499"/>
      <c r="L41" s="1669"/>
      <c r="M41" s="1670"/>
      <c r="N41" s="510"/>
      <c r="O41" s="583"/>
      <c r="P41" s="599"/>
      <c r="Q41" s="3501"/>
      <c r="R41" s="3501"/>
      <c r="S41" s="3501"/>
      <c r="T41" s="3501"/>
      <c r="U41" s="3501"/>
      <c r="V41" s="3501"/>
      <c r="W41" s="3501"/>
      <c r="X41" s="1867"/>
      <c r="Y41" s="1874"/>
      <c r="Z41" s="1875"/>
      <c r="AA41" s="582"/>
      <c r="AB41" s="548"/>
      <c r="AC41" s="370">
        <f>Wáberer!$H40</f>
        <v>0</v>
      </c>
      <c r="AD41" s="460">
        <f>CIG!H39</f>
        <v>0</v>
      </c>
      <c r="AE41" s="107">
        <f>Allianz!AB37</f>
        <v>17633</v>
      </c>
      <c r="AF41" s="107">
        <f>Signal!H40</f>
        <v>39360</v>
      </c>
      <c r="AG41" s="107"/>
      <c r="AH41" s="1033"/>
      <c r="AI41" s="107">
        <f>IF(KÉRDÉSEK!$C$5=KÉRDÉSEK!$C$10,NDK!$AL41,IF($AM$438=1,$AJ41,$AK41))</f>
        <v>0</v>
      </c>
      <c r="AJ41" s="2816">
        <v>0</v>
      </c>
      <c r="AK41" s="2816">
        <v>0</v>
      </c>
      <c r="AL41" s="2816">
        <v>0</v>
      </c>
      <c r="AM41" s="112"/>
      <c r="AN41" s="109">
        <f>CIG!H39</f>
        <v>0</v>
      </c>
      <c r="AO41" s="1029"/>
      <c r="AP41" s="1029"/>
      <c r="AQ41" s="1029"/>
      <c r="AR41" s="1029"/>
      <c r="AS41" s="1029"/>
      <c r="AT41" s="1029"/>
      <c r="AU41" s="109">
        <f>GROUPAMA!$Q41</f>
        <v>66768</v>
      </c>
      <c r="AV41" s="109"/>
      <c r="AW41" s="606"/>
      <c r="AX41" s="1166"/>
      <c r="AY41" s="1167"/>
      <c r="AZ41" s="224">
        <f>$CL$52</f>
        <v>0</v>
      </c>
      <c r="BA41" s="109">
        <f>UNION!AB49</f>
        <v>29130.420000000002</v>
      </c>
      <c r="BB41" s="1501">
        <f>Posta!B38</f>
        <v>1</v>
      </c>
      <c r="BC41" s="903"/>
      <c r="BD41" s="903"/>
      <c r="BE41" s="903"/>
      <c r="BF41" s="903"/>
      <c r="BG41" s="903"/>
      <c r="BH41" s="903"/>
      <c r="BI41" s="903"/>
      <c r="BJ41" s="903"/>
      <c r="BK41" s="903"/>
      <c r="BL41" s="903"/>
      <c r="BM41" s="903"/>
      <c r="BN41" s="903"/>
      <c r="BO41" s="903"/>
      <c r="BP41" s="903"/>
      <c r="BQ41" s="903"/>
      <c r="BR41" s="903"/>
      <c r="BS41" s="1776"/>
      <c r="BT41" s="1776"/>
      <c r="BU41" s="903"/>
      <c r="BV41" s="1776"/>
      <c r="BW41" s="1776"/>
      <c r="BX41" s="1462"/>
      <c r="BY41" s="641"/>
      <c r="BZ41" s="1769"/>
      <c r="CA41" s="1777"/>
      <c r="CB41" s="233"/>
      <c r="CC41" s="233"/>
      <c r="CD41" s="233"/>
      <c r="CE41" s="233"/>
      <c r="CF41" s="1173"/>
      <c r="CG41" s="1173"/>
      <c r="CH41" s="1173"/>
      <c r="CI41" s="1173"/>
      <c r="CJ41" s="957">
        <v>1016</v>
      </c>
      <c r="CK41" s="168" t="s">
        <v>388</v>
      </c>
      <c r="CL41" s="156">
        <f>VLOOKUP(1016,$CJ$59:$CQ$85,$DA$62+2)</f>
        <v>143742</v>
      </c>
      <c r="CM41" s="157" t="e">
        <f t="shared" si="8"/>
        <v>#N/A</v>
      </c>
      <c r="CN41" s="174">
        <f>B37</f>
        <v>0</v>
      </c>
      <c r="CO41" s="1788">
        <f t="shared" si="9"/>
        <v>0</v>
      </c>
      <c r="CP41" s="1815"/>
      <c r="CQ41" s="1816"/>
      <c r="CR41" s="1791" t="e">
        <f t="shared" si="7"/>
        <v>#N/A</v>
      </c>
      <c r="CS41" s="1799"/>
      <c r="CT41" s="1801"/>
      <c r="CU41" s="931"/>
      <c r="CV41" s="931"/>
      <c r="CW41" s="931"/>
      <c r="CX41" s="932"/>
      <c r="CY41" s="932"/>
      <c r="CZ41" s="932"/>
      <c r="DA41" s="932"/>
      <c r="DB41" s="932"/>
      <c r="DC41" s="933"/>
      <c r="DD41" s="932"/>
      <c r="DE41" s="932"/>
      <c r="DF41" s="932"/>
      <c r="DG41" s="884"/>
      <c r="DI41" s="2766">
        <f>UNION!W49</f>
        <v>23230</v>
      </c>
      <c r="DJ41" s="902"/>
      <c r="DK41" s="902"/>
      <c r="EB41" s="939"/>
      <c r="EC41" s="935" t="s">
        <v>497</v>
      </c>
      <c r="ED41" s="904">
        <v>137</v>
      </c>
      <c r="EE41" s="3179">
        <v>12600</v>
      </c>
      <c r="EF41" s="2338"/>
      <c r="EG41" s="2338"/>
      <c r="EH41" s="2338"/>
      <c r="EI41" s="2338"/>
      <c r="EJ41" s="2338"/>
      <c r="EK41" s="2338"/>
      <c r="EL41" s="2338"/>
      <c r="EM41" s="2338"/>
      <c r="EN41" s="2338"/>
      <c r="EO41" s="2691">
        <f t="shared" si="11"/>
        <v>12600</v>
      </c>
      <c r="EP41" s="1004"/>
      <c r="EQ41" s="1652">
        <f>Generali!BG35</f>
        <v>12600</v>
      </c>
      <c r="ER41" s="905">
        <v>2066</v>
      </c>
      <c r="ES41" s="906" t="s">
        <v>1080</v>
      </c>
      <c r="ET41" s="2686">
        <v>6</v>
      </c>
      <c r="EV41" s="985"/>
      <c r="EW41" s="985"/>
      <c r="EX41" s="935" t="s">
        <v>497</v>
      </c>
      <c r="EY41" s="2690"/>
      <c r="EZ41" s="886"/>
    </row>
    <row r="42" spans="1:156" ht="40.5" customHeight="1" thickTop="1" thickBot="1">
      <c r="A42" s="106" t="s">
        <v>493</v>
      </c>
      <c r="B42" s="620">
        <f t="shared" si="1"/>
        <v>0</v>
      </c>
      <c r="C42" s="587" t="e">
        <f t="shared" si="10"/>
        <v>#VALUE!</v>
      </c>
      <c r="D42" s="284"/>
      <c r="E42" s="284"/>
      <c r="F42" s="836"/>
      <c r="G42" s="837"/>
      <c r="H42" s="837"/>
      <c r="I42" s="837"/>
      <c r="J42" s="837"/>
      <c r="K42" s="838"/>
      <c r="L42" s="1669"/>
      <c r="M42" s="1670"/>
      <c r="N42" s="510"/>
      <c r="O42" s="583"/>
      <c r="P42" s="599"/>
      <c r="Q42" s="3530" t="s">
        <v>5320</v>
      </c>
      <c r="R42" s="3528"/>
      <c r="S42" s="3528"/>
      <c r="T42" s="3528"/>
      <c r="U42" s="3528"/>
      <c r="V42" s="3528"/>
      <c r="W42" s="3531"/>
      <c r="X42" s="1867"/>
      <c r="Y42" s="1874"/>
      <c r="Z42" s="1875"/>
      <c r="AA42" s="582"/>
      <c r="AB42" s="548"/>
      <c r="AC42" s="370">
        <f>Wáberer!$H41</f>
        <v>9996</v>
      </c>
      <c r="AD42" s="460">
        <f>CIG!H40</f>
        <v>131040</v>
      </c>
      <c r="AE42" s="107">
        <f>Allianz!AB38</f>
        <v>18861</v>
      </c>
      <c r="AF42" s="107">
        <f>Signal!H41</f>
        <v>26400</v>
      </c>
      <c r="AG42" s="107"/>
      <c r="AH42" s="1033"/>
      <c r="AI42" s="107">
        <f>IF(KÉRDÉSEK!$C$5=KÉRDÉSEK!$C$10,NDK!$AL42,IF($AM$438=1,$AJ42,$AK42))</f>
        <v>23100</v>
      </c>
      <c r="AJ42" s="2814">
        <v>23100</v>
      </c>
      <c r="AK42" s="2814">
        <v>23100</v>
      </c>
      <c r="AL42" s="2814">
        <v>23100</v>
      </c>
      <c r="AM42" s="109">
        <f>IF(KÉRDÉSEK!$C$259=KÉRDÉSEK!$F$259,NDK!$EQ42,NDK!$EO42)</f>
        <v>48000</v>
      </c>
      <c r="AN42" s="109">
        <f>CIG!H40</f>
        <v>131040</v>
      </c>
      <c r="AO42" s="1029"/>
      <c r="AP42" s="1029"/>
      <c r="AQ42" s="1029"/>
      <c r="AR42" s="1029"/>
      <c r="AS42" s="1029"/>
      <c r="AT42" s="1029"/>
      <c r="AU42" s="109">
        <f>GROUPAMA!$Q42</f>
        <v>29220</v>
      </c>
      <c r="AV42" s="109"/>
      <c r="AW42" s="606"/>
      <c r="AX42" s="1166"/>
      <c r="AY42" s="1167"/>
      <c r="AZ42" s="224">
        <f>$CL$49</f>
        <v>48010</v>
      </c>
      <c r="BA42" s="109">
        <f>UNION!AB50</f>
        <v>44993.52</v>
      </c>
      <c r="BB42" s="1501">
        <f>Posta!B39</f>
        <v>27766</v>
      </c>
      <c r="BC42" s="903"/>
      <c r="BD42" s="903"/>
      <c r="BE42" s="903"/>
      <c r="BF42" s="903"/>
      <c r="BG42" s="903"/>
      <c r="BH42" s="903"/>
      <c r="BI42" s="903"/>
      <c r="BJ42" s="903"/>
      <c r="BK42" s="903"/>
      <c r="BL42" s="903"/>
      <c r="BM42" s="903"/>
      <c r="BN42" s="903"/>
      <c r="BO42" s="903"/>
      <c r="BP42" s="903"/>
      <c r="BQ42" s="903"/>
      <c r="BR42" s="903"/>
      <c r="BS42" s="1776"/>
      <c r="BT42" s="1776"/>
      <c r="BU42" s="903"/>
      <c r="BV42" s="1776"/>
      <c r="BW42" s="1776"/>
      <c r="BX42" s="1462"/>
      <c r="BY42" s="228"/>
      <c r="BZ42" s="1769"/>
      <c r="CA42" s="1777"/>
      <c r="CB42" s="233"/>
      <c r="CC42" s="233"/>
      <c r="CD42" s="233"/>
      <c r="CE42" s="233"/>
      <c r="CF42" s="1173"/>
      <c r="CG42" s="1173"/>
      <c r="CH42" s="1173"/>
      <c r="CI42" s="1173"/>
      <c r="CJ42" s="957">
        <v>1017</v>
      </c>
      <c r="CK42" s="175" t="s">
        <v>389</v>
      </c>
      <c r="CL42" s="156">
        <f>VLOOKUP(1017,$CJ$59:$CQ$85,$DA$62+2)</f>
        <v>1639963</v>
      </c>
      <c r="CM42" s="157" t="e">
        <f t="shared" si="8"/>
        <v>#N/A</v>
      </c>
      <c r="CN42" s="176">
        <f>B31+B32</f>
        <v>0</v>
      </c>
      <c r="CO42" s="1788">
        <f t="shared" si="9"/>
        <v>0</v>
      </c>
      <c r="CP42" s="1789"/>
      <c r="CQ42" s="1790"/>
      <c r="CR42" s="1791" t="e">
        <f t="shared" si="7"/>
        <v>#N/A</v>
      </c>
      <c r="CS42" s="1789"/>
      <c r="CT42" s="1792"/>
      <c r="CU42" s="931"/>
      <c r="CV42" s="931"/>
      <c r="CW42" s="931"/>
      <c r="CX42" s="932"/>
      <c r="CY42" s="932"/>
      <c r="CZ42" s="932"/>
      <c r="DA42" s="932"/>
      <c r="DB42" s="932"/>
      <c r="DC42" s="933"/>
      <c r="DD42" s="932"/>
      <c r="DE42" s="932"/>
      <c r="DF42" s="932"/>
      <c r="DG42" s="884"/>
      <c r="DI42" s="2766">
        <f>UNION!W50</f>
        <v>35880</v>
      </c>
      <c r="DJ42" s="902"/>
      <c r="DK42" s="902"/>
      <c r="EB42" s="939"/>
      <c r="EC42" s="923" t="s">
        <v>493</v>
      </c>
      <c r="ED42" s="904">
        <v>138</v>
      </c>
      <c r="EE42" s="3175">
        <v>48000</v>
      </c>
      <c r="EF42" s="2340"/>
      <c r="EG42" s="2340"/>
      <c r="EH42" s="2340"/>
      <c r="EI42" s="2340"/>
      <c r="EJ42" s="2340"/>
      <c r="EK42" s="2340"/>
      <c r="EL42" s="2340"/>
      <c r="EM42" s="2340"/>
      <c r="EN42" s="2665"/>
      <c r="EO42" s="2691">
        <f t="shared" si="11"/>
        <v>48000</v>
      </c>
      <c r="EP42" s="1004"/>
      <c r="EQ42" s="1652">
        <f>Generali!BG33</f>
        <v>14100</v>
      </c>
      <c r="ER42" s="905">
        <v>2066</v>
      </c>
      <c r="ES42" s="906" t="s">
        <v>1081</v>
      </c>
      <c r="ET42" s="2686">
        <v>6</v>
      </c>
      <c r="EV42" s="985"/>
      <c r="EW42" s="985"/>
      <c r="EX42" s="923" t="s">
        <v>493</v>
      </c>
      <c r="EY42" s="2690"/>
      <c r="EZ42" s="886"/>
    </row>
    <row r="43" spans="1:156" ht="19.5" thickBot="1">
      <c r="A43" s="106" t="s">
        <v>494</v>
      </c>
      <c r="B43" s="620">
        <f t="shared" si="1"/>
        <v>0</v>
      </c>
      <c r="C43" s="587" t="e">
        <f t="shared" si="10"/>
        <v>#VALUE!</v>
      </c>
      <c r="D43" s="284"/>
      <c r="E43" s="284"/>
      <c r="F43" s="836"/>
      <c r="G43" s="837"/>
      <c r="H43" s="837"/>
      <c r="I43" s="837"/>
      <c r="J43" s="837"/>
      <c r="K43" s="838"/>
      <c r="L43" s="1669"/>
      <c r="M43" s="1670"/>
      <c r="N43" s="510"/>
      <c r="O43" s="583"/>
      <c r="P43" s="599"/>
      <c r="Q43" s="3519" t="s">
        <v>5321</v>
      </c>
      <c r="R43" s="3520"/>
      <c r="S43" s="3520"/>
      <c r="T43" s="3520"/>
      <c r="U43" s="3061" t="str">
        <f>IF((L18-V43)&lt;0,Wáberer!AL7,S30)</f>
        <v xml:space="preserve"> </v>
      </c>
      <c r="V43" s="3045"/>
      <c r="W43" s="3042" t="s">
        <v>673</v>
      </c>
      <c r="X43" s="1868"/>
      <c r="Y43" s="1874"/>
      <c r="Z43" s="1875"/>
      <c r="AA43" s="582"/>
      <c r="AB43" s="548"/>
      <c r="AC43" s="370">
        <f>Wáberer!$H42</f>
        <v>9996</v>
      </c>
      <c r="AD43" s="460">
        <f>CIG!H41</f>
        <v>131040</v>
      </c>
      <c r="AE43" s="107">
        <f>Allianz!AB39</f>
        <v>19650</v>
      </c>
      <c r="AF43" s="107">
        <f>Signal!H42</f>
        <v>26400</v>
      </c>
      <c r="AG43" s="107"/>
      <c r="AH43" s="1033"/>
      <c r="AI43" s="107">
        <f>IF(KÉRDÉSEK!$C$5=KÉRDÉSEK!$C$10,NDK!$AL43,IF($AM$438=1,$AJ43,$AK43))</f>
        <v>23100</v>
      </c>
      <c r="AJ43" s="2814">
        <v>23100</v>
      </c>
      <c r="AK43" s="2814">
        <v>23100</v>
      </c>
      <c r="AL43" s="2814">
        <v>23100</v>
      </c>
      <c r="AM43" s="109">
        <f>IF(KÉRDÉSEK!$C$259=KÉRDÉSEK!$F$259,NDK!$EQ43,NDK!$EO43)</f>
        <v>48000</v>
      </c>
      <c r="AN43" s="109">
        <f>CIG!H41</f>
        <v>131040</v>
      </c>
      <c r="AO43" s="1029"/>
      <c r="AP43" s="1029"/>
      <c r="AQ43" s="1029"/>
      <c r="AR43" s="1029"/>
      <c r="AS43" s="1029"/>
      <c r="AT43" s="1029"/>
      <c r="AU43" s="109">
        <f>GROUPAMA!$Q43</f>
        <v>19836</v>
      </c>
      <c r="AV43" s="109"/>
      <c r="AW43" s="606"/>
      <c r="AX43" s="1166"/>
      <c r="AY43" s="1167"/>
      <c r="AZ43" s="224">
        <f>$CL$50</f>
        <v>48010</v>
      </c>
      <c r="BA43" s="109">
        <f>UNION!AB51</f>
        <v>44993.52</v>
      </c>
      <c r="BB43" s="1501">
        <f>Posta!B40</f>
        <v>28701</v>
      </c>
      <c r="BC43" s="903"/>
      <c r="BD43" s="903"/>
      <c r="BE43" s="903"/>
      <c r="BF43" s="903"/>
      <c r="BG43" s="903"/>
      <c r="BH43" s="903"/>
      <c r="BI43" s="903"/>
      <c r="BJ43" s="903"/>
      <c r="BK43" s="903"/>
      <c r="BL43" s="903"/>
      <c r="BM43" s="903"/>
      <c r="BN43" s="903"/>
      <c r="BO43" s="903"/>
      <c r="BP43" s="903"/>
      <c r="BQ43" s="903"/>
      <c r="BR43" s="903"/>
      <c r="BS43" s="1776"/>
      <c r="BT43" s="1776"/>
      <c r="BU43" s="903"/>
      <c r="BV43" s="1776"/>
      <c r="BW43" s="1776"/>
      <c r="BX43" s="1462"/>
      <c r="BY43" s="228"/>
      <c r="BZ43" s="1769"/>
      <c r="CA43" s="1777"/>
      <c r="CB43" s="233"/>
      <c r="CC43" s="233"/>
      <c r="CD43" s="233"/>
      <c r="CE43" s="233"/>
      <c r="CF43" s="1173"/>
      <c r="CG43" s="1173"/>
      <c r="CH43" s="1173"/>
      <c r="CI43" s="1173"/>
      <c r="CJ43" s="957">
        <v>1018</v>
      </c>
      <c r="CK43" s="167" t="s">
        <v>390</v>
      </c>
      <c r="CL43" s="156">
        <f>VLOOKUP(1018,$CJ$59:$CQ$85,$DA$62+2)</f>
        <v>75241</v>
      </c>
      <c r="CM43" s="157" t="e">
        <f t="shared" si="8"/>
        <v>#N/A</v>
      </c>
      <c r="CN43" s="160">
        <f>B33</f>
        <v>0</v>
      </c>
      <c r="CO43" s="1788">
        <f t="shared" si="9"/>
        <v>0</v>
      </c>
      <c r="CP43" s="1811"/>
      <c r="CQ43" s="1812"/>
      <c r="CR43" s="1791" t="e">
        <f t="shared" si="7"/>
        <v>#N/A</v>
      </c>
      <c r="CS43" s="1793"/>
      <c r="CT43" s="1795"/>
      <c r="CU43" s="931"/>
      <c r="CV43" s="931"/>
      <c r="CW43" s="931"/>
      <c r="CX43" s="932"/>
      <c r="CY43" s="932"/>
      <c r="CZ43" s="932"/>
      <c r="DA43" s="932"/>
      <c r="DB43" s="932"/>
      <c r="DC43" s="933"/>
      <c r="DD43" s="932"/>
      <c r="DE43" s="932"/>
      <c r="DF43" s="932"/>
      <c r="DG43" s="884"/>
      <c r="DI43" s="2766">
        <f>UNION!W51</f>
        <v>35880</v>
      </c>
      <c r="DJ43" s="902"/>
      <c r="DK43" s="902"/>
      <c r="EB43" s="939"/>
      <c r="EC43" s="923" t="s">
        <v>494</v>
      </c>
      <c r="ED43" s="904">
        <v>139</v>
      </c>
      <c r="EE43" s="3175">
        <v>48000</v>
      </c>
      <c r="EF43" s="2340"/>
      <c r="EG43" s="2340"/>
      <c r="EH43" s="2340"/>
      <c r="EI43" s="2340"/>
      <c r="EJ43" s="2340"/>
      <c r="EK43" s="2340"/>
      <c r="EL43" s="2340"/>
      <c r="EM43" s="2340"/>
      <c r="EN43" s="2665"/>
      <c r="EO43" s="2691">
        <f t="shared" si="11"/>
        <v>48000</v>
      </c>
      <c r="EP43" s="1004"/>
      <c r="EQ43" s="1652">
        <f>Generali!BG34</f>
        <v>14100</v>
      </c>
      <c r="ER43" s="905">
        <v>2067</v>
      </c>
      <c r="ES43" s="906" t="s">
        <v>1082</v>
      </c>
      <c r="ET43" s="2686">
        <v>6</v>
      </c>
      <c r="EV43" s="985"/>
      <c r="EW43" s="985"/>
      <c r="EX43" s="923" t="s">
        <v>494</v>
      </c>
      <c r="EY43" s="2690"/>
      <c r="EZ43" s="886"/>
    </row>
    <row r="44" spans="1:156" ht="19.5" thickBot="1">
      <c r="A44" s="114" t="s">
        <v>1178</v>
      </c>
      <c r="B44" s="620">
        <f t="shared" si="1"/>
        <v>0</v>
      </c>
      <c r="C44" s="587" t="e">
        <f t="shared" si="10"/>
        <v>#VALUE!</v>
      </c>
      <c r="D44" s="284"/>
      <c r="E44" s="284"/>
      <c r="F44" s="836"/>
      <c r="G44" s="837"/>
      <c r="H44" s="837"/>
      <c r="I44" s="837"/>
      <c r="J44" s="837"/>
      <c r="K44" s="838"/>
      <c r="L44" s="1669"/>
      <c r="M44" s="1672"/>
      <c r="N44" s="510"/>
      <c r="O44" s="583"/>
      <c r="P44" s="599"/>
      <c r="Q44" s="3519" t="s">
        <v>2456</v>
      </c>
      <c r="R44" s="3520"/>
      <c r="S44" s="3520"/>
      <c r="T44" s="3520"/>
      <c r="U44" s="3060" t="str">
        <f>IF((L21-V44)&lt;0,Wáberer!AL7,S30)</f>
        <v xml:space="preserve"> </v>
      </c>
      <c r="V44" s="3046"/>
      <c r="W44" s="3042" t="s">
        <v>673</v>
      </c>
      <c r="X44" s="1868"/>
      <c r="Y44" s="1872"/>
      <c r="Z44" s="1873"/>
      <c r="AA44" s="510"/>
      <c r="AB44" s="584"/>
      <c r="AC44" s="370">
        <f>IF(KÉRDÉSEK!$J$151=KÉRDÉSEK!$I$144,Wáberer!$BK43,Wáberer!$H43)</f>
        <v>400000</v>
      </c>
      <c r="AD44" s="460">
        <f>CIG!H42</f>
        <v>2228310</v>
      </c>
      <c r="AE44" s="107">
        <f>Allianz!AB40</f>
        <v>47357</v>
      </c>
      <c r="AF44" s="107">
        <f>Signal!H43</f>
        <v>180480</v>
      </c>
      <c r="AG44" s="107"/>
      <c r="AH44" s="1033"/>
      <c r="AI44" s="107">
        <f>IF(KÉRDÉSEK!$C$5=KÉRDÉSEK!$C$10,NDK!$AL44,IF($AM$438=1,$AJ44,$AK44))</f>
        <v>634400</v>
      </c>
      <c r="AJ44" s="2814">
        <v>634400</v>
      </c>
      <c r="AK44" s="2814">
        <v>634400</v>
      </c>
      <c r="AL44" s="2814">
        <v>634404</v>
      </c>
      <c r="AM44" s="109">
        <f>IF(KÉRDÉSEK!$C$259=KÉRDÉSEK!$F$259,NDK!$EQ44,NDK!$EO44)</f>
        <v>160000</v>
      </c>
      <c r="AN44" s="109">
        <f>CIG!H42</f>
        <v>2228310</v>
      </c>
      <c r="AO44" s="1029"/>
      <c r="AP44" s="1029"/>
      <c r="AQ44" s="1029"/>
      <c r="AR44" s="1029"/>
      <c r="AS44" s="1029"/>
      <c r="AT44" s="1029"/>
      <c r="AU44" s="109">
        <f>GROUPAMA!$Q44</f>
        <v>378360</v>
      </c>
      <c r="AV44" s="109"/>
      <c r="AW44" s="606"/>
      <c r="AX44" s="1166"/>
      <c r="AY44" s="1167"/>
      <c r="AZ44" s="224">
        <f>$CL$32</f>
        <v>244735</v>
      </c>
      <c r="BA44" s="109">
        <f>UNION!AB52</f>
        <v>832000</v>
      </c>
      <c r="BB44" s="1501">
        <f>Posta!B41</f>
        <v>676078</v>
      </c>
      <c r="BC44" s="903"/>
      <c r="BD44" s="903"/>
      <c r="BE44" s="903"/>
      <c r="BF44" s="903"/>
      <c r="BG44" s="903"/>
      <c r="BH44" s="903"/>
      <c r="BI44" s="903"/>
      <c r="BJ44" s="903"/>
      <c r="BK44" s="903"/>
      <c r="BL44" s="903"/>
      <c r="BM44" s="903"/>
      <c r="BN44" s="903"/>
      <c r="BO44" s="903"/>
      <c r="BP44" s="903"/>
      <c r="BQ44" s="903"/>
      <c r="BR44" s="903"/>
      <c r="BS44" s="1776"/>
      <c r="BT44" s="1776"/>
      <c r="BU44" s="903"/>
      <c r="BV44" s="1776"/>
      <c r="BW44" s="1776"/>
      <c r="BX44" s="1462"/>
      <c r="BY44" s="231"/>
      <c r="BZ44" s="1769"/>
      <c r="CA44" s="1777"/>
      <c r="CB44" s="233"/>
      <c r="CC44" s="233"/>
      <c r="CD44" s="233"/>
      <c r="CE44" s="233"/>
      <c r="CF44" s="1173"/>
      <c r="CG44" s="1173"/>
      <c r="CH44" s="1173"/>
      <c r="CI44" s="1173"/>
      <c r="CJ44" s="957">
        <v>1019</v>
      </c>
      <c r="CK44" s="177" t="s">
        <v>4874</v>
      </c>
      <c r="CL44" s="156">
        <f>VLOOKUP(1019,$CJ$59:$CQ$85,$DA$62+2)</f>
        <v>0</v>
      </c>
      <c r="CM44" s="157" t="e">
        <f t="shared" si="8"/>
        <v>#N/A</v>
      </c>
      <c r="CN44" s="162">
        <f>B49</f>
        <v>0</v>
      </c>
      <c r="CO44" s="1788">
        <f t="shared" si="9"/>
        <v>0</v>
      </c>
      <c r="CP44" s="1817"/>
      <c r="CQ44" s="1818"/>
      <c r="CR44" s="1791" t="e">
        <f t="shared" si="7"/>
        <v>#N/A</v>
      </c>
      <c r="CS44" s="1799"/>
      <c r="CT44" s="1801"/>
      <c r="CU44" s="931"/>
      <c r="CV44" s="931"/>
      <c r="CW44" s="931"/>
      <c r="CX44" s="932"/>
      <c r="CY44" s="932"/>
      <c r="CZ44" s="932"/>
      <c r="DA44" s="932"/>
      <c r="DB44" s="932"/>
      <c r="DC44" s="933"/>
      <c r="DD44" s="932"/>
      <c r="DE44" s="932"/>
      <c r="DF44" s="932"/>
      <c r="DG44" s="884"/>
      <c r="DI44" s="2766">
        <f>UNION!W52</f>
        <v>416000</v>
      </c>
      <c r="DJ44" s="902"/>
      <c r="DK44" s="902"/>
      <c r="EB44" s="939"/>
      <c r="EC44" s="915" t="s">
        <v>1178</v>
      </c>
      <c r="ED44" s="904">
        <v>140</v>
      </c>
      <c r="EE44" s="3175">
        <v>160000</v>
      </c>
      <c r="EF44" s="2494"/>
      <c r="EG44" s="2494"/>
      <c r="EH44" s="2494"/>
      <c r="EI44" s="2494"/>
      <c r="EJ44" s="2494"/>
      <c r="EK44" s="2494"/>
      <c r="EL44" s="2494"/>
      <c r="EM44" s="2494"/>
      <c r="EN44" s="2664"/>
      <c r="EO44" s="2691">
        <f t="shared" si="11"/>
        <v>160000</v>
      </c>
      <c r="EP44" s="1004"/>
      <c r="EQ44" s="1652">
        <f>Generali!BG18</f>
        <v>160000</v>
      </c>
      <c r="ER44" s="905">
        <v>2071</v>
      </c>
      <c r="ES44" s="906" t="s">
        <v>3981</v>
      </c>
      <c r="ET44" s="2686">
        <v>6</v>
      </c>
      <c r="EU44" s="895">
        <v>1</v>
      </c>
      <c r="EV44" s="985"/>
      <c r="EW44" s="985"/>
      <c r="EX44" s="915" t="s">
        <v>1178</v>
      </c>
      <c r="EY44" s="2690"/>
      <c r="EZ44" s="886"/>
    </row>
    <row r="45" spans="1:156" ht="19.5" thickBot="1">
      <c r="A45" s="114" t="s">
        <v>1239</v>
      </c>
      <c r="B45" s="620">
        <f t="shared" si="1"/>
        <v>0</v>
      </c>
      <c r="C45" s="587" t="e">
        <f t="shared" si="10"/>
        <v>#VALUE!</v>
      </c>
      <c r="D45" s="284"/>
      <c r="E45" s="284"/>
      <c r="F45" s="836"/>
      <c r="G45" s="837"/>
      <c r="H45" s="837"/>
      <c r="I45" s="837"/>
      <c r="J45" s="837"/>
      <c r="K45" s="838"/>
      <c r="L45" s="1669"/>
      <c r="M45" s="1672"/>
      <c r="N45" s="510"/>
      <c r="O45" s="583"/>
      <c r="P45" s="599"/>
      <c r="Q45" s="3519" t="s">
        <v>4134</v>
      </c>
      <c r="R45" s="3520"/>
      <c r="S45" s="3520"/>
      <c r="T45" s="3520"/>
      <c r="U45" s="3060" t="str">
        <f>IF((L24-V45)&lt;0,Wáberer!AL7,S30)</f>
        <v xml:space="preserve"> </v>
      </c>
      <c r="V45" s="3046"/>
      <c r="W45" s="3042" t="s">
        <v>673</v>
      </c>
      <c r="X45" s="1868"/>
      <c r="Y45" s="1872"/>
      <c r="Z45" s="1873"/>
      <c r="AA45" s="510"/>
      <c r="AB45" s="584"/>
      <c r="AC45" s="370">
        <f>IF(KÉRDÉSEK!$J$151=KÉRDÉSEK!$I$144,Wáberer!$BK44,Wáberer!$H44)</f>
        <v>700000</v>
      </c>
      <c r="AD45" s="460">
        <f>CIG!H43</f>
        <v>4216590</v>
      </c>
      <c r="AE45" s="107">
        <f>Allianz!AB41</f>
        <v>75805</v>
      </c>
      <c r="AF45" s="107">
        <f>Signal!H44</f>
        <v>1386000</v>
      </c>
      <c r="AG45" s="107"/>
      <c r="AH45" s="1033"/>
      <c r="AI45" s="107">
        <f>IF(KÉRDÉSEK!$C$5=KÉRDÉSEK!$C$10,NDK!$AL45,IF($AM$438=1,$AJ45,$AK45))</f>
        <v>1049600</v>
      </c>
      <c r="AJ45" s="2814">
        <v>1049600</v>
      </c>
      <c r="AK45" s="2814">
        <v>1049600</v>
      </c>
      <c r="AL45" s="2814">
        <v>1049604</v>
      </c>
      <c r="AM45" s="109">
        <f>IF(KÉRDÉSEK!$C$259=KÉRDÉSEK!$F$259,NDK!$EQ45,NDK!$EO45)</f>
        <v>1000000</v>
      </c>
      <c r="AN45" s="109">
        <f>CIG!H43</f>
        <v>4216590</v>
      </c>
      <c r="AO45" s="1029"/>
      <c r="AP45" s="1029"/>
      <c r="AQ45" s="1029"/>
      <c r="AR45" s="1029"/>
      <c r="AS45" s="1029"/>
      <c r="AT45" s="1029"/>
      <c r="AU45" s="109">
        <f>GROUPAMA!$Q45</f>
        <v>706356</v>
      </c>
      <c r="AV45" s="109"/>
      <c r="AW45" s="606"/>
      <c r="AX45" s="1166"/>
      <c r="AY45" s="1167"/>
      <c r="AZ45" s="224">
        <f>$CL$33</f>
        <v>470218</v>
      </c>
      <c r="BA45" s="109">
        <f>UNION!AB53</f>
        <v>1248000</v>
      </c>
      <c r="BB45" s="1501">
        <f>Posta!B42</f>
        <v>1279091</v>
      </c>
      <c r="BC45" s="903"/>
      <c r="BD45" s="903"/>
      <c r="BE45" s="903"/>
      <c r="BF45" s="903"/>
      <c r="BG45" s="903"/>
      <c r="BH45" s="903"/>
      <c r="BI45" s="903"/>
      <c r="BJ45" s="903"/>
      <c r="BK45" s="903"/>
      <c r="BL45" s="903"/>
      <c r="BM45" s="903"/>
      <c r="BN45" s="903"/>
      <c r="BO45" s="903"/>
      <c r="BP45" s="903"/>
      <c r="BQ45" s="903"/>
      <c r="BR45" s="903"/>
      <c r="BS45" s="1776"/>
      <c r="BT45" s="1776"/>
      <c r="BU45" s="903"/>
      <c r="BV45" s="1776"/>
      <c r="BW45" s="1776"/>
      <c r="BX45" s="1462"/>
      <c r="BY45" s="231"/>
      <c r="BZ45" s="1769"/>
      <c r="CA45" s="1777"/>
      <c r="CB45" s="233"/>
      <c r="CC45" s="233"/>
      <c r="CD45" s="233"/>
      <c r="CE45" s="233"/>
      <c r="CF45" s="1173"/>
      <c r="CG45" s="1173"/>
      <c r="CH45" s="1173"/>
      <c r="CI45" s="1173"/>
      <c r="CJ45" s="957"/>
      <c r="CK45" s="164" t="s">
        <v>391</v>
      </c>
      <c r="CL45" s="171"/>
      <c r="CM45" s="165"/>
      <c r="CN45" s="178"/>
      <c r="CO45" s="1808"/>
      <c r="CP45" s="1809"/>
      <c r="CQ45" s="1810"/>
      <c r="CR45" s="1791"/>
      <c r="CS45" s="1804"/>
      <c r="CT45" s="1806"/>
      <c r="CU45" s="931"/>
      <c r="CV45" s="931"/>
      <c r="CW45" s="931"/>
      <c r="CX45" s="932"/>
      <c r="CY45" s="932"/>
      <c r="CZ45" s="932"/>
      <c r="DA45" s="932"/>
      <c r="DB45" s="932"/>
      <c r="DC45" s="933"/>
      <c r="DD45" s="932"/>
      <c r="DE45" s="932"/>
      <c r="DF45" s="932"/>
      <c r="DG45" s="884"/>
      <c r="DI45" s="2766">
        <f>UNION!W53</f>
        <v>624000</v>
      </c>
      <c r="DJ45" s="902"/>
      <c r="DK45" s="902"/>
      <c r="EB45" s="939"/>
      <c r="EC45" s="915" t="s">
        <v>1239</v>
      </c>
      <c r="ED45" s="904">
        <v>141</v>
      </c>
      <c r="EE45" s="3175">
        <v>1000000</v>
      </c>
      <c r="EF45" s="2494"/>
      <c r="EG45" s="2494"/>
      <c r="EH45" s="2494"/>
      <c r="EI45" s="2494"/>
      <c r="EJ45" s="2494"/>
      <c r="EK45" s="2494"/>
      <c r="EL45" s="2494"/>
      <c r="EM45" s="2494"/>
      <c r="EN45" s="2664"/>
      <c r="EO45" s="2691">
        <f t="shared" si="11"/>
        <v>1000000</v>
      </c>
      <c r="EP45" s="1004"/>
      <c r="EQ45" s="1652">
        <f>Generali!BG19</f>
        <v>1000000</v>
      </c>
      <c r="ER45" s="905">
        <v>2072</v>
      </c>
      <c r="ES45" s="906" t="s">
        <v>3982</v>
      </c>
      <c r="ET45" s="2686">
        <v>6</v>
      </c>
      <c r="EV45" s="985"/>
      <c r="EW45" s="985"/>
      <c r="EX45" s="915" t="s">
        <v>1239</v>
      </c>
      <c r="EY45" s="2690"/>
      <c r="EZ45" s="886"/>
    </row>
    <row r="46" spans="1:156" ht="19.5" thickBot="1">
      <c r="A46" s="114" t="s">
        <v>1240</v>
      </c>
      <c r="B46" s="620">
        <f t="shared" si="1"/>
        <v>0</v>
      </c>
      <c r="C46" s="587" t="e">
        <f t="shared" si="10"/>
        <v>#VALUE!</v>
      </c>
      <c r="D46" s="284"/>
      <c r="E46" s="284"/>
      <c r="F46" s="836"/>
      <c r="G46" s="837"/>
      <c r="H46" s="837"/>
      <c r="I46" s="837"/>
      <c r="J46" s="837"/>
      <c r="K46" s="838"/>
      <c r="L46" s="1669"/>
      <c r="M46" s="1672"/>
      <c r="N46" s="510"/>
      <c r="O46" s="583"/>
      <c r="P46" s="599"/>
      <c r="Q46" s="3519" t="s">
        <v>1494</v>
      </c>
      <c r="R46" s="3520"/>
      <c r="S46" s="3520"/>
      <c r="T46" s="3520"/>
      <c r="U46" s="3060" t="str">
        <f>IF((L26-V46)&lt;0,Wáberer!AL7,S30)</f>
        <v xml:space="preserve"> </v>
      </c>
      <c r="V46" s="3046"/>
      <c r="W46" s="3042" t="s">
        <v>673</v>
      </c>
      <c r="X46" s="1868"/>
      <c r="Y46" s="1872"/>
      <c r="Z46" s="1873"/>
      <c r="AA46" s="510"/>
      <c r="AB46" s="584"/>
      <c r="AC46" s="370">
        <f>IF(KÉRDÉSEK!$J$151=KÉRDÉSEK!$I$144,Wáberer!$BK45,Wáberer!$H45)</f>
        <v>1200000</v>
      </c>
      <c r="AD46" s="460">
        <f>CIG!H44</f>
        <v>4517100</v>
      </c>
      <c r="AE46" s="107">
        <f>Allianz!AB42</f>
        <v>183525</v>
      </c>
      <c r="AF46" s="107">
        <f>Signal!H45</f>
        <v>1386000</v>
      </c>
      <c r="AG46" s="107"/>
      <c r="AH46" s="1033"/>
      <c r="AI46" s="107">
        <f>IF(KÉRDÉSEK!$C$5=KÉRDÉSEK!$C$10,NDK!$AL46,IF($AM$438=1,$AJ46,$AK46))</f>
        <v>1464800</v>
      </c>
      <c r="AJ46" s="2814">
        <v>1464800</v>
      </c>
      <c r="AK46" s="2814">
        <v>1464800</v>
      </c>
      <c r="AL46" s="2814">
        <v>1464804</v>
      </c>
      <c r="AM46" s="109">
        <f>IF(KÉRDÉSEK!$C$259=KÉRDÉSEK!$F$259,NDK!$EQ46,NDK!$EO46)</f>
        <v>1500000</v>
      </c>
      <c r="AN46" s="109">
        <f>CIG!H44</f>
        <v>4517100</v>
      </c>
      <c r="AO46" s="1029"/>
      <c r="AP46" s="1029"/>
      <c r="AQ46" s="1029"/>
      <c r="AR46" s="1029"/>
      <c r="AS46" s="1029"/>
      <c r="AT46" s="1029"/>
      <c r="AU46" s="109">
        <f>GROUPAMA!$Q46</f>
        <v>1419132</v>
      </c>
      <c r="AV46" s="109"/>
      <c r="AW46" s="606"/>
      <c r="AX46" s="1166"/>
      <c r="AY46" s="1167"/>
      <c r="AZ46" s="224">
        <f>$CL$34</f>
        <v>687920</v>
      </c>
      <c r="BA46" s="109">
        <f>UNION!AB54</f>
        <v>3354000</v>
      </c>
      <c r="BB46" s="1501">
        <f>Posta!B43</f>
        <v>1370442</v>
      </c>
      <c r="BC46" s="903"/>
      <c r="BD46" s="903"/>
      <c r="BE46" s="903"/>
      <c r="BF46" s="903"/>
      <c r="BG46" s="903"/>
      <c r="BH46" s="903"/>
      <c r="BI46" s="903"/>
      <c r="BJ46" s="903"/>
      <c r="BK46" s="903"/>
      <c r="BL46" s="903"/>
      <c r="BM46" s="903"/>
      <c r="BN46" s="903"/>
      <c r="BO46" s="903"/>
      <c r="BP46" s="903"/>
      <c r="BQ46" s="903"/>
      <c r="BR46" s="903"/>
      <c r="BS46" s="1776"/>
      <c r="BT46" s="1776"/>
      <c r="BU46" s="903"/>
      <c r="BV46" s="1776"/>
      <c r="BW46" s="1776"/>
      <c r="BX46" s="1462"/>
      <c r="BY46" s="231"/>
      <c r="BZ46" s="1769"/>
      <c r="CA46" s="1777"/>
      <c r="CB46" s="233"/>
      <c r="CC46" s="233"/>
      <c r="CD46" s="233"/>
      <c r="CE46" s="233"/>
      <c r="CF46" s="1173"/>
      <c r="CG46" s="1173"/>
      <c r="CH46" s="1173"/>
      <c r="CI46" s="1173"/>
      <c r="CJ46" s="957">
        <v>1020</v>
      </c>
      <c r="CK46" s="179" t="s">
        <v>392</v>
      </c>
      <c r="CL46" s="156">
        <f>VLOOKUP(1020,$CJ$59:$CQ$85,$DA$62+2)</f>
        <v>18040</v>
      </c>
      <c r="CM46" s="157" t="e">
        <f t="shared" ref="CM46:CM52" si="12">-$CN$156</f>
        <v>#N/A</v>
      </c>
      <c r="CN46" s="160">
        <f>B26</f>
        <v>0</v>
      </c>
      <c r="CO46" s="1788">
        <f t="shared" ref="CO46:CO52" si="13">CN46*CL46</f>
        <v>0</v>
      </c>
      <c r="CP46" s="1793"/>
      <c r="CQ46" s="1794"/>
      <c r="CR46" s="1791" t="e">
        <f t="shared" si="7"/>
        <v>#N/A</v>
      </c>
      <c r="CS46" s="1793"/>
      <c r="CT46" s="1795"/>
      <c r="CU46" s="931"/>
      <c r="CV46" s="931"/>
      <c r="CW46" s="931"/>
      <c r="CX46" s="932"/>
      <c r="CY46" s="932"/>
      <c r="CZ46" s="932"/>
      <c r="DA46" s="932"/>
      <c r="DB46" s="932"/>
      <c r="DC46" s="933"/>
      <c r="DD46" s="932"/>
      <c r="DE46" s="932"/>
      <c r="DF46" s="932"/>
      <c r="DG46" s="884"/>
      <c r="DI46" s="2766">
        <f>UNION!W54</f>
        <v>1118000</v>
      </c>
      <c r="DJ46" s="902"/>
      <c r="DK46" s="902"/>
      <c r="EB46" s="939"/>
      <c r="EC46" s="915" t="s">
        <v>1240</v>
      </c>
      <c r="ED46" s="904">
        <v>142</v>
      </c>
      <c r="EE46" s="3175">
        <v>1500000</v>
      </c>
      <c r="EF46" s="2494"/>
      <c r="EG46" s="2494"/>
      <c r="EH46" s="2494"/>
      <c r="EI46" s="2494"/>
      <c r="EJ46" s="2494"/>
      <c r="EK46" s="2494"/>
      <c r="EL46" s="2494"/>
      <c r="EM46" s="2494"/>
      <c r="EN46" s="2664"/>
      <c r="EO46" s="2691">
        <f t="shared" si="11"/>
        <v>1500000</v>
      </c>
      <c r="EP46" s="1004"/>
      <c r="EQ46" s="1652">
        <f>Generali!BG20</f>
        <v>1500000</v>
      </c>
      <c r="ER46" s="905">
        <v>2073</v>
      </c>
      <c r="ES46" s="906" t="s">
        <v>3983</v>
      </c>
      <c r="ET46" s="2686">
        <v>6</v>
      </c>
      <c r="EU46" s="895">
        <v>1</v>
      </c>
      <c r="EV46" s="985"/>
      <c r="EW46" s="985"/>
      <c r="EX46" s="915" t="s">
        <v>1240</v>
      </c>
      <c r="EY46" s="2690"/>
      <c r="EZ46" s="886"/>
    </row>
    <row r="47" spans="1:156" ht="19.5" thickBot="1">
      <c r="A47" s="114" t="s">
        <v>4873</v>
      </c>
      <c r="B47" s="620">
        <f t="shared" si="1"/>
        <v>0</v>
      </c>
      <c r="C47" s="587" t="e">
        <f t="shared" si="10"/>
        <v>#VALUE!</v>
      </c>
      <c r="D47" s="284"/>
      <c r="E47" s="284"/>
      <c r="F47" s="836"/>
      <c r="G47" s="837"/>
      <c r="H47" s="837"/>
      <c r="I47" s="837"/>
      <c r="J47" s="837"/>
      <c r="K47" s="838"/>
      <c r="L47" s="1669"/>
      <c r="M47" s="1672"/>
      <c r="N47" s="510"/>
      <c r="O47" s="583"/>
      <c r="P47" s="599"/>
      <c r="Q47" s="3519" t="s">
        <v>3072</v>
      </c>
      <c r="R47" s="3520"/>
      <c r="S47" s="3520"/>
      <c r="T47" s="3520"/>
      <c r="U47" s="3060" t="str">
        <f>IF((L27-V47)&lt;0,Wáberer!AL7,S30)</f>
        <v xml:space="preserve"> </v>
      </c>
      <c r="V47" s="3046"/>
      <c r="W47" s="3042" t="s">
        <v>673</v>
      </c>
      <c r="X47" s="1868"/>
      <c r="Y47" s="1872"/>
      <c r="Z47" s="1873"/>
      <c r="AA47" s="510"/>
      <c r="AB47" s="584"/>
      <c r="AC47" s="370">
        <f>IF(KÉRDÉSEK!$J$151=KÉRDÉSEK!$I$144,Wáberer!$BK46,Wáberer!$H46)</f>
        <v>2000000</v>
      </c>
      <c r="AD47" s="460">
        <f>CIG!H45</f>
        <v>5278770</v>
      </c>
      <c r="AE47" s="107">
        <f>Allianz!AB43</f>
        <v>306323</v>
      </c>
      <c r="AF47" s="107">
        <f>Signal!H46</f>
        <v>1386000</v>
      </c>
      <c r="AG47" s="107"/>
      <c r="AH47" s="1033"/>
      <c r="AI47" s="107">
        <f>IF(KÉRDÉSEK!$C$5=KÉRDÉSEK!$C$10,NDK!$AL47,IF($AM$438=1,$AJ47,$AK47))</f>
        <v>2322200</v>
      </c>
      <c r="AJ47" s="2814">
        <v>2322200</v>
      </c>
      <c r="AK47" s="2814">
        <v>2322200</v>
      </c>
      <c r="AL47" s="2814">
        <v>2322204</v>
      </c>
      <c r="AM47" s="109">
        <f>IF(KÉRDÉSEK!$C$259=KÉRDÉSEK!$F$259,NDK!$EQ47,NDK!$EO47)</f>
        <v>1650000</v>
      </c>
      <c r="AN47" s="109">
        <f>CIG!H45</f>
        <v>5278770</v>
      </c>
      <c r="AO47" s="1029"/>
      <c r="AP47" s="1029"/>
      <c r="AQ47" s="1029"/>
      <c r="AR47" s="1029"/>
      <c r="AS47" s="1029"/>
      <c r="AT47" s="1029"/>
      <c r="AU47" s="109">
        <f>GROUPAMA!$Q47</f>
        <v>2989408</v>
      </c>
      <c r="AV47" s="109"/>
      <c r="AW47" s="606"/>
      <c r="AX47" s="1166"/>
      <c r="AY47" s="1167"/>
      <c r="AZ47" s="224">
        <f>$CL$35</f>
        <v>805399</v>
      </c>
      <c r="BA47" s="109">
        <f>UNION!AB55</f>
        <v>3978000</v>
      </c>
      <c r="BB47" s="1501">
        <f>Posta!B44</f>
        <v>1461818</v>
      </c>
      <c r="BC47" s="903"/>
      <c r="BD47" s="903"/>
      <c r="BE47" s="903"/>
      <c r="BF47" s="903"/>
      <c r="BG47" s="903"/>
      <c r="BH47" s="903"/>
      <c r="BI47" s="903"/>
      <c r="BJ47" s="903"/>
      <c r="BK47" s="903"/>
      <c r="BL47" s="903"/>
      <c r="BM47" s="903"/>
      <c r="BN47" s="903"/>
      <c r="BO47" s="903"/>
      <c r="BP47" s="903"/>
      <c r="BQ47" s="903"/>
      <c r="BR47" s="903"/>
      <c r="BS47" s="1776"/>
      <c r="BT47" s="1776"/>
      <c r="BU47" s="903"/>
      <c r="BV47" s="1776"/>
      <c r="BW47" s="1776"/>
      <c r="BX47" s="1462"/>
      <c r="BY47" s="231"/>
      <c r="BZ47" s="1769"/>
      <c r="CA47" s="1777"/>
      <c r="CB47" s="233"/>
      <c r="CC47" s="233"/>
      <c r="CD47" s="233"/>
      <c r="CE47" s="233"/>
      <c r="CF47" s="1173"/>
      <c r="CG47" s="1173"/>
      <c r="CH47" s="1173"/>
      <c r="CI47" s="1173"/>
      <c r="CJ47" s="957">
        <v>1021</v>
      </c>
      <c r="CK47" s="167" t="s">
        <v>393</v>
      </c>
      <c r="CL47" s="156">
        <f>VLOOKUP(1021,$CJ$59:$CQ$85,$DA$62+2)</f>
        <v>32312</v>
      </c>
      <c r="CM47" s="157" t="e">
        <f t="shared" si="12"/>
        <v>#N/A</v>
      </c>
      <c r="CN47" s="160">
        <f>B27</f>
        <v>0</v>
      </c>
      <c r="CO47" s="1788">
        <f t="shared" si="13"/>
        <v>0</v>
      </c>
      <c r="CP47" s="1793"/>
      <c r="CQ47" s="1794"/>
      <c r="CR47" s="1791" t="e">
        <f t="shared" si="7"/>
        <v>#N/A</v>
      </c>
      <c r="CS47" s="1793"/>
      <c r="CT47" s="1795"/>
      <c r="CU47" s="931"/>
      <c r="CV47" s="931"/>
      <c r="CW47" s="931"/>
      <c r="CX47" s="932"/>
      <c r="CY47" s="932"/>
      <c r="CZ47" s="932"/>
      <c r="DA47" s="932"/>
      <c r="DB47" s="932"/>
      <c r="DC47" s="933"/>
      <c r="DD47" s="932"/>
      <c r="DE47" s="932"/>
      <c r="DF47" s="932"/>
      <c r="DG47" s="884"/>
      <c r="DI47" s="2766">
        <f>UNION!W55</f>
        <v>1326000</v>
      </c>
      <c r="DJ47" s="902"/>
      <c r="DK47" s="902"/>
      <c r="EB47" s="939"/>
      <c r="EC47" s="915" t="s">
        <v>4873</v>
      </c>
      <c r="ED47" s="904">
        <v>143</v>
      </c>
      <c r="EE47" s="3175">
        <v>1650000</v>
      </c>
      <c r="EF47" s="2494"/>
      <c r="EG47" s="2494"/>
      <c r="EH47" s="2494"/>
      <c r="EI47" s="2494"/>
      <c r="EJ47" s="2494"/>
      <c r="EK47" s="2494"/>
      <c r="EL47" s="2494"/>
      <c r="EM47" s="2494"/>
      <c r="EN47" s="2664"/>
      <c r="EO47" s="2691">
        <f t="shared" si="11"/>
        <v>1650000</v>
      </c>
      <c r="EP47" s="1004"/>
      <c r="EQ47" s="1652">
        <f>Generali!BG21</f>
        <v>1650000</v>
      </c>
      <c r="ER47" s="905">
        <v>2074</v>
      </c>
      <c r="ES47" s="906" t="s">
        <v>3984</v>
      </c>
      <c r="ET47" s="2686">
        <v>2</v>
      </c>
      <c r="EU47" s="895">
        <v>1</v>
      </c>
      <c r="EV47" s="985"/>
      <c r="EW47" s="985"/>
      <c r="EX47" s="915" t="s">
        <v>4873</v>
      </c>
      <c r="EY47" s="2690"/>
      <c r="EZ47" s="886"/>
    </row>
    <row r="48" spans="1:156" ht="19.5" thickBot="1">
      <c r="A48" s="114" t="s">
        <v>1394</v>
      </c>
      <c r="B48" s="620">
        <f t="shared" si="1"/>
        <v>0</v>
      </c>
      <c r="C48" s="587" t="e">
        <f t="shared" si="10"/>
        <v>#VALUE!</v>
      </c>
      <c r="D48" s="284"/>
      <c r="E48" s="284"/>
      <c r="F48" s="836"/>
      <c r="G48" s="837"/>
      <c r="H48" s="837"/>
      <c r="I48" s="837"/>
      <c r="J48" s="837"/>
      <c r="K48" s="838"/>
      <c r="L48" s="1671"/>
      <c r="M48" s="1670"/>
      <c r="N48" s="510"/>
      <c r="O48" s="583"/>
      <c r="P48" s="599"/>
      <c r="Q48" s="3519" t="s">
        <v>3071</v>
      </c>
      <c r="R48" s="3520"/>
      <c r="S48" s="3520"/>
      <c r="T48" s="3520"/>
      <c r="U48" s="3060" t="str">
        <f>IF((W29-V48)&lt;0,Wáberer!AL7,S30)</f>
        <v xml:space="preserve"> </v>
      </c>
      <c r="V48" s="3046"/>
      <c r="W48" s="3042" t="s">
        <v>673</v>
      </c>
      <c r="X48" s="1868"/>
      <c r="Y48" s="1872"/>
      <c r="Z48" s="1873"/>
      <c r="AA48" s="510"/>
      <c r="AB48" s="584"/>
      <c r="AC48" s="371"/>
      <c r="AD48" s="371"/>
      <c r="AE48" s="107">
        <f>Allianz!AB44</f>
        <v>302535</v>
      </c>
      <c r="AF48" s="108"/>
      <c r="AG48" s="107"/>
      <c r="AH48" s="1033"/>
      <c r="AI48" s="108"/>
      <c r="AJ48" s="2815"/>
      <c r="AK48" s="2815"/>
      <c r="AL48" s="2815"/>
      <c r="AM48" s="112"/>
      <c r="AN48" s="112"/>
      <c r="AO48" s="1029"/>
      <c r="AP48" s="1029"/>
      <c r="AQ48" s="1029"/>
      <c r="AR48" s="1029"/>
      <c r="AS48" s="1029"/>
      <c r="AT48" s="1029"/>
      <c r="AU48" s="112"/>
      <c r="AV48" s="112"/>
      <c r="AW48" s="607"/>
      <c r="AX48" s="1166"/>
      <c r="AY48" s="1167"/>
      <c r="AZ48" s="225"/>
      <c r="BA48" s="112"/>
      <c r="BB48" s="1503"/>
      <c r="BC48" s="903"/>
      <c r="BD48" s="903"/>
      <c r="BE48" s="903"/>
      <c r="BF48" s="903"/>
      <c r="BG48" s="903"/>
      <c r="BH48" s="903"/>
      <c r="BI48" s="903"/>
      <c r="BJ48" s="903"/>
      <c r="BK48" s="903"/>
      <c r="BL48" s="903"/>
      <c r="BM48" s="903"/>
      <c r="BN48" s="903"/>
      <c r="BO48" s="903"/>
      <c r="BP48" s="903"/>
      <c r="BQ48" s="903"/>
      <c r="BR48" s="903"/>
      <c r="BS48" s="1776"/>
      <c r="BT48" s="1776"/>
      <c r="BU48" s="903"/>
      <c r="BV48" s="1776"/>
      <c r="BW48" s="1776"/>
      <c r="BX48" s="1462"/>
      <c r="BY48" s="231"/>
      <c r="BZ48" s="1769"/>
      <c r="CA48" s="1777"/>
      <c r="CB48" s="233"/>
      <c r="CC48" s="233"/>
      <c r="CD48" s="233"/>
      <c r="CE48" s="233"/>
      <c r="CF48" s="1173"/>
      <c r="CG48" s="1173"/>
      <c r="CH48" s="1173"/>
      <c r="CI48" s="1173"/>
      <c r="CJ48" s="957">
        <v>1022</v>
      </c>
      <c r="CK48" s="168" t="s">
        <v>394</v>
      </c>
      <c r="CL48" s="156">
        <f>VLOOKUP(1022,$CJ$59:$CQ$85,$DA$62+2)</f>
        <v>397368</v>
      </c>
      <c r="CM48" s="157" t="e">
        <f t="shared" si="12"/>
        <v>#N/A</v>
      </c>
      <c r="CN48" s="162">
        <f>B29</f>
        <v>0</v>
      </c>
      <c r="CO48" s="1788">
        <f t="shared" si="13"/>
        <v>0</v>
      </c>
      <c r="CP48" s="1799"/>
      <c r="CQ48" s="1800"/>
      <c r="CR48" s="1791" t="e">
        <f t="shared" si="7"/>
        <v>#N/A</v>
      </c>
      <c r="CS48" s="1799"/>
      <c r="CT48" s="1801"/>
      <c r="CU48" s="931"/>
      <c r="CV48" s="931"/>
      <c r="CW48" s="931"/>
      <c r="CX48" s="932"/>
      <c r="CY48" s="932"/>
      <c r="CZ48" s="932"/>
      <c r="DA48" s="932"/>
      <c r="DB48" s="932"/>
      <c r="DC48" s="933"/>
      <c r="DD48" s="932"/>
      <c r="DE48" s="932"/>
      <c r="DF48" s="932"/>
      <c r="DG48" s="884"/>
      <c r="DI48" s="2767"/>
      <c r="DJ48" s="902"/>
      <c r="DK48" s="902"/>
      <c r="DM48" s="936"/>
      <c r="DN48" s="936"/>
      <c r="DO48" s="232"/>
      <c r="DP48" s="232"/>
      <c r="DQ48" s="232"/>
      <c r="DR48" s="232"/>
      <c r="DS48" s="232"/>
      <c r="DT48" s="232"/>
      <c r="DU48" s="232"/>
      <c r="DV48" s="232"/>
      <c r="DW48" s="943"/>
      <c r="DX48" s="917"/>
      <c r="DY48" s="917"/>
      <c r="DZ48" s="917"/>
      <c r="EA48" s="917"/>
      <c r="EB48" s="1178"/>
      <c r="EC48" s="95" t="s">
        <v>490</v>
      </c>
      <c r="ED48" s="904">
        <v>144</v>
      </c>
      <c r="EE48" s="2337"/>
      <c r="EF48" s="2338"/>
      <c r="EG48" s="2338"/>
      <c r="EH48" s="2338"/>
      <c r="EI48" s="2338"/>
      <c r="EJ48" s="2338"/>
      <c r="EK48" s="2338"/>
      <c r="EL48" s="2338"/>
      <c r="EM48" s="2338"/>
      <c r="EN48" s="2338"/>
      <c r="EO48" s="1007"/>
      <c r="EP48" s="1004"/>
      <c r="EQ48" s="1653"/>
      <c r="ER48" s="905">
        <v>2080</v>
      </c>
      <c r="ES48" s="906" t="s">
        <v>1083</v>
      </c>
      <c r="ET48" s="2686">
        <v>2</v>
      </c>
      <c r="EV48" s="985"/>
      <c r="EW48" s="985"/>
      <c r="EX48" s="95" t="s">
        <v>490</v>
      </c>
      <c r="EY48" s="2690"/>
      <c r="EZ48" s="886"/>
    </row>
    <row r="49" spans="1:162" ht="18.75" customHeight="1" thickBot="1">
      <c r="A49" s="114" t="s">
        <v>4874</v>
      </c>
      <c r="B49" s="620">
        <f t="shared" si="1"/>
        <v>0</v>
      </c>
      <c r="C49" s="587" t="e">
        <f t="shared" si="10"/>
        <v>#VALUE!</v>
      </c>
      <c r="D49" s="284"/>
      <c r="E49" s="284"/>
      <c r="F49" s="836"/>
      <c r="G49" s="837"/>
      <c r="H49" s="837"/>
      <c r="I49" s="837"/>
      <c r="J49" s="837"/>
      <c r="K49" s="838"/>
      <c r="L49" s="1673"/>
      <c r="M49" s="1674"/>
      <c r="N49" s="1372"/>
      <c r="O49" s="1373"/>
      <c r="P49" s="2662"/>
      <c r="Q49" s="3521" t="s">
        <v>389</v>
      </c>
      <c r="R49" s="3522"/>
      <c r="S49" s="3522"/>
      <c r="T49" s="3522"/>
      <c r="U49" s="3060" t="str">
        <f>IF((L31+L32-V49)&lt;0,Wáberer!AL7,S30)</f>
        <v xml:space="preserve"> </v>
      </c>
      <c r="V49" s="3046"/>
      <c r="W49" s="3042" t="s">
        <v>673</v>
      </c>
      <c r="X49" s="3039"/>
      <c r="Y49" s="1876"/>
      <c r="Z49" s="1877"/>
      <c r="AA49" s="1227"/>
      <c r="AB49" s="1228"/>
      <c r="AC49" s="370">
        <f>Wáberer!BL48</f>
        <v>0</v>
      </c>
      <c r="AD49" s="460">
        <f>CIG!H47</f>
        <v>0</v>
      </c>
      <c r="AE49" s="107">
        <f>Allianz!AB45</f>
        <v>559674</v>
      </c>
      <c r="AF49" s="107">
        <f>Signal!H48</f>
        <v>1386000</v>
      </c>
      <c r="AG49" s="107"/>
      <c r="AH49" s="1035"/>
      <c r="AI49" s="107">
        <f>IF(KÉRDÉSEK!$C$5=KÉRDÉSEK!$C$10,NDK!$AL49,IF($AM$438=1,$AJ49,$AK49))</f>
        <v>0</v>
      </c>
      <c r="AJ49" s="2816">
        <v>0</v>
      </c>
      <c r="AK49" s="2816">
        <v>0</v>
      </c>
      <c r="AL49" s="2816">
        <v>0</v>
      </c>
      <c r="AM49" s="109">
        <f>IF(KÉRDÉSEK!$C$259=KÉRDÉSEK!$F$259,NDK!$EQ49,NDK!$EO49)</f>
        <v>0</v>
      </c>
      <c r="AN49" s="109">
        <f>CIG!H47</f>
        <v>0</v>
      </c>
      <c r="AO49" s="1029"/>
      <c r="AP49" s="1029"/>
      <c r="AQ49" s="1029"/>
      <c r="AR49" s="1029"/>
      <c r="AS49" s="1029"/>
      <c r="AT49" s="1029"/>
      <c r="AU49" s="109">
        <f>GROUPAMA!$Q49</f>
        <v>2020044</v>
      </c>
      <c r="AV49" s="109"/>
      <c r="AW49" s="606"/>
      <c r="AX49" s="1166"/>
      <c r="AY49" s="1167"/>
      <c r="AZ49" s="224">
        <f>$CL$44</f>
        <v>0</v>
      </c>
      <c r="BA49" s="109">
        <f>UNION!AB57</f>
        <v>0</v>
      </c>
      <c r="BB49" s="1501">
        <f>Posta!B46</f>
        <v>925800</v>
      </c>
      <c r="BC49" s="1797"/>
      <c r="BD49" s="1797"/>
      <c r="BE49" s="1797"/>
      <c r="BF49" s="1797"/>
      <c r="BG49" s="1797"/>
      <c r="BH49" s="1797"/>
      <c r="BI49" s="1797"/>
      <c r="BJ49" s="1797"/>
      <c r="BK49" s="1797"/>
      <c r="BL49" s="1797"/>
      <c r="BM49" s="1797"/>
      <c r="BN49" s="1797"/>
      <c r="BO49" s="1797"/>
      <c r="BP49" s="1797"/>
      <c r="BQ49" s="1797"/>
      <c r="BR49" s="1797"/>
      <c r="BS49" s="1798"/>
      <c r="BT49" s="1798"/>
      <c r="BU49" s="1797"/>
      <c r="BV49" s="1798"/>
      <c r="BW49" s="1798"/>
      <c r="BX49" s="1462"/>
      <c r="BY49" s="231"/>
      <c r="BZ49" s="1769"/>
      <c r="CA49" s="1777"/>
      <c r="CB49" s="233"/>
      <c r="CC49" s="233"/>
      <c r="CD49" s="233"/>
      <c r="CE49" s="233"/>
      <c r="CF49" s="1173"/>
      <c r="CG49" s="1173"/>
      <c r="CH49" s="1173"/>
      <c r="CI49" s="1173"/>
      <c r="CJ49" s="957">
        <v>1023</v>
      </c>
      <c r="CK49" s="175" t="s">
        <v>493</v>
      </c>
      <c r="CL49" s="156">
        <f>VLOOKUP(1023,$CJ$59:$CQ$85,$DA$62+2)</f>
        <v>48010</v>
      </c>
      <c r="CM49" s="157" t="e">
        <f t="shared" si="12"/>
        <v>#N/A</v>
      </c>
      <c r="CN49" s="158">
        <f>B42</f>
        <v>0</v>
      </c>
      <c r="CO49" s="1788">
        <f t="shared" si="13"/>
        <v>0</v>
      </c>
      <c r="CP49" s="1789"/>
      <c r="CQ49" s="1790"/>
      <c r="CR49" s="1791" t="e">
        <f t="shared" si="7"/>
        <v>#N/A</v>
      </c>
      <c r="CS49" s="1789"/>
      <c r="CT49" s="1792"/>
      <c r="CU49" s="931"/>
      <c r="CV49" s="931"/>
      <c r="CW49" s="931"/>
      <c r="CX49" s="932"/>
      <c r="CY49" s="932"/>
      <c r="CZ49" s="932"/>
      <c r="DA49" s="932"/>
      <c r="DB49" s="932"/>
      <c r="DC49" s="933"/>
      <c r="DD49" s="932"/>
      <c r="DE49" s="932"/>
      <c r="DF49" s="932"/>
      <c r="DG49" s="884"/>
      <c r="DI49" s="2767">
        <v>0</v>
      </c>
      <c r="DJ49" s="902"/>
      <c r="DK49" s="902"/>
      <c r="DW49" s="1819"/>
      <c r="EA49" s="917"/>
      <c r="EB49" s="1178"/>
      <c r="EC49" s="915" t="s">
        <v>4874</v>
      </c>
      <c r="ED49" s="904">
        <v>145</v>
      </c>
      <c r="EE49" s="2342">
        <v>0</v>
      </c>
      <c r="EF49" s="2342">
        <v>0</v>
      </c>
      <c r="EG49" s="2342">
        <v>0</v>
      </c>
      <c r="EH49" s="2342">
        <v>0</v>
      </c>
      <c r="EI49" s="2342">
        <v>0</v>
      </c>
      <c r="EJ49" s="2342">
        <v>0</v>
      </c>
      <c r="EK49" s="2342">
        <v>0</v>
      </c>
      <c r="EL49" s="2342">
        <v>0</v>
      </c>
      <c r="EM49" s="2342">
        <v>0</v>
      </c>
      <c r="EN49" s="2666"/>
      <c r="EO49" s="1014">
        <f>IF($EP$8=1,$EE49,IF($EP$8=2,$EF49,IF($EP$8=3,$EG49,IF($EP$8=4,$EH49,IF($EP$8=5,$EI49,IF($EP$8=6,$EJ49,IF($EP$8=7,$EK49,IF($EP$8=9,$EM49,0))))))))</f>
        <v>0</v>
      </c>
      <c r="EP49" s="1015"/>
      <c r="EQ49" s="1657">
        <f>Generali!BG22</f>
        <v>0</v>
      </c>
      <c r="ER49" s="905">
        <v>2081</v>
      </c>
      <c r="ES49" s="906" t="s">
        <v>1084</v>
      </c>
      <c r="ET49" s="2686">
        <v>2</v>
      </c>
      <c r="EU49" s="895">
        <v>1</v>
      </c>
      <c r="EV49" s="985"/>
      <c r="EW49" s="985"/>
      <c r="EX49" s="915" t="s">
        <v>4874</v>
      </c>
      <c r="EY49" s="2690"/>
      <c r="EZ49" s="886"/>
    </row>
    <row r="50" spans="1:162" s="71" customFormat="1" ht="26.25" customHeight="1" thickTop="1" thickBot="1">
      <c r="A50" s="116" t="s">
        <v>499</v>
      </c>
      <c r="B50" s="834">
        <f>SUM(B4:B49)-B38-B28-B22-B20-B19-B11-B8-B5-B9-B23</f>
        <v>0</v>
      </c>
      <c r="C50" s="286"/>
      <c r="D50" s="286"/>
      <c r="E50" s="286"/>
      <c r="F50" s="3469" t="s">
        <v>328</v>
      </c>
      <c r="G50" s="3470"/>
      <c r="H50" s="3470"/>
      <c r="I50" s="3471">
        <f>KÖBE!$J$107</f>
        <v>0</v>
      </c>
      <c r="J50" s="3472"/>
      <c r="K50" s="3473"/>
      <c r="L50" s="597"/>
      <c r="M50" s="597"/>
      <c r="N50" s="597"/>
      <c r="O50" s="597"/>
      <c r="P50" s="597"/>
      <c r="Q50" s="597"/>
      <c r="R50" s="597"/>
      <c r="S50" s="3526" t="s">
        <v>499</v>
      </c>
      <c r="T50" s="3527"/>
      <c r="U50" s="3527"/>
      <c r="V50" s="3527"/>
      <c r="W50" s="3527"/>
      <c r="X50" s="1526">
        <f>X4+X6+X7+X10+X13+X16+X17+X18+X21+X24+X25+X26+X27+X29+X30+X31+X32+X33+X34+X35+X36+X37+X39+X40+X41+X42+X43+X44+X45+X46+X47+X48+X49</f>
        <v>0</v>
      </c>
      <c r="Y50" s="597"/>
      <c r="Z50" s="597"/>
      <c r="AA50" s="597"/>
      <c r="AB50" s="598"/>
      <c r="AC50" s="117"/>
      <c r="AD50" s="117"/>
      <c r="AE50" s="118"/>
      <c r="AF50" s="118"/>
      <c r="AG50" s="118"/>
      <c r="AH50" s="118"/>
      <c r="AI50" s="118"/>
      <c r="AJ50" s="119"/>
      <c r="AK50" s="119"/>
      <c r="AL50" s="119"/>
      <c r="AM50" s="120"/>
      <c r="AN50" s="120"/>
      <c r="AO50" s="1029"/>
      <c r="AP50" s="1029"/>
      <c r="AQ50" s="1029"/>
      <c r="AR50" s="1029"/>
      <c r="AS50" s="1029"/>
      <c r="AT50" s="1029"/>
      <c r="AU50" s="120"/>
      <c r="AV50" s="120"/>
      <c r="AW50" s="120"/>
      <c r="AX50" s="1166"/>
      <c r="AY50" s="1167"/>
      <c r="AZ50" s="226"/>
      <c r="BA50" s="120"/>
      <c r="BB50" s="1504"/>
      <c r="BC50" s="1776"/>
      <c r="BD50" s="1776"/>
      <c r="BE50" s="1776"/>
      <c r="BF50" s="1776"/>
      <c r="BG50" s="1776"/>
      <c r="BH50" s="1776"/>
      <c r="BI50" s="1776"/>
      <c r="BJ50" s="1776"/>
      <c r="BK50" s="1776"/>
      <c r="BL50" s="1776"/>
      <c r="BM50" s="1776"/>
      <c r="BN50" s="1776"/>
      <c r="BO50" s="1776"/>
      <c r="BP50" s="1776"/>
      <c r="BQ50" s="1776"/>
      <c r="BR50" s="1776"/>
      <c r="BS50" s="1820"/>
      <c r="BT50" s="1779"/>
      <c r="BU50" s="1821"/>
      <c r="BV50" s="1821"/>
      <c r="BW50" s="1798"/>
      <c r="BX50" s="1462"/>
      <c r="BY50" s="231"/>
      <c r="BZ50" s="1822"/>
      <c r="CA50" s="1777"/>
      <c r="CB50" s="233"/>
      <c r="CC50" s="233"/>
      <c r="CD50" s="233"/>
      <c r="CE50" s="233"/>
      <c r="CF50" s="1173"/>
      <c r="CG50" s="1173"/>
      <c r="CH50" s="1173"/>
      <c r="CI50" s="1173"/>
      <c r="CJ50" s="957">
        <v>1024</v>
      </c>
      <c r="CK50" s="167" t="s">
        <v>494</v>
      </c>
      <c r="CL50" s="156">
        <f>VLOOKUP(1024,$CJ$59:$CQ$85,$DA$62+2)</f>
        <v>48010</v>
      </c>
      <c r="CM50" s="157" t="e">
        <f t="shared" si="12"/>
        <v>#N/A</v>
      </c>
      <c r="CN50" s="160">
        <f>B43</f>
        <v>0</v>
      </c>
      <c r="CO50" s="1788">
        <f t="shared" si="13"/>
        <v>0</v>
      </c>
      <c r="CP50" s="1793"/>
      <c r="CQ50" s="1794"/>
      <c r="CR50" s="1791" t="e">
        <f t="shared" si="7"/>
        <v>#N/A</v>
      </c>
      <c r="CS50" s="1793"/>
      <c r="CT50" s="1795"/>
      <c r="CU50" s="931"/>
      <c r="CV50" s="931"/>
      <c r="CW50" s="931"/>
      <c r="CX50" s="932"/>
      <c r="CY50" s="932"/>
      <c r="CZ50" s="932"/>
      <c r="DA50" s="932"/>
      <c r="DB50" s="932"/>
      <c r="DC50" s="933"/>
      <c r="DD50" s="932"/>
      <c r="DE50" s="932"/>
      <c r="DF50" s="932"/>
      <c r="DG50" s="884"/>
      <c r="DH50" s="891"/>
      <c r="DI50" s="885"/>
      <c r="DJ50" s="885"/>
      <c r="DK50" s="885"/>
      <c r="DL50" s="885"/>
      <c r="DM50" s="937"/>
      <c r="DN50" s="937"/>
      <c r="DO50" s="885"/>
      <c r="DP50" s="885"/>
      <c r="DQ50" s="885"/>
      <c r="DR50" s="885"/>
      <c r="DS50" s="885"/>
      <c r="DT50" s="885"/>
      <c r="DU50" s="885"/>
      <c r="DV50" s="885"/>
      <c r="DW50" s="1819"/>
      <c r="DX50" s="885"/>
      <c r="DY50" s="885"/>
      <c r="DZ50" s="885"/>
      <c r="EA50" s="917"/>
      <c r="EB50" s="1178"/>
      <c r="EC50" s="1178"/>
      <c r="ED50" s="938"/>
      <c r="EE50" s="2343" t="s">
        <v>3892</v>
      </c>
      <c r="EF50" s="2344"/>
      <c r="EG50" s="2344"/>
      <c r="EH50" s="2345"/>
      <c r="EI50" s="2345"/>
      <c r="EJ50" s="2345"/>
      <c r="EK50" s="2345"/>
      <c r="EL50" s="2674"/>
      <c r="EM50" s="2346"/>
      <c r="EN50" s="235"/>
      <c r="EO50" s="938"/>
      <c r="EP50" s="938"/>
      <c r="EQ50" s="1646"/>
      <c r="ER50" s="905">
        <v>2083</v>
      </c>
      <c r="ES50" s="906" t="s">
        <v>3987</v>
      </c>
      <c r="ET50" s="2686">
        <v>2</v>
      </c>
      <c r="EU50" s="940">
        <v>1</v>
      </c>
      <c r="EV50" s="985"/>
      <c r="EW50" s="985"/>
      <c r="EX50" s="387"/>
      <c r="EY50" s="939"/>
      <c r="EZ50" s="938"/>
      <c r="FA50" s="860"/>
      <c r="FB50" s="860"/>
      <c r="FC50" s="713"/>
      <c r="FD50" s="713"/>
      <c r="FE50" s="713"/>
      <c r="FF50" s="713"/>
    </row>
    <row r="51" spans="1:162" s="71" customFormat="1" ht="51.75" customHeight="1" thickTop="1" thickBot="1">
      <c r="A51" s="436" t="s">
        <v>204</v>
      </c>
      <c r="B51" s="486">
        <v>7410</v>
      </c>
      <c r="C51" s="592"/>
      <c r="D51" s="592"/>
      <c r="E51" s="592"/>
      <c r="F51" s="831"/>
      <c r="G51" s="832"/>
      <c r="H51" s="832"/>
      <c r="I51" s="832"/>
      <c r="J51" s="832"/>
      <c r="K51" s="833"/>
      <c r="L51" s="347"/>
      <c r="M51" s="348"/>
      <c r="N51" s="348"/>
      <c r="O51" s="348"/>
      <c r="P51" s="348"/>
      <c r="Q51" s="348"/>
      <c r="R51" s="348"/>
      <c r="S51" s="1525"/>
      <c r="T51" s="1525"/>
      <c r="U51" s="1525"/>
      <c r="V51" s="1525"/>
      <c r="W51" s="1525"/>
      <c r="X51" s="1525"/>
      <c r="Y51" s="348"/>
      <c r="Z51" s="348"/>
      <c r="AA51" s="348"/>
      <c r="AB51" s="349"/>
      <c r="AC51" s="294">
        <f>B51</f>
        <v>7410</v>
      </c>
      <c r="AD51" s="294">
        <f>B51</f>
        <v>7410</v>
      </c>
      <c r="AE51" s="240">
        <f>$B$51</f>
        <v>7410</v>
      </c>
      <c r="AF51" s="240">
        <f>$B$51</f>
        <v>7410</v>
      </c>
      <c r="AG51" s="240"/>
      <c r="AH51" s="240">
        <f>$B$51</f>
        <v>7410</v>
      </c>
      <c r="AI51" s="417">
        <f>IF($AM$438=1,$AJ51,$AK51)</f>
        <v>7410</v>
      </c>
      <c r="AJ51" s="240">
        <f>$B$51</f>
        <v>7410</v>
      </c>
      <c r="AK51" s="240">
        <f>$B$51</f>
        <v>7410</v>
      </c>
      <c r="AL51" s="240">
        <f>$B$51</f>
        <v>7410</v>
      </c>
      <c r="AM51" s="417">
        <f>IF(AO73=1,$B$51,AM74)</f>
        <v>7410</v>
      </c>
      <c r="AN51" s="240">
        <f>B51</f>
        <v>7410</v>
      </c>
      <c r="AO51" s="1030"/>
      <c r="AP51" s="1030"/>
      <c r="AQ51" s="1030"/>
      <c r="AR51" s="1030"/>
      <c r="AS51" s="1030"/>
      <c r="AT51" s="1030"/>
      <c r="AU51" s="240">
        <f>IF(AW2&gt;0,AW2,B51)</f>
        <v>7410</v>
      </c>
      <c r="AV51" s="1161" t="s">
        <v>3417</v>
      </c>
      <c r="AW51" s="295">
        <f>KÉRDÉSEK!$C$15</f>
        <v>0</v>
      </c>
      <c r="AX51" s="1168"/>
      <c r="AY51" s="1169"/>
      <c r="AZ51" s="240">
        <f>$B$51</f>
        <v>7410</v>
      </c>
      <c r="BA51" s="240">
        <f>$B$51</f>
        <v>7410</v>
      </c>
      <c r="BB51" s="1505">
        <f>$B$51</f>
        <v>7410</v>
      </c>
      <c r="BC51" s="1823"/>
      <c r="BD51" s="1463"/>
      <c r="BE51" s="1463"/>
      <c r="BF51" s="1463"/>
      <c r="BG51" s="1463"/>
      <c r="BH51" s="1463"/>
      <c r="BI51" s="1463"/>
      <c r="BJ51" s="1463"/>
      <c r="BK51" s="1463"/>
      <c r="BL51" s="1463"/>
      <c r="BM51" s="1463"/>
      <c r="BN51" s="1463"/>
      <c r="BO51" s="1463"/>
      <c r="BP51" s="1463"/>
      <c r="BQ51" s="1463"/>
      <c r="BR51" s="1463"/>
      <c r="BS51" s="1824"/>
      <c r="BT51" s="1463"/>
      <c r="BU51" s="1463"/>
      <c r="BV51" s="1463"/>
      <c r="BW51" s="1463"/>
      <c r="BX51" s="1463"/>
      <c r="BY51" s="922"/>
      <c r="BZ51" s="1822"/>
      <c r="CA51" s="1777"/>
      <c r="CB51" s="233"/>
      <c r="CC51" s="233"/>
      <c r="CD51" s="233"/>
      <c r="CE51" s="233"/>
      <c r="CF51" s="1173"/>
      <c r="CG51" s="1173"/>
      <c r="CH51" s="1173"/>
      <c r="CI51" s="1173"/>
      <c r="CJ51" s="957">
        <v>1025</v>
      </c>
      <c r="CK51" s="167" t="s">
        <v>395</v>
      </c>
      <c r="CL51" s="156">
        <f>VLOOKUP(1025,$CJ$59:$CQ$85,$DA$62+2)</f>
        <v>10074</v>
      </c>
      <c r="CM51" s="157" t="e">
        <f t="shared" si="12"/>
        <v>#N/A</v>
      </c>
      <c r="CN51" s="170">
        <f>B40</f>
        <v>0</v>
      </c>
      <c r="CO51" s="1788">
        <f t="shared" si="13"/>
        <v>0</v>
      </c>
      <c r="CP51" s="1793"/>
      <c r="CQ51" s="1793"/>
      <c r="CR51" s="1791" t="e">
        <f t="shared" si="7"/>
        <v>#N/A</v>
      </c>
      <c r="CS51" s="1793"/>
      <c r="CT51" s="1795"/>
      <c r="CU51" s="931"/>
      <c r="CV51" s="931"/>
      <c r="CW51" s="931"/>
      <c r="CX51" s="932"/>
      <c r="CY51" s="932"/>
      <c r="CZ51" s="932"/>
      <c r="DA51" s="932"/>
      <c r="DB51" s="932"/>
      <c r="DC51" s="933"/>
      <c r="DD51" s="932"/>
      <c r="DE51" s="932"/>
      <c r="DF51" s="932"/>
      <c r="DG51" s="884"/>
      <c r="DH51" s="891"/>
      <c r="DI51" s="885"/>
      <c r="DJ51" s="885"/>
      <c r="DK51" s="885"/>
      <c r="DL51" s="885"/>
      <c r="DM51" s="885"/>
      <c r="DN51" s="885"/>
      <c r="DO51" s="885"/>
      <c r="DP51" s="937"/>
      <c r="DQ51" s="885"/>
      <c r="DR51" s="885"/>
      <c r="DS51" s="885"/>
      <c r="DT51" s="885"/>
      <c r="DU51" s="885"/>
      <c r="DV51" s="885"/>
      <c r="DW51" s="1819"/>
      <c r="DX51" s="885"/>
      <c r="DY51" s="885"/>
      <c r="DZ51" s="885"/>
      <c r="EA51" s="917"/>
      <c r="EB51" s="1178"/>
      <c r="EC51" s="1178"/>
      <c r="ED51" s="938"/>
      <c r="EE51" s="2339">
        <f>EE$7</f>
        <v>131000</v>
      </c>
      <c r="EF51" s="2339">
        <f t="shared" ref="EF51:EM51" si="14">EF$7</f>
        <v>0</v>
      </c>
      <c r="EG51" s="2339">
        <f t="shared" si="14"/>
        <v>107500</v>
      </c>
      <c r="EH51" s="2339">
        <f t="shared" si="14"/>
        <v>0</v>
      </c>
      <c r="EI51" s="2339">
        <f t="shared" si="14"/>
        <v>0</v>
      </c>
      <c r="EJ51" s="2339">
        <f t="shared" si="14"/>
        <v>0</v>
      </c>
      <c r="EK51" s="2339">
        <f t="shared" si="14"/>
        <v>0</v>
      </c>
      <c r="EL51" s="2339"/>
      <c r="EM51" s="2339">
        <f t="shared" si="14"/>
        <v>94400</v>
      </c>
      <c r="EN51" s="2667"/>
      <c r="EO51" s="938"/>
      <c r="EP51" s="938"/>
      <c r="EQ51" s="1646"/>
      <c r="ER51" s="905">
        <v>2084</v>
      </c>
      <c r="ES51" s="906" t="s">
        <v>3988</v>
      </c>
      <c r="ET51" s="2686">
        <v>2</v>
      </c>
      <c r="EU51" s="940">
        <v>1</v>
      </c>
      <c r="EV51" s="985"/>
      <c r="EW51" s="985"/>
      <c r="EX51" s="387"/>
      <c r="EY51" s="939"/>
      <c r="EZ51" s="938"/>
      <c r="FA51" s="860"/>
      <c r="FB51" s="860"/>
      <c r="FC51" s="713"/>
      <c r="FD51" s="713"/>
      <c r="FE51" s="713"/>
      <c r="FF51" s="713"/>
    </row>
    <row r="52" spans="1:162" ht="43.5" customHeight="1" thickBot="1">
      <c r="A52" s="242" t="s">
        <v>1140</v>
      </c>
      <c r="B52" s="241">
        <v>1114</v>
      </c>
      <c r="C52" s="593"/>
      <c r="D52" s="593"/>
      <c r="E52" s="593"/>
      <c r="F52" s="2792" t="str">
        <f>Allianz!$E$2</f>
        <v>Budapest</v>
      </c>
      <c r="G52" s="2793"/>
      <c r="H52" s="2793"/>
      <c r="I52" s="2793"/>
      <c r="J52" s="2793"/>
      <c r="K52" s="2794"/>
      <c r="L52" s="2792" t="str">
        <f>Allianz!$E$2</f>
        <v>Budapest</v>
      </c>
      <c r="M52" s="1292"/>
      <c r="N52" s="1293"/>
      <c r="O52" s="1172"/>
      <c r="P52" s="1172"/>
      <c r="Q52" s="1172"/>
      <c r="R52" s="1172"/>
      <c r="S52" s="1172"/>
      <c r="T52" s="1172"/>
      <c r="U52" s="1172"/>
      <c r="V52" s="3511">
        <f>Allianz!$D$4</f>
        <v>0</v>
      </c>
      <c r="W52" s="3512"/>
      <c r="X52" s="3512"/>
      <c r="Y52" s="3512"/>
      <c r="Z52" s="3512"/>
      <c r="AA52" s="350"/>
      <c r="AB52" s="351"/>
      <c r="AC52" s="1319"/>
      <c r="AD52" s="487">
        <f>KÉRDÉSEK!C358</f>
        <v>1</v>
      </c>
      <c r="AE52" s="121">
        <f>Allianz!Q1</f>
        <v>0.98355000000000015</v>
      </c>
      <c r="AF52" s="121">
        <f>KÉRDÉSEK!$C$429</f>
        <v>1</v>
      </c>
      <c r="AG52" s="121"/>
      <c r="AH52" s="108"/>
      <c r="AI52" s="121">
        <f>IF($AM$438=1,$AJ52,$AK52)</f>
        <v>0.9</v>
      </c>
      <c r="AJ52" s="122">
        <f>IF(KÉRDÉSEK!C9=20,20,IF($AJ$76=TRUE,0.9,1))</f>
        <v>0.9</v>
      </c>
      <c r="AK52" s="122">
        <f>IF(KÉRDÉSEK!C9=20,20,IF($AJ$76=TRUE,0.9,1))</f>
        <v>0.9</v>
      </c>
      <c r="AL52" s="122">
        <v>1</v>
      </c>
      <c r="AM52" s="123" t="e">
        <f>IF(KÉRDÉSEK!C259=KÉRDÉSEK!F259,1,IF(KÉRDÉSEK!C262=KÉRDÉSEK!D283,KÉRDÉSEK!C263*KÉRDÉSEK!C281,KÉRDÉSEK!C281*Generali!I70))</f>
        <v>#DIV/0!</v>
      </c>
      <c r="AN52" s="123">
        <f>KÉRDÉSEK!C358</f>
        <v>1</v>
      </c>
      <c r="AO52" s="1031"/>
      <c r="AP52" s="1031"/>
      <c r="AQ52" s="1031"/>
      <c r="AR52" s="1031"/>
      <c r="AS52" s="1031"/>
      <c r="AT52" s="1031"/>
      <c r="AU52" s="1659">
        <f>KÉRDÉSEK!C79</f>
        <v>1.05</v>
      </c>
      <c r="AV52" s="1660">
        <f>KÉRDÉSEK!C79</f>
        <v>1.05</v>
      </c>
      <c r="AW52" s="1659" t="s">
        <v>3416</v>
      </c>
      <c r="AX52" s="1661"/>
      <c r="AY52" s="1662"/>
      <c r="AZ52" s="1663" t="e">
        <f>KÉRDÉSEK!$C$89</f>
        <v>#N/A</v>
      </c>
      <c r="BA52" s="1664">
        <f>UNION!D69</f>
        <v>1.254</v>
      </c>
      <c r="BB52" s="1665">
        <f>KÉRDÉSEK!$D$319</f>
        <v>1</v>
      </c>
      <c r="BC52" s="1825"/>
      <c r="BD52" s="1825"/>
      <c r="BE52" s="1825"/>
      <c r="BF52" s="1825"/>
      <c r="BG52" s="1825"/>
      <c r="BH52" s="1825"/>
      <c r="BI52" s="1825"/>
      <c r="BJ52" s="1825"/>
      <c r="BK52" s="1825"/>
      <c r="BL52" s="1825"/>
      <c r="BM52" s="1825"/>
      <c r="BN52" s="1825"/>
      <c r="BO52" s="1825"/>
      <c r="BP52" s="1825"/>
      <c r="BQ52" s="1825"/>
      <c r="BR52" s="1825"/>
      <c r="BS52" s="1825"/>
      <c r="BT52" s="1825"/>
      <c r="BU52" s="1825"/>
      <c r="BV52" s="1825"/>
      <c r="BW52" s="1825"/>
      <c r="BX52" s="1464"/>
      <c r="BY52" s="231"/>
      <c r="BZ52" s="1769"/>
      <c r="CA52" s="1777"/>
      <c r="CB52" s="233"/>
      <c r="CC52" s="233"/>
      <c r="CD52" s="233"/>
      <c r="CE52" s="233"/>
      <c r="CF52" s="1173"/>
      <c r="CG52" s="1173"/>
      <c r="CH52" s="1173"/>
      <c r="CI52" s="1173"/>
      <c r="CJ52" s="957">
        <v>1026</v>
      </c>
      <c r="CK52" s="180" t="s">
        <v>396</v>
      </c>
      <c r="CL52" s="156">
        <f>VLOOKUP(1026,$CJ$59:$CQ$85,$DA$62+2)</f>
        <v>0</v>
      </c>
      <c r="CM52" s="157" t="e">
        <f t="shared" si="12"/>
        <v>#N/A</v>
      </c>
      <c r="CN52" s="181">
        <f>B41</f>
        <v>0</v>
      </c>
      <c r="CO52" s="1788">
        <f t="shared" si="13"/>
        <v>0</v>
      </c>
      <c r="CP52" s="1799"/>
      <c r="CQ52" s="1799"/>
      <c r="CR52" s="1791" t="e">
        <f t="shared" si="7"/>
        <v>#N/A</v>
      </c>
      <c r="CS52" s="1799"/>
      <c r="CT52" s="1801"/>
      <c r="CU52" s="931"/>
      <c r="CV52" s="931"/>
      <c r="CW52" s="931"/>
      <c r="CX52" s="932"/>
      <c r="CY52" s="932"/>
      <c r="CZ52" s="932"/>
      <c r="DA52" s="932"/>
      <c r="DB52" s="932"/>
      <c r="DC52" s="933"/>
      <c r="DD52" s="932"/>
      <c r="DE52" s="932"/>
      <c r="DF52" s="932"/>
      <c r="DG52" s="884"/>
      <c r="DM52" s="937"/>
      <c r="DW52" s="1819"/>
      <c r="EA52" s="917"/>
      <c r="EB52" s="1178"/>
      <c r="EC52" s="1178"/>
      <c r="EE52" s="2347" t="s">
        <v>3893</v>
      </c>
      <c r="EF52" s="2348"/>
      <c r="EG52" s="2348"/>
      <c r="EH52" s="2349"/>
      <c r="EI52" s="2349"/>
      <c r="EJ52" s="2349"/>
      <c r="EK52" s="2349"/>
      <c r="EL52" s="2675"/>
      <c r="EM52" s="2350"/>
      <c r="EN52" s="235"/>
      <c r="ER52" s="905">
        <v>2085</v>
      </c>
      <c r="ES52" s="906" t="s">
        <v>3989</v>
      </c>
      <c r="ET52" s="2686">
        <v>2</v>
      </c>
      <c r="EU52" s="895">
        <v>1</v>
      </c>
      <c r="EV52" s="985"/>
      <c r="EW52" s="985"/>
      <c r="EX52" s="387"/>
      <c r="EY52" s="939"/>
      <c r="EZ52" s="886"/>
    </row>
    <row r="53" spans="1:162" s="2" customFormat="1" ht="36.75" customHeight="1" thickTop="1" thickBot="1">
      <c r="A53" s="124" t="s">
        <v>498</v>
      </c>
      <c r="B53" s="640"/>
      <c r="C53" s="287"/>
      <c r="D53" s="287"/>
      <c r="E53" s="287"/>
      <c r="F53" s="804"/>
      <c r="G53" s="805"/>
      <c r="H53" s="805"/>
      <c r="I53" s="805"/>
      <c r="J53" s="805"/>
      <c r="K53" s="806"/>
      <c r="L53" s="287"/>
      <c r="M53" s="805"/>
      <c r="N53" s="1232"/>
      <c r="O53" s="1231"/>
      <c r="P53" s="1231"/>
      <c r="Q53" s="1231"/>
      <c r="R53" s="1231"/>
      <c r="S53" s="1231"/>
      <c r="T53" s="1231"/>
      <c r="U53" s="1231"/>
      <c r="V53" s="1231"/>
      <c r="W53" s="288"/>
      <c r="X53" s="288"/>
      <c r="Y53" s="288"/>
      <c r="Z53" s="288"/>
      <c r="AA53" s="288"/>
      <c r="AB53" s="289"/>
      <c r="AC53" s="64">
        <f>Wáberer!$G$2</f>
        <v>0</v>
      </c>
      <c r="AD53" s="64">
        <f>$B$76*$B$74*($B$4*$AD$4+$B$6*$AD$6+$B$7*$AD$7+$B$10*$AD$10+$B$13*$AD$13+$B$16*$AD$16+$B$18*$AD$18+$B$21*$AD$21+$B$24*$AD$24+$B$26*$AD$26+$B$27*$AD$27+$B$29*$AD$29+$B$31*$AD$31+$B$32*$AD$32+$B$33*$AD$33+$B$34*$AD$34+$B$35*$AD$35+$B$36*$AD$36+$B$37*$AD$37+$B$40*$AD$40+$B$41*$AD$41+$B$42*$AD$42+$B$43*$AD$43+$B$44*$AD$44+$B$45*$AD$45+$B$46*$AD$46+$B$47*$AD$47+$B$49*$AD$49)*AD52</f>
        <v>0</v>
      </c>
      <c r="AE53" s="64">
        <f>Allianz!W4</f>
        <v>0</v>
      </c>
      <c r="AF53" s="64">
        <f>($B$4*$AF$4+$B$6*$AF$6+$B$7*$AF$7+$AF$10*$B$10+$AF$13*$B$13+$AF$16*$B$16+$AF$18*$B$18+$AF$21*$B$21+$AF$24*$B$24+$AF$26*$B$26+$AF$27*$B$27+$AF$29*$B$29+$AF$31*$B$31+$AF$32*$B$32+$AF$33*$B$33+$AF$34*$B$34+$AF$35*$B$35+$AF$36*$B$36+$AF$37*$B$37+$AF$40*$B$40+$AF$41*$B$41+$AF$42*$B$42+$AF$43*$B$43+$AF$44*$B$44+$AF$45*$B$45+$AF$46*$B$46+$AF$47*$B$47+$AF$49*$B$49)*KÉRDÉSEK!$C$429</f>
        <v>0</v>
      </c>
      <c r="AG53" s="64"/>
      <c r="AH53" s="3032">
        <v>0</v>
      </c>
      <c r="AI53" s="64">
        <f>IF(KÉRDÉSEK!C5=KÉRDÉSEK!C10,NDK!AL53,IF($AM$438=1,$AJ53,$AK53))</f>
        <v>0</v>
      </c>
      <c r="AJ53" s="64">
        <f>$B$76*$B$74*($B4*AJ4+$B6*AJ6+$B7*AJ7+$B10*AJ10+$B13*AJ13+$B16*AJ16+$B17*AJ17+$B18*AJ18+$B21*AJ21+$B24*AJ24+$B25*AJ25+$B26*AJ26+$B27*AJ27+$B29*AJ29+$B30*AJ30+$B31*AJ31+$B32*AJ32+$B33*AJ33+$B34*AJ34+$B35*AJ35+$B36*AJ36+$B37*AJ37+$B39*AJ39+$B40*AJ40+$B41*AJ41+$B42*AJ42+$B43*AJ43+$B44*AJ44+$B45*AJ45+$B46*AJ46+$B47*AJ47+$B48*AJ48+$B49*AJ49)*AJ52</f>
        <v>0</v>
      </c>
      <c r="AK53" s="64">
        <f>$B$76*$B$74*($B4*AK4+$B6*AK6+$B7*AK7+$B10*AK10+$B13*AK13+$B16*AK16+$B17*AK17+$B18*AK18+$B21*AK21+$B24*AK24+$B25*AK25+$B26*AK26+$B27*AK27+$B29*AK29+$B30*AK30+$B31*AK31+$B32*AK32+$B33*AK33+$B34*AK34+$B35*AK35+$B36*AK36+$B37*AK37+$B39*AK39+$B40*AK40+$B41*AK41+$B42*AK42+$B43*AK43+$B44*AK44+$B45*AK45+$B46*AK46+$B47*AK47+$B48*AK48+$B49*AK49)*AK52</f>
        <v>0</v>
      </c>
      <c r="AL53" s="64">
        <f>$B$76*$B$74*($B4*AL4+$B6*AL6+$B7*AL7+$B10*AL10+$B13*AL13+$B16*AL16+$B17*AL17+$B18*AL18+$B21*AL21+$B24*AL24+$B25*AL25+$B26*AL26+$B27*AL27+$B29*AL29+$B30*AL30+$B31*AL31+$B32*AL32+$B33*AL33+$B34*AL34+$B35*AL35+$B36*AL36+$B37*AL37+$B39*AL39+$B40*AL40+$B41*AL41+$B42*AL42+$B43*AL43+$B44*AL44+$B45*AL45+$B46*AL46+$B47*AL47+$B48*AL48+$B49*AL49)*AL52</f>
        <v>0</v>
      </c>
      <c r="AM53" s="64" t="e">
        <f>IF(KÉRDÉSEK!C259=KÉRDÉSEK!F259,NDK!AU55,NDK!AM55)</f>
        <v>#DIV/0!</v>
      </c>
      <c r="AN53" s="64">
        <f>CIG!E49</f>
        <v>0</v>
      </c>
      <c r="AO53" s="3033"/>
      <c r="AP53" s="3033"/>
      <c r="AQ53" s="3033"/>
      <c r="AR53" s="3033"/>
      <c r="AS53" s="3033"/>
      <c r="AT53" s="3033"/>
      <c r="AU53" s="64">
        <f>GROUPAMA!AC51</f>
        <v>0</v>
      </c>
      <c r="AV53" s="64">
        <f>GROUPAMA!$AI$50</f>
        <v>0</v>
      </c>
      <c r="AW53" s="64">
        <f>GROUPAMA!$AL$50</f>
        <v>0</v>
      </c>
      <c r="AX53" s="3034"/>
      <c r="AY53" s="3035"/>
      <c r="AZ53" s="64" t="e">
        <f>IF(KÉRDÉSEK!C97=KÉRDÉSEK!D91,NDK!AZ55,NDK!AZ57)</f>
        <v>#N/A</v>
      </c>
      <c r="BA53" s="64">
        <f>UNION!C68</f>
        <v>0</v>
      </c>
      <c r="BB53" s="3036">
        <f>IF(KÉRDÉSEK!$C$343=0,KÉRDÉSEK!$B$337,Posta!$D$48*$BB$52)</f>
        <v>0</v>
      </c>
      <c r="BC53" s="1457"/>
      <c r="BD53" s="1457"/>
      <c r="BE53" s="1457"/>
      <c r="BF53" s="1457"/>
      <c r="BG53" s="1457"/>
      <c r="BH53" s="1457"/>
      <c r="BI53" s="1457"/>
      <c r="BJ53" s="1457"/>
      <c r="BK53" s="1457"/>
      <c r="BL53" s="1457"/>
      <c r="BM53" s="1457"/>
      <c r="BN53" s="1457"/>
      <c r="BO53" s="1457"/>
      <c r="BP53" s="1457"/>
      <c r="BQ53" s="1457"/>
      <c r="BR53" s="1457"/>
      <c r="BS53" s="1457"/>
      <c r="BT53" s="1457"/>
      <c r="BU53" s="1457"/>
      <c r="BV53" s="1457"/>
      <c r="BW53" s="1457"/>
      <c r="BX53" s="1465"/>
      <c r="BY53" s="228"/>
      <c r="BZ53" s="46"/>
      <c r="CF53" s="945"/>
      <c r="CG53" s="945"/>
      <c r="CH53" s="945"/>
      <c r="CI53" s="945"/>
      <c r="CJ53" s="957"/>
      <c r="CK53" s="182"/>
      <c r="CL53" s="183" t="s">
        <v>397</v>
      </c>
      <c r="CM53" s="184"/>
      <c r="CN53" s="185">
        <f>SUM(CN16:CN52)</f>
        <v>0</v>
      </c>
      <c r="CO53" s="246">
        <f>SUM(CO16:CO52)</f>
        <v>0</v>
      </c>
      <c r="CP53" s="186"/>
      <c r="CQ53" s="186"/>
      <c r="CR53" s="247" t="e">
        <f>SUM(CR16:CR52)</f>
        <v>#N/A</v>
      </c>
      <c r="CS53" s="187"/>
      <c r="CT53" s="188"/>
      <c r="CU53" s="189"/>
      <c r="CV53" s="189"/>
      <c r="CW53" s="189"/>
      <c r="CX53" s="941"/>
      <c r="CY53" s="941"/>
      <c r="CZ53" s="941"/>
      <c r="DA53" s="941"/>
      <c r="DB53" s="941"/>
      <c r="DC53" s="941"/>
      <c r="DD53" s="941"/>
      <c r="DE53" s="941"/>
      <c r="DF53" s="941"/>
      <c r="DG53" s="884"/>
      <c r="DH53" s="891"/>
      <c r="DI53" s="902"/>
      <c r="DJ53" s="942"/>
      <c r="DK53" s="942"/>
      <c r="DL53" s="942"/>
      <c r="DM53" s="943"/>
      <c r="DN53" s="228"/>
      <c r="DO53" s="942"/>
      <c r="DP53" s="942"/>
      <c r="DQ53" s="942"/>
      <c r="DR53" s="916"/>
      <c r="DS53" s="916"/>
      <c r="DT53" s="916"/>
      <c r="DU53" s="916"/>
      <c r="DV53" s="916"/>
      <c r="DW53" s="1179"/>
      <c r="DX53" s="916"/>
      <c r="DY53" s="916"/>
      <c r="DZ53" s="916"/>
      <c r="EA53" s="916"/>
      <c r="EB53" s="1180"/>
      <c r="EC53" s="945"/>
      <c r="ED53" s="944"/>
      <c r="EE53" s="2368">
        <v>121300</v>
      </c>
      <c r="EF53" s="2369">
        <v>0</v>
      </c>
      <c r="EG53" s="2369">
        <v>99500</v>
      </c>
      <c r="EH53" s="2369"/>
      <c r="EI53" s="2369"/>
      <c r="EJ53" s="2369"/>
      <c r="EK53" s="2370"/>
      <c r="EL53" s="2676"/>
      <c r="EM53" s="2371">
        <v>87400</v>
      </c>
      <c r="EN53" s="2668"/>
      <c r="EO53" s="944"/>
      <c r="EP53" s="944"/>
      <c r="EQ53" s="1646"/>
      <c r="ER53" s="905">
        <v>2086</v>
      </c>
      <c r="ES53" s="906" t="s">
        <v>3990</v>
      </c>
      <c r="ET53" s="2686">
        <v>2</v>
      </c>
      <c r="EU53" s="895"/>
      <c r="EV53" s="985"/>
      <c r="EW53" s="985"/>
      <c r="EX53" s="387"/>
      <c r="EY53" s="945"/>
      <c r="EZ53" s="944"/>
      <c r="FA53" s="864"/>
      <c r="FB53" s="864"/>
      <c r="FC53" s="714"/>
      <c r="FD53" s="714"/>
      <c r="FE53" s="714"/>
      <c r="FF53" s="714"/>
    </row>
    <row r="54" spans="1:162" s="76" customFormat="1" ht="106.5" hidden="1" customHeight="1" thickTop="1" thickBot="1">
      <c r="A54" s="1487"/>
      <c r="B54" s="403"/>
      <c r="C54" s="403"/>
      <c r="D54" s="403"/>
      <c r="E54" s="403"/>
      <c r="F54" s="403"/>
      <c r="G54" s="403"/>
      <c r="H54" s="403"/>
      <c r="I54" s="403"/>
      <c r="J54" s="403"/>
      <c r="K54" s="403"/>
      <c r="L54" s="403"/>
      <c r="M54" s="403"/>
      <c r="N54" s="403"/>
      <c r="O54" s="403"/>
      <c r="P54" s="403"/>
      <c r="Q54" s="403"/>
      <c r="R54" s="403"/>
      <c r="S54" s="403"/>
      <c r="T54" s="403"/>
      <c r="U54" s="403"/>
      <c r="V54" s="403"/>
      <c r="W54" s="403"/>
      <c r="X54" s="403"/>
      <c r="Y54" s="403"/>
      <c r="Z54" s="403"/>
      <c r="AA54" s="403"/>
      <c r="AB54" s="403"/>
      <c r="AC54" s="1488"/>
      <c r="AD54" s="1488"/>
      <c r="AE54" s="1489"/>
      <c r="AF54" s="1489"/>
      <c r="AG54" s="1489"/>
      <c r="AH54" s="1489"/>
      <c r="AI54" s="1490"/>
      <c r="AJ54" s="1466"/>
      <c r="AK54" s="1489"/>
      <c r="AL54" s="1489"/>
      <c r="AM54" s="1491" t="s">
        <v>1567</v>
      </c>
      <c r="AN54" s="1491"/>
      <c r="AO54" s="1491"/>
      <c r="AP54" s="1491"/>
      <c r="AQ54" s="1491"/>
      <c r="AR54" s="1491"/>
      <c r="AS54" s="1491"/>
      <c r="AT54" s="1491"/>
      <c r="AU54" s="1491" t="s">
        <v>1566</v>
      </c>
      <c r="AV54" s="1491"/>
      <c r="AW54" s="1491"/>
      <c r="AX54" s="1466"/>
      <c r="AY54" s="1466"/>
      <c r="AZ54" s="2205" t="s">
        <v>4078</v>
      </c>
      <c r="BA54" s="1609">
        <f>$B$76*$B$74*($B$4*$BA$4+$B$6*$BA$6+$B$7*$BA$7+$B$10*$BA$10+$B$13*$BA$13+$B$16*$BA$16+($B$18*$BA$18+$B$19*$BA$19+$B$20*$BA$20+$B$21*$BA$21+$B$22*$BA$22+$B$24*$BA$24)+($B$26*$BA$26+$B$27*$BA$27+$B$28*$BA$28+$B$29*$BA$29)+($B$31*$BA$31+$B$32*$BA$32)+$B$33*$BA$33+$B$34*$BA$34+$B$35*$BA$35+$B$36*$BA$36+$B$37*$BA$37+$B$38*$BA$38+$B$40*$BA$40+$B$41*$BA$41+$B$42*$BA$42+$B$43*$BA$43+($B$44*$BA$44+$B$45*$BA$45+$B$46*$BA$46+$B$47*$BA$47)+$B$49*$BA$49)</f>
        <v>0</v>
      </c>
      <c r="BB54" s="64">
        <f>$B$76*$B$74*UNION!AC59</f>
        <v>0</v>
      </c>
      <c r="BC54" s="1757"/>
      <c r="BD54" s="1757"/>
      <c r="BE54" s="1757"/>
      <c r="BF54" s="1757"/>
      <c r="BG54" s="1757"/>
      <c r="BH54" s="1757"/>
      <c r="BI54" s="1757"/>
      <c r="BJ54" s="1757"/>
      <c r="BK54" s="1757"/>
      <c r="BL54" s="1757"/>
      <c r="BM54" s="1757"/>
      <c r="BN54" s="1757"/>
      <c r="BO54" s="1757"/>
      <c r="BP54" s="1757"/>
      <c r="BQ54" s="1757"/>
      <c r="BR54" s="1466"/>
      <c r="BS54" s="1466"/>
      <c r="BT54" s="1466"/>
      <c r="BU54" s="1466"/>
      <c r="BV54" s="1466"/>
      <c r="BW54" s="1466"/>
      <c r="BX54" s="1473"/>
      <c r="BY54" s="1474"/>
      <c r="BZ54" s="1951"/>
      <c r="CA54" s="1524"/>
      <c r="CB54" s="1524"/>
      <c r="CC54" s="1524"/>
      <c r="CD54" s="1524"/>
      <c r="CE54" s="1524"/>
      <c r="CF54" s="1524"/>
      <c r="CG54" s="1524"/>
      <c r="CH54" s="1524"/>
      <c r="CI54" s="1524"/>
      <c r="CJ54" s="325"/>
      <c r="CK54" s="202"/>
      <c r="CL54" s="1079"/>
      <c r="CM54" s="1080"/>
      <c r="CN54" s="1081"/>
      <c r="CO54" s="1080"/>
      <c r="CP54" s="1080"/>
      <c r="CQ54" s="1080"/>
      <c r="CR54" s="1080"/>
      <c r="CS54" s="1080"/>
      <c r="CT54" s="1080"/>
      <c r="CU54" s="1080"/>
      <c r="CV54" s="1080"/>
      <c r="CW54" s="1080"/>
      <c r="CX54" s="941"/>
      <c r="CY54" s="941"/>
      <c r="CZ54" s="941"/>
      <c r="DA54" s="941"/>
      <c r="DB54" s="941"/>
      <c r="DC54" s="941"/>
      <c r="DD54" s="941"/>
      <c r="DE54" s="941"/>
      <c r="DF54" s="941"/>
      <c r="DG54" s="884"/>
      <c r="DH54" s="891"/>
      <c r="DI54" s="885"/>
      <c r="DJ54" s="885"/>
      <c r="DK54" s="885"/>
      <c r="DL54" s="885"/>
      <c r="DM54" s="937"/>
      <c r="DN54" s="228"/>
      <c r="DO54" s="232"/>
      <c r="DP54" s="232"/>
      <c r="DQ54" s="232"/>
      <c r="DR54" s="885"/>
      <c r="DS54" s="885"/>
      <c r="DT54" s="885"/>
      <c r="DU54" s="885"/>
      <c r="DV54" s="885"/>
      <c r="DW54" s="885"/>
      <c r="DX54" s="885"/>
      <c r="DY54" s="885"/>
      <c r="DZ54" s="885"/>
      <c r="EA54" s="885"/>
      <c r="EB54" s="939"/>
      <c r="EC54" s="233"/>
      <c r="ED54" s="233"/>
      <c r="EE54" s="2347" t="s">
        <v>3894</v>
      </c>
      <c r="EF54" s="2348"/>
      <c r="EG54" s="2348"/>
      <c r="EH54" s="2349"/>
      <c r="EI54" s="2349"/>
      <c r="EJ54" s="2349"/>
      <c r="EK54" s="2349"/>
      <c r="EL54" s="2675"/>
      <c r="EM54" s="2350"/>
      <c r="EN54" s="235"/>
      <c r="EO54" s="233"/>
      <c r="EP54" s="233"/>
      <c r="EQ54" s="1646"/>
      <c r="ER54" s="1082">
        <v>2087</v>
      </c>
      <c r="ES54" s="927" t="s">
        <v>1085</v>
      </c>
      <c r="ET54" s="2686">
        <v>9</v>
      </c>
      <c r="EU54" s="1083"/>
      <c r="EV54" s="985"/>
      <c r="EW54" s="985"/>
      <c r="EX54" s="387"/>
      <c r="EY54" s="939"/>
      <c r="EZ54" s="939"/>
      <c r="FA54" s="1084"/>
      <c r="FB54" s="1084"/>
      <c r="FC54" s="1085"/>
      <c r="FD54" s="1085"/>
      <c r="FE54" s="1085"/>
      <c r="FF54" s="1085"/>
    </row>
    <row r="55" spans="1:162" s="76" customFormat="1" ht="74.25" hidden="1" customHeight="1" thickTop="1" thickBot="1">
      <c r="A55" s="1492"/>
      <c r="B55" s="1467"/>
      <c r="C55" s="1467"/>
      <c r="D55" s="1467"/>
      <c r="E55" s="1467"/>
      <c r="F55" s="1467"/>
      <c r="G55" s="1467"/>
      <c r="H55" s="1467"/>
      <c r="I55" s="1467"/>
      <c r="J55" s="1467"/>
      <c r="K55" s="1467"/>
      <c r="L55" s="1467"/>
      <c r="M55" s="1467"/>
      <c r="N55" s="1467"/>
      <c r="O55" s="1467"/>
      <c r="P55" s="1467"/>
      <c r="Q55" s="1467"/>
      <c r="R55" s="1467"/>
      <c r="S55" s="1467"/>
      <c r="T55" s="1467"/>
      <c r="U55" s="1467"/>
      <c r="V55" s="1467"/>
      <c r="W55" s="1467"/>
      <c r="X55" s="1467"/>
      <c r="Y55" s="1467"/>
      <c r="Z55" s="1467"/>
      <c r="AA55" s="1467"/>
      <c r="AB55" s="1467"/>
      <c r="AC55" s="1467"/>
      <c r="AD55" s="1467"/>
      <c r="AE55" s="1467"/>
      <c r="AF55" s="1467"/>
      <c r="AG55" s="1467"/>
      <c r="AH55" s="1467"/>
      <c r="AI55" s="1467"/>
      <c r="AJ55" s="1467"/>
      <c r="AK55" s="1467"/>
      <c r="AL55" s="1467"/>
      <c r="AM55" s="64" t="e">
        <f>$B$76*($B$4*$AM$4+$B$6*$AM$6+$B$7*$AM$7+$B$10*$AM$10+$B$13*$AM$13+$B$16*$AM$16+$B$17*$AM$17+Generali!$AT$12*$AM$18+$B$21*$AM$21+$B$24*$AM$24+$B$25*$AM$25+$B$26*$AM$26+$B$27*$AM$27+$B$29*$AM$29+$B$30*$AM$30+$B$31*$AM$31+$B$32*$AM$32+$B$33*$AM$33+$B$34*$AM$34+$B$35*$AM$35+$B$36*$AM$36+$B$37*$AM$37+$B$39*$AM$39+$B$40*$AM$40+$B$41*$AM$41+$B$42*$AM$42+$B$43*$AM$43+$B$44*$AM$44+$B$45*$AM$45+$B$46*$AM$46+$B$47*$AM$47+$B$48*$AM$48+$B$49*$AM$49+$B$8*$AM$8+$B$11*$AM$11)*$AM$52</f>
        <v>#DIV/0!</v>
      </c>
      <c r="AN55" s="1467"/>
      <c r="AO55" s="1467"/>
      <c r="AP55" s="1467"/>
      <c r="AQ55" s="1467"/>
      <c r="AR55" s="1467"/>
      <c r="AS55" s="1467"/>
      <c r="AT55" s="1467"/>
      <c r="AU55" s="1639">
        <f>Generali!BH58+Generali!BN37</f>
        <v>0</v>
      </c>
      <c r="AV55" s="1467"/>
      <c r="AW55" s="1467"/>
      <c r="AX55" s="1467"/>
      <c r="AY55" s="1467"/>
      <c r="AZ55" s="2206" t="e">
        <f>$B$76*IF($AG$92&lt;&gt;$AF$103,$CO$53*(1-$AZ$52+KÉRDÉSEK!I82),3*$CO$53)*KÉRDÉSEK!I89</f>
        <v>#N/A</v>
      </c>
      <c r="BA55" s="1548" t="s">
        <v>1730</v>
      </c>
      <c r="BB55" s="1548" t="s">
        <v>1731</v>
      </c>
      <c r="BC55" s="1758"/>
      <c r="BD55" s="1758"/>
      <c r="BE55" s="1758"/>
      <c r="BF55" s="1758"/>
      <c r="BG55" s="1758"/>
      <c r="BH55" s="1758"/>
      <c r="BI55" s="1758"/>
      <c r="BJ55" s="1758"/>
      <c r="BK55" s="1758"/>
      <c r="BL55" s="1758"/>
      <c r="BM55" s="1758"/>
      <c r="BN55" s="1758"/>
      <c r="BO55" s="1758"/>
      <c r="BP55" s="1758"/>
      <c r="BQ55" s="1758"/>
      <c r="BR55" s="1467"/>
      <c r="BS55" s="1467"/>
      <c r="BT55" s="1467"/>
      <c r="BU55" s="1467"/>
      <c r="BV55" s="1467"/>
      <c r="BW55" s="1467"/>
      <c r="BX55" s="1459"/>
      <c r="BY55" s="1459"/>
      <c r="BZ55" s="1951"/>
      <c r="CA55" s="1524"/>
      <c r="CB55" s="1524"/>
      <c r="CC55" s="1524"/>
      <c r="CD55" s="1524"/>
      <c r="CE55" s="1524"/>
      <c r="CF55" s="1524"/>
      <c r="CG55" s="1524"/>
      <c r="CH55" s="1524"/>
      <c r="CI55" s="1524"/>
      <c r="CJ55" s="325"/>
      <c r="CK55" s="1086"/>
      <c r="CL55" s="1087"/>
      <c r="CM55" s="1952"/>
      <c r="CN55" s="1080"/>
      <c r="CO55" s="1079"/>
      <c r="CP55" s="1079"/>
      <c r="CQ55" s="1079"/>
      <c r="CR55" s="1079"/>
      <c r="CS55" s="1088"/>
      <c r="CT55" s="1088"/>
      <c r="CU55" s="1088"/>
      <c r="CV55" s="1088"/>
      <c r="CW55" s="1088"/>
      <c r="CX55" s="946"/>
      <c r="CY55" s="947"/>
      <c r="CZ55" s="947"/>
      <c r="DA55" s="948" t="s">
        <v>398</v>
      </c>
      <c r="DB55" s="948"/>
      <c r="DC55" s="948"/>
      <c r="DD55" s="948"/>
      <c r="DE55" s="947"/>
      <c r="DF55" s="947"/>
      <c r="DG55" s="884"/>
      <c r="DH55" s="891"/>
      <c r="DI55" s="885"/>
      <c r="DJ55" s="885"/>
      <c r="DK55" s="885"/>
      <c r="DL55" s="885"/>
      <c r="DM55" s="937"/>
      <c r="DN55" s="885"/>
      <c r="DO55" s="885"/>
      <c r="DP55" s="937"/>
      <c r="DQ55" s="885"/>
      <c r="DR55" s="885"/>
      <c r="DS55" s="885"/>
      <c r="DT55" s="885"/>
      <c r="DU55" s="885"/>
      <c r="DV55" s="885"/>
      <c r="DW55" s="885"/>
      <c r="DX55" s="885"/>
      <c r="DY55" s="885"/>
      <c r="DZ55" s="885"/>
      <c r="EA55" s="885"/>
      <c r="EB55" s="939"/>
      <c r="EC55" s="939"/>
      <c r="ED55" s="939"/>
      <c r="EE55" s="2351">
        <f>EE$53-EE$51</f>
        <v>-9700</v>
      </c>
      <c r="EF55" s="2352">
        <f t="shared" ref="EF55:EM55" si="15">EF$53-EF$51</f>
        <v>0</v>
      </c>
      <c r="EG55" s="2352">
        <f t="shared" si="15"/>
        <v>-8000</v>
      </c>
      <c r="EH55" s="2352">
        <f t="shared" si="15"/>
        <v>0</v>
      </c>
      <c r="EI55" s="2352">
        <f t="shared" si="15"/>
        <v>0</v>
      </c>
      <c r="EJ55" s="2352">
        <f t="shared" si="15"/>
        <v>0</v>
      </c>
      <c r="EK55" s="2352">
        <f t="shared" si="15"/>
        <v>0</v>
      </c>
      <c r="EL55" s="2677"/>
      <c r="EM55" s="2353">
        <f t="shared" si="15"/>
        <v>-7000</v>
      </c>
      <c r="EN55" s="2669"/>
      <c r="EO55" s="939"/>
      <c r="EP55" s="939"/>
      <c r="EQ55" s="1646"/>
      <c r="ER55" s="1082">
        <v>2089</v>
      </c>
      <c r="ES55" s="927" t="s">
        <v>1086</v>
      </c>
      <c r="ET55" s="2686">
        <v>2</v>
      </c>
      <c r="EU55" s="1083">
        <v>1</v>
      </c>
      <c r="EV55" s="985"/>
      <c r="EW55" s="985"/>
      <c r="EX55" s="387"/>
      <c r="EY55" s="939"/>
      <c r="EZ55" s="939"/>
      <c r="FA55" s="1084"/>
      <c r="FB55" s="1084"/>
      <c r="FC55" s="1085"/>
      <c r="FD55" s="1085"/>
      <c r="FE55" s="1085"/>
      <c r="FF55" s="1085"/>
    </row>
    <row r="56" spans="1:162" s="1" customFormat="1" ht="115.5" hidden="1" customHeight="1" thickTop="1">
      <c r="A56" s="1493"/>
      <c r="B56" s="1494"/>
      <c r="C56" s="1494"/>
      <c r="D56" s="1494"/>
      <c r="E56" s="1494"/>
      <c r="F56" s="1494"/>
      <c r="G56" s="1494"/>
      <c r="H56" s="1494"/>
      <c r="I56" s="1494"/>
      <c r="J56" s="1494"/>
      <c r="K56" s="1494"/>
      <c r="L56" s="1494"/>
      <c r="M56" s="1494"/>
      <c r="N56" s="1494"/>
      <c r="O56" s="1494"/>
      <c r="P56" s="1494"/>
      <c r="Q56" s="1494"/>
      <c r="R56" s="1494"/>
      <c r="S56" s="1494"/>
      <c r="T56" s="1494"/>
      <c r="U56" s="1494"/>
      <c r="V56" s="1494"/>
      <c r="W56" s="1494"/>
      <c r="X56" s="1494"/>
      <c r="Y56" s="1494"/>
      <c r="Z56" s="1494"/>
      <c r="AA56" s="1494"/>
      <c r="AB56" s="1494"/>
      <c r="AC56" s="1494"/>
      <c r="AD56" s="1494"/>
      <c r="AE56" s="1495"/>
      <c r="AF56" s="1495"/>
      <c r="AG56" s="1495"/>
      <c r="AH56" s="1469"/>
      <c r="AI56" s="1469"/>
      <c r="AJ56" s="1495"/>
      <c r="AK56" s="1495"/>
      <c r="AL56" s="1495"/>
      <c r="AM56" s="1468"/>
      <c r="AN56" s="1468"/>
      <c r="AO56" s="1468"/>
      <c r="AP56" s="1468"/>
      <c r="AQ56" s="1468"/>
      <c r="AR56" s="1468"/>
      <c r="AS56" s="1468"/>
      <c r="AT56" s="1468"/>
      <c r="AU56" s="1468"/>
      <c r="AV56" s="1468"/>
      <c r="AW56" s="1468"/>
      <c r="AX56" s="1495"/>
      <c r="AY56" s="1495"/>
      <c r="AZ56" s="2204" t="s">
        <v>88</v>
      </c>
      <c r="BA56" s="1468"/>
      <c r="BB56" s="1468"/>
      <c r="BC56" s="1468"/>
      <c r="BD56" s="1468"/>
      <c r="BE56" s="1468"/>
      <c r="BF56" s="1468"/>
      <c r="BG56" s="1468"/>
      <c r="BH56" s="1468"/>
      <c r="BI56" s="1468"/>
      <c r="BJ56" s="1468"/>
      <c r="BK56" s="1468"/>
      <c r="BL56" s="1468"/>
      <c r="BM56" s="1468"/>
      <c r="BN56" s="1468"/>
      <c r="BO56" s="1468"/>
      <c r="BP56" s="1468"/>
      <c r="BQ56" s="1468"/>
      <c r="BR56" s="1468"/>
      <c r="BS56" s="1468"/>
      <c r="BT56" s="1468"/>
      <c r="BU56" s="1468"/>
      <c r="BV56" s="1468"/>
      <c r="BW56" s="1468"/>
      <c r="BX56" s="1475"/>
      <c r="BY56" s="922"/>
      <c r="BZ56" s="1953"/>
      <c r="CA56" s="1954"/>
      <c r="CB56" s="1954"/>
      <c r="CC56" s="1954"/>
      <c r="CD56" s="1954"/>
      <c r="CE56" s="1954"/>
      <c r="CF56" s="1954"/>
      <c r="CG56" s="1954"/>
      <c r="CH56" s="1954"/>
      <c r="CI56" s="1954"/>
      <c r="CJ56" s="957"/>
      <c r="CK56" s="190" t="s">
        <v>399</v>
      </c>
      <c r="CL56" s="949"/>
      <c r="CM56" s="1955"/>
      <c r="CN56" s="1956"/>
      <c r="CO56" s="949"/>
      <c r="CP56" s="949"/>
      <c r="CQ56" s="949"/>
      <c r="CR56" s="949"/>
      <c r="CS56" s="949"/>
      <c r="CT56" s="949"/>
      <c r="CU56" s="949"/>
      <c r="CV56" s="949"/>
      <c r="CW56" s="949"/>
      <c r="CX56" s="891"/>
      <c r="CY56" s="891"/>
      <c r="CZ56" s="891"/>
      <c r="DA56" s="891"/>
      <c r="DB56" s="891"/>
      <c r="DC56" s="950"/>
      <c r="DD56" s="951"/>
      <c r="DE56" s="951"/>
      <c r="DF56" s="884"/>
      <c r="DG56" s="891"/>
      <c r="DH56" s="891"/>
      <c r="DI56" s="952"/>
      <c r="DJ56" s="952"/>
      <c r="DK56" s="952"/>
      <c r="DL56" s="952"/>
      <c r="DM56" s="953"/>
      <c r="DN56" s="885"/>
      <c r="DO56" s="952"/>
      <c r="DP56" s="952"/>
      <c r="DQ56" s="942"/>
      <c r="DR56" s="952"/>
      <c r="DS56" s="952"/>
      <c r="DT56" s="952"/>
      <c r="DU56" s="952"/>
      <c r="DV56" s="952"/>
      <c r="DW56" s="952"/>
      <c r="DX56" s="952"/>
      <c r="DY56" s="952"/>
      <c r="DZ56" s="952"/>
      <c r="EA56" s="952"/>
      <c r="EB56" s="960"/>
      <c r="EC56" s="954"/>
      <c r="ED56" s="954"/>
      <c r="EE56" s="2354" t="s">
        <v>18</v>
      </c>
      <c r="EF56" s="2355"/>
      <c r="EG56" s="2355"/>
      <c r="EH56" s="2356"/>
      <c r="EI56" s="2356"/>
      <c r="EJ56" s="2356"/>
      <c r="EK56" s="2356"/>
      <c r="EL56" s="2678"/>
      <c r="EM56" s="2357"/>
      <c r="EN56" s="2670"/>
      <c r="EO56" s="954"/>
      <c r="EP56" s="954"/>
      <c r="EQ56" s="1647"/>
      <c r="ER56" s="905">
        <v>2090</v>
      </c>
      <c r="ES56" s="906" t="s">
        <v>3992</v>
      </c>
      <c r="ET56" s="2686">
        <v>2</v>
      </c>
      <c r="EU56" s="955"/>
      <c r="EV56" s="985"/>
      <c r="EW56" s="985"/>
      <c r="EX56" s="387"/>
      <c r="EY56" s="960"/>
      <c r="EZ56" s="956"/>
      <c r="FA56" s="861"/>
      <c r="FB56" s="861"/>
      <c r="FC56" s="715"/>
      <c r="FD56" s="715"/>
      <c r="FE56" s="715"/>
      <c r="FF56" s="715"/>
    </row>
    <row r="57" spans="1:162" s="1" customFormat="1" ht="63" hidden="1" customHeight="1">
      <c r="A57" s="1494"/>
      <c r="B57" s="1494"/>
      <c r="C57" s="1494"/>
      <c r="D57" s="1494"/>
      <c r="E57" s="1494"/>
      <c r="F57" s="1494"/>
      <c r="G57" s="1494"/>
      <c r="H57" s="1494"/>
      <c r="I57" s="1494"/>
      <c r="J57" s="1494"/>
      <c r="K57" s="1494"/>
      <c r="L57" s="1494"/>
      <c r="M57" s="1494"/>
      <c r="N57" s="1494"/>
      <c r="O57" s="1494"/>
      <c r="P57" s="1494"/>
      <c r="Q57" s="1494"/>
      <c r="R57" s="1494"/>
      <c r="S57" s="1494"/>
      <c r="T57" s="1494"/>
      <c r="U57" s="1494"/>
      <c r="V57" s="1494"/>
      <c r="W57" s="1494"/>
      <c r="X57" s="1494"/>
      <c r="Y57" s="1494"/>
      <c r="Z57" s="1494"/>
      <c r="AA57" s="1494"/>
      <c r="AB57" s="1494"/>
      <c r="AC57" s="1494"/>
      <c r="AD57" s="1494"/>
      <c r="AE57" s="1469"/>
      <c r="AF57" s="1469"/>
      <c r="AG57" s="1469"/>
      <c r="AH57" s="1469"/>
      <c r="AI57" s="1469"/>
      <c r="AJ57" s="1496"/>
      <c r="AK57" s="1496"/>
      <c r="AL57" s="1496"/>
      <c r="AM57" s="1469"/>
      <c r="AN57" s="1469"/>
      <c r="AO57" s="1469"/>
      <c r="AP57" s="1469"/>
      <c r="AQ57" s="1469"/>
      <c r="AR57" s="1469"/>
      <c r="AS57" s="1469"/>
      <c r="AT57" s="1469"/>
      <c r="AU57" s="1469"/>
      <c r="AV57" s="1469"/>
      <c r="AW57" s="1469"/>
      <c r="AX57" s="1469"/>
      <c r="AY57" s="1469"/>
      <c r="AZ57" s="2207">
        <f>$CO$53</f>
        <v>0</v>
      </c>
      <c r="BA57" s="1469"/>
      <c r="BB57" s="1469"/>
      <c r="BC57" s="1759"/>
      <c r="BD57" s="1759"/>
      <c r="BE57" s="1759"/>
      <c r="BF57" s="1759"/>
      <c r="BG57" s="1759"/>
      <c r="BH57" s="1759"/>
      <c r="BI57" s="1759"/>
      <c r="BJ57" s="1759"/>
      <c r="BK57" s="1759"/>
      <c r="BL57" s="1759"/>
      <c r="BM57" s="1759"/>
      <c r="BN57" s="1759"/>
      <c r="BO57" s="1759"/>
      <c r="BP57" s="1759"/>
      <c r="BQ57" s="1759"/>
      <c r="BR57" s="1469"/>
      <c r="BS57" s="1469"/>
      <c r="BT57" s="1469"/>
      <c r="BU57" s="1469"/>
      <c r="BV57" s="1469"/>
      <c r="BW57" s="1469"/>
      <c r="BX57" s="1476"/>
      <c r="BY57" s="922"/>
      <c r="BZ57" s="1953"/>
      <c r="CA57" s="1954"/>
      <c r="CB57" s="1954"/>
      <c r="CC57" s="1954"/>
      <c r="CD57" s="1954"/>
      <c r="CE57" s="1954"/>
      <c r="CF57" s="1954"/>
      <c r="CG57" s="1954"/>
      <c r="CH57" s="1954"/>
      <c r="CI57" s="1954"/>
      <c r="CJ57" s="957"/>
      <c r="CK57" s="957"/>
      <c r="CL57" s="957"/>
      <c r="CM57" s="957"/>
      <c r="CN57" s="957"/>
      <c r="CO57" s="957"/>
      <c r="CP57" s="957"/>
      <c r="CQ57" s="957"/>
      <c r="CR57" s="957"/>
      <c r="CS57" s="957"/>
      <c r="CT57" s="957"/>
      <c r="CU57" s="957"/>
      <c r="CV57" s="957"/>
      <c r="CW57" s="957"/>
      <c r="CX57" s="884"/>
      <c r="CY57" s="884"/>
      <c r="CZ57" s="884"/>
      <c r="DA57" s="884"/>
      <c r="DB57" s="884"/>
      <c r="DC57" s="884"/>
      <c r="DD57" s="884"/>
      <c r="DE57" s="884"/>
      <c r="DF57" s="884"/>
      <c r="DG57" s="884"/>
      <c r="DH57" s="891"/>
      <c r="DI57" s="952"/>
      <c r="DJ57" s="952"/>
      <c r="DK57" s="952"/>
      <c r="DL57" s="952"/>
      <c r="DM57" s="953"/>
      <c r="DN57" s="885"/>
      <c r="DO57" s="952"/>
      <c r="DP57" s="952"/>
      <c r="DQ57" s="942"/>
      <c r="DR57" s="952"/>
      <c r="DS57" s="952"/>
      <c r="DT57" s="952"/>
      <c r="DU57" s="952"/>
      <c r="DV57" s="952"/>
      <c r="DW57" s="952"/>
      <c r="DX57" s="952"/>
      <c r="DY57" s="952"/>
      <c r="DZ57" s="952"/>
      <c r="EA57" s="952"/>
      <c r="EB57" s="960"/>
      <c r="EC57" s="954"/>
      <c r="ED57" s="954"/>
      <c r="EE57" s="2339">
        <f>EE$10</f>
        <v>143000</v>
      </c>
      <c r="EF57" s="2339">
        <f t="shared" ref="EF57:EM57" si="16">EF$10</f>
        <v>0</v>
      </c>
      <c r="EG57" s="2339">
        <f t="shared" si="16"/>
        <v>117400</v>
      </c>
      <c r="EH57" s="2339">
        <f t="shared" si="16"/>
        <v>0</v>
      </c>
      <c r="EI57" s="2339">
        <f t="shared" si="16"/>
        <v>0</v>
      </c>
      <c r="EJ57" s="2339">
        <f t="shared" si="16"/>
        <v>0</v>
      </c>
      <c r="EK57" s="2339">
        <f t="shared" si="16"/>
        <v>0</v>
      </c>
      <c r="EL57" s="2339"/>
      <c r="EM57" s="2339">
        <f t="shared" si="16"/>
        <v>103100</v>
      </c>
      <c r="EN57" s="2667"/>
      <c r="EO57" s="954"/>
      <c r="EP57" s="954"/>
      <c r="EQ57" s="1647"/>
      <c r="ER57" s="905"/>
      <c r="ES57" s="906"/>
      <c r="ET57" s="2686"/>
      <c r="EU57" s="955"/>
      <c r="EV57" s="985"/>
      <c r="EW57" s="985"/>
      <c r="EX57" s="387"/>
      <c r="EY57" s="960"/>
      <c r="EZ57" s="956"/>
      <c r="FA57" s="861"/>
      <c r="FB57" s="861"/>
      <c r="FC57" s="715"/>
      <c r="FD57" s="715"/>
      <c r="FE57" s="715"/>
      <c r="FF57" s="715"/>
    </row>
    <row r="58" spans="1:162" s="1" customFormat="1" ht="20.25" hidden="1" customHeight="1" thickBot="1">
      <c r="A58" s="1494"/>
      <c r="B58" s="1494"/>
      <c r="C58" s="1494"/>
      <c r="D58" s="1494"/>
      <c r="E58" s="1494"/>
      <c r="F58" s="1494"/>
      <c r="G58" s="1494"/>
      <c r="H58" s="1494"/>
      <c r="I58" s="1494"/>
      <c r="J58" s="1494"/>
      <c r="K58" s="1494"/>
      <c r="L58" s="1494"/>
      <c r="M58" s="1494"/>
      <c r="N58" s="1494"/>
      <c r="O58" s="1494"/>
      <c r="P58" s="1494"/>
      <c r="Q58" s="1494"/>
      <c r="R58" s="1494"/>
      <c r="S58" s="1494"/>
      <c r="T58" s="1494"/>
      <c r="U58" s="1494"/>
      <c r="V58" s="1494"/>
      <c r="W58" s="1494"/>
      <c r="X58" s="1494"/>
      <c r="Y58" s="1494"/>
      <c r="Z58" s="1494"/>
      <c r="AA58" s="1494"/>
      <c r="AB58" s="1494"/>
      <c r="AC58" s="1469"/>
      <c r="AD58" s="1469"/>
      <c r="AE58" s="1469"/>
      <c r="AF58" s="1469"/>
      <c r="AG58" s="1469"/>
      <c r="AH58" s="1469"/>
      <c r="AI58" s="1469"/>
      <c r="AJ58" s="1470"/>
      <c r="AK58" s="1470"/>
      <c r="AL58" s="1470"/>
      <c r="AM58" s="1470"/>
      <c r="AN58" s="1470"/>
      <c r="AO58" s="1470"/>
      <c r="AP58" s="1470"/>
      <c r="AQ58" s="1470"/>
      <c r="AR58" s="1470"/>
      <c r="AS58" s="1470"/>
      <c r="AT58" s="1470"/>
      <c r="AU58" s="1470"/>
      <c r="AV58" s="1470"/>
      <c r="AW58" s="1470"/>
      <c r="AX58" s="1470"/>
      <c r="AY58" s="1470"/>
      <c r="AZ58" s="1470"/>
      <c r="BA58" s="1470"/>
      <c r="BB58" s="1470"/>
      <c r="BC58" s="1470"/>
      <c r="BD58" s="1470"/>
      <c r="BE58" s="1470"/>
      <c r="BF58" s="1470"/>
      <c r="BG58" s="1470"/>
      <c r="BH58" s="1470"/>
      <c r="BI58" s="1470"/>
      <c r="BJ58" s="1470"/>
      <c r="BK58" s="1470"/>
      <c r="BL58" s="1470"/>
      <c r="BM58" s="1470"/>
      <c r="BN58" s="1470"/>
      <c r="BO58" s="1470"/>
      <c r="BP58" s="1470"/>
      <c r="BQ58" s="1470"/>
      <c r="BR58" s="1470"/>
      <c r="BS58" s="1470"/>
      <c r="BT58" s="1470"/>
      <c r="BU58" s="1470"/>
      <c r="BV58" s="1470"/>
      <c r="BW58" s="1470"/>
      <c r="BX58" s="1470"/>
      <c r="BY58" s="922"/>
      <c r="BZ58" s="1953"/>
      <c r="CA58" s="1954"/>
      <c r="CB58" s="1954"/>
      <c r="CC58" s="1954"/>
      <c r="CD58" s="1954"/>
      <c r="CE58" s="1954"/>
      <c r="CF58" s="1954"/>
      <c r="CG58" s="1954"/>
      <c r="CH58" s="1954"/>
      <c r="CI58" s="1954"/>
      <c r="CJ58" s="199"/>
      <c r="CK58" s="2818" t="s">
        <v>5398</v>
      </c>
      <c r="CL58" s="191"/>
      <c r="CM58" s="192"/>
      <c r="CN58" s="192"/>
      <c r="CO58" s="191"/>
      <c r="CP58" s="191"/>
      <c r="CQ58" s="191"/>
      <c r="CR58" s="193"/>
      <c r="CS58" s="194"/>
      <c r="CT58" s="193"/>
      <c r="CU58" s="193"/>
      <c r="CV58" s="195"/>
      <c r="CW58" s="199"/>
      <c r="CX58" s="891"/>
      <c r="CY58" s="891"/>
      <c r="CZ58" s="891"/>
      <c r="DA58" s="891"/>
      <c r="DB58" s="891"/>
      <c r="DC58" s="958"/>
      <c r="DD58" s="958"/>
      <c r="DE58" s="958"/>
      <c r="DF58" s="958"/>
      <c r="DG58" s="891"/>
      <c r="DH58" s="891"/>
      <c r="DI58" s="952"/>
      <c r="DJ58" s="952"/>
      <c r="DK58" s="952"/>
      <c r="DL58" s="952"/>
      <c r="DM58" s="953"/>
      <c r="DN58" s="885"/>
      <c r="DO58" s="952"/>
      <c r="DP58" s="952"/>
      <c r="DQ58" s="942"/>
      <c r="DR58" s="952"/>
      <c r="DS58" s="952"/>
      <c r="DT58" s="952"/>
      <c r="DU58" s="952"/>
      <c r="DV58" s="952"/>
      <c r="DW58" s="952"/>
      <c r="DX58" s="952"/>
      <c r="DY58" s="952"/>
      <c r="DZ58" s="952"/>
      <c r="EA58" s="952"/>
      <c r="EB58" s="960"/>
      <c r="EC58" s="954"/>
      <c r="ED58" s="954"/>
      <c r="EE58" s="2358" t="s">
        <v>3143</v>
      </c>
      <c r="EF58" s="2359"/>
      <c r="EG58" s="2359"/>
      <c r="EH58" s="2360"/>
      <c r="EI58" s="2360"/>
      <c r="EJ58" s="2360"/>
      <c r="EK58" s="2360"/>
      <c r="EL58" s="2679"/>
      <c r="EM58" s="2361"/>
      <c r="EN58" s="2670"/>
      <c r="EO58" s="954"/>
      <c r="EP58" s="954"/>
      <c r="EQ58" s="1647"/>
      <c r="ER58" s="905">
        <v>2092</v>
      </c>
      <c r="ES58" s="906" t="s">
        <v>3994</v>
      </c>
      <c r="ET58" s="2686"/>
      <c r="EU58" s="955">
        <v>1</v>
      </c>
      <c r="EV58" s="985"/>
      <c r="EW58" s="985"/>
      <c r="EX58" s="387"/>
      <c r="EY58" s="960"/>
      <c r="EZ58" s="956"/>
      <c r="FA58" s="861"/>
      <c r="FB58" s="861"/>
      <c r="FC58" s="715"/>
      <c r="FD58" s="715"/>
      <c r="FE58" s="715"/>
      <c r="FF58" s="715"/>
    </row>
    <row r="59" spans="1:162" s="1" customFormat="1" ht="144.75" hidden="1" customHeight="1">
      <c r="A59" s="1494"/>
      <c r="B59" s="1494"/>
      <c r="C59" s="1494"/>
      <c r="D59" s="1494"/>
      <c r="E59" s="1494"/>
      <c r="F59" s="1494"/>
      <c r="G59" s="1494"/>
      <c r="H59" s="1494"/>
      <c r="I59" s="1494"/>
      <c r="J59" s="1494"/>
      <c r="K59" s="1494"/>
      <c r="L59" s="1494"/>
      <c r="M59" s="1494"/>
      <c r="N59" s="1494"/>
      <c r="O59" s="1494"/>
      <c r="P59" s="1494"/>
      <c r="Q59" s="1494"/>
      <c r="R59" s="1494"/>
      <c r="S59" s="1494"/>
      <c r="T59" s="1494"/>
      <c r="U59" s="1494"/>
      <c r="V59" s="1494"/>
      <c r="W59" s="1494"/>
      <c r="X59" s="1494"/>
      <c r="Y59" s="1494"/>
      <c r="Z59" s="1494"/>
      <c r="AA59" s="1494"/>
      <c r="AB59" s="1494"/>
      <c r="AC59" s="1494"/>
      <c r="AD59" s="1494"/>
      <c r="AE59" s="1468"/>
      <c r="AF59" s="1468"/>
      <c r="AG59" s="1468"/>
      <c r="AH59" s="1469"/>
      <c r="AI59" s="1469"/>
      <c r="AJ59" s="1495"/>
      <c r="AK59" s="1495"/>
      <c r="AL59" s="1495"/>
      <c r="AM59" s="1471"/>
      <c r="AN59" s="1471"/>
      <c r="AO59" s="1471"/>
      <c r="AP59" s="1471"/>
      <c r="AQ59" s="1471"/>
      <c r="AR59" s="1471"/>
      <c r="AS59" s="1471"/>
      <c r="AT59" s="1471"/>
      <c r="AU59" s="1471"/>
      <c r="AV59" s="1471"/>
      <c r="AW59" s="1471"/>
      <c r="AX59" s="1495"/>
      <c r="AY59" s="1495"/>
      <c r="AZ59" s="1471"/>
      <c r="BA59" s="1471"/>
      <c r="BB59" s="1471"/>
      <c r="BC59" s="1760"/>
      <c r="BD59" s="1760"/>
      <c r="BE59" s="1760"/>
      <c r="BF59" s="1760"/>
      <c r="BG59" s="1760"/>
      <c r="BH59" s="1760"/>
      <c r="BI59" s="1760"/>
      <c r="BJ59" s="1760"/>
      <c r="BK59" s="1760"/>
      <c r="BL59" s="1760"/>
      <c r="BM59" s="1760"/>
      <c r="BN59" s="1760"/>
      <c r="BO59" s="1760"/>
      <c r="BP59" s="1760"/>
      <c r="BQ59" s="1760"/>
      <c r="BR59" s="1471"/>
      <c r="BS59" s="1471"/>
      <c r="BT59" s="1471"/>
      <c r="BU59" s="1471"/>
      <c r="BV59" s="1471"/>
      <c r="BW59" s="1471"/>
      <c r="BX59" s="1476"/>
      <c r="BY59" s="922"/>
      <c r="BZ59" s="1953"/>
      <c r="CA59" s="1954"/>
      <c r="CB59" s="1954"/>
      <c r="CC59" s="1954"/>
      <c r="CD59" s="1954"/>
      <c r="CE59" s="1954"/>
      <c r="CF59" s="1954"/>
      <c r="CG59" s="1954"/>
      <c r="CH59" s="1954"/>
      <c r="CI59" s="1954"/>
      <c r="CJ59" s="197">
        <v>1000</v>
      </c>
      <c r="CK59" s="2166" t="s">
        <v>66</v>
      </c>
      <c r="CL59" s="2819">
        <v>75951</v>
      </c>
      <c r="CM59" s="2819">
        <v>75951</v>
      </c>
      <c r="CN59" s="2819">
        <v>75951</v>
      </c>
      <c r="CO59" s="2819">
        <v>75951</v>
      </c>
      <c r="CP59" s="2819">
        <v>75951</v>
      </c>
      <c r="CQ59" s="2819">
        <v>75951</v>
      </c>
      <c r="CR59" s="198"/>
      <c r="CS59" s="198"/>
      <c r="CT59" s="198"/>
      <c r="CU59" s="198"/>
      <c r="CV59" s="198"/>
      <c r="CW59" s="197"/>
      <c r="CX59" s="959"/>
      <c r="CY59" s="959"/>
      <c r="CZ59" s="959"/>
      <c r="DA59" s="959"/>
      <c r="DB59" s="959"/>
      <c r="DC59" s="891">
        <v>1011</v>
      </c>
      <c r="DD59" s="891" t="s">
        <v>401</v>
      </c>
      <c r="DE59" s="891" t="s">
        <v>402</v>
      </c>
      <c r="DF59" s="891">
        <v>3</v>
      </c>
      <c r="DG59" s="959"/>
      <c r="DH59" s="959"/>
      <c r="DI59" s="952"/>
      <c r="DJ59" s="952"/>
      <c r="DK59" s="952"/>
      <c r="DL59" s="952"/>
      <c r="DM59" s="953"/>
      <c r="DN59" s="885"/>
      <c r="DO59" s="952"/>
      <c r="DP59" s="952"/>
      <c r="DQ59" s="952"/>
      <c r="DR59" s="952"/>
      <c r="DS59" s="952"/>
      <c r="DT59" s="952"/>
      <c r="DU59" s="952"/>
      <c r="DV59" s="952"/>
      <c r="DW59" s="952"/>
      <c r="DX59" s="952"/>
      <c r="DY59" s="952"/>
      <c r="DZ59" s="952"/>
      <c r="EA59" s="952"/>
      <c r="EB59" s="960"/>
      <c r="EC59" s="956"/>
      <c r="ED59" s="956"/>
      <c r="EE59" s="2372">
        <v>132400</v>
      </c>
      <c r="EF59" s="2373">
        <v>0</v>
      </c>
      <c r="EG59" s="2373">
        <v>108700</v>
      </c>
      <c r="EH59" s="2373">
        <v>0</v>
      </c>
      <c r="EI59" s="2373">
        <v>0</v>
      </c>
      <c r="EJ59" s="2373">
        <v>0</v>
      </c>
      <c r="EK59" s="2374">
        <v>0</v>
      </c>
      <c r="EL59" s="2680"/>
      <c r="EM59" s="2375">
        <v>95500</v>
      </c>
      <c r="EN59" s="2671"/>
      <c r="EO59" s="956"/>
      <c r="EP59" s="956"/>
      <c r="EQ59" s="1647"/>
      <c r="ER59" s="905">
        <v>2093</v>
      </c>
      <c r="ES59" s="906" t="s">
        <v>3995</v>
      </c>
      <c r="ET59" s="2686">
        <v>2</v>
      </c>
      <c r="EU59" s="955">
        <v>1</v>
      </c>
      <c r="EV59" s="985"/>
      <c r="EW59" s="985"/>
      <c r="EX59" s="387"/>
      <c r="EY59" s="960"/>
      <c r="EZ59" s="956"/>
      <c r="FA59" s="861"/>
      <c r="FB59" s="861"/>
      <c r="FC59" s="715"/>
      <c r="FD59" s="715"/>
      <c r="FE59" s="715"/>
      <c r="FF59" s="715"/>
    </row>
    <row r="60" spans="1:162" s="1" customFormat="1" hidden="1">
      <c r="A60" s="651"/>
      <c r="B60" s="1494"/>
      <c r="C60" s="1494"/>
      <c r="D60" s="1494"/>
      <c r="E60" s="1494"/>
      <c r="F60" s="1494"/>
      <c r="G60" s="1494"/>
      <c r="H60" s="1494"/>
      <c r="I60" s="1494"/>
      <c r="J60" s="1494"/>
      <c r="K60" s="1494"/>
      <c r="L60" s="1494"/>
      <c r="M60" s="1494"/>
      <c r="N60" s="1494"/>
      <c r="O60" s="1494"/>
      <c r="P60" s="1494"/>
      <c r="Q60" s="1494"/>
      <c r="R60" s="1494"/>
      <c r="S60" s="1494"/>
      <c r="T60" s="1494"/>
      <c r="U60" s="1494"/>
      <c r="V60" s="1494"/>
      <c r="W60" s="1494"/>
      <c r="X60" s="1494"/>
      <c r="Y60" s="1494"/>
      <c r="Z60" s="1494"/>
      <c r="AA60" s="1494"/>
      <c r="AB60" s="1494"/>
      <c r="AC60" s="1497"/>
      <c r="AD60" s="1497"/>
      <c r="AE60" s="1472"/>
      <c r="AF60" s="1472"/>
      <c r="AG60" s="1472"/>
      <c r="AH60" s="1498"/>
      <c r="AI60" s="1498"/>
      <c r="AJ60" s="1472"/>
      <c r="AK60" s="1472"/>
      <c r="AL60" s="1472"/>
      <c r="AM60" s="1472"/>
      <c r="AN60" s="1472"/>
      <c r="AO60" s="1472"/>
      <c r="AP60" s="1472"/>
      <c r="AQ60" s="1472"/>
      <c r="AR60" s="1472"/>
      <c r="AS60" s="1472"/>
      <c r="AT60" s="1472"/>
      <c r="AU60" s="1472"/>
      <c r="AV60" s="1472"/>
      <c r="AW60" s="1472"/>
      <c r="AX60" s="1472"/>
      <c r="AY60" s="1472"/>
      <c r="AZ60" s="1472"/>
      <c r="BA60" s="1472"/>
      <c r="BB60" s="1472"/>
      <c r="BC60" s="1761"/>
      <c r="BD60" s="1761"/>
      <c r="BE60" s="1761"/>
      <c r="BF60" s="1761"/>
      <c r="BG60" s="1761"/>
      <c r="BH60" s="1761"/>
      <c r="BI60" s="1761"/>
      <c r="BJ60" s="1761"/>
      <c r="BK60" s="1761"/>
      <c r="BL60" s="1761"/>
      <c r="BM60" s="1761"/>
      <c r="BN60" s="1761"/>
      <c r="BO60" s="1761"/>
      <c r="BP60" s="1761"/>
      <c r="BQ60" s="1761"/>
      <c r="BR60" s="1472"/>
      <c r="BS60" s="1472"/>
      <c r="BT60" s="1472"/>
      <c r="BU60" s="1472"/>
      <c r="BV60" s="1472"/>
      <c r="BW60" s="1472"/>
      <c r="BX60" s="1477"/>
      <c r="BY60" s="922"/>
      <c r="BZ60" s="1953"/>
      <c r="CA60" s="1954"/>
      <c r="CB60" s="1954"/>
      <c r="CC60" s="1954"/>
      <c r="CD60" s="1954"/>
      <c r="CE60" s="1954"/>
      <c r="CF60" s="1954"/>
      <c r="CG60" s="1954"/>
      <c r="CH60" s="1954"/>
      <c r="CI60" s="1954"/>
      <c r="CJ60" s="197">
        <v>1001</v>
      </c>
      <c r="CK60" s="2167" t="s">
        <v>67</v>
      </c>
      <c r="CL60" s="2820">
        <v>86115</v>
      </c>
      <c r="CM60" s="2820">
        <v>86115</v>
      </c>
      <c r="CN60" s="2820">
        <v>86115</v>
      </c>
      <c r="CO60" s="2820">
        <v>86115</v>
      </c>
      <c r="CP60" s="2820">
        <v>86115</v>
      </c>
      <c r="CQ60" s="2820">
        <v>86115</v>
      </c>
      <c r="CR60" s="198"/>
      <c r="CS60" s="198"/>
      <c r="CT60" s="198"/>
      <c r="CU60" s="198"/>
      <c r="CV60" s="198"/>
      <c r="CW60" s="197"/>
      <c r="CX60" s="959"/>
      <c r="CY60" s="959"/>
      <c r="CZ60" s="959"/>
      <c r="DA60" s="959">
        <f>CL6</f>
        <v>2120</v>
      </c>
      <c r="DB60" s="959"/>
      <c r="DC60" s="891">
        <v>1012</v>
      </c>
      <c r="DD60" s="891" t="s">
        <v>401</v>
      </c>
      <c r="DE60" s="891" t="s">
        <v>404</v>
      </c>
      <c r="DF60" s="891">
        <v>3</v>
      </c>
      <c r="DG60" s="959"/>
      <c r="DH60" s="959"/>
      <c r="DI60" s="952"/>
      <c r="DJ60" s="952"/>
      <c r="DK60" s="952"/>
      <c r="DL60" s="952"/>
      <c r="DM60" s="953"/>
      <c r="DN60" s="885"/>
      <c r="DO60" s="952"/>
      <c r="DP60" s="952"/>
      <c r="DQ60" s="942"/>
      <c r="DR60" s="916"/>
      <c r="DS60" s="952"/>
      <c r="DT60" s="952"/>
      <c r="DU60" s="952"/>
      <c r="DV60" s="952"/>
      <c r="DW60" s="952"/>
      <c r="DX60" s="952"/>
      <c r="DY60" s="952"/>
      <c r="DZ60" s="952"/>
      <c r="EA60" s="952"/>
      <c r="EB60" s="960"/>
      <c r="EC60" s="954"/>
      <c r="ED60" s="954"/>
      <c r="EE60" s="2358" t="s">
        <v>3894</v>
      </c>
      <c r="EF60" s="2362"/>
      <c r="EG60" s="2362"/>
      <c r="EH60" s="2363"/>
      <c r="EI60" s="2363"/>
      <c r="EJ60" s="2363"/>
      <c r="EK60" s="2363"/>
      <c r="EL60" s="2681"/>
      <c r="EM60" s="2364"/>
      <c r="EN60" s="2672"/>
      <c r="EO60" s="954"/>
      <c r="EP60" s="954"/>
      <c r="EQ60" s="1647"/>
      <c r="ER60" s="905">
        <v>2094</v>
      </c>
      <c r="ES60" s="906" t="s">
        <v>1087</v>
      </c>
      <c r="ET60" s="2686">
        <v>2</v>
      </c>
      <c r="EU60" s="955"/>
      <c r="EV60" s="985"/>
      <c r="EW60" s="985"/>
      <c r="EX60" s="387"/>
      <c r="EY60" s="960"/>
      <c r="EZ60" s="956"/>
      <c r="FA60" s="861"/>
      <c r="FB60" s="861"/>
      <c r="FC60" s="715"/>
      <c r="FD60" s="715"/>
      <c r="FE60" s="715"/>
      <c r="FF60" s="715"/>
    </row>
    <row r="61" spans="1:162" s="5" customFormat="1" ht="18" hidden="1" customHeight="1" thickBot="1">
      <c r="A61" s="48"/>
      <c r="L61" s="1486"/>
      <c r="M61" s="1486"/>
      <c r="N61" s="1486"/>
      <c r="O61" s="1486"/>
      <c r="P61" s="1486"/>
      <c r="Q61" s="1486"/>
      <c r="R61" s="1486"/>
      <c r="S61" s="1486"/>
      <c r="T61" s="1486"/>
      <c r="U61" s="1486"/>
      <c r="V61" s="1486"/>
      <c r="W61" s="1486"/>
      <c r="X61" s="1486"/>
      <c r="Y61" s="1486"/>
      <c r="Z61" s="1486"/>
      <c r="AA61" s="1486"/>
      <c r="AB61" s="1486"/>
      <c r="AJ61" s="7"/>
      <c r="AK61" s="7"/>
      <c r="AL61" s="7"/>
      <c r="AM61" s="58"/>
      <c r="AO61" s="59"/>
      <c r="AV61" s="438" t="s">
        <v>3874</v>
      </c>
      <c r="AW61" s="438"/>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1234"/>
      <c r="BY61" s="1235"/>
      <c r="BZ61" s="1957"/>
      <c r="CA61" s="1957"/>
      <c r="CB61" s="1957"/>
      <c r="CC61" s="1957"/>
      <c r="CD61" s="1957"/>
      <c r="CE61" s="1957"/>
      <c r="CF61" s="1957"/>
      <c r="CG61" s="1957"/>
      <c r="CH61" s="1957"/>
      <c r="CI61" s="1957"/>
      <c r="CJ61" s="197">
        <v>1002</v>
      </c>
      <c r="CK61" s="2167" t="s">
        <v>68</v>
      </c>
      <c r="CL61" s="2820">
        <v>92986</v>
      </c>
      <c r="CM61" s="2820">
        <v>92986</v>
      </c>
      <c r="CN61" s="2820">
        <v>92986</v>
      </c>
      <c r="CO61" s="2820">
        <v>92986</v>
      </c>
      <c r="CP61" s="2820">
        <v>92986</v>
      </c>
      <c r="CQ61" s="2820">
        <v>92986</v>
      </c>
      <c r="CR61" s="198"/>
      <c r="CS61" s="198"/>
      <c r="CT61" s="198"/>
      <c r="CU61" s="198"/>
      <c r="CV61" s="198"/>
      <c r="CW61" s="197"/>
      <c r="CX61" s="959"/>
      <c r="CY61" s="959"/>
      <c r="CZ61" s="959"/>
      <c r="DA61" s="959" t="str">
        <f>VLOOKUP(DA60,DC59:DD4091,2,FALSE)</f>
        <v>Dunakeszi</v>
      </c>
      <c r="DB61" s="959"/>
      <c r="DC61" s="891">
        <v>1013</v>
      </c>
      <c r="DD61" s="891" t="s">
        <v>401</v>
      </c>
      <c r="DE61" s="891" t="s">
        <v>406</v>
      </c>
      <c r="DF61" s="891">
        <v>1</v>
      </c>
      <c r="DG61" s="959"/>
      <c r="DH61" s="959"/>
      <c r="DI61" s="885"/>
      <c r="DJ61" s="885"/>
      <c r="DK61" s="885"/>
      <c r="DL61" s="885"/>
      <c r="DM61" s="937"/>
      <c r="DN61" s="885"/>
      <c r="DO61" s="885"/>
      <c r="DP61" s="885"/>
      <c r="DQ61" s="942"/>
      <c r="DR61" s="916"/>
      <c r="DS61" s="885"/>
      <c r="DT61" s="885"/>
      <c r="DU61" s="885"/>
      <c r="DV61" s="885"/>
      <c r="DW61" s="885"/>
      <c r="DX61" s="885"/>
      <c r="DY61" s="885"/>
      <c r="DZ61" s="885"/>
      <c r="EA61" s="885"/>
      <c r="EB61" s="987"/>
      <c r="EC61" s="961"/>
      <c r="ED61" s="961"/>
      <c r="EE61" s="2365">
        <f>EE$59-EE$57</f>
        <v>-10600</v>
      </c>
      <c r="EF61" s="2366">
        <f t="shared" ref="EF61:EM61" si="17">EF$59-EF$57</f>
        <v>0</v>
      </c>
      <c r="EG61" s="2366">
        <f t="shared" si="17"/>
        <v>-8700</v>
      </c>
      <c r="EH61" s="2366">
        <f t="shared" si="17"/>
        <v>0</v>
      </c>
      <c r="EI61" s="2366">
        <f t="shared" si="17"/>
        <v>0</v>
      </c>
      <c r="EJ61" s="2366">
        <f t="shared" si="17"/>
        <v>0</v>
      </c>
      <c r="EK61" s="2366">
        <f t="shared" si="17"/>
        <v>0</v>
      </c>
      <c r="EL61" s="2682"/>
      <c r="EM61" s="2367">
        <f t="shared" si="17"/>
        <v>-7600</v>
      </c>
      <c r="EN61" s="2673"/>
      <c r="EO61" s="961"/>
      <c r="EP61" s="961"/>
      <c r="EQ61" s="1648"/>
      <c r="ER61" s="905">
        <v>2095</v>
      </c>
      <c r="ES61" s="906" t="s">
        <v>3997</v>
      </c>
      <c r="ET61" s="2686">
        <v>2</v>
      </c>
      <c r="EU61" s="962"/>
      <c r="EV61" s="985"/>
      <c r="EW61" s="985"/>
      <c r="EX61" s="387"/>
      <c r="EY61" s="987"/>
      <c r="EZ61" s="963"/>
      <c r="FA61" s="862"/>
      <c r="FB61" s="862"/>
      <c r="FC61" s="716"/>
      <c r="FD61" s="716"/>
      <c r="FE61" s="716"/>
      <c r="FF61" s="716"/>
    </row>
    <row r="62" spans="1:162" ht="16.5" hidden="1" thickTop="1">
      <c r="A62" s="106" t="s">
        <v>2451</v>
      </c>
      <c r="B62" s="4"/>
      <c r="C62" s="4"/>
      <c r="D62" s="4"/>
      <c r="E62" s="4"/>
      <c r="F62" s="4"/>
      <c r="G62" s="4"/>
      <c r="H62" s="4"/>
      <c r="I62" s="4"/>
      <c r="J62" s="4"/>
      <c r="K62" s="4"/>
      <c r="L62" s="268">
        <v>0</v>
      </c>
      <c r="M62" s="1290"/>
      <c r="Y62">
        <f>IF(($L4+$N4+$Y4+$Z4+$AA4+$AB4)&gt;$B4,1,0)</f>
        <v>0</v>
      </c>
      <c r="AA62" t="s">
        <v>3432</v>
      </c>
      <c r="AF62" s="2576" t="s">
        <v>264</v>
      </c>
      <c r="AG62" s="2576"/>
      <c r="AV62" s="272" t="s">
        <v>3872</v>
      </c>
      <c r="AW62" s="272"/>
      <c r="AX62" s="272"/>
      <c r="CJ62" s="197">
        <v>1003</v>
      </c>
      <c r="CK62" s="2167" t="s">
        <v>69</v>
      </c>
      <c r="CL62" s="2820">
        <v>100186</v>
      </c>
      <c r="CM62" s="2820">
        <v>100186</v>
      </c>
      <c r="CN62" s="2820">
        <v>100186</v>
      </c>
      <c r="CO62" s="2820">
        <v>100186</v>
      </c>
      <c r="CP62" s="2820">
        <v>100186</v>
      </c>
      <c r="CQ62" s="2820">
        <v>100186</v>
      </c>
      <c r="CR62" s="198"/>
      <c r="CS62" s="198"/>
      <c r="CT62" s="198"/>
      <c r="CU62" s="198"/>
      <c r="CV62" s="198"/>
      <c r="CW62" s="197"/>
      <c r="CX62" s="959"/>
      <c r="CY62" s="959"/>
      <c r="CZ62" s="959" t="s">
        <v>408</v>
      </c>
      <c r="DA62" s="959">
        <f>VLOOKUP(DA60,DC59:DF3216,4,FALSE)</f>
        <v>3</v>
      </c>
      <c r="DB62" s="959" t="s">
        <v>409</v>
      </c>
      <c r="DC62" s="891">
        <v>1014</v>
      </c>
      <c r="DD62" s="891" t="s">
        <v>401</v>
      </c>
      <c r="DE62" s="891" t="s">
        <v>410</v>
      </c>
      <c r="DF62" s="891">
        <v>1</v>
      </c>
      <c r="DG62" s="959"/>
      <c r="DH62" s="959"/>
      <c r="DP62" s="937"/>
      <c r="EB62" s="939"/>
      <c r="ER62" s="905">
        <v>2096</v>
      </c>
      <c r="ES62" s="906" t="s">
        <v>3998</v>
      </c>
      <c r="ET62" s="2686">
        <v>2</v>
      </c>
      <c r="EU62" s="895">
        <v>1</v>
      </c>
      <c r="EV62" s="985"/>
      <c r="EW62" s="985"/>
      <c r="EX62" s="387"/>
      <c r="EY62" s="939"/>
      <c r="EZ62" s="886"/>
    </row>
    <row r="63" spans="1:162" hidden="1">
      <c r="A63" s="106" t="s">
        <v>2452</v>
      </c>
      <c r="B63" s="4"/>
      <c r="C63" s="4"/>
      <c r="D63" s="4"/>
      <c r="E63" s="4"/>
      <c r="F63" s="4"/>
      <c r="G63" s="4"/>
      <c r="H63" s="4"/>
      <c r="I63" s="4"/>
      <c r="J63" s="4"/>
      <c r="K63" s="4"/>
      <c r="L63" s="268"/>
      <c r="M63" s="1290"/>
      <c r="Y63">
        <f>IF(($L6+$N6+$Y6+$Z6+$AA6+$AB6)&gt;$B6,1,0)</f>
        <v>0</v>
      </c>
      <c r="AA63" t="s">
        <v>409</v>
      </c>
      <c r="AF63" s="2576">
        <v>0.35</v>
      </c>
      <c r="AG63" s="2577" t="b">
        <f>AND($B$51&gt;=100,$B$51&lt;=399)</f>
        <v>0</v>
      </c>
      <c r="AV63" s="272" t="b">
        <f>OR($B$52=2000,$B$52=2011,$B$52=2013,$B$52=2014,$B$52=2030,$B$52=2035,$B$52=2036,$B$52=2038,$B$52=2039,$B$52=2040,$B$52=2042,$B$52=2045,$B$52=2049,$B$52=2051,$B$52=2053,$B$52=2071,$B$52=2083,$B$52=2084,$B$52=2085,$B$52=2089,$B$52=2092,$B$52=2093,$B$52=2094,$B$52=2096,$B$52=2097,$B$52=2100)</f>
        <v>0</v>
      </c>
      <c r="AW63" s="272"/>
      <c r="AX63" s="272"/>
      <c r="CJ63" s="197">
        <v>1004</v>
      </c>
      <c r="CK63" s="2167" t="s">
        <v>70</v>
      </c>
      <c r="CL63" s="2820">
        <v>124301</v>
      </c>
      <c r="CM63" s="2820">
        <v>124301</v>
      </c>
      <c r="CN63" s="2820">
        <v>124301</v>
      </c>
      <c r="CO63" s="2820">
        <v>124301</v>
      </c>
      <c r="CP63" s="2820">
        <v>124301</v>
      </c>
      <c r="CQ63" s="2820">
        <v>124301</v>
      </c>
      <c r="CR63" s="198"/>
      <c r="CS63" s="198"/>
      <c r="CT63" s="198"/>
      <c r="CU63" s="198"/>
      <c r="CV63" s="198"/>
      <c r="CW63" s="197"/>
      <c r="CX63" s="959"/>
      <c r="CY63" s="959"/>
      <c r="CZ63" s="959" t="str">
        <f>CONCATENATE(CZ62,DA62,DB62)</f>
        <v>Terület 3.</v>
      </c>
      <c r="DA63" s="959"/>
      <c r="DB63" s="959"/>
      <c r="DC63" s="891">
        <v>1015</v>
      </c>
      <c r="DD63" s="891" t="s">
        <v>401</v>
      </c>
      <c r="DE63" s="891" t="s">
        <v>412</v>
      </c>
      <c r="DF63" s="891">
        <v>1</v>
      </c>
      <c r="DG63" s="959"/>
      <c r="DH63" s="959"/>
      <c r="EB63" s="939"/>
      <c r="ER63" s="905">
        <v>2097</v>
      </c>
      <c r="ES63" s="906" t="s">
        <v>3999</v>
      </c>
      <c r="ET63" s="2686">
        <v>2</v>
      </c>
      <c r="EU63" s="895">
        <v>1</v>
      </c>
      <c r="EV63" s="985"/>
      <c r="EW63" s="985"/>
      <c r="EX63" s="387"/>
      <c r="EY63" s="939"/>
      <c r="EZ63" s="886"/>
    </row>
    <row r="64" spans="1:162" ht="27" hidden="1" thickBot="1">
      <c r="A64" s="110" t="s">
        <v>2447</v>
      </c>
      <c r="B64" s="4"/>
      <c r="C64" s="4"/>
      <c r="D64" s="4"/>
      <c r="E64" s="4"/>
      <c r="F64" s="4"/>
      <c r="G64" s="4"/>
      <c r="H64" s="4"/>
      <c r="I64" s="4"/>
      <c r="J64" s="4"/>
      <c r="K64" s="4"/>
      <c r="L64" s="268"/>
      <c r="M64" s="1290"/>
      <c r="Y64">
        <f>IF(($L7+$N7+$Y7+$Z7+$AA7+$AB7)&gt;$B7,1,0)</f>
        <v>0</v>
      </c>
      <c r="AF64">
        <v>1</v>
      </c>
      <c r="AG64" s="875" t="b">
        <f>OR(AND($B$51&gt;=1000,$B$51&lt;=1899),AND($B$51&gt;=2300,$B$51&lt;=3399),AND($B$51&gt;=3500,$B$51&lt;=3899),AND($B$51&gt;=7100,$B$51&lt;=7599),AND($B$51&gt;=7800,$B$51&lt;=8299),AND($B$51&gt;=8400,$B$51&lt;=8899),AND($B$51&gt;=9000,$B$51&lt;=9199),AND($B$51&gt;=9400,$B$51&lt;=9599))</f>
        <v>1</v>
      </c>
      <c r="AV64" s="272" t="b">
        <f>OR($B$52=2102,$B$52=2111,$B$52=2112,$B$52=2113,$B$52=2117,$B$52=2119,$B$52=2120,$B$52=2131,$B$52=2132,$B$52=2141,$B$52=2142,$B$52=2143,$B$52=2144,$B$52=2145,$B$52=2146,$B$52=2151,$B$52=2161,$B$52=2162,$B$52=2200,$B$52=2209,$B$52=2213,$B$52=2220,$B$52=2225,$B$52=2230,$B$52=2233,$B$52=2234)</f>
        <v>0</v>
      </c>
      <c r="AW64" s="272"/>
      <c r="AX64" s="272"/>
      <c r="CJ64" s="197">
        <v>1005</v>
      </c>
      <c r="CK64" s="2168" t="s">
        <v>71</v>
      </c>
      <c r="CL64" s="2821">
        <v>144718</v>
      </c>
      <c r="CM64" s="2821">
        <v>144718</v>
      </c>
      <c r="CN64" s="2821">
        <v>144718</v>
      </c>
      <c r="CO64" s="2821">
        <v>144718</v>
      </c>
      <c r="CP64" s="2821">
        <v>144718</v>
      </c>
      <c r="CQ64" s="2821">
        <v>144718</v>
      </c>
      <c r="CR64" s="198"/>
      <c r="CS64" s="198"/>
      <c r="CT64" s="198"/>
      <c r="CU64" s="198"/>
      <c r="CV64" s="198"/>
      <c r="CW64" s="197"/>
      <c r="CX64" s="959"/>
      <c r="CY64" s="959"/>
      <c r="CZ64" s="959"/>
      <c r="DA64" s="959"/>
      <c r="DB64" s="959"/>
      <c r="DC64" s="891">
        <v>1016</v>
      </c>
      <c r="DD64" s="891" t="s">
        <v>401</v>
      </c>
      <c r="DE64" s="891" t="s">
        <v>412</v>
      </c>
      <c r="DF64" s="891">
        <v>1</v>
      </c>
      <c r="DG64" s="959"/>
      <c r="DH64" s="959"/>
      <c r="EB64" s="939"/>
      <c r="ER64" s="905">
        <v>2098</v>
      </c>
      <c r="ES64" s="906" t="s">
        <v>4000</v>
      </c>
      <c r="ET64" s="2686">
        <v>2</v>
      </c>
      <c r="EV64" s="985"/>
      <c r="EW64" s="985"/>
      <c r="EX64" s="387"/>
      <c r="EY64" s="939"/>
      <c r="EZ64" s="886"/>
    </row>
    <row r="65" spans="1:156" ht="39" hidden="1">
      <c r="A65" s="111" t="s">
        <v>2448</v>
      </c>
      <c r="B65" s="4"/>
      <c r="C65" s="4"/>
      <c r="D65" s="4"/>
      <c r="E65" s="4"/>
      <c r="F65" s="4"/>
      <c r="G65" s="4"/>
      <c r="H65" s="4"/>
      <c r="I65" s="4"/>
      <c r="J65" s="4"/>
      <c r="K65" s="4"/>
      <c r="L65" s="269"/>
      <c r="M65" s="1291"/>
      <c r="AC65" s="290" t="s">
        <v>4755</v>
      </c>
      <c r="AD65" s="290"/>
      <c r="AF65">
        <v>1</v>
      </c>
      <c r="AG65" s="875" t="b">
        <f>OR(AND($B$51&gt;=2200,$B$51&lt;=2299),AND($B$51&gt;=4600,$B$51&lt;=4799),AND($B$51&gt;=5500,$B$51&lt;=5699),AND($B$51&gt;=5800,$B$51&lt;=5999),AND($B$51&gt;=6400,$B$51&lt;=6599),AND($B$51&gt;=6900,$B$51&lt;=6999))</f>
        <v>0</v>
      </c>
      <c r="AV65" s="272" t="b">
        <f>OR($B$52=2235,$B$52=2310,$B$52=2314,$B$52=2315,$B$52=2316,$B$52=2330,$B$52=2335,$B$52=2336,$B$52=2351,$B$52=2360,$B$52=2363,$B$52=2364,$B$52=2440,$B$52=2461,$B$52=7600,$B$52=7691,$B$52=7693)</f>
        <v>0</v>
      </c>
      <c r="AW65" s="272"/>
      <c r="AX65" s="272"/>
      <c r="CJ65" s="197">
        <v>1006</v>
      </c>
      <c r="CK65" s="2169" t="s">
        <v>72</v>
      </c>
      <c r="CL65" s="2819">
        <v>172548</v>
      </c>
      <c r="CM65" s="2819">
        <v>172548</v>
      </c>
      <c r="CN65" s="2819">
        <v>172548</v>
      </c>
      <c r="CO65" s="2819">
        <v>172548</v>
      </c>
      <c r="CP65" s="2819">
        <v>172548</v>
      </c>
      <c r="CQ65" s="2819">
        <v>172548</v>
      </c>
      <c r="CR65" s="198"/>
      <c r="CS65" s="198"/>
      <c r="CT65" s="198"/>
      <c r="CU65" s="198"/>
      <c r="CV65" s="198"/>
      <c r="CW65" s="197"/>
      <c r="CX65" s="959"/>
      <c r="CY65" s="959"/>
      <c r="CZ65" s="959"/>
      <c r="DA65" s="959"/>
      <c r="DB65" s="959"/>
      <c r="DC65" s="891">
        <v>1021</v>
      </c>
      <c r="DD65" s="891" t="s">
        <v>401</v>
      </c>
      <c r="DE65" s="891" t="s">
        <v>412</v>
      </c>
      <c r="DF65" s="891">
        <v>1</v>
      </c>
      <c r="DG65" s="959"/>
      <c r="DH65" s="959"/>
      <c r="EB65" s="939"/>
      <c r="ER65" s="905">
        <v>2099</v>
      </c>
      <c r="ES65" s="906" t="s">
        <v>1088</v>
      </c>
      <c r="ET65" s="2686">
        <v>2</v>
      </c>
      <c r="EV65" s="985"/>
      <c r="EW65" s="985"/>
      <c r="EX65" s="387"/>
      <c r="EY65" s="939"/>
      <c r="EZ65" s="886"/>
    </row>
    <row r="66" spans="1:156" ht="48" hidden="1" thickBot="1">
      <c r="A66" s="110" t="s">
        <v>2450</v>
      </c>
      <c r="B66" s="4"/>
      <c r="C66" s="4"/>
      <c r="D66" s="4"/>
      <c r="E66" s="4"/>
      <c r="F66" s="4"/>
      <c r="G66" s="4"/>
      <c r="H66" s="4"/>
      <c r="I66" s="4"/>
      <c r="J66" s="4"/>
      <c r="K66" s="4"/>
      <c r="L66" s="268"/>
      <c r="M66" s="1290"/>
      <c r="Y66">
        <f>IF(($L10+$N10+$Y10+$Z10+$AA10+$AB10)&gt;$B10,1,0)</f>
        <v>0</v>
      </c>
      <c r="AC66" s="290">
        <f>AC2</f>
        <v>1114</v>
      </c>
      <c r="AD66" s="290"/>
      <c r="AF66" s="2579" t="s">
        <v>266</v>
      </c>
      <c r="AG66" s="2580">
        <f>IF(AG67=1,AF63*AG63+AF64*AG64+AF65*AG65,1)</f>
        <v>1</v>
      </c>
      <c r="AV66" s="272" t="s">
        <v>3873</v>
      </c>
      <c r="AW66" s="272"/>
      <c r="AX66" s="272" t="b">
        <f>AND($B$52&gt;999,$B$52&lt;2000)</f>
        <v>1</v>
      </c>
      <c r="CJ66" s="197">
        <v>1007</v>
      </c>
      <c r="CK66" s="2170" t="s">
        <v>73</v>
      </c>
      <c r="CL66" s="2820">
        <v>598120</v>
      </c>
      <c r="CM66" s="2820">
        <v>598120</v>
      </c>
      <c r="CN66" s="2820">
        <v>598120</v>
      </c>
      <c r="CO66" s="2820">
        <v>598120</v>
      </c>
      <c r="CP66" s="2820">
        <v>598120</v>
      </c>
      <c r="CQ66" s="2820">
        <v>598120</v>
      </c>
      <c r="CR66" s="195"/>
      <c r="CS66" s="201"/>
      <c r="CT66" s="195"/>
      <c r="CU66" s="195"/>
      <c r="CV66" s="202"/>
      <c r="CW66" s="197"/>
      <c r="CX66" s="959"/>
      <c r="CY66" s="959"/>
      <c r="CZ66" s="959"/>
      <c r="DA66" s="959"/>
      <c r="DB66" s="959"/>
      <c r="DC66" s="891">
        <v>1022</v>
      </c>
      <c r="DD66" s="891" t="s">
        <v>401</v>
      </c>
      <c r="DE66" s="891" t="s">
        <v>412</v>
      </c>
      <c r="DF66" s="891">
        <v>1</v>
      </c>
      <c r="DG66" s="959"/>
      <c r="DH66" s="959"/>
      <c r="EB66" s="939"/>
      <c r="ER66" s="905">
        <v>2100</v>
      </c>
      <c r="ES66" s="906" t="s">
        <v>4002</v>
      </c>
      <c r="ET66" s="2686">
        <v>2</v>
      </c>
      <c r="EV66" s="985"/>
      <c r="EW66" s="985"/>
      <c r="EX66" s="387"/>
      <c r="EY66" s="939"/>
      <c r="EZ66" s="886"/>
    </row>
    <row r="67" spans="1:156" ht="65.25" hidden="1" thickTop="1" thickBot="1">
      <c r="A67" s="113" t="s">
        <v>2449</v>
      </c>
      <c r="B67" s="4"/>
      <c r="C67" s="4"/>
      <c r="D67" s="4"/>
      <c r="E67" s="4"/>
      <c r="F67" s="4"/>
      <c r="G67" s="4"/>
      <c r="H67" s="4"/>
      <c r="I67" s="4"/>
      <c r="J67" s="4"/>
      <c r="K67" s="4"/>
      <c r="L67" s="269"/>
      <c r="M67" s="1291"/>
      <c r="AF67" s="2578" t="s">
        <v>5119</v>
      </c>
      <c r="AG67" s="2576">
        <f>KÉRDÉSEK!C439</f>
        <v>1</v>
      </c>
      <c r="AV67" s="272"/>
      <c r="AW67" s="272"/>
      <c r="AX67" s="272"/>
      <c r="CJ67" s="197">
        <v>1008</v>
      </c>
      <c r="CK67" s="2171" t="s">
        <v>74</v>
      </c>
      <c r="CL67" s="2821">
        <v>1071529</v>
      </c>
      <c r="CM67" s="2821">
        <v>1071529</v>
      </c>
      <c r="CN67" s="2821">
        <v>1071529</v>
      </c>
      <c r="CO67" s="2821">
        <v>1071529</v>
      </c>
      <c r="CP67" s="2821">
        <v>1071529</v>
      </c>
      <c r="CQ67" s="2821">
        <v>1071529</v>
      </c>
      <c r="CR67" s="195"/>
      <c r="CS67" s="1958"/>
      <c r="CT67" s="207"/>
      <c r="CU67" s="197"/>
      <c r="CV67" s="202"/>
      <c r="CW67" s="197"/>
      <c r="CX67" s="959"/>
      <c r="CY67" s="959"/>
      <c r="CZ67" s="959"/>
      <c r="DA67" s="959"/>
      <c r="DB67" s="959"/>
      <c r="DC67" s="891">
        <v>1023</v>
      </c>
      <c r="DD67" s="891" t="s">
        <v>401</v>
      </c>
      <c r="DE67" s="891" t="s">
        <v>412</v>
      </c>
      <c r="DF67" s="891">
        <v>2</v>
      </c>
      <c r="DG67" s="959"/>
      <c r="DH67" s="959"/>
      <c r="DN67" s="952"/>
      <c r="EB67" s="939"/>
      <c r="ED67" s="2540" t="s">
        <v>5177</v>
      </c>
      <c r="EE67" s="2706" t="s">
        <v>5192</v>
      </c>
      <c r="EF67" s="2705">
        <v>2019</v>
      </c>
      <c r="EG67" s="886" t="b">
        <v>1</v>
      </c>
      <c r="EH67" s="964" t="b">
        <v>0</v>
      </c>
      <c r="ER67" s="905">
        <v>2102</v>
      </c>
      <c r="ES67" s="930" t="s">
        <v>1089</v>
      </c>
      <c r="ET67" s="2686">
        <v>9</v>
      </c>
      <c r="EV67" s="985"/>
      <c r="EW67" s="985"/>
      <c r="EX67" s="387"/>
      <c r="EY67" s="939"/>
      <c r="EZ67" s="886"/>
    </row>
    <row r="68" spans="1:156" ht="17.25" hidden="1" thickTop="1" thickBot="1">
      <c r="A68" s="114" t="s">
        <v>2453</v>
      </c>
      <c r="B68" s="4"/>
      <c r="C68" s="4"/>
      <c r="D68" s="4"/>
      <c r="E68" s="4"/>
      <c r="F68" s="4"/>
      <c r="G68" s="4"/>
      <c r="H68" s="4"/>
      <c r="I68" s="4"/>
      <c r="J68" s="4"/>
      <c r="K68" s="4"/>
      <c r="L68" s="268"/>
      <c r="M68" s="1290"/>
      <c r="Y68">
        <f>IF(($L13+$N13+$Y13+$Z13+$AA13+$AB13)&gt;$B13,1,0)</f>
        <v>0</v>
      </c>
      <c r="AD68" s="390" t="s">
        <v>2386</v>
      </c>
      <c r="AF68" s="2576" t="s">
        <v>5120</v>
      </c>
      <c r="AG68" s="2576"/>
      <c r="AV68" s="272" t="s">
        <v>3875</v>
      </c>
      <c r="AW68" s="272"/>
      <c r="AX68" s="272"/>
      <c r="AY68" s="272"/>
      <c r="CJ68" s="197">
        <v>1009</v>
      </c>
      <c r="CK68" s="204" t="s">
        <v>524</v>
      </c>
      <c r="CL68" s="2822">
        <v>244735</v>
      </c>
      <c r="CM68" s="2822">
        <v>244735</v>
      </c>
      <c r="CN68" s="2822">
        <v>244735</v>
      </c>
      <c r="CO68" s="2822">
        <v>244735</v>
      </c>
      <c r="CP68" s="2822">
        <v>244735</v>
      </c>
      <c r="CQ68" s="2822">
        <v>244735</v>
      </c>
      <c r="CR68" s="195"/>
      <c r="CS68" s="1958"/>
      <c r="CT68" s="207"/>
      <c r="CU68" s="197"/>
      <c r="CV68" s="202"/>
      <c r="CW68" s="197"/>
      <c r="CX68" s="959"/>
      <c r="CY68" s="959"/>
      <c r="CZ68" s="959"/>
      <c r="DA68" s="959"/>
      <c r="DB68" s="959"/>
      <c r="DC68" s="891">
        <v>1024</v>
      </c>
      <c r="DD68" s="891" t="s">
        <v>401</v>
      </c>
      <c r="DE68" s="891" t="s">
        <v>412</v>
      </c>
      <c r="DF68" s="891">
        <v>3</v>
      </c>
      <c r="DG68" s="959"/>
      <c r="DH68" s="959"/>
      <c r="EB68" s="939"/>
      <c r="ED68" s="2693" t="s">
        <v>4517</v>
      </c>
      <c r="EE68" s="2494"/>
      <c r="EF68" s="2340">
        <v>340000</v>
      </c>
      <c r="EG68" s="2494"/>
      <c r="EH68" s="2494"/>
      <c r="EI68" s="2340">
        <v>275000</v>
      </c>
      <c r="EJ68" s="2494"/>
      <c r="EK68" s="2494"/>
      <c r="EL68" s="2494"/>
      <c r="EM68" s="2494"/>
      <c r="EN68" s="2664"/>
      <c r="ER68" s="905">
        <v>2111</v>
      </c>
      <c r="ES68" s="906" t="s">
        <v>4003</v>
      </c>
      <c r="ET68" s="2686">
        <v>2</v>
      </c>
      <c r="EV68" s="985"/>
      <c r="EW68" s="985"/>
      <c r="EX68" s="387"/>
      <c r="EY68" s="939"/>
      <c r="EZ68" s="886"/>
    </row>
    <row r="69" spans="1:156" hidden="1">
      <c r="A69" s="114" t="s">
        <v>2454</v>
      </c>
      <c r="B69" s="4"/>
      <c r="C69" s="4"/>
      <c r="D69" s="4"/>
      <c r="E69" s="4"/>
      <c r="F69" s="4"/>
      <c r="G69" s="4"/>
      <c r="H69" s="4"/>
      <c r="I69" s="4"/>
      <c r="J69" s="4"/>
      <c r="K69" s="4"/>
      <c r="L69" s="268"/>
      <c r="M69" s="1290"/>
      <c r="Y69">
        <f>IF(($L16+$N16+$Y16+$Z16+$AA16+$AB16)&gt;$B16,1,0)</f>
        <v>0</v>
      </c>
      <c r="AD69" s="461" t="s">
        <v>2387</v>
      </c>
      <c r="AV69" s="272">
        <f>IF(OR(AV63,AV64,AV65,AX66),1,2)</f>
        <v>1</v>
      </c>
      <c r="AW69" s="272"/>
      <c r="AX69" s="272"/>
      <c r="AY69" s="272"/>
      <c r="CJ69" s="197">
        <v>1010</v>
      </c>
      <c r="CK69" s="200" t="s">
        <v>525</v>
      </c>
      <c r="CL69" s="2823">
        <v>470218</v>
      </c>
      <c r="CM69" s="2823">
        <v>470218</v>
      </c>
      <c r="CN69" s="2823">
        <v>470218</v>
      </c>
      <c r="CO69" s="2823">
        <v>470218</v>
      </c>
      <c r="CP69" s="2823">
        <v>470218</v>
      </c>
      <c r="CQ69" s="2823">
        <v>470218</v>
      </c>
      <c r="CR69" s="195"/>
      <c r="CS69" s="1958"/>
      <c r="CT69" s="207"/>
      <c r="CU69" s="197"/>
      <c r="CV69" s="202"/>
      <c r="CW69" s="197"/>
      <c r="CX69" s="959"/>
      <c r="CY69" s="959"/>
      <c r="CZ69" s="959"/>
      <c r="DA69" s="959"/>
      <c r="DB69" s="959"/>
      <c r="DC69" s="891">
        <v>1025</v>
      </c>
      <c r="DD69" s="891" t="s">
        <v>401</v>
      </c>
      <c r="DE69" s="891" t="s">
        <v>417</v>
      </c>
      <c r="DF69" s="891">
        <v>1</v>
      </c>
      <c r="DG69" s="959"/>
      <c r="DH69" s="959"/>
      <c r="EB69" s="939"/>
      <c r="ED69" s="2694" t="s">
        <v>5098</v>
      </c>
      <c r="EE69" s="2695"/>
      <c r="EF69" s="2696">
        <f>IF(EE71=TRUE,EF72,EF73)</f>
        <v>209984</v>
      </c>
      <c r="EG69" s="2696"/>
      <c r="EH69" s="2696"/>
      <c r="EI69" s="2696">
        <v>159994</v>
      </c>
      <c r="EJ69" s="2696"/>
      <c r="EK69" s="2696"/>
      <c r="EL69" s="2696"/>
      <c r="EM69" s="2696"/>
      <c r="EN69" s="2697"/>
      <c r="ER69" s="905">
        <v>2112</v>
      </c>
      <c r="ES69" s="906" t="s">
        <v>4004</v>
      </c>
      <c r="ET69" s="2686">
        <v>2</v>
      </c>
      <c r="EU69" s="895">
        <v>1</v>
      </c>
      <c r="EV69" s="985"/>
      <c r="EW69" s="985"/>
      <c r="EX69" s="387"/>
      <c r="EY69" s="939"/>
      <c r="EZ69" s="886"/>
    </row>
    <row r="70" spans="1:156" hidden="1">
      <c r="A70" s="114" t="s">
        <v>2455</v>
      </c>
      <c r="B70" s="4"/>
      <c r="C70" s="4"/>
      <c r="D70" s="4"/>
      <c r="E70" s="4"/>
      <c r="F70" s="4"/>
      <c r="G70" s="4"/>
      <c r="H70" s="4"/>
      <c r="I70" s="4"/>
      <c r="J70" s="4"/>
      <c r="K70" s="4"/>
      <c r="L70" s="269"/>
      <c r="M70" s="1291"/>
      <c r="AD70" s="462" t="b">
        <f>OR(AND($B$51&gt;=2000,$B$51&lt;=2199),AND($B$51&gt;=2900,$B$51&lt;=3299),AND($B$51&gt;=5000,$B$51&lt;=5299),AND($B$51&gt;=5500,$B$51&lt;=5699),AND($B$51&gt;=5800,$B$51&lt;=6499),AND($B$51&gt;=6600,$B$51&lt;=6699),AND($B$51&gt;=6800,$B$51&lt;=7099),AND($B$51&gt;=7700,$B$51&lt;=7899),AND($B$51&gt;=8000,$B$51&lt;=8099),AND($B$51&gt;=9000,$B$51&lt;=9099))</f>
        <v>0</v>
      </c>
      <c r="CJ70" s="197">
        <v>1011</v>
      </c>
      <c r="CK70" s="200" t="s">
        <v>382</v>
      </c>
      <c r="CL70" s="2823">
        <v>687920</v>
      </c>
      <c r="CM70" s="2823">
        <v>687920</v>
      </c>
      <c r="CN70" s="2823">
        <v>687920</v>
      </c>
      <c r="CO70" s="2823">
        <v>687920</v>
      </c>
      <c r="CP70" s="2823">
        <v>687920</v>
      </c>
      <c r="CQ70" s="2823">
        <v>687920</v>
      </c>
      <c r="CR70" s="195"/>
      <c r="CS70" s="1958"/>
      <c r="CT70" s="207"/>
      <c r="CU70" s="197"/>
      <c r="CV70" s="202"/>
      <c r="CW70" s="197"/>
      <c r="CX70" s="959"/>
      <c r="CY70" s="959"/>
      <c r="CZ70" s="959"/>
      <c r="DA70" s="959"/>
      <c r="DB70" s="959"/>
      <c r="DC70" s="891">
        <v>1026</v>
      </c>
      <c r="DD70" s="891" t="s">
        <v>401</v>
      </c>
      <c r="DF70" s="891">
        <v>1</v>
      </c>
      <c r="DG70" s="959"/>
      <c r="DH70" s="959"/>
      <c r="DN70" s="641"/>
      <c r="DO70" s="232"/>
      <c r="DP70" s="232"/>
      <c r="DQ70" s="232"/>
      <c r="EB70" s="939"/>
      <c r="EC70" s="889"/>
      <c r="ED70" s="2698" t="s">
        <v>3065</v>
      </c>
      <c r="EE70" s="2695"/>
      <c r="EF70" s="2957">
        <f>IF($EE$71=$EG$67,IF($EG$71=$EG$67,$EF$72,$EF$68),IF($EG$71=$EG$67,$EF$73,$EF$68))</f>
        <v>340000</v>
      </c>
      <c r="EG70" s="2695"/>
      <c r="EH70" s="2695"/>
      <c r="EI70" s="2955">
        <f>IF(EG71=EG67,EF73,EI68)</f>
        <v>275000</v>
      </c>
      <c r="EJ70" s="2695"/>
      <c r="EK70" s="2695"/>
      <c r="EL70" s="2695"/>
      <c r="EM70" s="2695"/>
      <c r="EN70" s="2699"/>
      <c r="EO70" s="889"/>
      <c r="EP70" s="889"/>
      <c r="ER70" s="905">
        <v>2113</v>
      </c>
      <c r="ES70" s="906" t="s">
        <v>4005</v>
      </c>
      <c r="ET70" s="2686">
        <v>6</v>
      </c>
      <c r="EV70" s="985"/>
      <c r="EW70" s="985"/>
      <c r="EX70" s="387"/>
      <c r="EY70" s="939"/>
      <c r="EZ70" s="886"/>
    </row>
    <row r="71" spans="1:156" ht="16.5" hidden="1" thickBot="1">
      <c r="A71" s="114" t="s">
        <v>2457</v>
      </c>
      <c r="B71" s="4"/>
      <c r="C71" s="4"/>
      <c r="D71" s="4"/>
      <c r="E71" s="4"/>
      <c r="F71" s="4"/>
      <c r="G71" s="4"/>
      <c r="H71" s="4"/>
      <c r="I71" s="4"/>
      <c r="J71" s="4"/>
      <c r="K71" s="4"/>
      <c r="L71" s="269"/>
      <c r="M71" s="1291"/>
      <c r="AD71" s="1336" t="b">
        <f>OR(AND($B$51&gt;=9200,$B$51&lt;=9299),AND($B$51&gt;=9500,$B$51&lt;=9699),AND($B$51&gt;=9900,$B$51&lt;=9999),AND($B$51&gt;=0,$B$51&lt;=99),AND($B$51&gt;=200,$B$51&lt;=299),AND($B$51&gt;=7500,$B$51&lt;=7599),AND($B$51&gt;=4500,$B$51&lt;=4599),AND($B$51&gt;=8200,$B$51&lt;=8299))</f>
        <v>0</v>
      </c>
      <c r="CJ71" s="197">
        <v>1012</v>
      </c>
      <c r="CK71" s="203" t="s">
        <v>383</v>
      </c>
      <c r="CL71" s="2824">
        <v>805399</v>
      </c>
      <c r="CM71" s="2824">
        <v>805399</v>
      </c>
      <c r="CN71" s="2824">
        <v>805399</v>
      </c>
      <c r="CO71" s="2824">
        <v>805399</v>
      </c>
      <c r="CP71" s="2824">
        <v>805399</v>
      </c>
      <c r="CQ71" s="2824">
        <v>805399</v>
      </c>
      <c r="CR71" s="195"/>
      <c r="CS71" s="1958"/>
      <c r="CT71" s="207"/>
      <c r="CU71" s="197"/>
      <c r="CV71" s="202"/>
      <c r="CW71" s="197"/>
      <c r="CX71" s="959"/>
      <c r="CY71" s="959"/>
      <c r="CZ71" s="959"/>
      <c r="DA71" s="959"/>
      <c r="DB71" s="959"/>
      <c r="DC71" s="891">
        <v>1027</v>
      </c>
      <c r="DD71" s="891" t="s">
        <v>401</v>
      </c>
      <c r="DE71" s="891" t="s">
        <v>412</v>
      </c>
      <c r="DF71" s="891">
        <v>1</v>
      </c>
      <c r="DG71" s="959"/>
      <c r="DH71" s="959"/>
      <c r="DN71" s="228"/>
      <c r="DO71" s="232"/>
      <c r="DP71" s="937"/>
      <c r="EB71" s="939"/>
      <c r="ED71" s="2698" t="s">
        <v>5270</v>
      </c>
      <c r="EE71" s="2695" t="b">
        <f>IF(AND(EW15&gt;=8,EW15&lt;=11),TRUE,FALSE)</f>
        <v>1</v>
      </c>
      <c r="EF71" s="2696" t="s">
        <v>5271</v>
      </c>
      <c r="EG71" s="2696" t="b">
        <f>KÉRDÉSEK!C266</f>
        <v>0</v>
      </c>
      <c r="EH71" s="2700"/>
      <c r="EI71" s="2700"/>
      <c r="EJ71" s="2700"/>
      <c r="EK71" s="2700"/>
      <c r="EL71" s="2700"/>
      <c r="EM71" s="2696"/>
      <c r="EN71" s="2697"/>
      <c r="ER71" s="905">
        <v>2114</v>
      </c>
      <c r="ES71" s="906" t="s">
        <v>4006</v>
      </c>
      <c r="ET71" s="2686">
        <v>6</v>
      </c>
      <c r="EV71" s="985"/>
      <c r="EW71" s="985"/>
      <c r="EX71" s="387"/>
      <c r="EY71" s="939"/>
      <c r="EZ71" s="886"/>
    </row>
    <row r="72" spans="1:156" ht="16.5" hidden="1" thickBot="1">
      <c r="AD72" s="462" t="s">
        <v>3538</v>
      </c>
      <c r="AZ72" s="854" t="s">
        <v>4332</v>
      </c>
      <c r="BA72" s="270"/>
      <c r="CJ72" s="197">
        <v>1013</v>
      </c>
      <c r="CK72" s="204" t="s">
        <v>385</v>
      </c>
      <c r="CL72" s="2825">
        <v>18019</v>
      </c>
      <c r="CM72" s="2825">
        <v>18019</v>
      </c>
      <c r="CN72" s="2825">
        <v>18019</v>
      </c>
      <c r="CO72" s="2825">
        <v>18019</v>
      </c>
      <c r="CP72" s="2825">
        <v>18019</v>
      </c>
      <c r="CQ72" s="2825">
        <v>18019</v>
      </c>
      <c r="CR72" s="195"/>
      <c r="CS72" s="1958"/>
      <c r="CT72" s="207"/>
      <c r="CU72" s="197"/>
      <c r="CV72" s="202"/>
      <c r="CW72" s="197"/>
      <c r="CX72" s="959"/>
      <c r="CY72" s="959"/>
      <c r="CZ72" s="959"/>
      <c r="DA72" s="959"/>
      <c r="DB72" s="959"/>
      <c r="DC72" s="891">
        <v>1028</v>
      </c>
      <c r="DD72" s="891" t="s">
        <v>401</v>
      </c>
      <c r="DE72" s="891" t="s">
        <v>418</v>
      </c>
      <c r="DF72" s="891">
        <v>1</v>
      </c>
      <c r="DG72" s="959"/>
      <c r="DH72" s="959"/>
      <c r="DN72" s="228"/>
      <c r="DO72" s="232"/>
      <c r="DP72" s="937"/>
      <c r="EB72" s="939"/>
      <c r="ED72" s="2707" t="s">
        <v>5269</v>
      </c>
      <c r="EE72" s="2701"/>
      <c r="EF72" s="2956">
        <v>209984</v>
      </c>
      <c r="EG72" s="2702"/>
      <c r="EH72" s="2703"/>
      <c r="EI72" s="2703"/>
      <c r="EJ72" s="2703"/>
      <c r="EK72" s="2703"/>
      <c r="EL72" s="2703"/>
      <c r="EM72" s="2702"/>
      <c r="EN72" s="2704"/>
      <c r="ER72" s="905">
        <v>2115</v>
      </c>
      <c r="ES72" s="906" t="s">
        <v>4007</v>
      </c>
      <c r="ET72" s="2686">
        <v>6</v>
      </c>
      <c r="EV72" s="985"/>
      <c r="EW72" s="985"/>
      <c r="EX72" s="387"/>
      <c r="EY72" s="939"/>
      <c r="EZ72" s="886"/>
    </row>
    <row r="73" spans="1:156" ht="17.25" hidden="1" thickTop="1" thickBot="1">
      <c r="AD73" s="463" t="b">
        <f>IF(OR(AD76,AD79,AD83),FALSE,TRUE)</f>
        <v>0</v>
      </c>
      <c r="AJ73" s="272" t="s">
        <v>4289</v>
      </c>
      <c r="AM73" s="1024" t="s">
        <v>3661</v>
      </c>
      <c r="AN73" s="1022"/>
      <c r="AO73" s="1022">
        <f>IF(AM88=0,0,1)</f>
        <v>1</v>
      </c>
      <c r="AP73" s="1022" t="s">
        <v>3144</v>
      </c>
      <c r="AQ73" s="1022"/>
      <c r="AR73" s="1022"/>
      <c r="AS73" s="1023"/>
      <c r="AZ73" s="854">
        <v>0.6</v>
      </c>
      <c r="BA73" s="855" t="b">
        <f>OR(AND($B$51&gt;=100,$B$51&lt;=399),AND($B$51&gt;=9400,$B$51&lt;=9499))</f>
        <v>0</v>
      </c>
      <c r="CJ73" s="197">
        <v>1014</v>
      </c>
      <c r="CK73" s="200" t="s">
        <v>386</v>
      </c>
      <c r="CL73" s="2826">
        <v>25626</v>
      </c>
      <c r="CM73" s="2826">
        <v>25626</v>
      </c>
      <c r="CN73" s="2826">
        <v>25626</v>
      </c>
      <c r="CO73" s="2826">
        <v>25626</v>
      </c>
      <c r="CP73" s="2826">
        <v>25626</v>
      </c>
      <c r="CQ73" s="2826">
        <v>25626</v>
      </c>
      <c r="CR73" s="195"/>
      <c r="CS73" s="1958"/>
      <c r="CT73" s="207"/>
      <c r="CU73" s="197"/>
      <c r="CV73" s="202"/>
      <c r="CW73" s="197"/>
      <c r="CX73" s="959"/>
      <c r="CY73" s="959"/>
      <c r="CZ73" s="959"/>
      <c r="DA73" s="959"/>
      <c r="DB73" s="959"/>
      <c r="DC73" s="891">
        <v>1029</v>
      </c>
      <c r="DD73" s="891" t="s">
        <v>401</v>
      </c>
      <c r="DE73" s="891" t="s">
        <v>419</v>
      </c>
      <c r="DF73" s="891">
        <v>1</v>
      </c>
      <c r="DG73" s="959"/>
      <c r="DH73" s="959"/>
      <c r="DP73" s="937"/>
      <c r="EB73" s="939"/>
      <c r="ED73" s="2540" t="s">
        <v>5193</v>
      </c>
      <c r="EF73" s="886">
        <v>189970</v>
      </c>
      <c r="ER73" s="905">
        <v>2116</v>
      </c>
      <c r="ES73" s="906" t="s">
        <v>4008</v>
      </c>
      <c r="ET73" s="2686">
        <v>6</v>
      </c>
      <c r="EV73" s="985"/>
      <c r="EW73" s="985"/>
      <c r="EX73" s="387"/>
      <c r="EY73" s="939"/>
      <c r="EZ73" s="886"/>
    </row>
    <row r="74" spans="1:156" ht="17.25" hidden="1" thickTop="1" thickBot="1">
      <c r="A74" s="346" t="s">
        <v>3122</v>
      </c>
      <c r="B74" s="270">
        <f>IF(AND(B51&gt;=0,B51&lt;10000),1,0)</f>
        <v>1</v>
      </c>
      <c r="C74" s="270"/>
      <c r="D74" s="270"/>
      <c r="E74" s="270"/>
      <c r="F74" s="270"/>
      <c r="G74" s="270"/>
      <c r="H74" s="270"/>
      <c r="I74" s="270"/>
      <c r="J74" s="270"/>
      <c r="K74" s="270"/>
      <c r="AD74" s="390"/>
      <c r="AJ74" s="272" t="s">
        <v>4290</v>
      </c>
      <c r="AM74" s="1026" t="s">
        <v>3662</v>
      </c>
      <c r="AN74" s="1025"/>
      <c r="AZ74" s="854">
        <v>0.8</v>
      </c>
      <c r="BA74" s="855" t="b">
        <f>OR(AND($B$51&gt;=1000,$B$51&lt;=1099),AND($B$51&gt;=1300,$B$51&lt;=1899),AND($B$51&gt;=2200,$B$51&lt;=2399),AND($B$51&gt;=3100,$B$51&lt;=3299),AND($B$51&gt;=3500,$B$51&lt;=3999),AND($B$51&gt;=4100,$B$51&lt;=4299),AND($B$51&gt;=4600,$B$51&lt;=4699),AND($B$51&gt;=5200,$B$51&lt;=5299),AND($B$51&gt;=5800,$B$51&lt;=5899),AND($B$51&gt;=7500,$B$51&lt;=7599), AND($B$51&gt;=8400,$B$51&lt;=8599),AND($B$51&gt;=9100,$B$51&lt;=9199))</f>
        <v>0</v>
      </c>
      <c r="CJ74" s="197">
        <v>1015</v>
      </c>
      <c r="CK74" s="200" t="s">
        <v>387</v>
      </c>
      <c r="CL74" s="2826">
        <v>84682</v>
      </c>
      <c r="CM74" s="2826">
        <v>84682</v>
      </c>
      <c r="CN74" s="2826">
        <v>84682</v>
      </c>
      <c r="CO74" s="2826">
        <v>84682</v>
      </c>
      <c r="CP74" s="2826">
        <v>84682</v>
      </c>
      <c r="CQ74" s="2826">
        <v>84682</v>
      </c>
      <c r="CR74" s="195"/>
      <c r="CS74" s="1958"/>
      <c r="CT74" s="207"/>
      <c r="CU74" s="197"/>
      <c r="CV74" s="202"/>
      <c r="CW74" s="197"/>
      <c r="CX74" s="959"/>
      <c r="CY74" s="959"/>
      <c r="CZ74" s="959"/>
      <c r="DA74" s="959"/>
      <c r="DB74" s="959"/>
      <c r="DC74" s="891">
        <v>1031</v>
      </c>
      <c r="DD74" s="891" t="s">
        <v>401</v>
      </c>
      <c r="DE74" s="891" t="s">
        <v>420</v>
      </c>
      <c r="DF74" s="891">
        <v>1</v>
      </c>
      <c r="DG74" s="959"/>
      <c r="DH74" s="959"/>
      <c r="DP74" s="937"/>
      <c r="EB74" s="939"/>
      <c r="ER74" s="905">
        <v>2117</v>
      </c>
      <c r="ES74" s="906" t="s">
        <v>4009</v>
      </c>
      <c r="ET74" s="2686">
        <v>2</v>
      </c>
      <c r="EV74" s="985"/>
      <c r="EW74" s="985"/>
      <c r="EX74" s="387"/>
      <c r="EY74" s="939"/>
      <c r="EZ74" s="886"/>
    </row>
    <row r="75" spans="1:156" ht="17.25" hidden="1" thickTop="1" thickBot="1">
      <c r="AD75" s="464">
        <v>0.6</v>
      </c>
      <c r="AE75" s="1357"/>
      <c r="AF75" s="1358"/>
      <c r="AG75" s="1358"/>
      <c r="AH75" s="1359"/>
      <c r="AI75" s="296"/>
      <c r="AJ75" s="272"/>
      <c r="AM75" s="1978"/>
      <c r="AN75" s="1979"/>
      <c r="AO75" s="71"/>
      <c r="AP75" s="71"/>
      <c r="AQ75" s="71"/>
      <c r="AR75" s="71"/>
      <c r="AS75" s="71"/>
      <c r="AT75" s="71"/>
      <c r="AZ75" s="854">
        <v>1</v>
      </c>
      <c r="BA75" s="855" t="b">
        <f>OR(AND($B$51&gt;=2600,$B$51&lt;=2699),AND($B$51&gt;=2800,$B$51&lt;=3099),AND($B$51&gt;=3300,$B$51&lt;=3399),AND($B$51&gt;=5500,$B$51&lt;=5699),AND($B$51&gt;=5900,$B$51&lt;=5999),AND($B$51&gt;=6900,$B$51&lt;=7299),AND($B$51&gt;=7400,$B$51&lt;=7499),AND($B$51&gt;=7800,$B$51&lt;=7899),AND($B$51&gt;=8200,$B$51&lt;=8299),AND($B$51&gt;=8700,$B$51&lt;=8899),AND($B$51&gt;=9200,$B$51&lt;=9399),AND($B$51&gt;=9500,$B$51&lt;=9699))</f>
        <v>1</v>
      </c>
      <c r="CJ75" s="197">
        <v>1016</v>
      </c>
      <c r="CK75" s="205" t="s">
        <v>388</v>
      </c>
      <c r="CL75" s="2827">
        <v>143742</v>
      </c>
      <c r="CM75" s="2827">
        <v>143742</v>
      </c>
      <c r="CN75" s="2827">
        <v>143742</v>
      </c>
      <c r="CO75" s="2827">
        <v>143742</v>
      </c>
      <c r="CP75" s="2827">
        <v>143742</v>
      </c>
      <c r="CQ75" s="2827">
        <v>143742</v>
      </c>
      <c r="CR75" s="195"/>
      <c r="CS75" s="1958"/>
      <c r="CT75" s="207"/>
      <c r="CU75" s="197"/>
      <c r="CV75" s="202"/>
      <c r="CW75" s="197"/>
      <c r="CX75" s="959"/>
      <c r="CY75" s="959"/>
      <c r="CZ75" s="959"/>
      <c r="DA75" s="959"/>
      <c r="DB75" s="959"/>
      <c r="DC75" s="891">
        <v>1032</v>
      </c>
      <c r="DD75" s="891" t="s">
        <v>401</v>
      </c>
      <c r="DE75" s="891" t="s">
        <v>418</v>
      </c>
      <c r="DF75" s="891">
        <v>1</v>
      </c>
      <c r="DG75" s="959"/>
      <c r="DH75" s="959"/>
      <c r="DP75" s="937"/>
      <c r="EB75" s="939"/>
      <c r="ER75" s="905">
        <v>2118</v>
      </c>
      <c r="ES75" s="906" t="s">
        <v>4010</v>
      </c>
      <c r="ET75" s="2686">
        <v>6</v>
      </c>
      <c r="EV75" s="985"/>
      <c r="EW75" s="985"/>
      <c r="EX75" s="387"/>
      <c r="EY75" s="939"/>
      <c r="EZ75" s="886"/>
    </row>
    <row r="76" spans="1:156" ht="16.5" hidden="1" thickBot="1">
      <c r="A76" s="272" t="s">
        <v>4748</v>
      </c>
      <c r="B76" s="272">
        <f>IF(AND(B52&gt;999,B52&lt;=9999),1,0)</f>
        <v>1</v>
      </c>
      <c r="C76" s="272"/>
      <c r="D76" s="272"/>
      <c r="E76" s="272"/>
      <c r="F76" s="272"/>
      <c r="G76" s="272"/>
      <c r="H76" s="272"/>
      <c r="I76" s="272"/>
      <c r="J76" s="272"/>
      <c r="K76" s="272"/>
      <c r="AD76" s="1337" t="b">
        <f>OR(AND($B$51&gt;=1100,$B$51&lt;=1899),AND($B$51&gt;=2200,$B$51&lt;=2899),AND($B$51&gt;=3300,$B$51&lt;=3399),AND($B$51&gt;=4100,$B$51&lt;=4399),AND($B$51&gt;=4600,$B$51&lt;=4799),AND($B$51&gt;=7100,$B$51&lt;=7499),AND($B$51&gt;=7900,$B$51&lt;=7999),AND($B$51&gt;=8100,$B$51&lt;=8199),AND($B$51&gt;=9300,$B$51&lt;=9499),AND($B$51&gt;=9700,$B$51&lt;=9899), AND($B$51&gt;=3500,$B$51&lt;=3599))</f>
        <v>1</v>
      </c>
      <c r="AE76" s="1360"/>
      <c r="AF76" s="876"/>
      <c r="AG76" s="1360"/>
      <c r="AH76" s="1360"/>
      <c r="AI76" s="296"/>
      <c r="AJ76" s="272" t="b">
        <f>OR(AND(AJ51&gt;=4500,AJ51&lt;=4599),AND(AJ51&gt;=4700,AJ51&lt;=4799),AND(AJ51&gt;=5500,AJ51&lt;=5599),AND(AJ51&gt;=5600,AJ51&lt;=5699),AND(AJ51&gt;=5800,AJ51&lt;=6099),AND(AJ51&gt;=6200,AJ51&lt;=6399),AND(AJ51&gt;=6900,AJ51&lt;=7599),AND(AJ51&gt;=7800,AJ51&lt;=7899),AND(AJ51&gt;=8200,AJ51&lt;=8299),AND(AJ51&gt;=8600,AJ51&lt;=8799),AND(AJ51&gt;=9000,AJ51&lt;=9199))</f>
        <v>1</v>
      </c>
      <c r="AM76" s="1980"/>
      <c r="AN76" s="1980"/>
      <c r="AO76" s="71"/>
      <c r="AP76" s="1981"/>
      <c r="AQ76" s="1981"/>
      <c r="AR76" s="71"/>
      <c r="AS76" s="71"/>
      <c r="AT76" s="71"/>
      <c r="AU76" s="1020"/>
      <c r="AV76" s="76"/>
      <c r="AW76" s="76"/>
      <c r="AZ76" s="854">
        <v>1.5</v>
      </c>
      <c r="BA76" s="855" t="b">
        <f>OR(AND($B$51&gt;=4500,$B$51&lt;=4599))</f>
        <v>0</v>
      </c>
      <c r="CJ76" s="197">
        <v>1017</v>
      </c>
      <c r="CK76" s="206" t="s">
        <v>389</v>
      </c>
      <c r="CL76" s="2828">
        <v>1639963</v>
      </c>
      <c r="CM76" s="2828">
        <v>1639963</v>
      </c>
      <c r="CN76" s="2828">
        <v>1639963</v>
      </c>
      <c r="CO76" s="2828">
        <v>1639963</v>
      </c>
      <c r="CP76" s="2828">
        <v>1639963</v>
      </c>
      <c r="CQ76" s="2828">
        <v>1639963</v>
      </c>
      <c r="CR76" s="195"/>
      <c r="CS76" s="1958"/>
      <c r="CT76" s="207"/>
      <c r="CU76" s="197"/>
      <c r="CV76" s="202"/>
      <c r="CW76" s="197"/>
      <c r="CX76" s="959"/>
      <c r="CY76" s="959"/>
      <c r="CZ76" s="959"/>
      <c r="DA76" s="959"/>
      <c r="DB76" s="959"/>
      <c r="DC76" s="891">
        <v>1033</v>
      </c>
      <c r="DD76" s="891" t="s">
        <v>401</v>
      </c>
      <c r="DE76" s="891" t="s">
        <v>421</v>
      </c>
      <c r="DF76" s="891">
        <v>2</v>
      </c>
      <c r="DG76" s="959"/>
      <c r="DH76" s="959"/>
      <c r="DP76" s="937"/>
      <c r="EB76" s="939"/>
      <c r="ER76" s="905">
        <v>2119</v>
      </c>
      <c r="ES76" s="906" t="s">
        <v>4011</v>
      </c>
      <c r="ET76" s="2686">
        <v>6</v>
      </c>
      <c r="EU76" s="895">
        <v>1</v>
      </c>
      <c r="EV76" s="985"/>
      <c r="EW76" s="985"/>
      <c r="EX76" s="387"/>
      <c r="EY76" s="939"/>
      <c r="EZ76" s="886"/>
    </row>
    <row r="77" spans="1:156" hidden="1">
      <c r="AD77" s="390"/>
      <c r="AE77" s="1360"/>
      <c r="AF77" s="876"/>
      <c r="AG77" s="234"/>
      <c r="AH77" s="1361"/>
      <c r="AI77" s="296"/>
      <c r="AM77" s="1982"/>
      <c r="AN77" s="1983"/>
      <c r="AO77" s="71"/>
      <c r="AP77" s="71"/>
      <c r="AQ77" s="71"/>
      <c r="AR77" s="71"/>
      <c r="AS77" s="71"/>
      <c r="AT77" s="71"/>
      <c r="AU77" s="1020"/>
      <c r="AV77" s="76"/>
      <c r="AW77" s="76"/>
      <c r="AZ77" s="854">
        <v>2.5</v>
      </c>
      <c r="BA77" s="855" t="b">
        <f>OR(AND($B$51&gt;=4900,$B$51&lt;=4999))</f>
        <v>0</v>
      </c>
      <c r="CJ77" s="197">
        <v>1018</v>
      </c>
      <c r="CK77" s="200" t="s">
        <v>422</v>
      </c>
      <c r="CL77" s="2823">
        <v>75241</v>
      </c>
      <c r="CM77" s="2823">
        <v>75241</v>
      </c>
      <c r="CN77" s="2823">
        <v>75241</v>
      </c>
      <c r="CO77" s="2823">
        <v>75241</v>
      </c>
      <c r="CP77" s="2823">
        <v>75241</v>
      </c>
      <c r="CQ77" s="2823">
        <v>75241</v>
      </c>
      <c r="CR77" s="195"/>
      <c r="CS77" s="1958"/>
      <c r="CT77" s="207"/>
      <c r="CU77" s="197"/>
      <c r="CV77" s="207"/>
      <c r="CW77" s="197"/>
      <c r="CX77" s="959"/>
      <c r="CY77" s="959"/>
      <c r="CZ77" s="959"/>
      <c r="DA77" s="959"/>
      <c r="DB77" s="959"/>
      <c r="DC77" s="891">
        <v>1034</v>
      </c>
      <c r="DD77" s="891" t="s">
        <v>401</v>
      </c>
      <c r="DE77" s="891" t="s">
        <v>417</v>
      </c>
      <c r="DF77" s="891">
        <v>1</v>
      </c>
      <c r="DG77" s="959"/>
      <c r="DH77" s="959"/>
      <c r="EB77" s="939"/>
      <c r="ER77" s="905">
        <v>2120</v>
      </c>
      <c r="ES77" s="906" t="s">
        <v>4012</v>
      </c>
      <c r="ET77" s="2686">
        <v>2</v>
      </c>
      <c r="EU77" s="895">
        <v>1</v>
      </c>
      <c r="EV77" s="985"/>
      <c r="EW77" s="985"/>
      <c r="EX77" s="387"/>
      <c r="EY77" s="939"/>
      <c r="EZ77" s="886"/>
    </row>
    <row r="78" spans="1:156" ht="16.5" hidden="1" thickBot="1">
      <c r="AD78" s="390">
        <v>0.5</v>
      </c>
      <c r="AE78" s="1360"/>
      <c r="AF78" s="876"/>
      <c r="AG78" s="234"/>
      <c r="AH78" s="1361"/>
      <c r="AI78" s="296"/>
      <c r="AM78" s="1982"/>
      <c r="AN78" s="1983"/>
      <c r="AO78" s="71"/>
      <c r="AP78" s="71"/>
      <c r="AQ78" s="71"/>
      <c r="AR78" s="71"/>
      <c r="AS78" s="71"/>
      <c r="AT78" s="71"/>
      <c r="AU78" s="1020"/>
      <c r="AV78" s="76"/>
      <c r="AW78" s="76"/>
      <c r="AZ78" s="854">
        <v>1.2</v>
      </c>
      <c r="BA78" s="270" t="b">
        <f>IF(OR(BA73,BA74,BA75,BA76,BA77,BA79),FALSE,TRUE)</f>
        <v>0</v>
      </c>
      <c r="CJ78" s="197">
        <v>1019</v>
      </c>
      <c r="CK78" s="2172" t="s">
        <v>4874</v>
      </c>
      <c r="CL78" s="2829">
        <v>0</v>
      </c>
      <c r="CM78" s="2829">
        <v>0</v>
      </c>
      <c r="CN78" s="2829">
        <v>0</v>
      </c>
      <c r="CO78" s="2829">
        <v>0</v>
      </c>
      <c r="CP78" s="2829">
        <v>0</v>
      </c>
      <c r="CQ78" s="2829">
        <v>0</v>
      </c>
      <c r="CR78" s="195"/>
      <c r="CS78" s="1958"/>
      <c r="CT78" s="207"/>
      <c r="CU78" s="197"/>
      <c r="CV78" s="207"/>
      <c r="CW78" s="197"/>
      <c r="CX78" s="959"/>
      <c r="CY78" s="959"/>
      <c r="CZ78" s="959"/>
      <c r="DA78" s="959"/>
      <c r="DB78" s="959"/>
      <c r="DC78" s="891">
        <v>1035</v>
      </c>
      <c r="DD78" s="891" t="s">
        <v>401</v>
      </c>
      <c r="DE78" s="891" t="s">
        <v>420</v>
      </c>
      <c r="DF78" s="891">
        <v>1</v>
      </c>
      <c r="DG78" s="959"/>
      <c r="DH78" s="959"/>
      <c r="DP78" s="937"/>
      <c r="EB78" s="939"/>
      <c r="ER78" s="905">
        <v>2131</v>
      </c>
      <c r="ES78" s="906" t="s">
        <v>1090</v>
      </c>
      <c r="ET78" s="2686">
        <v>6</v>
      </c>
      <c r="EV78" s="985"/>
      <c r="EW78" s="985"/>
      <c r="EX78" s="387"/>
      <c r="EY78" s="939"/>
      <c r="EZ78" s="886"/>
    </row>
    <row r="79" spans="1:156" ht="30.75" hidden="1" customHeight="1">
      <c r="A79" s="867" t="s">
        <v>4335</v>
      </c>
      <c r="B79" s="467">
        <f>B4+B6+B7+B10+B13+B16+B17+B18+B21+B24+B25+B31+B32+B34+B35+B36+B37+B39+B44+B45+B46+B47+B48</f>
        <v>0</v>
      </c>
      <c r="AD79" s="1338" t="b">
        <f>OR(AND($B$51&gt;=100,$B$51&lt;=199),AND($B$51&gt;=500,$B$51&lt;=1099),AND($B$51&gt;=1900,$B$51&lt;=1999),AND($B$51&gt;=3600,$B$51&lt;=3999),AND($B$51&gt;=6500,$B$51&lt;=6599),AND($B$51&gt;=8400,$B$51&lt;=8899),AND($B$51&gt;=9100,$B$51&lt;=9199),AND($B$51&gt;=300,$B$51&lt;=399))</f>
        <v>0</v>
      </c>
      <c r="AE79" s="1360"/>
      <c r="AF79" s="1360"/>
      <c r="AG79" s="1360"/>
      <c r="AH79" s="1362"/>
      <c r="AI79" s="296"/>
      <c r="AM79" s="1983"/>
      <c r="AN79" s="1983"/>
      <c r="AO79" s="71"/>
      <c r="AP79" s="1982"/>
      <c r="AQ79" s="1982"/>
      <c r="AR79" s="1982"/>
      <c r="AS79" s="1982"/>
      <c r="AT79" s="71"/>
      <c r="AU79" s="1020"/>
      <c r="AV79" s="76"/>
      <c r="AW79" s="76"/>
      <c r="AZ79" s="854">
        <v>0.85</v>
      </c>
      <c r="BA79" s="270" t="b">
        <f>IF($B$51=0,TRUE,FALSE)</f>
        <v>0</v>
      </c>
      <c r="CJ79" s="197">
        <v>1020</v>
      </c>
      <c r="CK79" s="2173" t="s">
        <v>392</v>
      </c>
      <c r="CL79" s="2822">
        <v>18040</v>
      </c>
      <c r="CM79" s="2822">
        <v>18040</v>
      </c>
      <c r="CN79" s="2822">
        <v>18040</v>
      </c>
      <c r="CO79" s="2822">
        <v>18040</v>
      </c>
      <c r="CP79" s="2822">
        <v>18040</v>
      </c>
      <c r="CQ79" s="2822">
        <v>18040</v>
      </c>
      <c r="CR79" s="195"/>
      <c r="CS79" s="1958"/>
      <c r="CT79" s="207"/>
      <c r="CU79" s="197"/>
      <c r="CV79" s="207"/>
      <c r="CW79" s="197"/>
      <c r="CX79" s="959"/>
      <c r="CY79" s="959"/>
      <c r="CZ79" s="959"/>
      <c r="DA79" s="959"/>
      <c r="DB79" s="959"/>
      <c r="DC79" s="891">
        <v>1036</v>
      </c>
      <c r="DD79" s="891" t="s">
        <v>401</v>
      </c>
      <c r="DE79" s="891" t="s">
        <v>410</v>
      </c>
      <c r="DF79" s="891">
        <v>1</v>
      </c>
      <c r="DG79" s="959"/>
      <c r="DH79" s="959"/>
      <c r="DM79" s="937"/>
      <c r="DP79" s="937"/>
      <c r="EB79" s="939"/>
      <c r="ER79" s="905">
        <v>2132</v>
      </c>
      <c r="ES79" s="906" t="s">
        <v>1091</v>
      </c>
      <c r="ET79" s="2686">
        <v>6</v>
      </c>
      <c r="EV79" s="985"/>
      <c r="EW79" s="985"/>
      <c r="EX79" s="387"/>
      <c r="EY79" s="939"/>
      <c r="EZ79" s="886"/>
    </row>
    <row r="80" spans="1:156" hidden="1">
      <c r="AE80" s="1360"/>
      <c r="AF80" s="876"/>
      <c r="AG80" s="234"/>
      <c r="AH80" s="1361"/>
      <c r="AI80" s="296"/>
      <c r="AM80" s="1983"/>
      <c r="AN80" s="1983"/>
      <c r="AO80" s="71"/>
      <c r="AP80" s="1982"/>
      <c r="AQ80" s="1982"/>
      <c r="AR80" s="1982"/>
      <c r="AS80" s="71"/>
      <c r="AT80" s="71"/>
      <c r="AU80" s="1020"/>
      <c r="AV80" s="76"/>
      <c r="AW80" s="76"/>
      <c r="AZ80" s="270"/>
      <c r="BA80" s="270"/>
      <c r="CJ80" s="197">
        <v>1021</v>
      </c>
      <c r="CK80" s="2174" t="s">
        <v>393</v>
      </c>
      <c r="CL80" s="2823">
        <v>32312</v>
      </c>
      <c r="CM80" s="2823">
        <v>32312</v>
      </c>
      <c r="CN80" s="2823">
        <v>32312</v>
      </c>
      <c r="CO80" s="2823">
        <v>32312</v>
      </c>
      <c r="CP80" s="2823">
        <v>32312</v>
      </c>
      <c r="CQ80" s="2823">
        <v>32312</v>
      </c>
      <c r="CR80" s="195"/>
      <c r="CS80" s="1958"/>
      <c r="CT80" s="207"/>
      <c r="CU80" s="197"/>
      <c r="CV80" s="207"/>
      <c r="CW80" s="197"/>
      <c r="CX80" s="959"/>
      <c r="CY80" s="959"/>
      <c r="CZ80" s="959"/>
      <c r="DA80" s="959"/>
      <c r="DB80" s="959"/>
      <c r="DC80" s="891">
        <v>1037</v>
      </c>
      <c r="DD80" s="891" t="s">
        <v>401</v>
      </c>
      <c r="DE80" s="891" t="s">
        <v>423</v>
      </c>
      <c r="DF80" s="891">
        <v>1</v>
      </c>
      <c r="DG80" s="959"/>
      <c r="DH80" s="959"/>
      <c r="DM80" s="937"/>
      <c r="EB80" s="939"/>
      <c r="ER80" s="905">
        <v>2133</v>
      </c>
      <c r="ES80" s="906" t="s">
        <v>1092</v>
      </c>
      <c r="ET80" s="2686">
        <v>6</v>
      </c>
      <c r="EV80" s="985"/>
      <c r="EW80" s="985"/>
      <c r="EX80" s="387"/>
      <c r="EY80" s="939"/>
      <c r="EZ80" s="886"/>
    </row>
    <row r="81" spans="30:156" ht="16.5" hidden="1" thickBot="1">
      <c r="AD81" s="390"/>
      <c r="AE81" s="1360"/>
      <c r="AF81" s="876"/>
      <c r="AG81" s="234"/>
      <c r="AH81" s="1361"/>
      <c r="AI81" s="296"/>
      <c r="AM81" s="1983"/>
      <c r="AN81" s="1983"/>
      <c r="AO81" s="1982"/>
      <c r="AP81" s="1982"/>
      <c r="AQ81" s="1982"/>
      <c r="AR81" s="1982"/>
      <c r="AS81" s="1982"/>
      <c r="AT81" s="1982"/>
      <c r="AU81" s="1020"/>
      <c r="AV81" s="76"/>
      <c r="AW81" s="76"/>
      <c r="AZ81" s="270" t="s">
        <v>3069</v>
      </c>
      <c r="BA81" s="270">
        <f>AZ73*BA73+AZ74*BA74+AZ75*BA75+AZ76*BA76+AZ77*BA77+AZ78*BA78+AZ79*BA79</f>
        <v>1</v>
      </c>
      <c r="CJ81" s="197">
        <v>1022</v>
      </c>
      <c r="CK81" s="2175" t="s">
        <v>394</v>
      </c>
      <c r="CL81" s="3246">
        <v>397368</v>
      </c>
      <c r="CM81" s="3246">
        <v>397368</v>
      </c>
      <c r="CN81" s="3246">
        <v>397368</v>
      </c>
      <c r="CO81" s="3246">
        <v>397368</v>
      </c>
      <c r="CP81" s="3246">
        <v>397368</v>
      </c>
      <c r="CQ81" s="3246">
        <v>397368</v>
      </c>
      <c r="CR81" s="195"/>
      <c r="CS81" s="1958"/>
      <c r="CT81" s="207"/>
      <c r="CU81" s="197"/>
      <c r="CV81" s="207"/>
      <c r="CW81" s="197"/>
      <c r="CX81" s="959"/>
      <c r="CY81" s="959"/>
      <c r="CZ81" s="959"/>
      <c r="DA81" s="959"/>
      <c r="DB81" s="959"/>
      <c r="DC81" s="891">
        <v>1038</v>
      </c>
      <c r="DD81" s="891" t="s">
        <v>401</v>
      </c>
      <c r="DE81" s="891" t="s">
        <v>419</v>
      </c>
      <c r="DF81" s="891">
        <v>2</v>
      </c>
      <c r="DG81" s="959"/>
      <c r="DH81" s="959"/>
      <c r="DM81" s="937"/>
      <c r="EB81" s="939"/>
      <c r="ER81" s="905">
        <v>2134</v>
      </c>
      <c r="ES81" s="906" t="s">
        <v>4016</v>
      </c>
      <c r="ET81" s="2686">
        <v>6</v>
      </c>
      <c r="EV81" s="985"/>
      <c r="EW81" s="985"/>
      <c r="EX81" s="387"/>
      <c r="EY81" s="939"/>
      <c r="EZ81" s="886"/>
    </row>
    <row r="82" spans="30:156" hidden="1">
      <c r="AD82" s="390">
        <v>1</v>
      </c>
      <c r="AE82" s="1360"/>
      <c r="AF82" s="876"/>
      <c r="AG82" s="234"/>
      <c r="AH82" s="1361"/>
      <c r="AI82" s="296"/>
      <c r="AM82" s="1983"/>
      <c r="AN82" s="1983"/>
      <c r="AO82" s="1982"/>
      <c r="AP82" s="1984"/>
      <c r="AQ82" s="1984"/>
      <c r="AR82" s="1982"/>
      <c r="AS82" s="1982"/>
      <c r="AT82" s="1982"/>
      <c r="AU82" s="1020"/>
      <c r="AV82" s="76"/>
      <c r="AW82" s="76"/>
      <c r="CJ82" s="197">
        <v>1023</v>
      </c>
      <c r="CK82" s="2176" t="s">
        <v>424</v>
      </c>
      <c r="CL82" s="2828">
        <v>48010</v>
      </c>
      <c r="CM82" s="2828">
        <v>48010</v>
      </c>
      <c r="CN82" s="2828">
        <v>48010</v>
      </c>
      <c r="CO82" s="2828">
        <v>48010</v>
      </c>
      <c r="CP82" s="2828">
        <v>48010</v>
      </c>
      <c r="CQ82" s="2828">
        <v>48010</v>
      </c>
      <c r="CR82" s="195"/>
      <c r="CS82" s="1958"/>
      <c r="CT82" s="207"/>
      <c r="CU82" s="197"/>
      <c r="CV82" s="207"/>
      <c r="CW82" s="197"/>
      <c r="CX82" s="959"/>
      <c r="CY82" s="959"/>
      <c r="CZ82" s="959"/>
      <c r="DA82" s="959"/>
      <c r="DB82" s="959"/>
      <c r="DC82" s="891">
        <v>1039</v>
      </c>
      <c r="DD82" s="891" t="s">
        <v>401</v>
      </c>
      <c r="DE82" s="891" t="s">
        <v>402</v>
      </c>
      <c r="DF82" s="891">
        <v>1</v>
      </c>
      <c r="DG82" s="959"/>
      <c r="DH82" s="959"/>
      <c r="EB82" s="939"/>
      <c r="ER82" s="905">
        <v>2135</v>
      </c>
      <c r="ES82" s="905" t="s">
        <v>4017</v>
      </c>
      <c r="ET82" s="2686">
        <v>6</v>
      </c>
      <c r="EV82" s="985"/>
      <c r="EW82" s="985"/>
      <c r="EX82" s="387"/>
      <c r="EY82" s="939"/>
      <c r="EZ82" s="886"/>
    </row>
    <row r="83" spans="30:156" ht="24" hidden="1" customHeight="1">
      <c r="AD83" s="390" t="b">
        <f>OR(AND($B$51&gt;=4900,$B$51&lt;=4999),AND($B$51&gt;=5300,$B$51&lt;=5399))</f>
        <v>0</v>
      </c>
      <c r="AE83" s="1360"/>
      <c r="AF83" s="876"/>
      <c r="AG83" s="1360"/>
      <c r="AH83" s="1362"/>
      <c r="AI83" s="296"/>
      <c r="AM83" s="1983"/>
      <c r="AN83" s="1983"/>
      <c r="AO83" s="71"/>
      <c r="AP83" s="1984"/>
      <c r="AQ83" s="1984"/>
      <c r="AR83" s="1982"/>
      <c r="AS83" s="1982"/>
      <c r="AT83" s="1982"/>
      <c r="AU83" s="1020"/>
      <c r="AV83" s="76"/>
      <c r="AW83" s="76"/>
      <c r="CJ83" s="197">
        <v>1024</v>
      </c>
      <c r="CK83" s="2177" t="s">
        <v>494</v>
      </c>
      <c r="CL83" s="2823">
        <v>48010</v>
      </c>
      <c r="CM83" s="2823">
        <v>48010</v>
      </c>
      <c r="CN83" s="2823">
        <v>48010</v>
      </c>
      <c r="CO83" s="2823">
        <v>48010</v>
      </c>
      <c r="CP83" s="2823">
        <v>48010</v>
      </c>
      <c r="CQ83" s="2823">
        <v>48010</v>
      </c>
      <c r="CR83" s="195"/>
      <c r="CS83" s="1958"/>
      <c r="CT83" s="207"/>
      <c r="CU83" s="197"/>
      <c r="CV83" s="207"/>
      <c r="CW83" s="197"/>
      <c r="CX83" s="959"/>
      <c r="CY83" s="959"/>
      <c r="CZ83" s="959"/>
      <c r="DA83" s="959"/>
      <c r="DB83" s="959"/>
      <c r="DC83" s="891">
        <v>1041</v>
      </c>
      <c r="DD83" s="891" t="s">
        <v>401</v>
      </c>
      <c r="DE83" s="891" t="s">
        <v>419</v>
      </c>
      <c r="DF83" s="891">
        <v>1</v>
      </c>
      <c r="DG83" s="959"/>
      <c r="DH83" s="959"/>
      <c r="DM83" s="893"/>
      <c r="DN83" s="965"/>
      <c r="DO83" s="228"/>
      <c r="DP83" s="228"/>
      <c r="DQ83" s="232"/>
      <c r="EB83" s="939"/>
      <c r="EC83" s="889"/>
      <c r="ED83" s="889"/>
      <c r="EE83" s="233"/>
      <c r="EF83" s="889"/>
      <c r="EG83" s="889"/>
      <c r="EH83" s="89"/>
      <c r="EI83" s="89"/>
      <c r="EJ83" s="89"/>
      <c r="EK83" s="89"/>
      <c r="EL83" s="89"/>
      <c r="EM83" s="889"/>
      <c r="EN83" s="889"/>
      <c r="EO83" s="889"/>
      <c r="EP83" s="889"/>
      <c r="ER83" s="905">
        <v>2141</v>
      </c>
      <c r="ES83" s="906" t="s">
        <v>4018</v>
      </c>
      <c r="ET83" s="2686">
        <v>2</v>
      </c>
      <c r="EU83" s="895">
        <v>1</v>
      </c>
      <c r="EV83" s="985"/>
      <c r="EW83" s="985"/>
      <c r="EX83" s="387"/>
      <c r="EY83" s="939"/>
      <c r="EZ83" s="886"/>
    </row>
    <row r="84" spans="30:156" hidden="1">
      <c r="AD84" s="390"/>
      <c r="AE84" s="1363"/>
      <c r="AF84" s="234"/>
      <c r="AG84" s="1360"/>
      <c r="AH84" s="1361"/>
      <c r="AI84" s="296"/>
      <c r="AM84" s="1982"/>
      <c r="AN84" s="1983"/>
      <c r="AO84" s="71"/>
      <c r="AP84" s="1984"/>
      <c r="AQ84" s="1984"/>
      <c r="AR84" s="71"/>
      <c r="AS84" s="71"/>
      <c r="AT84" s="71"/>
      <c r="CJ84" s="197">
        <v>1025</v>
      </c>
      <c r="CK84" s="2177" t="s">
        <v>425</v>
      </c>
      <c r="CL84" s="2823">
        <v>10074</v>
      </c>
      <c r="CM84" s="2823">
        <v>10074</v>
      </c>
      <c r="CN84" s="2823">
        <v>10074</v>
      </c>
      <c r="CO84" s="2823">
        <v>10074</v>
      </c>
      <c r="CP84" s="2823">
        <v>10074</v>
      </c>
      <c r="CQ84" s="2823">
        <v>10074</v>
      </c>
      <c r="CR84" s="208"/>
      <c r="CS84" s="1959"/>
      <c r="CT84" s="1960"/>
      <c r="CU84" s="197"/>
      <c r="CV84" s="197"/>
      <c r="CW84" s="197"/>
      <c r="CX84" s="959"/>
      <c r="CY84" s="959"/>
      <c r="CZ84" s="959"/>
      <c r="DA84" s="959"/>
      <c r="DB84" s="959"/>
      <c r="DC84" s="891">
        <v>1042</v>
      </c>
      <c r="DD84" s="891" t="s">
        <v>401</v>
      </c>
      <c r="DE84" s="891" t="s">
        <v>406</v>
      </c>
      <c r="DF84" s="891">
        <v>2</v>
      </c>
      <c r="DG84" s="959"/>
      <c r="DH84" s="959"/>
      <c r="EB84" s="939"/>
      <c r="ER84" s="905">
        <v>2142</v>
      </c>
      <c r="ES84" s="906" t="s">
        <v>4019</v>
      </c>
      <c r="ET84" s="2686">
        <v>2</v>
      </c>
      <c r="EU84" s="895">
        <v>1</v>
      </c>
      <c r="EV84" s="985"/>
      <c r="EW84" s="985"/>
      <c r="EX84" s="387"/>
      <c r="EY84" s="939"/>
      <c r="EZ84" s="886"/>
    </row>
    <row r="85" spans="30:156" ht="16.5" hidden="1" thickBot="1">
      <c r="AD85" s="390" t="s">
        <v>2388</v>
      </c>
      <c r="AE85" s="1364"/>
      <c r="AF85" s="1365"/>
      <c r="AG85" s="1365"/>
      <c r="AH85" s="1366"/>
      <c r="AI85" s="296"/>
      <c r="AM85" s="1982"/>
      <c r="AN85" s="71"/>
      <c r="AO85" s="71"/>
      <c r="AP85" s="71"/>
      <c r="AQ85" s="71"/>
      <c r="AR85" s="71"/>
      <c r="AS85" s="71"/>
      <c r="AT85" s="71"/>
      <c r="CJ85" s="197">
        <v>1026</v>
      </c>
      <c r="CK85" s="2178" t="s">
        <v>426</v>
      </c>
      <c r="CL85" s="2824">
        <v>0</v>
      </c>
      <c r="CM85" s="2824">
        <v>0</v>
      </c>
      <c r="CN85" s="2824">
        <v>0</v>
      </c>
      <c r="CO85" s="2824">
        <v>0</v>
      </c>
      <c r="CP85" s="2824">
        <v>0</v>
      </c>
      <c r="CQ85" s="2824">
        <v>0</v>
      </c>
      <c r="CR85" s="208"/>
      <c r="CS85" s="1959"/>
      <c r="CT85" s="1960"/>
      <c r="CU85" s="197"/>
      <c r="CV85" s="197"/>
      <c r="CW85" s="197"/>
      <c r="CX85" s="959"/>
      <c r="CY85" s="959"/>
      <c r="CZ85" s="959"/>
      <c r="DA85" s="959"/>
      <c r="DB85" s="959"/>
      <c r="DC85" s="891">
        <v>1043</v>
      </c>
      <c r="DD85" s="891" t="s">
        <v>401</v>
      </c>
      <c r="DE85" s="891" t="s">
        <v>406</v>
      </c>
      <c r="DF85" s="891">
        <v>1</v>
      </c>
      <c r="DG85" s="959"/>
      <c r="DH85" s="959"/>
      <c r="EB85" s="939"/>
      <c r="ER85" s="905">
        <v>2143</v>
      </c>
      <c r="ES85" s="906" t="s">
        <v>1093</v>
      </c>
      <c r="ET85" s="2686">
        <v>2</v>
      </c>
      <c r="EU85" s="895">
        <v>1</v>
      </c>
      <c r="EV85" s="985"/>
      <c r="EW85" s="985"/>
      <c r="EX85" s="387"/>
      <c r="EY85" s="939"/>
      <c r="EZ85" s="886"/>
    </row>
    <row r="86" spans="30:156" ht="16.5" hidden="1" thickTop="1">
      <c r="AD86" s="390" t="b">
        <f>OR(AD70,AD71,AD73)</f>
        <v>0</v>
      </c>
      <c r="AM86" s="1982"/>
      <c r="AN86" s="71"/>
      <c r="AO86" s="71"/>
      <c r="AP86" s="71"/>
      <c r="AQ86" s="71"/>
      <c r="AR86" s="71"/>
      <c r="AS86" s="71"/>
      <c r="AT86" s="71"/>
      <c r="CJ86" s="197"/>
      <c r="CK86" s="208"/>
      <c r="CL86" s="209"/>
      <c r="CM86" s="210"/>
      <c r="CN86" s="210"/>
      <c r="CO86" s="209"/>
      <c r="CP86" s="209"/>
      <c r="CQ86" s="208"/>
      <c r="CR86" s="208"/>
      <c r="CS86" s="1959"/>
      <c r="CT86" s="1960"/>
      <c r="CU86" s="197"/>
      <c r="CV86" s="197"/>
      <c r="CW86" s="197"/>
      <c r="CX86" s="959"/>
      <c r="CY86" s="959"/>
      <c r="CZ86" s="959"/>
      <c r="DA86" s="959"/>
      <c r="DB86" s="959"/>
      <c r="DC86" s="891">
        <v>1044</v>
      </c>
      <c r="DD86" s="891" t="s">
        <v>401</v>
      </c>
      <c r="DE86" s="891" t="s">
        <v>402</v>
      </c>
      <c r="DF86" s="891">
        <v>1</v>
      </c>
      <c r="DG86" s="959"/>
      <c r="DH86" s="959"/>
      <c r="EB86" s="939"/>
      <c r="ER86" s="905">
        <v>2144</v>
      </c>
      <c r="ES86" s="906" t="s">
        <v>1094</v>
      </c>
      <c r="ET86" s="2686">
        <v>2</v>
      </c>
      <c r="EU86" s="895">
        <v>1</v>
      </c>
      <c r="EV86" s="985"/>
      <c r="EW86" s="985"/>
      <c r="EX86" s="387"/>
      <c r="EY86" s="939"/>
      <c r="EZ86" s="886"/>
    </row>
    <row r="87" spans="30:156" ht="16.5" hidden="1" thickBot="1">
      <c r="AE87" s="299" t="s">
        <v>1498</v>
      </c>
      <c r="AF87" s="299">
        <f>KÉRDÉSEK!D232</f>
        <v>1</v>
      </c>
      <c r="AM87" s="1982"/>
      <c r="AN87" s="1985"/>
      <c r="AO87" s="71"/>
      <c r="AP87" s="1982"/>
      <c r="AQ87" s="1982"/>
      <c r="AR87" s="1982"/>
      <c r="AS87" s="71"/>
      <c r="AT87" s="71"/>
      <c r="CJ87" s="197"/>
      <c r="CK87" s="208"/>
      <c r="CL87" s="209"/>
      <c r="CM87" s="210"/>
      <c r="CN87" s="210"/>
      <c r="CO87" s="209"/>
      <c r="CP87" s="209"/>
      <c r="CQ87" s="208"/>
      <c r="CR87" s="208"/>
      <c r="CS87" s="1959"/>
      <c r="CT87" s="1960"/>
      <c r="CU87" s="197"/>
      <c r="CV87" s="197"/>
      <c r="CW87" s="197"/>
      <c r="CX87" s="959"/>
      <c r="CY87" s="959"/>
      <c r="CZ87" s="959"/>
      <c r="DA87" s="959"/>
      <c r="DB87" s="959"/>
      <c r="DC87" s="891">
        <v>1045</v>
      </c>
      <c r="DD87" s="891" t="s">
        <v>401</v>
      </c>
      <c r="DE87" s="891" t="s">
        <v>427</v>
      </c>
      <c r="DF87" s="891">
        <v>1</v>
      </c>
      <c r="DG87" s="959"/>
      <c r="DH87" s="959"/>
      <c r="EB87" s="939"/>
      <c r="ER87" s="905">
        <v>2145</v>
      </c>
      <c r="ES87" s="930" t="s">
        <v>1095</v>
      </c>
      <c r="ET87" s="2686">
        <v>2</v>
      </c>
      <c r="EU87" s="895">
        <v>1</v>
      </c>
      <c r="EV87" s="985"/>
      <c r="EW87" s="985"/>
      <c r="EX87" s="387"/>
      <c r="EY87" s="939"/>
      <c r="EZ87" s="886"/>
    </row>
    <row r="88" spans="30:156" ht="17.25" hidden="1" thickTop="1" thickBot="1">
      <c r="AD88" t="s">
        <v>2389</v>
      </c>
      <c r="AM88" s="2462">
        <f>Generali!$C$70</f>
        <v>0.75</v>
      </c>
      <c r="AN88" s="2463" t="s">
        <v>5086</v>
      </c>
      <c r="AO88" s="2463" t="s">
        <v>5087</v>
      </c>
      <c r="AP88" s="1022"/>
      <c r="AQ88" s="1023"/>
      <c r="AX88">
        <f>KÉRDÉSEK!C263</f>
        <v>0</v>
      </c>
      <c r="CJ88" s="197"/>
      <c r="CK88" s="208"/>
      <c r="CL88" s="208"/>
      <c r="CM88" s="211"/>
      <c r="CN88" s="211"/>
      <c r="CO88" s="208"/>
      <c r="CP88" s="208"/>
      <c r="CQ88" s="208"/>
      <c r="CR88" s="208"/>
      <c r="CS88" s="1960"/>
      <c r="CT88" s="1960"/>
      <c r="CU88" s="197"/>
      <c r="CV88" s="197"/>
      <c r="CW88" s="197"/>
      <c r="CX88" s="959"/>
      <c r="CY88" s="959"/>
      <c r="CZ88" s="959"/>
      <c r="DA88" s="959"/>
      <c r="DB88" s="959"/>
      <c r="DC88" s="891">
        <v>1046</v>
      </c>
      <c r="DD88" s="891" t="s">
        <v>401</v>
      </c>
      <c r="DE88" s="891" t="s">
        <v>417</v>
      </c>
      <c r="DF88" s="891">
        <v>2</v>
      </c>
      <c r="DG88" s="959"/>
      <c r="DH88" s="959"/>
      <c r="EB88" s="939"/>
      <c r="ER88" s="905">
        <v>2146</v>
      </c>
      <c r="ES88" s="906" t="s">
        <v>4023</v>
      </c>
      <c r="ET88" s="2686">
        <v>2</v>
      </c>
      <c r="EU88" s="895">
        <v>1</v>
      </c>
      <c r="EV88" s="985"/>
      <c r="EW88" s="985"/>
      <c r="EX88" s="387"/>
      <c r="EY88" s="939"/>
      <c r="EZ88" s="886"/>
    </row>
    <row r="89" spans="30:156" ht="16.5" hidden="1" thickTop="1">
      <c r="AD89">
        <f>AD86*0.7+AD83*1+AD79*AD78+AD76*AD75</f>
        <v>0.6</v>
      </c>
      <c r="AM89" s="1046"/>
      <c r="AN89" s="530"/>
      <c r="AX89">
        <v>0.35</v>
      </c>
      <c r="CJ89" s="197"/>
      <c r="CK89" s="1960"/>
      <c r="CL89" s="207">
        <f>DA62</f>
        <v>3</v>
      </c>
      <c r="CM89" s="1961"/>
      <c r="CN89" s="1961"/>
      <c r="CO89" s="1960"/>
      <c r="CP89" s="1960"/>
      <c r="CQ89" s="1960"/>
      <c r="CR89" s="1960"/>
      <c r="CS89" s="1960"/>
      <c r="CT89" s="1960"/>
      <c r="CU89" s="197"/>
      <c r="CV89" s="197"/>
      <c r="CW89" s="197"/>
      <c r="CX89" s="959"/>
      <c r="CY89" s="959"/>
      <c r="CZ89" s="959"/>
      <c r="DA89" s="959"/>
      <c r="DB89" s="959"/>
      <c r="DC89" s="891">
        <v>1047</v>
      </c>
      <c r="DD89" s="891" t="s">
        <v>401</v>
      </c>
      <c r="DE89" s="891" t="s">
        <v>412</v>
      </c>
      <c r="DF89" s="891">
        <v>1</v>
      </c>
      <c r="DG89" s="959"/>
      <c r="DH89" s="959"/>
      <c r="EB89" s="939"/>
      <c r="ER89" s="905">
        <v>2151</v>
      </c>
      <c r="ES89" s="906" t="s">
        <v>1096</v>
      </c>
      <c r="ET89" s="2686">
        <v>2</v>
      </c>
      <c r="EU89" s="895">
        <v>1</v>
      </c>
      <c r="EV89" s="985"/>
      <c r="EW89" s="985"/>
      <c r="EX89" s="387"/>
      <c r="EY89" s="939"/>
      <c r="EZ89" s="886"/>
    </row>
    <row r="90" spans="30:156" hidden="1">
      <c r="AM90" s="1604"/>
      <c r="AN90" s="1604"/>
      <c r="CJ90" s="197"/>
      <c r="CK90" s="212" t="s">
        <v>400</v>
      </c>
      <c r="CL90" s="197" t="e">
        <f>INDEX($AE$59:$AK$85,1,$AE$89)</f>
        <v>#VALUE!</v>
      </c>
      <c r="CM90" s="213"/>
      <c r="CN90" s="213"/>
      <c r="CO90" s="197"/>
      <c r="CP90" s="197"/>
      <c r="CQ90" s="207"/>
      <c r="CR90" s="207"/>
      <c r="CS90" s="207"/>
      <c r="CT90" s="207"/>
      <c r="CU90" s="197"/>
      <c r="CV90" s="197"/>
      <c r="CW90" s="197"/>
      <c r="CX90" s="959"/>
      <c r="CY90" s="959"/>
      <c r="CZ90" s="959"/>
      <c r="DA90" s="959"/>
      <c r="DB90" s="959"/>
      <c r="DC90" s="891">
        <v>1048</v>
      </c>
      <c r="DD90" s="891" t="s">
        <v>401</v>
      </c>
      <c r="DE90" s="891" t="s">
        <v>417</v>
      </c>
      <c r="DF90" s="891">
        <v>2</v>
      </c>
      <c r="DG90" s="959"/>
      <c r="DH90" s="959"/>
      <c r="ER90" s="905">
        <v>2161</v>
      </c>
      <c r="ES90" s="906" t="s">
        <v>4025</v>
      </c>
      <c r="ET90" s="2686">
        <v>6</v>
      </c>
      <c r="EV90" s="985"/>
      <c r="EW90" s="985"/>
      <c r="EX90" s="387"/>
      <c r="EY90" s="939"/>
      <c r="EZ90" s="886"/>
    </row>
    <row r="91" spans="30:156" ht="18" hidden="1">
      <c r="AF91" s="420" t="s">
        <v>1153</v>
      </c>
      <c r="AM91" s="467"/>
      <c r="AN91" s="467"/>
      <c r="AO91" s="467"/>
      <c r="AP91" s="1043"/>
      <c r="AY91" t="s">
        <v>1505</v>
      </c>
      <c r="CJ91" s="197"/>
      <c r="CK91" s="212" t="s">
        <v>403</v>
      </c>
      <c r="CL91" s="197" t="e">
        <f>INDEX($AE$59:$AK$85,2,$AE$89)</f>
        <v>#VALUE!</v>
      </c>
      <c r="CM91" s="213"/>
      <c r="CN91" s="213"/>
      <c r="CO91" s="197"/>
      <c r="CP91" s="197"/>
      <c r="CQ91" s="207"/>
      <c r="CR91" s="207"/>
      <c r="CS91" s="207"/>
      <c r="CT91" s="207"/>
      <c r="CU91" s="197"/>
      <c r="CV91" s="197"/>
      <c r="CW91" s="197"/>
      <c r="CX91" s="959"/>
      <c r="CY91" s="959"/>
      <c r="CZ91" s="959"/>
      <c r="DA91" s="959"/>
      <c r="DB91" s="959"/>
      <c r="DC91" s="891">
        <v>1051</v>
      </c>
      <c r="DD91" s="891" t="s">
        <v>401</v>
      </c>
      <c r="DE91" s="891" t="s">
        <v>428</v>
      </c>
      <c r="DF91" s="891">
        <v>1</v>
      </c>
      <c r="DG91" s="959"/>
      <c r="DH91" s="959"/>
      <c r="ER91" s="905">
        <v>2162</v>
      </c>
      <c r="ES91" s="906" t="s">
        <v>4026</v>
      </c>
      <c r="ET91" s="2686">
        <v>6</v>
      </c>
      <c r="EV91" s="985"/>
      <c r="EW91" s="985"/>
      <c r="EX91" s="387"/>
      <c r="EY91" s="939"/>
      <c r="EZ91" s="886"/>
    </row>
    <row r="92" spans="30:156" ht="18" hidden="1">
      <c r="AF92" s="420" t="s">
        <v>1154</v>
      </c>
      <c r="AG92" t="str">
        <f>AH2</f>
        <v>Uniqa</v>
      </c>
      <c r="AM92" s="1044"/>
      <c r="AN92" s="1044"/>
      <c r="AO92" s="1044"/>
      <c r="AP92" s="1045"/>
      <c r="AY92" t="s">
        <v>1506</v>
      </c>
      <c r="CJ92" s="197"/>
      <c r="CK92" s="212" t="s">
        <v>405</v>
      </c>
      <c r="CL92" s="197" t="e">
        <f>INDEX($AE$59:$AK$85,3,$AE$89)</f>
        <v>#VALUE!</v>
      </c>
      <c r="CM92" s="213"/>
      <c r="CN92" s="213" t="s">
        <v>429</v>
      </c>
      <c r="CO92" s="197"/>
      <c r="CP92" s="197"/>
      <c r="CQ92" s="207"/>
      <c r="CR92" s="207"/>
      <c r="CS92" s="207"/>
      <c r="CT92" s="207"/>
      <c r="CU92" s="197"/>
      <c r="CV92" s="197"/>
      <c r="CW92" s="197"/>
      <c r="CX92" s="959"/>
      <c r="CY92" s="959"/>
      <c r="CZ92" s="959"/>
      <c r="DA92" s="959"/>
      <c r="DB92" s="959"/>
      <c r="DC92" s="891">
        <v>1052</v>
      </c>
      <c r="DD92" s="891" t="s">
        <v>401</v>
      </c>
      <c r="DE92" s="891" t="s">
        <v>419</v>
      </c>
      <c r="DF92" s="891">
        <v>1</v>
      </c>
      <c r="DG92" s="959"/>
      <c r="DH92" s="959"/>
      <c r="ER92" s="905">
        <v>2163</v>
      </c>
      <c r="ES92" s="906" t="s">
        <v>4027</v>
      </c>
      <c r="ET92" s="2686">
        <v>6</v>
      </c>
      <c r="EV92" s="985"/>
      <c r="EW92" s="985"/>
      <c r="EX92" s="387"/>
      <c r="EY92" s="939"/>
      <c r="EZ92" s="886"/>
    </row>
    <row r="93" spans="30:156" ht="18" hidden="1">
      <c r="AF93" s="420" t="s">
        <v>4293</v>
      </c>
      <c r="AN93" s="1017"/>
      <c r="AO93" s="1986"/>
      <c r="AQ93" s="1017"/>
      <c r="AR93" s="1017"/>
      <c r="AS93" s="1017"/>
      <c r="AT93" s="1017"/>
      <c r="AU93" s="1019"/>
      <c r="AV93" s="437"/>
      <c r="AW93" s="437"/>
      <c r="AY93" t="s">
        <v>1507</v>
      </c>
      <c r="CJ93" s="197"/>
      <c r="CK93" s="212" t="s">
        <v>407</v>
      </c>
      <c r="CL93" s="197" t="e">
        <f>INDEX($AE$59:$AK$85,4,$AE$89)</f>
        <v>#VALUE!</v>
      </c>
      <c r="CM93" s="213"/>
      <c r="CN93" s="213" t="s">
        <v>430</v>
      </c>
      <c r="CO93" s="197"/>
      <c r="CP93" s="197"/>
      <c r="CQ93" s="207"/>
      <c r="CR93" s="207"/>
      <c r="CS93" s="207"/>
      <c r="CT93" s="207"/>
      <c r="CU93" s="197"/>
      <c r="CV93" s="197"/>
      <c r="CW93" s="197"/>
      <c r="CX93" s="959"/>
      <c r="CY93" s="959"/>
      <c r="CZ93" s="959"/>
      <c r="DA93" s="959"/>
      <c r="DB93" s="959"/>
      <c r="DC93" s="891">
        <v>1053</v>
      </c>
      <c r="DD93" s="891" t="s">
        <v>401</v>
      </c>
      <c r="DE93" s="891" t="s">
        <v>419</v>
      </c>
      <c r="DF93" s="891">
        <v>1</v>
      </c>
      <c r="DG93" s="959"/>
      <c r="DH93" s="959"/>
      <c r="ER93" s="905">
        <v>2164</v>
      </c>
      <c r="ES93" s="906" t="s">
        <v>4028</v>
      </c>
      <c r="ET93" s="2686">
        <v>6</v>
      </c>
      <c r="EV93" s="985"/>
      <c r="EW93" s="985"/>
      <c r="EX93" s="387"/>
      <c r="EY93" s="939"/>
      <c r="EZ93" s="886"/>
    </row>
    <row r="94" spans="30:156" ht="18" hidden="1">
      <c r="AF94" s="420" t="s">
        <v>1155</v>
      </c>
      <c r="AM94" s="234"/>
      <c r="AN94" s="234"/>
      <c r="AO94" s="234"/>
      <c r="AP94" s="234"/>
      <c r="AQ94" s="234"/>
      <c r="AR94" s="234"/>
      <c r="AS94" s="234"/>
      <c r="AT94" s="234"/>
      <c r="AU94" s="1020"/>
      <c r="CJ94" s="197"/>
      <c r="CK94" s="212" t="s">
        <v>411</v>
      </c>
      <c r="CL94" s="197" t="e">
        <f>INDEX($AE$59:$AK$85,5,$AE$89)</f>
        <v>#VALUE!</v>
      </c>
      <c r="CM94" s="213"/>
      <c r="CN94" s="213"/>
      <c r="CO94" s="197"/>
      <c r="CP94" s="197"/>
      <c r="CQ94" s="197"/>
      <c r="CR94" s="197"/>
      <c r="CS94" s="197"/>
      <c r="CT94" s="197"/>
      <c r="CU94" s="197"/>
      <c r="CV94" s="197"/>
      <c r="CW94" s="197"/>
      <c r="CX94" s="959"/>
      <c r="CY94" s="959"/>
      <c r="CZ94" s="959"/>
      <c r="DA94" s="959"/>
      <c r="DB94" s="959"/>
      <c r="DC94" s="891">
        <v>1054</v>
      </c>
      <c r="DD94" s="891" t="s">
        <v>401</v>
      </c>
      <c r="DE94" s="891" t="s">
        <v>419</v>
      </c>
      <c r="DF94" s="891">
        <v>1</v>
      </c>
      <c r="DG94" s="959"/>
      <c r="DH94" s="959"/>
      <c r="ER94" s="905">
        <v>2165</v>
      </c>
      <c r="ES94" s="906" t="s">
        <v>4029</v>
      </c>
      <c r="ET94" s="2686">
        <v>6</v>
      </c>
      <c r="EV94" s="985"/>
      <c r="EW94" s="985"/>
      <c r="EX94" s="387"/>
      <c r="EY94" s="939"/>
      <c r="EZ94" s="886"/>
    </row>
    <row r="95" spans="30:156" ht="18" hidden="1">
      <c r="AF95" s="420" t="s">
        <v>1156</v>
      </c>
      <c r="AM95" s="1018"/>
      <c r="AN95" s="1018"/>
      <c r="AO95" s="1018"/>
      <c r="AP95" s="1018"/>
      <c r="AQ95" s="1018"/>
      <c r="AR95" s="1018"/>
      <c r="AS95" s="1018"/>
      <c r="AT95" s="1018"/>
      <c r="AU95" s="1021"/>
      <c r="AV95" s="73"/>
      <c r="AW95" s="73"/>
      <c r="CJ95" s="197"/>
      <c r="CK95" s="212" t="s">
        <v>413</v>
      </c>
      <c r="CL95" s="197" t="e">
        <f>INDEX($AE$59:$AK$85,6,$AE$89)</f>
        <v>#VALUE!</v>
      </c>
      <c r="CM95" s="213"/>
      <c r="CN95" s="213"/>
      <c r="CO95" s="197"/>
      <c r="CP95" s="197"/>
      <c r="CQ95" s="197"/>
      <c r="CR95" s="197"/>
      <c r="CS95" s="197"/>
      <c r="CT95" s="197"/>
      <c r="CU95" s="197"/>
      <c r="CV95" s="197"/>
      <c r="CW95" s="197"/>
      <c r="CX95" s="959"/>
      <c r="CY95" s="959"/>
      <c r="CZ95" s="959"/>
      <c r="DA95" s="959"/>
      <c r="DB95" s="959"/>
      <c r="DC95" s="891">
        <v>1055</v>
      </c>
      <c r="DD95" s="891" t="s">
        <v>401</v>
      </c>
      <c r="DE95" s="891" t="s">
        <v>419</v>
      </c>
      <c r="DF95" s="891">
        <v>5</v>
      </c>
      <c r="DG95" s="959"/>
      <c r="DH95" s="959"/>
      <c r="ER95" s="905">
        <v>2166</v>
      </c>
      <c r="ES95" s="906" t="s">
        <v>4030</v>
      </c>
      <c r="ET95" s="2686">
        <v>6</v>
      </c>
      <c r="EV95" s="985"/>
      <c r="EW95" s="985"/>
      <c r="EX95" s="387"/>
      <c r="EY95" s="939"/>
      <c r="EZ95" s="886"/>
    </row>
    <row r="96" spans="30:156" ht="18" hidden="1">
      <c r="AF96" s="420" t="s">
        <v>1157</v>
      </c>
      <c r="AM96" s="234"/>
      <c r="AN96" s="234"/>
      <c r="AO96" s="1018"/>
      <c r="AP96" s="234"/>
      <c r="AQ96" s="234"/>
      <c r="AR96" s="234"/>
      <c r="AS96" s="234"/>
      <c r="AT96" s="234"/>
      <c r="AU96" s="1020"/>
      <c r="CJ96" s="197"/>
      <c r="CK96" s="214" t="s">
        <v>414</v>
      </c>
      <c r="CL96" s="197" t="e">
        <f>INDEX($AE$59:$AK$85,7,$AE$89)</f>
        <v>#VALUE!</v>
      </c>
      <c r="CM96" s="213"/>
      <c r="CN96" s="213"/>
      <c r="CO96" s="197"/>
      <c r="CP96" s="197"/>
      <c r="CQ96" s="197"/>
      <c r="CR96" s="197"/>
      <c r="CS96" s="197"/>
      <c r="CT96" s="197"/>
      <c r="CU96" s="197"/>
      <c r="CV96" s="197"/>
      <c r="CW96" s="197"/>
      <c r="CX96" s="959"/>
      <c r="CY96" s="959"/>
      <c r="CZ96" s="959"/>
      <c r="DA96" s="959"/>
      <c r="DB96" s="959"/>
      <c r="DC96" s="891">
        <v>1056</v>
      </c>
      <c r="DD96" s="891" t="s">
        <v>401</v>
      </c>
      <c r="DE96" s="891" t="s">
        <v>419</v>
      </c>
      <c r="DF96" s="891">
        <v>1</v>
      </c>
      <c r="DG96" s="959"/>
      <c r="DH96" s="959"/>
      <c r="ER96" s="905">
        <v>2167</v>
      </c>
      <c r="ES96" s="906" t="s">
        <v>4031</v>
      </c>
      <c r="ET96" s="2686">
        <v>6</v>
      </c>
      <c r="EV96" s="985"/>
      <c r="EW96" s="985"/>
      <c r="EX96" s="387"/>
      <c r="EY96" s="939"/>
      <c r="EZ96" s="886"/>
    </row>
    <row r="97" spans="31:156" ht="18" hidden="1">
      <c r="AF97" s="420" t="s">
        <v>1158</v>
      </c>
      <c r="AM97" s="876"/>
      <c r="AN97" s="234"/>
      <c r="AO97" s="234"/>
      <c r="AP97" s="234"/>
      <c r="AQ97" s="234"/>
      <c r="AR97" s="234"/>
      <c r="AS97" s="234"/>
      <c r="AT97" s="234"/>
      <c r="AU97" s="1020"/>
      <c r="CJ97" s="197"/>
      <c r="CK97" s="215" t="s">
        <v>415</v>
      </c>
      <c r="CL97" s="197" t="e">
        <f>INDEX($AE$59:$AK$85,8,$AE$89)</f>
        <v>#VALUE!</v>
      </c>
      <c r="CM97" s="213"/>
      <c r="CN97" s="213"/>
      <c r="CO97" s="197"/>
      <c r="CP97" s="197"/>
      <c r="CQ97" s="197"/>
      <c r="CR97" s="197"/>
      <c r="CS97" s="197"/>
      <c r="CT97" s="197"/>
      <c r="CU97" s="197"/>
      <c r="CV97" s="197"/>
      <c r="CW97" s="197"/>
      <c r="CX97" s="959"/>
      <c r="CY97" s="959"/>
      <c r="CZ97" s="959"/>
      <c r="DA97" s="959"/>
      <c r="DB97" s="959"/>
      <c r="DC97" s="891">
        <v>1061</v>
      </c>
      <c r="DD97" s="891" t="s">
        <v>401</v>
      </c>
      <c r="DE97" s="891" t="s">
        <v>419</v>
      </c>
      <c r="DF97" s="891">
        <v>1</v>
      </c>
      <c r="DG97" s="959"/>
      <c r="DH97" s="959"/>
      <c r="ER97" s="905">
        <v>2170</v>
      </c>
      <c r="ES97" s="906" t="s">
        <v>4032</v>
      </c>
      <c r="ET97" s="2686">
        <v>6</v>
      </c>
      <c r="EV97" s="985"/>
      <c r="EW97" s="985"/>
      <c r="EX97" s="387"/>
      <c r="EY97" s="939"/>
      <c r="EZ97" s="886"/>
    </row>
    <row r="98" spans="31:156" ht="18" hidden="1">
      <c r="AF98" s="420" t="s">
        <v>1159</v>
      </c>
      <c r="AM98" s="1017"/>
      <c r="AN98" s="1017"/>
      <c r="AO98" s="1017"/>
      <c r="AP98" s="1986"/>
      <c r="AQ98" s="1989"/>
      <c r="AR98" s="1017"/>
      <c r="AS98" s="1017"/>
      <c r="AT98" s="1017"/>
      <c r="AU98" s="1019"/>
      <c r="AV98" s="437"/>
      <c r="AW98" s="437"/>
      <c r="CJ98" s="197"/>
      <c r="CK98" s="215" t="s">
        <v>416</v>
      </c>
      <c r="CL98" s="197" t="e">
        <f>INDEX($AE$59:$AK$85,9,$AE$89)</f>
        <v>#VALUE!</v>
      </c>
      <c r="CM98" s="213"/>
      <c r="CN98" s="213"/>
      <c r="CO98" s="197"/>
      <c r="CP98" s="197"/>
      <c r="CQ98" s="197"/>
      <c r="CR98" s="197"/>
      <c r="CS98" s="197"/>
      <c r="CT98" s="197"/>
      <c r="CU98" s="197"/>
      <c r="CV98" s="197"/>
      <c r="CW98" s="197"/>
      <c r="CX98" s="959"/>
      <c r="CY98" s="959"/>
      <c r="CZ98" s="959"/>
      <c r="DA98" s="959"/>
      <c r="DB98" s="959"/>
      <c r="DC98" s="891">
        <v>1062</v>
      </c>
      <c r="DD98" s="891" t="s">
        <v>401</v>
      </c>
      <c r="DE98" s="891" t="s">
        <v>419</v>
      </c>
      <c r="DF98" s="891">
        <v>1</v>
      </c>
      <c r="DG98" s="959"/>
      <c r="DH98" s="959"/>
      <c r="ER98" s="905">
        <v>2173</v>
      </c>
      <c r="ES98" s="906" t="s">
        <v>4033</v>
      </c>
      <c r="ET98" s="2686">
        <v>6</v>
      </c>
      <c r="EV98" s="985"/>
      <c r="EW98" s="985"/>
      <c r="EX98" s="387"/>
      <c r="EY98" s="939"/>
      <c r="EZ98" s="886"/>
    </row>
    <row r="99" spans="31:156" ht="18" hidden="1">
      <c r="AF99" s="420" t="s">
        <v>1160</v>
      </c>
      <c r="AM99" s="1017"/>
      <c r="AN99" s="234"/>
      <c r="AO99" s="1987"/>
      <c r="AP99" s="234"/>
      <c r="AQ99" s="1988"/>
      <c r="AR99" s="234"/>
      <c r="AS99" s="234"/>
      <c r="AT99" s="234"/>
      <c r="CJ99" s="197"/>
      <c r="CK99" s="215" t="s">
        <v>524</v>
      </c>
      <c r="CL99" s="197" t="e">
        <f>INDEX($AE$59:$AK$85,10,$AE$89)</f>
        <v>#VALUE!</v>
      </c>
      <c r="CM99" s="213"/>
      <c r="CN99" s="213"/>
      <c r="CO99" s="197"/>
      <c r="CP99" s="197"/>
      <c r="CQ99" s="197"/>
      <c r="CR99" s="197"/>
      <c r="CS99" s="197"/>
      <c r="CT99" s="197"/>
      <c r="CU99" s="197"/>
      <c r="CV99" s="197"/>
      <c r="CW99" s="197"/>
      <c r="CX99" s="959"/>
      <c r="CY99" s="959"/>
      <c r="CZ99" s="959"/>
      <c r="DA99" s="959"/>
      <c r="DB99" s="959"/>
      <c r="DC99" s="891">
        <v>1063</v>
      </c>
      <c r="DD99" s="891" t="s">
        <v>401</v>
      </c>
      <c r="DE99" s="891" t="s">
        <v>419</v>
      </c>
      <c r="DF99" s="891">
        <v>2</v>
      </c>
      <c r="DG99" s="959"/>
      <c r="DH99" s="959"/>
      <c r="ER99" s="905">
        <v>2174</v>
      </c>
      <c r="ES99" s="906" t="s">
        <v>4034</v>
      </c>
      <c r="ET99" s="2686">
        <v>6</v>
      </c>
      <c r="EV99" s="985"/>
      <c r="EW99" s="985"/>
      <c r="EX99" s="387"/>
      <c r="EY99" s="939"/>
      <c r="EZ99" s="886"/>
    </row>
    <row r="100" spans="31:156" ht="18" hidden="1">
      <c r="AF100" s="420" t="s">
        <v>1162</v>
      </c>
      <c r="AM100" s="1047"/>
      <c r="AN100" s="1047"/>
      <c r="AO100" s="1048"/>
      <c r="AP100" s="1018"/>
      <c r="AQ100" s="1018"/>
      <c r="AR100" s="1018"/>
      <c r="AS100" s="1018"/>
      <c r="AT100" s="1018"/>
      <c r="AU100" s="73"/>
      <c r="AV100" s="73"/>
      <c r="AW100" s="73"/>
      <c r="CJ100" s="197"/>
      <c r="CK100" s="215" t="s">
        <v>525</v>
      </c>
      <c r="CL100" s="197" t="e">
        <f>INDEX($AE$59:$AK$85,11,$AE$89)</f>
        <v>#VALUE!</v>
      </c>
      <c r="CM100" s="213"/>
      <c r="CN100" s="213"/>
      <c r="CO100" s="197"/>
      <c r="CP100" s="197"/>
      <c r="CQ100" s="197"/>
      <c r="CR100" s="197"/>
      <c r="CS100" s="197"/>
      <c r="CT100" s="197"/>
      <c r="CU100" s="197"/>
      <c r="CV100" s="197"/>
      <c r="CW100" s="197"/>
      <c r="CX100" s="959"/>
      <c r="CY100" s="959"/>
      <c r="CZ100" s="959"/>
      <c r="DA100" s="959"/>
      <c r="DB100" s="959"/>
      <c r="DC100" s="891">
        <v>1064</v>
      </c>
      <c r="DD100" s="891" t="s">
        <v>401</v>
      </c>
      <c r="DE100" s="891" t="s">
        <v>420</v>
      </c>
      <c r="DF100" s="891">
        <v>1</v>
      </c>
      <c r="DG100" s="959"/>
      <c r="DH100" s="959"/>
      <c r="ER100" s="905">
        <v>2175</v>
      </c>
      <c r="ES100" s="906" t="s">
        <v>4035</v>
      </c>
      <c r="ET100" s="2686">
        <v>9</v>
      </c>
      <c r="EV100" s="985"/>
      <c r="EW100" s="985"/>
      <c r="EX100" s="387"/>
      <c r="EY100" s="939"/>
      <c r="EZ100" s="886"/>
    </row>
    <row r="101" spans="31:156" ht="18" hidden="1">
      <c r="AF101" s="420" t="s">
        <v>1161</v>
      </c>
      <c r="AM101" s="1047"/>
      <c r="AO101" s="74"/>
      <c r="CJ101" s="197"/>
      <c r="CK101" s="215" t="s">
        <v>382</v>
      </c>
      <c r="CL101" s="197" t="e">
        <f>INDEX($AE$59:$AK$85,12,$AE$89)</f>
        <v>#VALUE!</v>
      </c>
      <c r="CM101" s="213"/>
      <c r="CN101" s="213"/>
      <c r="CO101" s="197"/>
      <c r="CP101" s="197"/>
      <c r="CQ101" s="197"/>
      <c r="CR101" s="197"/>
      <c r="CS101" s="197"/>
      <c r="CT101" s="216"/>
      <c r="CU101" s="197"/>
      <c r="CV101" s="197"/>
      <c r="CW101" s="197"/>
      <c r="CX101" s="959"/>
      <c r="CY101" s="959"/>
      <c r="CZ101" s="959"/>
      <c r="DA101" s="959"/>
      <c r="DB101" s="959"/>
      <c r="DC101" s="891">
        <v>1065</v>
      </c>
      <c r="DD101" s="891" t="s">
        <v>401</v>
      </c>
      <c r="DE101" s="891" t="s">
        <v>427</v>
      </c>
      <c r="DF101" s="891">
        <v>1</v>
      </c>
      <c r="DG101" s="959"/>
      <c r="DH101" s="959"/>
      <c r="ER101" s="905">
        <v>2176</v>
      </c>
      <c r="ES101" s="906" t="s">
        <v>4036</v>
      </c>
      <c r="ET101" s="2686">
        <v>9</v>
      </c>
      <c r="EV101" s="985"/>
      <c r="EW101" s="985"/>
      <c r="EX101" s="387"/>
      <c r="EY101" s="939"/>
      <c r="EZ101" s="886"/>
    </row>
    <row r="102" spans="31:156" ht="18" hidden="1">
      <c r="AF102" s="420" t="s">
        <v>1163</v>
      </c>
      <c r="AM102" s="1049"/>
      <c r="AN102" s="1046"/>
      <c r="AO102" s="1046"/>
      <c r="AV102" t="s">
        <v>3876</v>
      </c>
      <c r="CJ102" s="197"/>
      <c r="CK102" s="215" t="s">
        <v>383</v>
      </c>
      <c r="CL102" s="197" t="e">
        <f>INDEX($AE$59:$AK$85,13,$AE$89)</f>
        <v>#VALUE!</v>
      </c>
      <c r="CM102" s="213"/>
      <c r="CN102" s="213"/>
      <c r="CO102" s="197"/>
      <c r="CP102" s="197"/>
      <c r="CQ102" s="197"/>
      <c r="CR102" s="197"/>
      <c r="CS102" s="197"/>
      <c r="CT102" s="216"/>
      <c r="CU102" s="197"/>
      <c r="CV102" s="197"/>
      <c r="CW102" s="197"/>
      <c r="CX102" s="959"/>
      <c r="CY102" s="959"/>
      <c r="CZ102" s="959"/>
      <c r="DA102" s="959"/>
      <c r="DB102" s="959"/>
      <c r="DC102" s="891">
        <v>1066</v>
      </c>
      <c r="DD102" s="891" t="s">
        <v>401</v>
      </c>
      <c r="DF102" s="891">
        <v>1</v>
      </c>
      <c r="DG102" s="959"/>
      <c r="DH102" s="959"/>
      <c r="ER102" s="905">
        <v>2177</v>
      </c>
      <c r="ES102" s="906" t="s">
        <v>4037</v>
      </c>
      <c r="ET102" s="2686">
        <v>9</v>
      </c>
      <c r="EV102" s="985"/>
      <c r="EW102" s="985"/>
      <c r="EX102" s="387"/>
      <c r="EY102" s="939"/>
      <c r="EZ102" s="886"/>
    </row>
    <row r="103" spans="31:156" ht="18" hidden="1">
      <c r="AF103" s="420" t="s">
        <v>694</v>
      </c>
      <c r="AM103" s="1047"/>
      <c r="AV103" t="s">
        <v>3877</v>
      </c>
      <c r="AX103" t="b">
        <f>AND($B$51&gt;4099,$B$51&lt;4400)</f>
        <v>0</v>
      </c>
      <c r="CJ103" s="197"/>
      <c r="CK103" s="215" t="s">
        <v>385</v>
      </c>
      <c r="CL103" s="197" t="e">
        <f>INDEX($AE$59:$AK$85,14,$AE$89)</f>
        <v>#VALUE!</v>
      </c>
      <c r="CM103" s="213"/>
      <c r="CN103" s="213"/>
      <c r="CO103" s="197"/>
      <c r="CP103" s="197"/>
      <c r="CQ103" s="197"/>
      <c r="CR103" s="197"/>
      <c r="CS103" s="197"/>
      <c r="CT103" s="197"/>
      <c r="CU103" s="197"/>
      <c r="CV103" s="197"/>
      <c r="CW103" s="197"/>
      <c r="CX103" s="959"/>
      <c r="CY103" s="959"/>
      <c r="CZ103" s="959"/>
      <c r="DA103" s="959"/>
      <c r="DB103" s="959"/>
      <c r="DC103" s="891">
        <v>1067</v>
      </c>
      <c r="DD103" s="891" t="s">
        <v>401</v>
      </c>
      <c r="DE103" s="891" t="s">
        <v>412</v>
      </c>
      <c r="DF103" s="891">
        <v>1</v>
      </c>
      <c r="DG103" s="959"/>
      <c r="DH103" s="959"/>
      <c r="ER103" s="905">
        <v>2181</v>
      </c>
      <c r="ES103" s="906" t="s">
        <v>4038</v>
      </c>
      <c r="ET103" s="2686">
        <v>6</v>
      </c>
      <c r="EV103" s="985"/>
      <c r="EW103" s="985"/>
      <c r="EX103" s="387"/>
      <c r="EY103" s="939"/>
      <c r="EZ103" s="886"/>
    </row>
    <row r="104" spans="31:156" ht="18" hidden="1">
      <c r="AF104" s="420" t="s">
        <v>1148</v>
      </c>
      <c r="AM104" s="1047"/>
      <c r="AV104" t="s">
        <v>3879</v>
      </c>
      <c r="AX104" t="b">
        <f>OR(AND($B$51&gt;99,$B$51&lt;200),$B$51=4931,$B$51=4939,AND($B$51&gt;3499,$B$51&lt;3800))</f>
        <v>0</v>
      </c>
      <c r="CJ104" s="197"/>
      <c r="CK104" s="215" t="s">
        <v>386</v>
      </c>
      <c r="CL104" s="197" t="e">
        <f>INDEX($AE$59:$AK$85,15,$AE$89)</f>
        <v>#VALUE!</v>
      </c>
      <c r="CM104" s="213"/>
      <c r="CN104" s="213"/>
      <c r="CO104" s="197"/>
      <c r="CP104" s="197"/>
      <c r="CQ104" s="197"/>
      <c r="CR104" s="197"/>
      <c r="CS104" s="197"/>
      <c r="CT104" s="197"/>
      <c r="CU104" s="197"/>
      <c r="CV104" s="197"/>
      <c r="CW104" s="197"/>
      <c r="CX104" s="959"/>
      <c r="CY104" s="959"/>
      <c r="CZ104" s="959"/>
      <c r="DA104" s="959"/>
      <c r="DB104" s="959"/>
      <c r="DC104" s="891">
        <v>1068</v>
      </c>
      <c r="DD104" s="891" t="s">
        <v>401</v>
      </c>
      <c r="DE104" s="891" t="s">
        <v>402</v>
      </c>
      <c r="DF104" s="891">
        <v>1</v>
      </c>
      <c r="DG104" s="959"/>
      <c r="DH104" s="959"/>
      <c r="ER104" s="905">
        <v>2182</v>
      </c>
      <c r="ES104" s="906" t="s">
        <v>4039</v>
      </c>
      <c r="ET104" s="2686">
        <v>6</v>
      </c>
      <c r="EV104" s="985"/>
      <c r="EW104" s="985"/>
      <c r="EX104" s="387"/>
      <c r="EY104" s="939"/>
      <c r="EZ104" s="886"/>
    </row>
    <row r="105" spans="31:156" ht="51" hidden="1" customHeight="1">
      <c r="AF105" s="420" t="s">
        <v>1164</v>
      </c>
      <c r="AM105" s="1017"/>
      <c r="AX105" s="440" t="s">
        <v>4760</v>
      </c>
      <c r="AY105" s="439" t="s">
        <v>4761</v>
      </c>
      <c r="AZ105" s="439" t="s">
        <v>3878</v>
      </c>
      <c r="BA105" s="439" t="s">
        <v>3880</v>
      </c>
      <c r="BB105" s="439" t="s">
        <v>3146</v>
      </c>
      <c r="BC105" s="1762"/>
      <c r="BD105" s="1762"/>
      <c r="BE105" s="1762"/>
      <c r="BF105" s="1762"/>
      <c r="BG105" s="1762"/>
      <c r="BH105" s="1762"/>
      <c r="BI105" s="1762"/>
      <c r="BJ105" s="1762"/>
      <c r="BK105" s="1762"/>
      <c r="BL105" s="1762"/>
      <c r="BM105" s="1762"/>
      <c r="BN105" s="1762"/>
      <c r="BO105" s="1762"/>
      <c r="BP105" s="1762"/>
      <c r="BQ105" s="1762"/>
      <c r="BR105" s="439"/>
      <c r="BS105" s="439"/>
      <c r="BT105" s="439"/>
      <c r="BU105" s="439"/>
      <c r="BV105" s="439"/>
      <c r="BW105" s="439"/>
      <c r="BX105" s="1236"/>
      <c r="BY105" s="1236" t="s">
        <v>4758</v>
      </c>
      <c r="BZ105" s="1954" t="s">
        <v>4763</v>
      </c>
      <c r="CA105" s="1954"/>
      <c r="CB105" s="1954"/>
      <c r="CC105" s="1954"/>
      <c r="CD105" s="1954"/>
      <c r="CE105" s="1954" t="s">
        <v>4762</v>
      </c>
      <c r="CI105" s="1954" t="s">
        <v>4764</v>
      </c>
      <c r="CJ105" s="197"/>
      <c r="CK105" s="197"/>
      <c r="CL105" s="197"/>
      <c r="CM105" s="213">
        <v>5</v>
      </c>
      <c r="CN105" s="222">
        <v>0.45</v>
      </c>
      <c r="CO105" s="222">
        <v>0.4</v>
      </c>
      <c r="CP105" s="222">
        <v>0.3</v>
      </c>
      <c r="CQ105" s="222">
        <v>0.2</v>
      </c>
      <c r="CR105" s="222">
        <v>0.05</v>
      </c>
      <c r="CS105" s="222">
        <v>-0.1</v>
      </c>
      <c r="CT105" s="197"/>
      <c r="CU105" s="197"/>
      <c r="CV105" s="197"/>
      <c r="CW105" s="197"/>
      <c r="CX105" s="959"/>
      <c r="CY105" s="959"/>
      <c r="CZ105" s="959"/>
      <c r="DA105" s="959"/>
      <c r="DB105" s="959"/>
      <c r="DC105" s="891">
        <v>1125</v>
      </c>
      <c r="DD105" s="891" t="s">
        <v>401</v>
      </c>
      <c r="DE105" s="891" t="s">
        <v>431</v>
      </c>
      <c r="DF105" s="891">
        <v>1</v>
      </c>
      <c r="DG105" s="959"/>
      <c r="DH105" s="966" t="s">
        <v>4765</v>
      </c>
      <c r="DI105" s="967" t="s">
        <v>4767</v>
      </c>
      <c r="DJ105" s="967"/>
      <c r="DK105" s="967"/>
      <c r="DL105" s="952" t="s">
        <v>4766</v>
      </c>
      <c r="ER105" s="905">
        <v>2183</v>
      </c>
      <c r="ES105" s="906" t="s">
        <v>4040</v>
      </c>
      <c r="ET105" s="2686">
        <v>6</v>
      </c>
      <c r="EV105" s="985"/>
      <c r="EW105" s="985"/>
      <c r="EX105" s="387"/>
      <c r="EY105" s="939"/>
      <c r="EZ105" s="886"/>
    </row>
    <row r="106" spans="31:156" hidden="1">
      <c r="AE106" s="252" t="s">
        <v>3048</v>
      </c>
      <c r="AV106" s="106" t="s">
        <v>2451</v>
      </c>
      <c r="AW106" s="451"/>
      <c r="AX106" s="109">
        <v>39720</v>
      </c>
      <c r="AY106">
        <v>0.9</v>
      </c>
      <c r="AZ106">
        <v>0.8</v>
      </c>
      <c r="BA106">
        <v>0.6</v>
      </c>
      <c r="BB106">
        <v>2</v>
      </c>
      <c r="BY106" s="60">
        <v>1.5</v>
      </c>
      <c r="BZ106" s="1962">
        <f>MAX(AY106*KÉRDÉSEK!$C$73,NDK!AZ106*KÉRDÉSEK!$C$71,NDK!BA106*KÉRDÉSEK!$C$72)</f>
        <v>0</v>
      </c>
      <c r="CE106" s="75">
        <f>MAX(BB106*KÉRDÉSEK!$C$76,BY106*KÉRDÉSEK!$C$24)</f>
        <v>0</v>
      </c>
      <c r="CI106" s="75">
        <f>BZ106*KÉRDÉSEK!$C$74+KÉRDÉSEK!$C$75*NDK!CE106</f>
        <v>0</v>
      </c>
      <c r="CJ106" s="197"/>
      <c r="CK106" s="197" t="s">
        <v>388</v>
      </c>
      <c r="CL106" s="197" t="e">
        <f>INDEX($AE$59:$AK$85,17,$AE$89)</f>
        <v>#VALUE!</v>
      </c>
      <c r="CM106" s="213"/>
      <c r="CN106" s="213"/>
      <c r="CO106" s="197"/>
      <c r="CP106" s="197"/>
      <c r="CQ106" s="197"/>
      <c r="CR106" s="197"/>
      <c r="CS106" s="197"/>
      <c r="CT106" s="197"/>
      <c r="CU106" s="197"/>
      <c r="CV106" s="197"/>
      <c r="CW106" s="197"/>
      <c r="CX106" s="959"/>
      <c r="CY106" s="959"/>
      <c r="CZ106" s="959"/>
      <c r="DA106" s="959"/>
      <c r="DB106" s="959"/>
      <c r="DC106" s="891">
        <v>1071</v>
      </c>
      <c r="DD106" s="891" t="s">
        <v>401</v>
      </c>
      <c r="DE106" s="891" t="s">
        <v>418</v>
      </c>
      <c r="DF106" s="891">
        <v>1</v>
      </c>
      <c r="DG106" s="959"/>
      <c r="DH106" s="959">
        <f>IF(CI106&gt;0,CI106,1)</f>
        <v>1</v>
      </c>
      <c r="DI106" s="885">
        <f>KÉRDÉSEK!$C$70</f>
        <v>0</v>
      </c>
      <c r="DL106" s="885">
        <f>KÉRDÉSEK!$C$64</f>
        <v>0</v>
      </c>
      <c r="ER106" s="905">
        <v>2184</v>
      </c>
      <c r="ES106" s="906" t="s">
        <v>4041</v>
      </c>
      <c r="ET106" s="2686">
        <v>6</v>
      </c>
      <c r="EV106" s="985"/>
      <c r="EW106" s="985"/>
      <c r="EX106" s="387"/>
      <c r="EY106" s="939"/>
      <c r="EZ106" s="886"/>
    </row>
    <row r="107" spans="31:156" ht="115.5" hidden="1">
      <c r="AV107" s="111" t="s">
        <v>201</v>
      </c>
      <c r="AW107" s="452"/>
      <c r="AX107" s="112"/>
      <c r="BY107" s="60">
        <v>1.5</v>
      </c>
      <c r="BZ107" s="1962">
        <f>MAX(AY107*KÉRDÉSEK!$C$73,NDK!AZ107*KÉRDÉSEK!$C$71,NDK!BA107*KÉRDÉSEK!$C$72)</f>
        <v>0</v>
      </c>
      <c r="CE107" s="75">
        <f>MAX(BB107*KÉRDÉSEK!$C$76,BY107*KÉRDÉSEK!$C$24)</f>
        <v>0</v>
      </c>
      <c r="CI107" s="75">
        <f>BZ107*KÉRDÉSEK!$C$74+KÉRDÉSEK!$C$75*NDK!CE107</f>
        <v>0</v>
      </c>
      <c r="CJ107" s="197"/>
      <c r="CK107" s="215" t="s">
        <v>389</v>
      </c>
      <c r="CL107" s="197" t="e">
        <f>INDEX($AE$59:$AK$85,18,$AE$89)</f>
        <v>#VALUE!</v>
      </c>
      <c r="CM107" s="213"/>
      <c r="CN107" s="213"/>
      <c r="CO107" s="197"/>
      <c r="CP107" s="197"/>
      <c r="CQ107" s="197"/>
      <c r="CR107" s="197"/>
      <c r="CS107" s="197"/>
      <c r="CT107" s="197"/>
      <c r="CU107" s="197"/>
      <c r="CV107" s="197"/>
      <c r="CW107" s="197"/>
      <c r="CX107" s="959"/>
      <c r="CY107" s="959"/>
      <c r="CZ107" s="959"/>
      <c r="DA107" s="959"/>
      <c r="DB107" s="959"/>
      <c r="DC107" s="891">
        <v>1072</v>
      </c>
      <c r="DD107" s="891" t="s">
        <v>401</v>
      </c>
      <c r="DE107" s="891" t="s">
        <v>402</v>
      </c>
      <c r="DF107" s="891">
        <v>1</v>
      </c>
      <c r="DG107" s="959"/>
      <c r="DH107" s="959">
        <f t="shared" ref="DH107:DH148" si="18">IF(CI107&gt;0,CI107,1)</f>
        <v>1</v>
      </c>
      <c r="ER107" s="905">
        <v>2185</v>
      </c>
      <c r="ES107" s="906" t="s">
        <v>4042</v>
      </c>
      <c r="ET107" s="2686">
        <v>6</v>
      </c>
      <c r="EV107" s="985"/>
      <c r="EW107" s="985"/>
      <c r="EX107" s="387"/>
      <c r="EY107" s="939"/>
      <c r="EZ107" s="886"/>
    </row>
    <row r="108" spans="31:156" hidden="1">
      <c r="AE108">
        <v>1</v>
      </c>
      <c r="AF108">
        <v>2</v>
      </c>
      <c r="AG108">
        <v>3</v>
      </c>
      <c r="AH108">
        <v>4</v>
      </c>
      <c r="AJ108">
        <v>5</v>
      </c>
      <c r="AK108">
        <v>6</v>
      </c>
      <c r="AV108" s="106" t="s">
        <v>2452</v>
      </c>
      <c r="AW108" s="451"/>
      <c r="AX108" s="109">
        <v>51600</v>
      </c>
      <c r="AY108">
        <v>0.9</v>
      </c>
      <c r="AZ108">
        <v>0.7</v>
      </c>
      <c r="BA108">
        <v>0.5</v>
      </c>
      <c r="BB108">
        <v>2</v>
      </c>
      <c r="BY108" s="60">
        <v>1.5</v>
      </c>
      <c r="BZ108" s="1962">
        <f>MAX(AY108*KÉRDÉSEK!$C$73,NDK!AZ108*KÉRDÉSEK!$C$71,NDK!BA108*KÉRDÉSEK!$C$72)</f>
        <v>0</v>
      </c>
      <c r="CE108" s="75">
        <f>MAX(BB108*KÉRDÉSEK!$C$76,BY108*KÉRDÉSEK!$C$24)</f>
        <v>0</v>
      </c>
      <c r="CI108" s="75">
        <f>BZ108*KÉRDÉSEK!$C$74+KÉRDÉSEK!$C$75*NDK!CE108</f>
        <v>0</v>
      </c>
      <c r="CJ108" s="197"/>
      <c r="CK108" s="215" t="s">
        <v>422</v>
      </c>
      <c r="CL108" s="197" t="e">
        <f>INDEX($AE$59:$AK$85,19,$AE$89)</f>
        <v>#VALUE!</v>
      </c>
      <c r="CM108" s="213"/>
      <c r="CN108" s="213"/>
      <c r="CO108" s="197"/>
      <c r="CP108" s="197"/>
      <c r="CQ108" s="197"/>
      <c r="CR108" s="197"/>
      <c r="CS108" s="197"/>
      <c r="CT108" s="197"/>
      <c r="CU108" s="197"/>
      <c r="CV108" s="197"/>
      <c r="CW108" s="197"/>
      <c r="CX108" s="959"/>
      <c r="CY108" s="959"/>
      <c r="CZ108" s="959"/>
      <c r="DA108" s="959"/>
      <c r="DB108" s="959"/>
      <c r="DC108" s="891">
        <v>1073</v>
      </c>
      <c r="DD108" s="891" t="s">
        <v>401</v>
      </c>
      <c r="DE108" s="891" t="s">
        <v>410</v>
      </c>
      <c r="DF108" s="891">
        <v>1</v>
      </c>
      <c r="DG108" s="959"/>
      <c r="DH108" s="959">
        <f t="shared" si="18"/>
        <v>1</v>
      </c>
      <c r="ER108" s="905">
        <v>2191</v>
      </c>
      <c r="ES108" s="906" t="s">
        <v>4043</v>
      </c>
      <c r="ET108" s="2686">
        <v>6</v>
      </c>
      <c r="EV108" s="985"/>
      <c r="EW108" s="985"/>
      <c r="EX108" s="387"/>
      <c r="EY108" s="939"/>
      <c r="EZ108" s="886"/>
    </row>
    <row r="109" spans="31:156" ht="64.5" hidden="1">
      <c r="AE109" t="s">
        <v>3049</v>
      </c>
      <c r="AF109" t="s">
        <v>3055</v>
      </c>
      <c r="AG109" t="s">
        <v>3058</v>
      </c>
      <c r="AH109" t="s">
        <v>3059</v>
      </c>
      <c r="AJ109" t="s">
        <v>3062</v>
      </c>
      <c r="AV109" s="110" t="s">
        <v>3319</v>
      </c>
      <c r="AW109" s="453"/>
      <c r="AX109" s="109">
        <v>63480</v>
      </c>
      <c r="AY109">
        <v>0.9</v>
      </c>
      <c r="AZ109">
        <v>0.7</v>
      </c>
      <c r="BA109">
        <v>0.5</v>
      </c>
      <c r="BB109">
        <v>2</v>
      </c>
      <c r="BY109" s="60">
        <v>1.5</v>
      </c>
      <c r="BZ109" s="1962">
        <f>MAX(AY109*KÉRDÉSEK!$C$73,NDK!AZ109*KÉRDÉSEK!$C$71,NDK!BA109*KÉRDÉSEK!$C$72)</f>
        <v>0</v>
      </c>
      <c r="CE109" s="75">
        <f>MAX(BB109*KÉRDÉSEK!$C$76,BY109*KÉRDÉSEK!$C$24)</f>
        <v>0</v>
      </c>
      <c r="CI109" s="75">
        <f>BZ109*KÉRDÉSEK!$C$74+KÉRDÉSEK!$C$75*NDK!CE109</f>
        <v>0</v>
      </c>
      <c r="CJ109" s="197"/>
      <c r="CK109" s="217" t="s">
        <v>4874</v>
      </c>
      <c r="CL109" s="197" t="e">
        <f>INDEX($AE$59:$AK$85,20,$AE$89)</f>
        <v>#VALUE!</v>
      </c>
      <c r="CM109" s="213"/>
      <c r="CN109" s="213"/>
      <c r="CO109" s="197"/>
      <c r="CP109" s="197"/>
      <c r="CQ109" s="197"/>
      <c r="CR109" s="197"/>
      <c r="CS109" s="197"/>
      <c r="CT109" s="197"/>
      <c r="CU109" s="197"/>
      <c r="CV109" s="197"/>
      <c r="CW109" s="197"/>
      <c r="CX109" s="959"/>
      <c r="CY109" s="959"/>
      <c r="CZ109" s="959"/>
      <c r="DA109" s="959"/>
      <c r="DB109" s="959"/>
      <c r="DC109" s="891">
        <v>1074</v>
      </c>
      <c r="DD109" s="891" t="s">
        <v>401</v>
      </c>
      <c r="DE109" s="891" t="s">
        <v>431</v>
      </c>
      <c r="DF109" s="891">
        <v>1</v>
      </c>
      <c r="DG109" s="959"/>
      <c r="DH109" s="959">
        <f t="shared" si="18"/>
        <v>1</v>
      </c>
      <c r="ER109" s="905">
        <v>2192</v>
      </c>
      <c r="ES109" s="906" t="s">
        <v>4044</v>
      </c>
      <c r="ET109" s="2686">
        <v>6</v>
      </c>
      <c r="EV109" s="985"/>
      <c r="EW109" s="985"/>
      <c r="EX109" s="387"/>
      <c r="EY109" s="939"/>
      <c r="EZ109" s="886"/>
    </row>
    <row r="110" spans="31:156" ht="26.25" hidden="1">
      <c r="AE110" t="b">
        <f>OR(AE117,AE118)</f>
        <v>1</v>
      </c>
      <c r="AF110" t="b">
        <f>OR(AF119,AF120)</f>
        <v>0</v>
      </c>
      <c r="AG110" t="b">
        <f>OR(AG121,AG122)</f>
        <v>0</v>
      </c>
      <c r="AJ110" t="e">
        <f>IF(VLOOKUP(B52,AH149:AK930,3,FALSE)=5,TRUE,FALSE)</f>
        <v>#N/A</v>
      </c>
      <c r="AV110" s="111" t="s">
        <v>1491</v>
      </c>
      <c r="AW110" s="452"/>
      <c r="AX110" s="112"/>
      <c r="BY110" s="60">
        <v>1.5</v>
      </c>
      <c r="BZ110" s="1962">
        <f>MAX(AY110*KÉRDÉSEK!$C$73,NDK!AZ110*KÉRDÉSEK!$C$71,NDK!BA110*KÉRDÉSEK!$C$72)</f>
        <v>0</v>
      </c>
      <c r="CE110" s="75">
        <f>MAX(BB110*KÉRDÉSEK!$C$76,BY110*KÉRDÉSEK!$C$24)</f>
        <v>0</v>
      </c>
      <c r="CI110" s="75">
        <f>BZ110*KÉRDÉSEK!$C$74+KÉRDÉSEK!$C$75*NDK!CE110</f>
        <v>0</v>
      </c>
      <c r="CJ110" s="197"/>
      <c r="CK110" s="217" t="s">
        <v>392</v>
      </c>
      <c r="CL110" s="197" t="e">
        <f>INDEX($AE$59:$AK$85,21,$AE$89)</f>
        <v>#VALUE!</v>
      </c>
      <c r="CM110" s="213"/>
      <c r="CN110" s="213"/>
      <c r="CO110" s="197"/>
      <c r="CP110" s="197"/>
      <c r="CQ110" s="197"/>
      <c r="CR110" s="197"/>
      <c r="CS110" s="197"/>
      <c r="CT110" s="197"/>
      <c r="CU110" s="197"/>
      <c r="CV110" s="197"/>
      <c r="CW110" s="197"/>
      <c r="CX110" s="959"/>
      <c r="CY110" s="959"/>
      <c r="CZ110" s="959"/>
      <c r="DA110" s="959"/>
      <c r="DB110" s="959"/>
      <c r="DC110" s="891">
        <v>1075</v>
      </c>
      <c r="DD110" s="891" t="s">
        <v>401</v>
      </c>
      <c r="DE110" s="891" t="s">
        <v>432</v>
      </c>
      <c r="DF110" s="891">
        <v>1</v>
      </c>
      <c r="DG110" s="959"/>
      <c r="DH110" s="959">
        <f t="shared" si="18"/>
        <v>1</v>
      </c>
      <c r="ER110" s="905">
        <v>2193</v>
      </c>
      <c r="ES110" s="906" t="s">
        <v>4045</v>
      </c>
      <c r="ET110" s="2686">
        <v>6</v>
      </c>
      <c r="EV110" s="985"/>
      <c r="EW110" s="985"/>
      <c r="EX110" s="387"/>
      <c r="EY110" s="939"/>
      <c r="EZ110" s="886"/>
    </row>
    <row r="111" spans="31:156" ht="26.25" hidden="1">
      <c r="AV111" s="111" t="s">
        <v>3826</v>
      </c>
      <c r="AW111" s="452"/>
      <c r="AX111" s="112"/>
      <c r="BY111" s="60">
        <v>1.5</v>
      </c>
      <c r="BZ111" s="1962">
        <f>MAX(AY111*KÉRDÉSEK!$C$73,NDK!AZ111*KÉRDÉSEK!$C$71,NDK!BA111*KÉRDÉSEK!$C$72)</f>
        <v>0</v>
      </c>
      <c r="CE111" s="75">
        <f>MAX(BB111*KÉRDÉSEK!$C$76,BY111*KÉRDÉSEK!$C$24)</f>
        <v>0</v>
      </c>
      <c r="CI111" s="75">
        <f>BZ111*KÉRDÉSEK!$C$74+KÉRDÉSEK!$C$75*NDK!CE111</f>
        <v>0</v>
      </c>
      <c r="CJ111" s="197"/>
      <c r="CK111" s="217" t="s">
        <v>393</v>
      </c>
      <c r="CL111" s="197" t="e">
        <f>INDEX($AE$59:$AK$85,22,$AE$89)</f>
        <v>#VALUE!</v>
      </c>
      <c r="CM111" s="213"/>
      <c r="CN111" s="213"/>
      <c r="CO111" s="197"/>
      <c r="CP111" s="197"/>
      <c r="CQ111" s="197"/>
      <c r="CR111" s="197"/>
      <c r="CS111" s="197"/>
      <c r="CT111" s="197"/>
      <c r="CU111" s="197"/>
      <c r="CV111" s="197"/>
      <c r="CW111" s="197"/>
      <c r="CX111" s="959"/>
      <c r="CY111" s="959"/>
      <c r="CZ111" s="959"/>
      <c r="DA111" s="959"/>
      <c r="DB111" s="959"/>
      <c r="DC111" s="891">
        <v>1076</v>
      </c>
      <c r="DD111" s="891" t="s">
        <v>401</v>
      </c>
      <c r="DE111" s="891" t="s">
        <v>406</v>
      </c>
      <c r="DF111" s="891">
        <v>1</v>
      </c>
      <c r="DG111" s="959"/>
      <c r="DH111" s="959">
        <f t="shared" si="18"/>
        <v>1</v>
      </c>
      <c r="ER111" s="905">
        <v>2194</v>
      </c>
      <c r="ES111" s="906" t="s">
        <v>4046</v>
      </c>
      <c r="ET111" s="2686">
        <v>6</v>
      </c>
      <c r="EV111" s="985"/>
      <c r="EW111" s="985"/>
      <c r="EX111" s="387"/>
      <c r="EY111" s="939"/>
      <c r="EZ111" s="886"/>
    </row>
    <row r="112" spans="31:156" ht="64.5" hidden="1">
      <c r="AV112" s="110" t="s">
        <v>3320</v>
      </c>
      <c r="AW112" s="453"/>
      <c r="AX112" s="109">
        <v>79440</v>
      </c>
      <c r="AY112" s="442">
        <v>0.9</v>
      </c>
      <c r="AZ112">
        <v>0.7</v>
      </c>
      <c r="BA112">
        <v>0.5</v>
      </c>
      <c r="BB112">
        <v>2</v>
      </c>
      <c r="BY112" s="60">
        <v>1.5</v>
      </c>
      <c r="BZ112" s="1962">
        <f>MAX(AY112*KÉRDÉSEK!$C$73,NDK!AZ112*KÉRDÉSEK!$C$71,NDK!BA112*KÉRDÉSEK!$C$72)</f>
        <v>0</v>
      </c>
      <c r="CE112" s="75">
        <f>MAX(BB112*KÉRDÉSEK!$C$76,BY112*KÉRDÉSEK!$C$24)</f>
        <v>0</v>
      </c>
      <c r="CI112" s="75">
        <f>BZ112*KÉRDÉSEK!$C$74+KÉRDÉSEK!$C$75*NDK!CE112</f>
        <v>0</v>
      </c>
      <c r="CJ112" s="197"/>
      <c r="CK112" s="217" t="s">
        <v>394</v>
      </c>
      <c r="CL112" s="197" t="e">
        <f>INDEX($AE$59:$AK$85,23,$AE$89)</f>
        <v>#VALUE!</v>
      </c>
      <c r="CM112" s="213"/>
      <c r="CN112" s="213"/>
      <c r="CO112" s="197"/>
      <c r="CP112" s="197"/>
      <c r="CQ112" s="197"/>
      <c r="CR112" s="197"/>
      <c r="CS112" s="197"/>
      <c r="CT112" s="197"/>
      <c r="CU112" s="197"/>
      <c r="CV112" s="197"/>
      <c r="CW112" s="197"/>
      <c r="CX112" s="959"/>
      <c r="CY112" s="959"/>
      <c r="CZ112" s="959"/>
      <c r="DA112" s="959"/>
      <c r="DB112" s="959"/>
      <c r="DC112" s="891">
        <v>1077</v>
      </c>
      <c r="DD112" s="891" t="s">
        <v>401</v>
      </c>
      <c r="DE112" s="891" t="s">
        <v>420</v>
      </c>
      <c r="DF112" s="891">
        <v>1</v>
      </c>
      <c r="DG112" s="959"/>
      <c r="DH112" s="959">
        <f t="shared" si="18"/>
        <v>1</v>
      </c>
      <c r="ER112" s="905">
        <v>2200</v>
      </c>
      <c r="ES112" s="906" t="s">
        <v>4047</v>
      </c>
      <c r="ET112" s="2686">
        <v>6</v>
      </c>
      <c r="EU112" s="895">
        <v>1</v>
      </c>
      <c r="EV112" s="985"/>
      <c r="EW112" s="985"/>
      <c r="EX112" s="387"/>
      <c r="EY112" s="939"/>
      <c r="EZ112" s="886"/>
    </row>
    <row r="113" spans="31:156" ht="26.25" hidden="1">
      <c r="AV113" s="111" t="s">
        <v>1493</v>
      </c>
      <c r="AW113" s="452"/>
      <c r="AX113" s="112"/>
      <c r="BY113" s="60">
        <v>1.5</v>
      </c>
      <c r="BZ113" s="1962">
        <f>MAX(AY113*KÉRDÉSEK!$C$73,NDK!AZ113*KÉRDÉSEK!$C$71,NDK!BA113*KÉRDÉSEK!$C$72)</f>
        <v>0</v>
      </c>
      <c r="CE113" s="75">
        <f>MAX(BB113*KÉRDÉSEK!$C$76,BY113*KÉRDÉSEK!$C$24)</f>
        <v>0</v>
      </c>
      <c r="CI113" s="75">
        <f>BZ113*KÉRDÉSEK!$C$74+KÉRDÉSEK!$C$75*NDK!CE113</f>
        <v>0</v>
      </c>
      <c r="CJ113" s="197"/>
      <c r="CK113" s="217" t="s">
        <v>424</v>
      </c>
      <c r="CL113" s="197" t="e">
        <f>INDEX($AE$59:$AK$85,24,$AE$89)</f>
        <v>#VALUE!</v>
      </c>
      <c r="CM113" s="213"/>
      <c r="CN113" s="213"/>
      <c r="CO113" s="197"/>
      <c r="CP113" s="197"/>
      <c r="CQ113" s="197"/>
      <c r="CR113" s="197"/>
      <c r="CS113" s="197"/>
      <c r="CT113" s="197"/>
      <c r="CU113" s="197"/>
      <c r="CV113" s="197"/>
      <c r="CW113" s="197"/>
      <c r="CX113" s="959"/>
      <c r="CY113" s="959"/>
      <c r="CZ113" s="959"/>
      <c r="DA113" s="959"/>
      <c r="DB113" s="959"/>
      <c r="DC113" s="891">
        <v>1078</v>
      </c>
      <c r="DD113" s="891" t="s">
        <v>401</v>
      </c>
      <c r="DE113" s="891" t="s">
        <v>420</v>
      </c>
      <c r="DF113" s="891">
        <v>1</v>
      </c>
      <c r="DG113" s="959"/>
      <c r="DH113" s="959">
        <f t="shared" si="18"/>
        <v>1</v>
      </c>
      <c r="ER113" s="905">
        <v>2209</v>
      </c>
      <c r="ES113" s="906" t="s">
        <v>4048</v>
      </c>
      <c r="ET113" s="2686">
        <v>6</v>
      </c>
      <c r="EV113" s="985"/>
      <c r="EW113" s="985"/>
      <c r="EX113" s="387"/>
      <c r="EY113" s="939"/>
      <c r="EZ113" s="886"/>
    </row>
    <row r="114" spans="31:156" hidden="1">
      <c r="AV114" s="114" t="s">
        <v>2453</v>
      </c>
      <c r="AW114" s="278"/>
      <c r="AX114" s="109">
        <v>99240</v>
      </c>
      <c r="AY114">
        <v>0.9</v>
      </c>
      <c r="AZ114">
        <v>0.8</v>
      </c>
      <c r="BA114">
        <v>0.5</v>
      </c>
      <c r="BB114">
        <v>2</v>
      </c>
      <c r="BY114" s="60">
        <v>1.5</v>
      </c>
      <c r="BZ114" s="1962">
        <f>MAX(AY114*KÉRDÉSEK!$C$73,NDK!AZ114*KÉRDÉSEK!$C$71,NDK!BA114*KÉRDÉSEK!$C$72)</f>
        <v>0</v>
      </c>
      <c r="CE114" s="75">
        <f>MAX(BB114*KÉRDÉSEK!$C$76,BY114*KÉRDÉSEK!$C$24)</f>
        <v>0</v>
      </c>
      <c r="CI114" s="75">
        <f>BZ114*KÉRDÉSEK!$C$74+KÉRDÉSEK!$C$75*NDK!CE114</f>
        <v>0</v>
      </c>
      <c r="CJ114" s="197"/>
      <c r="CK114" s="217" t="s">
        <v>494</v>
      </c>
      <c r="CL114" s="197" t="e">
        <f>INDEX($AE$59:$AK$85,25,$AE$89)</f>
        <v>#VALUE!</v>
      </c>
      <c r="CM114" s="213"/>
      <c r="CN114" s="213"/>
      <c r="CO114" s="197"/>
      <c r="CP114" s="197"/>
      <c r="CQ114" s="197"/>
      <c r="CR114" s="197"/>
      <c r="CS114" s="197"/>
      <c r="CT114" s="197"/>
      <c r="CU114" s="197"/>
      <c r="CV114" s="197"/>
      <c r="CW114" s="197"/>
      <c r="CX114" s="959"/>
      <c r="CY114" s="959"/>
      <c r="CZ114" s="959"/>
      <c r="DA114" s="959"/>
      <c r="DB114" s="959"/>
      <c r="DC114" s="891">
        <v>1081</v>
      </c>
      <c r="DD114" s="891" t="s">
        <v>401</v>
      </c>
      <c r="DE114" s="891" t="s">
        <v>432</v>
      </c>
      <c r="DF114" s="891">
        <v>1</v>
      </c>
      <c r="DG114" s="959"/>
      <c r="DH114" s="959">
        <f t="shared" si="18"/>
        <v>1</v>
      </c>
      <c r="ER114" s="905">
        <v>2211</v>
      </c>
      <c r="ES114" s="906" t="s">
        <v>4049</v>
      </c>
      <c r="ET114" s="2686">
        <v>6</v>
      </c>
      <c r="EU114" s="895">
        <v>1</v>
      </c>
      <c r="EV114" s="985"/>
      <c r="EW114" s="985"/>
      <c r="EX114" s="387"/>
      <c r="EY114" s="939"/>
      <c r="EZ114" s="886"/>
    </row>
    <row r="115" spans="31:156" ht="16.5" hidden="1" thickBot="1">
      <c r="AV115" s="114" t="s">
        <v>2454</v>
      </c>
      <c r="AW115" s="278"/>
      <c r="AX115" s="109">
        <v>119160</v>
      </c>
      <c r="AY115">
        <v>0.9</v>
      </c>
      <c r="AZ115">
        <v>0.9</v>
      </c>
      <c r="BA115">
        <v>0.6</v>
      </c>
      <c r="BB115">
        <v>2</v>
      </c>
      <c r="BY115" s="60">
        <v>1.5</v>
      </c>
      <c r="BZ115" s="1962">
        <f>MAX(AY115*KÉRDÉSEK!$C$73,NDK!AZ115*KÉRDÉSEK!$C$71,NDK!BA115*KÉRDÉSEK!$C$72)</f>
        <v>0</v>
      </c>
      <c r="CE115" s="75">
        <f>MAX(BB115*KÉRDÉSEK!$C$76,BY115*KÉRDÉSEK!$C$24)</f>
        <v>0</v>
      </c>
      <c r="CI115" s="75">
        <f>BZ115*KÉRDÉSEK!$C$74+KÉRDÉSEK!$C$75*NDK!CE115</f>
        <v>0</v>
      </c>
      <c r="CJ115" s="197"/>
      <c r="CK115" s="218" t="s">
        <v>425</v>
      </c>
      <c r="CL115" s="197" t="e">
        <f>INDEX($AE$59:$AK$85,26,$AE$89)</f>
        <v>#VALUE!</v>
      </c>
      <c r="CM115" s="213"/>
      <c r="CN115" s="213"/>
      <c r="CO115" s="197"/>
      <c r="CP115" s="197"/>
      <c r="CQ115" s="197"/>
      <c r="CR115" s="197"/>
      <c r="CS115" s="197"/>
      <c r="CT115" s="197"/>
      <c r="CU115" s="197"/>
      <c r="CV115" s="197"/>
      <c r="CW115" s="197"/>
      <c r="CX115" s="959"/>
      <c r="CY115" s="959"/>
      <c r="CZ115" s="959"/>
      <c r="DA115" s="959"/>
      <c r="DB115" s="959"/>
      <c r="DC115" s="891">
        <v>1082</v>
      </c>
      <c r="DD115" s="891" t="s">
        <v>401</v>
      </c>
      <c r="DE115" s="891" t="s">
        <v>433</v>
      </c>
      <c r="DF115" s="891">
        <v>1</v>
      </c>
      <c r="DG115" s="959"/>
      <c r="DH115" s="959">
        <f t="shared" si="18"/>
        <v>1</v>
      </c>
      <c r="ER115" s="905">
        <v>2212</v>
      </c>
      <c r="ES115" s="906" t="s">
        <v>4050</v>
      </c>
      <c r="ET115" s="2686">
        <v>6</v>
      </c>
      <c r="EV115" s="985"/>
      <c r="EW115" s="985"/>
      <c r="EX115" s="387"/>
      <c r="EY115" s="939"/>
      <c r="EZ115" s="886"/>
    </row>
    <row r="116" spans="31:156" ht="16.5" hidden="1" thickTop="1">
      <c r="AE116" s="76" t="s">
        <v>3050</v>
      </c>
      <c r="AV116" s="114" t="s">
        <v>2455</v>
      </c>
      <c r="AW116" s="278"/>
      <c r="AX116" s="112"/>
      <c r="BY116" s="60">
        <v>1.5</v>
      </c>
      <c r="BZ116" s="1962">
        <f>MAX(AY116*KÉRDÉSEK!$C$73,NDK!AZ116*KÉRDÉSEK!$C$71,NDK!BA116*KÉRDÉSEK!$C$72)</f>
        <v>0</v>
      </c>
      <c r="CE116" s="75">
        <f>MAX(BB116*KÉRDÉSEK!$C$76,BY116*KÉRDÉSEK!$C$24)</f>
        <v>0</v>
      </c>
      <c r="CI116" s="75">
        <f>BZ116*KÉRDÉSEK!$C$74+KÉRDÉSEK!$C$75*NDK!CE116</f>
        <v>0</v>
      </c>
      <c r="CJ116" s="197"/>
      <c r="CK116" s="217" t="s">
        <v>426</v>
      </c>
      <c r="CL116" s="197" t="e">
        <f>INDEX($AE$59:$AK$85,27,$AE$89)</f>
        <v>#VALUE!</v>
      </c>
      <c r="CM116" s="213"/>
      <c r="CN116" s="213"/>
      <c r="CO116" s="197"/>
      <c r="CP116" s="197"/>
      <c r="CQ116" s="197"/>
      <c r="CR116" s="197"/>
      <c r="CS116" s="197"/>
      <c r="CT116" s="197"/>
      <c r="CU116" s="197"/>
      <c r="CV116" s="197"/>
      <c r="CW116" s="197"/>
      <c r="CX116" s="959"/>
      <c r="CY116" s="959"/>
      <c r="CZ116" s="959"/>
      <c r="DA116" s="959"/>
      <c r="DB116" s="959"/>
      <c r="DC116" s="891">
        <v>1083</v>
      </c>
      <c r="DD116" s="891" t="s">
        <v>401</v>
      </c>
      <c r="DE116" s="891" t="s">
        <v>406</v>
      </c>
      <c r="DF116" s="891">
        <v>1</v>
      </c>
      <c r="DG116" s="959"/>
      <c r="DH116" s="959">
        <f t="shared" si="18"/>
        <v>1</v>
      </c>
      <c r="ER116" s="905">
        <v>2213</v>
      </c>
      <c r="ES116" s="906" t="s">
        <v>4051</v>
      </c>
      <c r="ET116" s="2686">
        <v>6</v>
      </c>
      <c r="EV116" s="985"/>
      <c r="EW116" s="985"/>
      <c r="EX116" s="387"/>
      <c r="EY116" s="939"/>
      <c r="EZ116" s="886"/>
    </row>
    <row r="117" spans="31:156" hidden="1">
      <c r="AE117" s="251" t="b">
        <f>IF(OR(AND(B52&gt;=1008,B52&lt;=1751),AND(B52&gt;=2013,B52&lt;=2015),AND(B52&gt;=2017,B52&lt;=2019),AND(B52&gt;=2051,B52&lt;=2052),B52=2071,AND(B52&gt;=2083,B52&lt;=2085),B52=2089,B52=2092,B52=2094,AND(B52&gt;=2100,B52&lt;=2111)),TRUE,FALSE)</f>
        <v>1</v>
      </c>
      <c r="AF117" t="s">
        <v>3051</v>
      </c>
      <c r="AV117" s="114" t="s">
        <v>2438</v>
      </c>
      <c r="AW117" s="278"/>
      <c r="AX117" s="109">
        <v>71520</v>
      </c>
      <c r="AY117">
        <v>0.81</v>
      </c>
      <c r="AZ117">
        <v>0.72</v>
      </c>
      <c r="BA117">
        <v>0.5</v>
      </c>
      <c r="BB117">
        <v>2</v>
      </c>
      <c r="BY117" s="60">
        <v>1.5</v>
      </c>
      <c r="BZ117" s="1962">
        <f>MAX(AY117*KÉRDÉSEK!$C$73,NDK!AZ117*KÉRDÉSEK!$C$71,NDK!BA117*KÉRDÉSEK!$C$72)</f>
        <v>0</v>
      </c>
      <c r="CE117" s="75">
        <f>MAX(BB117*KÉRDÉSEK!$C$76,BY117*KÉRDÉSEK!$C$24)</f>
        <v>0</v>
      </c>
      <c r="CI117" s="75">
        <f>BZ117*KÉRDÉSEK!$C$74+KÉRDÉSEK!$C$75*NDK!CE117</f>
        <v>0</v>
      </c>
      <c r="CJ117" s="197"/>
      <c r="CK117" s="197"/>
      <c r="CL117" s="197"/>
      <c r="CM117" s="213"/>
      <c r="CN117" s="213"/>
      <c r="CO117" s="197"/>
      <c r="CP117" s="197"/>
      <c r="CQ117" s="197"/>
      <c r="CR117" s="197"/>
      <c r="CS117" s="197"/>
      <c r="CT117" s="197"/>
      <c r="CU117" s="197"/>
      <c r="CV117" s="197"/>
      <c r="CW117" s="197"/>
      <c r="CX117" s="959"/>
      <c r="CY117" s="959"/>
      <c r="CZ117" s="959"/>
      <c r="DA117" s="959"/>
      <c r="DB117" s="959"/>
      <c r="DC117" s="891">
        <v>1084</v>
      </c>
      <c r="DD117" s="891" t="s">
        <v>401</v>
      </c>
      <c r="DE117" s="891" t="s">
        <v>434</v>
      </c>
      <c r="DF117" s="891">
        <v>1</v>
      </c>
      <c r="DG117" s="959"/>
      <c r="DH117" s="959">
        <f t="shared" si="18"/>
        <v>1</v>
      </c>
      <c r="ER117" s="905">
        <v>2214</v>
      </c>
      <c r="ES117" s="906" t="s">
        <v>4052</v>
      </c>
      <c r="ET117" s="2686">
        <v>9</v>
      </c>
      <c r="EV117" s="985"/>
      <c r="EW117" s="985"/>
      <c r="EX117" s="387"/>
      <c r="EY117" s="939"/>
      <c r="EZ117" s="886"/>
    </row>
    <row r="118" spans="31:156" ht="51.75" hidden="1">
      <c r="AE118" s="251" t="b">
        <f>OR(B52=2117,AND(B52&gt;=2120,B52&lt;=2132),AND(B52&gt;=2142,B52&lt;=2146),B52=2161,AND(B52&gt;=2233,B52&lt;=2235),AND(B52&gt;=2314,B52&lt;=2316),B52=2335,AND(B52&gt;=2440,B52&lt;=2444),B52=2461)</f>
        <v>0</v>
      </c>
      <c r="AF118" t="s">
        <v>3052</v>
      </c>
      <c r="AV118" s="258" t="s">
        <v>2439</v>
      </c>
      <c r="AW118" s="280"/>
      <c r="AX118" s="112"/>
      <c r="BY118" s="60">
        <v>1.5</v>
      </c>
      <c r="BZ118" s="1962">
        <f>MAX(AY118*KÉRDÉSEK!$C$73,NDK!AZ118*KÉRDÉSEK!$C$71,NDK!BA118*KÉRDÉSEK!$C$72)</f>
        <v>0</v>
      </c>
      <c r="CE118" s="75">
        <f>MAX(BB118*KÉRDÉSEK!$C$76,BY118*KÉRDÉSEK!$C$24)</f>
        <v>0</v>
      </c>
      <c r="CI118" s="75">
        <f>BZ118*KÉRDÉSEK!$C$74+KÉRDÉSEK!$C$75*NDK!CE118</f>
        <v>0</v>
      </c>
      <c r="CJ118" s="197"/>
      <c r="CL118" s="243"/>
      <c r="CM118" s="1963"/>
      <c r="CP118" s="3251" t="s">
        <v>5400</v>
      </c>
      <c r="CS118" s="3250">
        <v>0</v>
      </c>
      <c r="CT118" s="3167">
        <v>1</v>
      </c>
      <c r="CU118" s="3249" t="s">
        <v>5399</v>
      </c>
      <c r="CX118" s="959"/>
      <c r="CY118" s="959"/>
      <c r="CZ118" s="959"/>
      <c r="DA118" s="959"/>
      <c r="DB118" s="959"/>
      <c r="DC118" s="891">
        <v>1085</v>
      </c>
      <c r="DD118" s="891" t="s">
        <v>401</v>
      </c>
      <c r="DE118" s="891" t="s">
        <v>412</v>
      </c>
      <c r="DF118" s="891">
        <v>2</v>
      </c>
      <c r="DG118" s="959"/>
      <c r="DH118" s="959">
        <f t="shared" si="18"/>
        <v>1</v>
      </c>
      <c r="ER118" s="905">
        <v>2215</v>
      </c>
      <c r="ES118" s="906" t="s">
        <v>4053</v>
      </c>
      <c r="ET118" s="2686">
        <v>9</v>
      </c>
      <c r="EV118" s="985"/>
      <c r="EW118" s="985"/>
      <c r="EX118" s="387"/>
      <c r="EY118" s="939"/>
      <c r="EZ118" s="886"/>
    </row>
    <row r="119" spans="31:156" hidden="1">
      <c r="AF119" s="251" t="b">
        <f>IF(OR(AND(B52&gt;=2000,B52&lt;=2003),AND(B52&gt;=2011,B52&lt;=2012),AND(B52&gt;=2030,B52&lt;=2036),AND(B52&gt;=2040,B52&lt;=2044),B52=2049,B52=2096,B52=2112,B52=2119,B52=2141),TRUE,FALSE)</f>
        <v>0</v>
      </c>
      <c r="AG119" t="s">
        <v>3053</v>
      </c>
      <c r="AV119" s="257" t="s">
        <v>4937</v>
      </c>
      <c r="AW119" s="279"/>
      <c r="AX119" s="112"/>
      <c r="BY119" s="60">
        <v>1.5</v>
      </c>
      <c r="BZ119" s="1962">
        <f>MAX(AY119*KÉRDÉSEK!$C$73,NDK!AZ119*KÉRDÉSEK!$C$71,NDK!BA119*KÉRDÉSEK!$C$72)</f>
        <v>0</v>
      </c>
      <c r="CE119" s="75">
        <f>MAX(BB119*KÉRDÉSEK!$C$76,BY119*KÉRDÉSEK!$C$24)</f>
        <v>0</v>
      </c>
      <c r="CI119" s="75">
        <f>BZ119*KÉRDÉSEK!$C$74+KÉRDÉSEK!$C$75*NDK!CE119</f>
        <v>0</v>
      </c>
      <c r="CJ119" s="197"/>
      <c r="CK119" s="199" t="s">
        <v>82</v>
      </c>
      <c r="CL119" s="244">
        <f>CP119</f>
        <v>1</v>
      </c>
      <c r="CM119" s="1963"/>
      <c r="CP119" s="3247">
        <f>VLOOKUP(DA4,CS118:CT121,2)</f>
        <v>1</v>
      </c>
      <c r="CS119" s="3250">
        <v>0.05</v>
      </c>
      <c r="CT119" s="3167">
        <v>2</v>
      </c>
      <c r="CU119" s="3250">
        <f>KÉRDÉSEK!C84</f>
        <v>0</v>
      </c>
      <c r="CX119" s="959"/>
      <c r="CY119" s="959"/>
      <c r="CZ119" s="959"/>
      <c r="DA119" s="959"/>
      <c r="DB119" s="959"/>
      <c r="DC119" s="891">
        <v>1086</v>
      </c>
      <c r="DD119" s="891" t="s">
        <v>401</v>
      </c>
      <c r="DE119" s="891" t="s">
        <v>423</v>
      </c>
      <c r="DF119" s="891">
        <v>1</v>
      </c>
      <c r="DG119" s="959"/>
      <c r="DH119" s="959">
        <f t="shared" si="18"/>
        <v>1</v>
      </c>
      <c r="ER119" s="905">
        <v>2216</v>
      </c>
      <c r="ES119" s="906" t="s">
        <v>4054</v>
      </c>
      <c r="ET119" s="2686">
        <v>9</v>
      </c>
      <c r="EV119" s="985"/>
      <c r="EW119" s="985"/>
      <c r="EX119" s="387"/>
      <c r="EY119" s="939"/>
      <c r="EZ119" s="886"/>
    </row>
    <row r="120" spans="31:156" hidden="1">
      <c r="AF120" s="251" t="b">
        <f>IF(OR(AND(B52&gt;=2151,B52&lt;=2153),AND(B52&gt;=2220,B52&lt;=2222),AND(B52&gt;=2310,B52&lt;=2313),AND(B52&gt;=2330,B52&lt;=2332),B52=2360),TRUE,FALSE)</f>
        <v>0</v>
      </c>
      <c r="AG120" t="s">
        <v>3054</v>
      </c>
      <c r="AV120" s="114" t="s">
        <v>2456</v>
      </c>
      <c r="AW120" s="278"/>
      <c r="AX120" s="109">
        <v>172680</v>
      </c>
      <c r="AY120">
        <v>0.81</v>
      </c>
      <c r="AZ120">
        <v>0.72</v>
      </c>
      <c r="BA120">
        <v>0.5</v>
      </c>
      <c r="BB120">
        <v>2</v>
      </c>
      <c r="BY120" s="60">
        <v>1.5</v>
      </c>
      <c r="BZ120" s="1962">
        <f>MAX(AY120*KÉRDÉSEK!$C$73,NDK!AZ120*KÉRDÉSEK!$C$71,NDK!BA120*KÉRDÉSEK!$C$72)</f>
        <v>0</v>
      </c>
      <c r="CE120" s="75">
        <f>MAX(BB120*KÉRDÉSEK!$C$76,BY120*KÉRDÉSEK!$C$24)</f>
        <v>0</v>
      </c>
      <c r="CI120" s="75">
        <f>BZ120*KÉRDÉSEK!$C$74+KÉRDÉSEK!$C$75*NDK!CE120</f>
        <v>0</v>
      </c>
      <c r="CJ120" s="197"/>
      <c r="CM120" s="1963"/>
      <c r="CS120" s="3250">
        <v>0.08</v>
      </c>
      <c r="CT120" s="3167">
        <v>3</v>
      </c>
      <c r="CX120" s="959"/>
      <c r="CY120" s="959"/>
      <c r="CZ120" s="959"/>
      <c r="DA120" s="959"/>
      <c r="DB120" s="959"/>
      <c r="DC120" s="891">
        <v>1087</v>
      </c>
      <c r="DD120" s="891" t="s">
        <v>401</v>
      </c>
      <c r="DE120" s="891" t="s">
        <v>412</v>
      </c>
      <c r="DF120" s="891">
        <v>1</v>
      </c>
      <c r="DG120" s="959"/>
      <c r="DH120" s="959">
        <f t="shared" si="18"/>
        <v>1</v>
      </c>
      <c r="ER120" s="905">
        <v>2217</v>
      </c>
      <c r="ES120" s="906" t="s">
        <v>4055</v>
      </c>
      <c r="ET120" s="2686">
        <v>6</v>
      </c>
      <c r="EV120" s="985"/>
      <c r="EW120" s="985"/>
      <c r="EX120" s="387"/>
      <c r="EY120" s="939"/>
      <c r="EZ120" s="886"/>
    </row>
    <row r="121" spans="31:156" hidden="1">
      <c r="AG121" s="252" t="b">
        <f>IF(OR(AND(B52&gt;=2045,B52&lt;=2047),AND(B52&gt;=2081,B52&lt;=2082),B52=2087,AND(B52&gt;=2600,B52&lt;=2603),AND(B52&gt;=3300,B52&lt;=3305),AND(B52&gt;=4000,B52&lt;=4048),B52=4063,AND(B52&gt;=4077,B52&lt;=4079),B52=4225,B52=4246),TRUE,FALSE)</f>
        <v>0</v>
      </c>
      <c r="AH121" t="s">
        <v>3056</v>
      </c>
      <c r="AV121" s="257" t="s">
        <v>4938</v>
      </c>
      <c r="AW121" s="279"/>
      <c r="AX121" s="112"/>
      <c r="BY121" s="60">
        <v>1.5</v>
      </c>
      <c r="BZ121" s="1962">
        <f>MAX(AY121*KÉRDÉSEK!$C$73,NDK!AZ121*KÉRDÉSEK!$C$71,NDK!BA121*KÉRDÉSEK!$C$72)</f>
        <v>0</v>
      </c>
      <c r="CE121" s="75">
        <f>MAX(BB121*KÉRDÉSEK!$C$76,BY121*KÉRDÉSEK!$C$24)</f>
        <v>0</v>
      </c>
      <c r="CI121" s="75">
        <f>BZ121*KÉRDÉSEK!$C$74+KÉRDÉSEK!$C$75*NDK!CE121</f>
        <v>0</v>
      </c>
      <c r="CJ121" s="197"/>
      <c r="CM121" s="1963"/>
      <c r="CS121" s="3250">
        <v>0.12</v>
      </c>
      <c r="CT121" s="3167">
        <v>4</v>
      </c>
      <c r="CX121" s="959"/>
      <c r="CY121" s="959"/>
      <c r="CZ121" s="959"/>
      <c r="DA121" s="959"/>
      <c r="DB121" s="959"/>
      <c r="DC121" s="891">
        <v>1088</v>
      </c>
      <c r="DD121" s="891" t="s">
        <v>401</v>
      </c>
      <c r="DE121" s="891" t="s">
        <v>412</v>
      </c>
      <c r="DF121" s="891">
        <v>1</v>
      </c>
      <c r="DG121" s="959"/>
      <c r="DH121" s="959">
        <f t="shared" si="18"/>
        <v>1</v>
      </c>
      <c r="ER121" s="905">
        <v>2220</v>
      </c>
      <c r="ES121" s="906" t="s">
        <v>4056</v>
      </c>
      <c r="ET121" s="2686">
        <v>2</v>
      </c>
      <c r="EU121" s="895">
        <v>1</v>
      </c>
      <c r="EV121" s="985"/>
      <c r="EW121" s="985"/>
      <c r="EX121" s="387"/>
      <c r="EY121" s="939"/>
      <c r="EZ121" s="886"/>
    </row>
    <row r="122" spans="31:156" hidden="1">
      <c r="AG122" s="252" t="b">
        <f>IF(OR(AND(B52&gt;=4400,B52&lt;=4433),B52=4435,B52=4451,B52=4481,B52=4551,AND(B52&gt;=7400,B52&lt;=7409),B52=7451,AND(B52&gt;=7600,B52&lt;=7636),AND(B52&gt;=7643,B52&lt;=7650),AND(B52&gt;=7691,B52&lt;=7693),AND(B52&gt;=8000,B52&lt;=8020),AND(B52&gt;=8200,B52&lt;=8207),AND(B52&gt;=8411,B52&lt;=8412),AND(B52&gt;=8900,B52&lt;=8909)),TRUE,FALSE)</f>
        <v>0</v>
      </c>
      <c r="AH122" t="s">
        <v>3057</v>
      </c>
      <c r="AV122" s="257" t="s">
        <v>2440</v>
      </c>
      <c r="AW122" s="279"/>
      <c r="AX122" s="112"/>
      <c r="BY122" s="60">
        <v>1.5</v>
      </c>
      <c r="BZ122" s="1962">
        <f>MAX(AY122*KÉRDÉSEK!$C$73,NDK!AZ122*KÉRDÉSEK!$C$71,NDK!BA122*KÉRDÉSEK!$C$72)</f>
        <v>0</v>
      </c>
      <c r="CE122" s="75">
        <f>MAX(BB122*KÉRDÉSEK!$C$76,BY122*KÉRDÉSEK!$C$24)</f>
        <v>0</v>
      </c>
      <c r="CI122" s="75">
        <f>BZ122*KÉRDÉSEK!$C$74+KÉRDÉSEK!$C$75*NDK!CE122</f>
        <v>0</v>
      </c>
      <c r="CJ122" s="197"/>
      <c r="CX122" s="959"/>
      <c r="CY122" s="959"/>
      <c r="CZ122" s="959"/>
      <c r="DA122" s="959"/>
      <c r="DB122" s="959"/>
      <c r="DC122" s="891">
        <v>1089</v>
      </c>
      <c r="DD122" s="891" t="s">
        <v>401</v>
      </c>
      <c r="DE122" s="891" t="s">
        <v>406</v>
      </c>
      <c r="DF122" s="891">
        <v>1</v>
      </c>
      <c r="DG122" s="959"/>
      <c r="DH122" s="959">
        <f t="shared" si="18"/>
        <v>1</v>
      </c>
      <c r="ER122" s="905">
        <v>2225</v>
      </c>
      <c r="ES122" s="906" t="s">
        <v>4057</v>
      </c>
      <c r="ET122" s="2686">
        <v>6</v>
      </c>
      <c r="EV122" s="985"/>
      <c r="EW122" s="985"/>
      <c r="EX122" s="387"/>
      <c r="EY122" s="939"/>
      <c r="EZ122" s="886"/>
    </row>
    <row r="123" spans="31:156" hidden="1">
      <c r="AV123" s="106" t="s">
        <v>4134</v>
      </c>
      <c r="AW123" s="451"/>
      <c r="AX123" s="109">
        <v>228840</v>
      </c>
      <c r="AY123">
        <v>0.81</v>
      </c>
      <c r="AZ123">
        <v>0.72</v>
      </c>
      <c r="BA123">
        <v>0.5</v>
      </c>
      <c r="BB123">
        <v>2</v>
      </c>
      <c r="BY123" s="60">
        <v>1.5</v>
      </c>
      <c r="BZ123" s="1962">
        <f>MAX(AY123*KÉRDÉSEK!$C$73,NDK!AZ123*KÉRDÉSEK!$C$71,NDK!BA123*KÉRDÉSEK!$C$72)</f>
        <v>0</v>
      </c>
      <c r="CE123" s="75">
        <f>MAX(BB123*KÉRDÉSEK!$C$76,BY123*KÉRDÉSEK!$C$24)</f>
        <v>0</v>
      </c>
      <c r="CI123" s="75">
        <f>BZ123*KÉRDÉSEK!$C$74+KÉRDÉSEK!$C$75*NDK!CE123</f>
        <v>0</v>
      </c>
      <c r="CJ123" s="197"/>
      <c r="CL123" s="2179" t="s">
        <v>75</v>
      </c>
      <c r="CX123" s="959"/>
      <c r="CY123" s="959"/>
      <c r="CZ123" s="959"/>
      <c r="DA123" s="959"/>
      <c r="DB123" s="959"/>
      <c r="DC123" s="891">
        <v>1091</v>
      </c>
      <c r="DD123" s="891" t="s">
        <v>401</v>
      </c>
      <c r="DE123" s="891" t="s">
        <v>435</v>
      </c>
      <c r="DF123" s="891">
        <v>1</v>
      </c>
      <c r="DG123" s="959"/>
      <c r="DH123" s="959">
        <f t="shared" si="18"/>
        <v>1</v>
      </c>
      <c r="ER123" s="905">
        <v>2230</v>
      </c>
      <c r="ES123" s="906" t="s">
        <v>4058</v>
      </c>
      <c r="ET123" s="2686">
        <v>6</v>
      </c>
      <c r="EU123" s="895">
        <v>1</v>
      </c>
      <c r="EV123" s="985"/>
      <c r="EW123" s="985"/>
      <c r="EX123" s="387"/>
      <c r="EY123" s="939"/>
      <c r="EZ123" s="886"/>
    </row>
    <row r="124" spans="31:156" hidden="1">
      <c r="AV124" s="106" t="s">
        <v>2459</v>
      </c>
      <c r="AW124" s="451"/>
      <c r="AX124" s="112"/>
      <c r="BY124" s="60">
        <v>1.5</v>
      </c>
      <c r="BZ124" s="1962">
        <f>MAX(AY124*KÉRDÉSEK!$C$73,NDK!AZ124*KÉRDÉSEK!$C$71,NDK!BA124*KÉRDÉSEK!$C$72)</f>
        <v>0</v>
      </c>
      <c r="CE124" s="75">
        <f>MAX(BB124*KÉRDÉSEK!$C$76,BY124*KÉRDÉSEK!$C$24)</f>
        <v>0</v>
      </c>
      <c r="CI124" s="75">
        <f>BZ124*KÉRDÉSEK!$C$74+KÉRDÉSEK!$C$75*NDK!CE124</f>
        <v>0</v>
      </c>
      <c r="CJ124" s="197"/>
      <c r="CK124" s="244" t="e">
        <f>VLOOKUP(CN53,CL124:CP129,CL119+1)</f>
        <v>#N/A</v>
      </c>
      <c r="CL124" s="1964"/>
      <c r="CM124" s="1964">
        <v>1</v>
      </c>
      <c r="CN124" s="1964">
        <v>2</v>
      </c>
      <c r="CO124" s="1964">
        <v>3</v>
      </c>
      <c r="CP124" s="1964">
        <v>4</v>
      </c>
      <c r="CX124" s="959"/>
      <c r="CY124" s="959"/>
      <c r="CZ124" s="959"/>
      <c r="DA124" s="959"/>
      <c r="DB124" s="959"/>
      <c r="DC124" s="891">
        <v>1092</v>
      </c>
      <c r="DD124" s="891" t="s">
        <v>401</v>
      </c>
      <c r="DE124" s="891" t="s">
        <v>2807</v>
      </c>
      <c r="DF124" s="891">
        <v>1</v>
      </c>
      <c r="DG124" s="959"/>
      <c r="DH124" s="959">
        <f t="shared" si="18"/>
        <v>1</v>
      </c>
      <c r="ER124" s="905">
        <v>2233</v>
      </c>
      <c r="ES124" s="906" t="s">
        <v>4059</v>
      </c>
      <c r="ET124" s="2686">
        <v>6</v>
      </c>
      <c r="EU124" s="895">
        <v>1</v>
      </c>
      <c r="EV124" s="985"/>
      <c r="EW124" s="985"/>
      <c r="EX124" s="387"/>
      <c r="EY124" s="939"/>
      <c r="EZ124" s="886"/>
    </row>
    <row r="125" spans="31:156" hidden="1">
      <c r="AV125" s="114" t="s">
        <v>1494</v>
      </c>
      <c r="AW125" s="278"/>
      <c r="AX125" s="109">
        <v>2280</v>
      </c>
      <c r="AY125">
        <v>0.9</v>
      </c>
      <c r="AZ125">
        <v>0.8</v>
      </c>
      <c r="BA125">
        <v>0.7</v>
      </c>
      <c r="BB125">
        <v>2</v>
      </c>
      <c r="BY125" s="60">
        <v>1.5</v>
      </c>
      <c r="BZ125" s="1962">
        <f>MAX(AY125*KÉRDÉSEK!$C$73,NDK!AZ125*KÉRDÉSEK!$C$71,NDK!BA125*KÉRDÉSEK!$C$72)</f>
        <v>0</v>
      </c>
      <c r="CE125" s="75">
        <f>MAX(BB125*KÉRDÉSEK!$C$76,BY125*KÉRDÉSEK!$C$24)</f>
        <v>0</v>
      </c>
      <c r="CI125" s="75">
        <f>BZ125*KÉRDÉSEK!$C$74+KÉRDÉSEK!$C$75*NDK!CE125</f>
        <v>0</v>
      </c>
      <c r="CJ125" s="197"/>
      <c r="CL125" s="1964">
        <v>1</v>
      </c>
      <c r="CM125" s="2199">
        <v>1</v>
      </c>
      <c r="CN125" s="2199">
        <v>2</v>
      </c>
      <c r="CO125" s="2199">
        <v>5</v>
      </c>
      <c r="CP125" s="2199">
        <v>6</v>
      </c>
      <c r="CX125" s="959"/>
      <c r="CY125" s="959"/>
      <c r="CZ125" s="959"/>
      <c r="DA125" s="959"/>
      <c r="DB125" s="959"/>
      <c r="DC125" s="891">
        <v>1093</v>
      </c>
      <c r="DD125" s="891" t="s">
        <v>401</v>
      </c>
      <c r="DE125" s="891" t="s">
        <v>432</v>
      </c>
      <c r="DF125" s="891">
        <v>1</v>
      </c>
      <c r="DG125" s="959"/>
      <c r="DH125" s="959">
        <f t="shared" si="18"/>
        <v>1</v>
      </c>
      <c r="ER125" s="905">
        <v>2234</v>
      </c>
      <c r="ES125" s="906" t="s">
        <v>4060</v>
      </c>
      <c r="ET125" s="2686">
        <v>6</v>
      </c>
      <c r="EU125" s="895">
        <v>1</v>
      </c>
      <c r="EV125" s="985"/>
      <c r="EW125" s="985"/>
      <c r="EX125" s="387"/>
      <c r="EY125" s="939"/>
      <c r="EZ125" s="886"/>
    </row>
    <row r="126" spans="31:156" hidden="1">
      <c r="AV126" s="114" t="s">
        <v>3072</v>
      </c>
      <c r="AW126" s="278"/>
      <c r="AX126" s="109">
        <v>4800</v>
      </c>
      <c r="AY126">
        <v>0.9</v>
      </c>
      <c r="AZ126">
        <v>0.6</v>
      </c>
      <c r="BA126">
        <v>0.6</v>
      </c>
      <c r="BB126">
        <v>2</v>
      </c>
      <c r="BY126" s="60">
        <v>1.5</v>
      </c>
      <c r="BZ126" s="1962">
        <f>MAX(AY126*KÉRDÉSEK!$C$73,NDK!AZ126*KÉRDÉSEK!$C$71,NDK!BA126*KÉRDÉSEK!$C$72)</f>
        <v>0</v>
      </c>
      <c r="CE126" s="75">
        <f>MAX(BB126*KÉRDÉSEK!$C$76,BY126*KÉRDÉSEK!$C$24)</f>
        <v>0</v>
      </c>
      <c r="CI126" s="75">
        <f>BZ126*KÉRDÉSEK!$C$74+KÉRDÉSEK!$C$75*NDK!CE126</f>
        <v>0</v>
      </c>
      <c r="CJ126" s="197"/>
      <c r="CL126" s="1964">
        <v>11</v>
      </c>
      <c r="CM126" s="2199">
        <v>1</v>
      </c>
      <c r="CN126" s="2199">
        <v>2</v>
      </c>
      <c r="CO126" s="2199">
        <v>4</v>
      </c>
      <c r="CP126" s="2199">
        <v>6</v>
      </c>
      <c r="CX126" s="959"/>
      <c r="CY126" s="959"/>
      <c r="CZ126" s="959"/>
      <c r="DA126" s="959"/>
      <c r="DB126" s="959"/>
      <c r="DC126" s="891">
        <v>1094</v>
      </c>
      <c r="DD126" s="891" t="s">
        <v>401</v>
      </c>
      <c r="DE126" s="891" t="s">
        <v>435</v>
      </c>
      <c r="DF126" s="891">
        <v>1</v>
      </c>
      <c r="DG126" s="959"/>
      <c r="DH126" s="959">
        <f t="shared" si="18"/>
        <v>1</v>
      </c>
      <c r="ER126" s="905">
        <v>2235</v>
      </c>
      <c r="ES126" s="906" t="s">
        <v>4061</v>
      </c>
      <c r="ET126" s="2686">
        <v>6</v>
      </c>
      <c r="EU126" s="895">
        <v>1</v>
      </c>
      <c r="EV126" s="985"/>
      <c r="EW126" s="985"/>
      <c r="EX126" s="387"/>
      <c r="EY126" s="939"/>
      <c r="EZ126" s="886"/>
    </row>
    <row r="127" spans="31:156" hidden="1">
      <c r="AV127" s="257" t="s">
        <v>2711</v>
      </c>
      <c r="AW127" s="279"/>
      <c r="AX127" s="112"/>
      <c r="BY127" s="60">
        <v>1.5</v>
      </c>
      <c r="BZ127" s="1962">
        <f>MAX(AY127*KÉRDÉSEK!$C$73,NDK!AZ127*KÉRDÉSEK!$C$71,NDK!BA127*KÉRDÉSEK!$C$72)</f>
        <v>0</v>
      </c>
      <c r="CE127" s="75">
        <f>MAX(BB127*KÉRDÉSEK!$C$76,BY127*KÉRDÉSEK!$C$24)</f>
        <v>0</v>
      </c>
      <c r="CI127" s="75">
        <f>BZ127*KÉRDÉSEK!$C$74+KÉRDÉSEK!$C$75*NDK!CE127</f>
        <v>0</v>
      </c>
      <c r="CJ127" s="197"/>
      <c r="CL127" s="1964">
        <v>21</v>
      </c>
      <c r="CM127" s="2199">
        <v>1</v>
      </c>
      <c r="CN127" s="2199">
        <v>2</v>
      </c>
      <c r="CO127" s="2199">
        <v>4</v>
      </c>
      <c r="CP127" s="2199">
        <v>6</v>
      </c>
      <c r="CX127" s="959"/>
      <c r="CY127" s="959"/>
      <c r="CZ127" s="959"/>
      <c r="DA127" s="959"/>
      <c r="DB127" s="959"/>
      <c r="DC127" s="891">
        <v>1095</v>
      </c>
      <c r="DD127" s="891" t="s">
        <v>401</v>
      </c>
      <c r="DE127" s="891" t="s">
        <v>419</v>
      </c>
      <c r="DF127" s="891">
        <v>1</v>
      </c>
      <c r="DG127" s="959"/>
      <c r="DH127" s="959">
        <f t="shared" si="18"/>
        <v>1</v>
      </c>
      <c r="ER127" s="905">
        <v>2241</v>
      </c>
      <c r="ES127" s="906" t="s">
        <v>1097</v>
      </c>
      <c r="ET127" s="2686">
        <v>6</v>
      </c>
      <c r="EV127" s="985"/>
      <c r="EW127" s="985"/>
      <c r="EX127" s="387"/>
      <c r="EY127" s="939"/>
      <c r="EZ127" s="886"/>
    </row>
    <row r="128" spans="31:156" hidden="1">
      <c r="AV128" s="114" t="s">
        <v>3071</v>
      </c>
      <c r="AW128" s="278"/>
      <c r="AX128" s="109">
        <v>4800</v>
      </c>
      <c r="AY128">
        <v>0.9</v>
      </c>
      <c r="AZ128">
        <v>0.6</v>
      </c>
      <c r="BA128">
        <v>0.6</v>
      </c>
      <c r="BB128">
        <v>2</v>
      </c>
      <c r="BY128" s="60">
        <v>1.5</v>
      </c>
      <c r="BZ128" s="1962">
        <f>MAX(AY128*KÉRDÉSEK!$C$73,NDK!AZ128*KÉRDÉSEK!$C$71,NDK!BA128*KÉRDÉSEK!$C$72)</f>
        <v>0</v>
      </c>
      <c r="CE128" s="75">
        <f>MAX(BB128*KÉRDÉSEK!$C$76,BY128*KÉRDÉSEK!$C$24)</f>
        <v>0</v>
      </c>
      <c r="CI128" s="75">
        <f>BZ128*KÉRDÉSEK!$C$74+KÉRDÉSEK!$C$75*NDK!CE128</f>
        <v>0</v>
      </c>
      <c r="CJ128" s="197"/>
      <c r="CL128" s="1964">
        <v>51</v>
      </c>
      <c r="CM128" s="2199">
        <v>1</v>
      </c>
      <c r="CN128" s="2199">
        <v>1</v>
      </c>
      <c r="CO128" s="2199">
        <v>3</v>
      </c>
      <c r="CP128" s="2199">
        <v>6</v>
      </c>
      <c r="CX128" s="959"/>
      <c r="CY128" s="959"/>
      <c r="CZ128" s="959"/>
      <c r="DA128" s="959"/>
      <c r="DB128" s="959"/>
      <c r="DC128" s="891">
        <v>1096</v>
      </c>
      <c r="DD128" s="891" t="s">
        <v>401</v>
      </c>
      <c r="DE128" s="891" t="s">
        <v>432</v>
      </c>
      <c r="DF128" s="891">
        <v>1</v>
      </c>
      <c r="DG128" s="959"/>
      <c r="DH128" s="959">
        <f t="shared" si="18"/>
        <v>1</v>
      </c>
      <c r="ER128" s="905">
        <v>2242</v>
      </c>
      <c r="ES128" s="906" t="s">
        <v>1098</v>
      </c>
      <c r="ET128" s="2686">
        <v>6</v>
      </c>
      <c r="EV128" s="985"/>
      <c r="EW128" s="985"/>
      <c r="EX128" s="387"/>
      <c r="EY128" s="939"/>
      <c r="EZ128" s="886"/>
    </row>
    <row r="129" spans="31:156" hidden="1">
      <c r="AV129" s="114" t="s">
        <v>3073</v>
      </c>
      <c r="AW129" s="278"/>
      <c r="AX129" s="112"/>
      <c r="BY129" s="60">
        <v>1.5</v>
      </c>
      <c r="BZ129" s="1962">
        <f>MAX(AY129*KÉRDÉSEK!$C$73,NDK!AZ129*KÉRDÉSEK!$C$71,NDK!BA129*KÉRDÉSEK!$C$72)</f>
        <v>0</v>
      </c>
      <c r="CE129" s="75">
        <f>MAX(BB129*KÉRDÉSEK!$C$76,BY129*KÉRDÉSEK!$C$24)</f>
        <v>0</v>
      </c>
      <c r="CI129" s="75">
        <f>BZ129*KÉRDÉSEK!$C$74+KÉRDÉSEK!$C$75*NDK!CE129</f>
        <v>0</v>
      </c>
      <c r="CJ129" s="197"/>
      <c r="CL129" s="1964">
        <v>101</v>
      </c>
      <c r="CM129" s="2199">
        <v>1</v>
      </c>
      <c r="CN129" s="2199">
        <v>1</v>
      </c>
      <c r="CO129" s="2199">
        <v>2</v>
      </c>
      <c r="CP129" s="2199">
        <v>6</v>
      </c>
      <c r="CX129" s="959"/>
      <c r="CY129" s="959"/>
      <c r="CZ129" s="959"/>
      <c r="DA129" s="959"/>
      <c r="DB129" s="959"/>
      <c r="DC129" s="891">
        <v>1097</v>
      </c>
      <c r="DD129" s="891" t="s">
        <v>401</v>
      </c>
      <c r="DE129" s="891" t="s">
        <v>2808</v>
      </c>
      <c r="DF129" s="891">
        <v>1</v>
      </c>
      <c r="DG129" s="959"/>
      <c r="DH129" s="959">
        <f t="shared" si="18"/>
        <v>1</v>
      </c>
      <c r="ER129" s="905">
        <v>2243</v>
      </c>
      <c r="ES129" s="906" t="s">
        <v>4064</v>
      </c>
      <c r="ET129" s="2686">
        <v>6</v>
      </c>
      <c r="EV129" s="985"/>
      <c r="EW129" s="985"/>
      <c r="EX129" s="387"/>
      <c r="EY129" s="939"/>
      <c r="EZ129" s="886"/>
    </row>
    <row r="130" spans="31:156" hidden="1">
      <c r="AV130" s="114" t="s">
        <v>491</v>
      </c>
      <c r="AW130" s="278"/>
      <c r="AX130" s="109">
        <v>500040</v>
      </c>
      <c r="AY130">
        <v>0.8</v>
      </c>
      <c r="AZ130">
        <v>0.54</v>
      </c>
      <c r="BA130">
        <v>0.54</v>
      </c>
      <c r="BB130">
        <v>2</v>
      </c>
      <c r="BY130" s="60">
        <v>1.5</v>
      </c>
      <c r="BZ130" s="1962">
        <f>MAX(AY130*KÉRDÉSEK!$C$73,NDK!AZ130*KÉRDÉSEK!$C$71,NDK!BA130*KÉRDÉSEK!$C$72)</f>
        <v>0</v>
      </c>
      <c r="CE130" s="75">
        <f>MAX(BB130*KÉRDÉSEK!$C$76,BY130*KÉRDÉSEK!$C$24)</f>
        <v>0</v>
      </c>
      <c r="CI130" s="75">
        <f>BZ130*KÉRDÉSEK!$C$74+KÉRDÉSEK!$C$75*NDK!CE130</f>
        <v>0</v>
      </c>
      <c r="CJ130" s="197"/>
      <c r="CX130" s="959"/>
      <c r="CY130" s="959"/>
      <c r="CZ130" s="959"/>
      <c r="DA130" s="959"/>
      <c r="DB130" s="959"/>
      <c r="DC130" s="891">
        <v>1098</v>
      </c>
      <c r="DD130" s="891" t="s">
        <v>401</v>
      </c>
      <c r="DE130" s="891" t="s">
        <v>432</v>
      </c>
      <c r="DF130" s="891">
        <v>1</v>
      </c>
      <c r="DG130" s="959"/>
      <c r="DH130" s="959">
        <f t="shared" si="18"/>
        <v>1</v>
      </c>
      <c r="ER130" s="905">
        <v>2244</v>
      </c>
      <c r="ES130" s="906" t="s">
        <v>4065</v>
      </c>
      <c r="ET130" s="2686">
        <v>6</v>
      </c>
      <c r="EV130" s="985"/>
      <c r="EW130" s="985"/>
      <c r="EX130" s="387"/>
      <c r="EY130" s="939"/>
      <c r="EZ130" s="886"/>
    </row>
    <row r="131" spans="31:156" hidden="1">
      <c r="AV131" s="114" t="s">
        <v>492</v>
      </c>
      <c r="AW131" s="278"/>
      <c r="AX131" s="109">
        <v>500040</v>
      </c>
      <c r="AY131">
        <v>0.8</v>
      </c>
      <c r="AZ131">
        <v>0.54</v>
      </c>
      <c r="BA131">
        <v>0.54</v>
      </c>
      <c r="BB131">
        <v>2</v>
      </c>
      <c r="BY131" s="60">
        <v>1.5</v>
      </c>
      <c r="BZ131" s="1962">
        <f>MAX(AY131*KÉRDÉSEK!$C$73,NDK!AZ131*KÉRDÉSEK!$C$71,NDK!BA131*KÉRDÉSEK!$C$72)</f>
        <v>0</v>
      </c>
      <c r="CE131" s="75">
        <f>MAX(BB131*KÉRDÉSEK!$C$76,BY131*KÉRDÉSEK!$C$24)</f>
        <v>0</v>
      </c>
      <c r="CI131" s="75">
        <f>BZ131*KÉRDÉSEK!$C$74+KÉRDÉSEK!$C$75*NDK!CE131</f>
        <v>0</v>
      </c>
      <c r="CJ131" s="197"/>
      <c r="CL131" s="219" t="s">
        <v>2809</v>
      </c>
      <c r="CO131" s="2202" t="s">
        <v>80</v>
      </c>
      <c r="CR131" s="2183" t="s">
        <v>81</v>
      </c>
      <c r="CX131" s="959"/>
      <c r="CY131" s="959"/>
      <c r="CZ131" s="959"/>
      <c r="DA131" s="959"/>
      <c r="DB131" s="959"/>
      <c r="DC131" s="891">
        <v>1101</v>
      </c>
      <c r="DD131" s="891" t="s">
        <v>401</v>
      </c>
      <c r="DE131" s="891" t="s">
        <v>412</v>
      </c>
      <c r="DF131" s="891">
        <v>1</v>
      </c>
      <c r="DG131" s="959"/>
      <c r="DH131" s="959">
        <f t="shared" si="18"/>
        <v>1</v>
      </c>
      <c r="ER131" s="905">
        <v>2251</v>
      </c>
      <c r="ES131" s="906" t="s">
        <v>4066</v>
      </c>
      <c r="ET131" s="2686">
        <v>6</v>
      </c>
      <c r="EV131" s="985"/>
      <c r="EW131" s="985"/>
      <c r="EX131" s="387"/>
      <c r="EY131" s="939"/>
      <c r="EZ131" s="886"/>
    </row>
    <row r="132" spans="31:156" ht="60" hidden="1">
      <c r="AV132" s="114" t="s">
        <v>1179</v>
      </c>
      <c r="AW132" s="278"/>
      <c r="AX132" s="109">
        <v>12000</v>
      </c>
      <c r="AY132">
        <v>0.9</v>
      </c>
      <c r="AZ132">
        <v>0.6</v>
      </c>
      <c r="BA132">
        <v>0.6</v>
      </c>
      <c r="BB132">
        <v>2</v>
      </c>
      <c r="BY132" s="60">
        <v>1.5</v>
      </c>
      <c r="BZ132" s="1962">
        <f>MAX(AY132*KÉRDÉSEK!$C$73,NDK!AZ132*KÉRDÉSEK!$C$71,NDK!BA132*KÉRDÉSEK!$C$72)</f>
        <v>0</v>
      </c>
      <c r="CE132" s="75">
        <f>MAX(BB132*KÉRDÉSEK!$C$76,BY132*KÉRDÉSEK!$C$24)</f>
        <v>0</v>
      </c>
      <c r="CI132" s="75">
        <f>BZ132*KÉRDÉSEK!$C$74+KÉRDÉSEK!$C$75*NDK!CE132</f>
        <v>0</v>
      </c>
      <c r="CJ132" s="197"/>
      <c r="CL132" s="220" t="s">
        <v>1149</v>
      </c>
      <c r="CN132" s="2200" t="s">
        <v>1150</v>
      </c>
      <c r="CO132" s="199" t="s">
        <v>2809</v>
      </c>
      <c r="CP132" s="199" t="s">
        <v>2810</v>
      </c>
      <c r="CQ132" s="199" t="s">
        <v>2811</v>
      </c>
      <c r="CR132" s="199" t="s">
        <v>2812</v>
      </c>
      <c r="CS132" s="199" t="s">
        <v>2813</v>
      </c>
      <c r="CX132" s="959"/>
      <c r="CY132" s="959"/>
      <c r="CZ132" s="959"/>
      <c r="DA132" s="959"/>
      <c r="DB132" s="959"/>
      <c r="DC132" s="891">
        <v>1102</v>
      </c>
      <c r="DD132" s="891" t="s">
        <v>401</v>
      </c>
      <c r="DE132" s="891" t="s">
        <v>432</v>
      </c>
      <c r="DF132" s="891">
        <v>1</v>
      </c>
      <c r="DG132" s="959"/>
      <c r="DH132" s="959">
        <f t="shared" si="18"/>
        <v>1</v>
      </c>
      <c r="ER132" s="905">
        <v>2252</v>
      </c>
      <c r="ES132" s="906" t="s">
        <v>4067</v>
      </c>
      <c r="ET132" s="2686">
        <v>6</v>
      </c>
      <c r="EV132" s="985"/>
      <c r="EW132" s="985"/>
      <c r="EX132" s="387"/>
      <c r="EY132" s="939"/>
      <c r="EZ132" s="886"/>
    </row>
    <row r="133" spans="31:156" ht="60" hidden="1">
      <c r="AV133" s="114" t="s">
        <v>3074</v>
      </c>
      <c r="AW133" s="278"/>
      <c r="AX133" s="109">
        <v>6000</v>
      </c>
      <c r="AY133">
        <v>0.9</v>
      </c>
      <c r="AZ133">
        <v>0.8</v>
      </c>
      <c r="BA133">
        <v>0.7</v>
      </c>
      <c r="BB133">
        <v>2</v>
      </c>
      <c r="BY133" s="60">
        <v>1.5</v>
      </c>
      <c r="BZ133" s="1962">
        <f>MAX(AY133*KÉRDÉSEK!$C$73,NDK!AZ133*KÉRDÉSEK!$C$71,NDK!BA133*KÉRDÉSEK!$C$72)</f>
        <v>0</v>
      </c>
      <c r="CE133" s="75">
        <f>MAX(BB133*KÉRDÉSEK!$C$76,BY133*KÉRDÉSEK!$C$24)</f>
        <v>0</v>
      </c>
      <c r="CI133" s="75">
        <f>BZ133*KÉRDÉSEK!$C$74+KÉRDÉSEK!$C$75*NDK!CE133</f>
        <v>0</v>
      </c>
      <c r="CJ133" s="197"/>
      <c r="CL133" s="220" t="s">
        <v>2814</v>
      </c>
      <c r="CN133" s="1965">
        <v>1</v>
      </c>
      <c r="CO133" s="2201">
        <v>1</v>
      </c>
      <c r="CP133" s="2203">
        <v>1</v>
      </c>
      <c r="CQ133" s="2203">
        <v>1</v>
      </c>
      <c r="CR133" s="2203">
        <v>1</v>
      </c>
      <c r="CS133" s="2203">
        <v>1</v>
      </c>
      <c r="CT133" s="969"/>
      <c r="CU133" s="968"/>
      <c r="CV133" s="968"/>
      <c r="CW133" s="968"/>
      <c r="CX133" s="959"/>
      <c r="CY133" s="959"/>
      <c r="CZ133" s="959"/>
      <c r="DA133" s="959"/>
      <c r="DB133" s="959"/>
      <c r="DC133" s="891">
        <v>1103</v>
      </c>
      <c r="DD133" s="891" t="s">
        <v>401</v>
      </c>
      <c r="DE133" s="891" t="s">
        <v>402</v>
      </c>
      <c r="DF133" s="891">
        <v>2</v>
      </c>
      <c r="DG133" s="959"/>
      <c r="DH133" s="959">
        <f t="shared" si="18"/>
        <v>1</v>
      </c>
      <c r="ER133" s="905">
        <v>2253</v>
      </c>
      <c r="ES133" s="906" t="s">
        <v>4068</v>
      </c>
      <c r="ET133" s="2686">
        <v>9</v>
      </c>
      <c r="EV133" s="985"/>
      <c r="EW133" s="985"/>
      <c r="EX133" s="387"/>
      <c r="EY133" s="939"/>
      <c r="EZ133" s="886"/>
    </row>
    <row r="134" spans="31:156" ht="75" hidden="1">
      <c r="AV134" s="114" t="s">
        <v>1234</v>
      </c>
      <c r="AW134" s="278"/>
      <c r="AX134" s="109">
        <v>9120</v>
      </c>
      <c r="AY134">
        <v>0.9</v>
      </c>
      <c r="AZ134">
        <v>0.8</v>
      </c>
      <c r="BA134">
        <v>0.7</v>
      </c>
      <c r="BB134">
        <v>2</v>
      </c>
      <c r="BY134" s="60">
        <v>1.5</v>
      </c>
      <c r="BZ134" s="1962">
        <f>MAX(AY134*KÉRDÉSEK!$C$73,NDK!AZ134*KÉRDÉSEK!$C$71,NDK!BA134*KÉRDÉSEK!$C$72)</f>
        <v>0</v>
      </c>
      <c r="CE134" s="75">
        <f>MAX(BB134*KÉRDÉSEK!$C$76,BY134*KÉRDÉSEK!$C$24)</f>
        <v>0</v>
      </c>
      <c r="CI134" s="75">
        <f>BZ134*KÉRDÉSEK!$C$74+KÉRDÉSEK!$C$75*NDK!CE134</f>
        <v>0</v>
      </c>
      <c r="CJ134" s="197"/>
      <c r="CL134" s="220" t="s">
        <v>2815</v>
      </c>
      <c r="CN134" s="1966">
        <v>2</v>
      </c>
      <c r="CO134" s="2201">
        <v>2</v>
      </c>
      <c r="CP134" s="2203">
        <v>2</v>
      </c>
      <c r="CQ134" s="2203">
        <v>2</v>
      </c>
      <c r="CR134" s="2203">
        <v>2</v>
      </c>
      <c r="CS134" s="2203">
        <v>2</v>
      </c>
      <c r="CT134" s="969"/>
      <c r="CU134" s="968"/>
      <c r="CV134" s="968"/>
      <c r="CW134" s="968"/>
      <c r="CX134" s="959"/>
      <c r="CY134" s="959"/>
      <c r="CZ134" s="959"/>
      <c r="DA134" s="959"/>
      <c r="DB134" s="959"/>
      <c r="DC134" s="891">
        <v>1104</v>
      </c>
      <c r="DD134" s="891" t="s">
        <v>401</v>
      </c>
      <c r="DE134" s="891" t="s">
        <v>406</v>
      </c>
      <c r="DF134" s="891">
        <v>1</v>
      </c>
      <c r="DG134" s="959"/>
      <c r="DH134" s="959">
        <f t="shared" si="18"/>
        <v>1</v>
      </c>
      <c r="ER134" s="905">
        <v>2254</v>
      </c>
      <c r="ES134" s="906" t="s">
        <v>4069</v>
      </c>
      <c r="ET134" s="2686">
        <v>6</v>
      </c>
      <c r="EV134" s="985"/>
      <c r="EW134" s="985"/>
      <c r="EX134" s="387"/>
      <c r="EY134" s="939"/>
      <c r="EZ134" s="886"/>
    </row>
    <row r="135" spans="31:156" ht="75" hidden="1">
      <c r="AV135" s="114" t="s">
        <v>1235</v>
      </c>
      <c r="AW135" s="278"/>
      <c r="AX135" s="109">
        <v>15120</v>
      </c>
      <c r="AY135">
        <v>0.9</v>
      </c>
      <c r="AZ135">
        <v>0.8</v>
      </c>
      <c r="BA135">
        <v>0.7</v>
      </c>
      <c r="BB135">
        <v>2</v>
      </c>
      <c r="BY135" s="60">
        <v>1.5</v>
      </c>
      <c r="BZ135" s="1962">
        <f>MAX(AY135*KÉRDÉSEK!$C$73,NDK!AZ135*KÉRDÉSEK!$C$71,NDK!BA135*KÉRDÉSEK!$C$72)</f>
        <v>0</v>
      </c>
      <c r="CE135" s="75">
        <f>MAX(BB135*KÉRDÉSEK!$C$76,BY135*KÉRDÉSEK!$C$24)</f>
        <v>0</v>
      </c>
      <c r="CI135" s="75">
        <f>BZ135*KÉRDÉSEK!$C$74+KÉRDÉSEK!$C$75*NDK!CE135</f>
        <v>0</v>
      </c>
      <c r="CJ135" s="197"/>
      <c r="CL135" s="220" t="s">
        <v>2816</v>
      </c>
      <c r="CN135" s="1966">
        <v>3</v>
      </c>
      <c r="CO135" s="2201">
        <v>3</v>
      </c>
      <c r="CP135" s="2203">
        <v>3</v>
      </c>
      <c r="CQ135" s="2203">
        <v>3</v>
      </c>
      <c r="CR135" s="2203">
        <v>3</v>
      </c>
      <c r="CS135" s="2203">
        <v>3</v>
      </c>
      <c r="CT135" s="969"/>
      <c r="CU135" s="968"/>
      <c r="CV135" s="968"/>
      <c r="CW135" s="968"/>
      <c r="CX135" s="959"/>
      <c r="CY135" s="959"/>
      <c r="CZ135" s="959"/>
      <c r="DA135" s="959"/>
      <c r="DB135" s="959"/>
      <c r="DC135" s="891">
        <v>1105</v>
      </c>
      <c r="DD135" s="891" t="s">
        <v>401</v>
      </c>
      <c r="DE135" s="891" t="s">
        <v>421</v>
      </c>
      <c r="DF135" s="891">
        <v>1</v>
      </c>
      <c r="DG135" s="959"/>
      <c r="DH135" s="959">
        <f t="shared" si="18"/>
        <v>1</v>
      </c>
      <c r="ER135" s="905">
        <v>2255</v>
      </c>
      <c r="ES135" s="906" t="s">
        <v>436</v>
      </c>
      <c r="ET135" s="2686">
        <v>6</v>
      </c>
      <c r="EV135" s="985"/>
      <c r="EW135" s="985"/>
      <c r="EX135" s="387"/>
      <c r="EY135" s="939"/>
      <c r="EZ135" s="886"/>
    </row>
    <row r="136" spans="31:156" ht="18" hidden="1">
      <c r="AV136" s="114" t="s">
        <v>1236</v>
      </c>
      <c r="AW136" s="278"/>
      <c r="AX136" s="109">
        <v>35280</v>
      </c>
      <c r="AY136">
        <v>0.9</v>
      </c>
      <c r="AZ136">
        <v>0.8</v>
      </c>
      <c r="BA136">
        <v>0.7</v>
      </c>
      <c r="BB136">
        <v>2</v>
      </c>
      <c r="BY136" s="60">
        <v>1.5</v>
      </c>
      <c r="BZ136" s="1962">
        <f>MAX(AY136*KÉRDÉSEK!$C$73,NDK!AZ136*KÉRDÉSEK!$C$71,NDK!BA136*KÉRDÉSEK!$C$72)</f>
        <v>0</v>
      </c>
      <c r="CE136" s="75">
        <f>MAX(BB136*KÉRDÉSEK!$C$76,BY136*KÉRDÉSEK!$C$24)</f>
        <v>0</v>
      </c>
      <c r="CI136" s="75">
        <f>BZ136*KÉRDÉSEK!$C$74+KÉRDÉSEK!$C$75*NDK!CE136</f>
        <v>0</v>
      </c>
      <c r="CJ136" s="197"/>
      <c r="CL136" s="197"/>
      <c r="CN136" s="1966">
        <v>4</v>
      </c>
      <c r="CO136" s="2201">
        <v>4</v>
      </c>
      <c r="CP136" s="2203">
        <v>4</v>
      </c>
      <c r="CQ136" s="2203">
        <v>4</v>
      </c>
      <c r="CR136" s="2203">
        <v>4</v>
      </c>
      <c r="CS136" s="2203">
        <v>4</v>
      </c>
      <c r="CT136" s="969"/>
      <c r="CU136" s="968"/>
      <c r="CV136" s="968"/>
      <c r="CW136" s="968"/>
      <c r="CX136" s="959"/>
      <c r="CY136" s="959"/>
      <c r="CZ136" s="959"/>
      <c r="DA136" s="959"/>
      <c r="DB136" s="959"/>
      <c r="DC136" s="891">
        <v>1106</v>
      </c>
      <c r="DD136" s="891" t="s">
        <v>401</v>
      </c>
      <c r="DE136" s="891" t="s">
        <v>412</v>
      </c>
      <c r="DF136" s="891">
        <v>3</v>
      </c>
      <c r="DG136" s="959"/>
      <c r="DH136" s="959">
        <f t="shared" si="18"/>
        <v>1</v>
      </c>
      <c r="ER136" s="905">
        <v>2300</v>
      </c>
      <c r="ES136" s="906" t="s">
        <v>437</v>
      </c>
      <c r="ET136" s="2686">
        <v>9</v>
      </c>
      <c r="EU136" s="895">
        <v>1</v>
      </c>
      <c r="EV136" s="985"/>
      <c r="EW136" s="985"/>
      <c r="EX136" s="387"/>
      <c r="EY136" s="939"/>
      <c r="EZ136" s="886"/>
    </row>
    <row r="137" spans="31:156" ht="77.25" hidden="1">
      <c r="AV137" s="258" t="s">
        <v>1574</v>
      </c>
      <c r="AW137" s="280"/>
      <c r="AX137" s="112"/>
      <c r="BY137" s="60">
        <v>1.5</v>
      </c>
      <c r="BZ137" s="1962">
        <f>MAX(AY137*KÉRDÉSEK!$C$73,NDK!AZ137*KÉRDÉSEK!$C$71,NDK!BA137*KÉRDÉSEK!$C$72)</f>
        <v>0</v>
      </c>
      <c r="CE137" s="75">
        <f>MAX(BB137*KÉRDÉSEK!$C$76,BY137*KÉRDÉSEK!$C$24)</f>
        <v>0</v>
      </c>
      <c r="CI137" s="75">
        <f>BZ137*KÉRDÉSEK!$C$74+KÉRDÉSEK!$C$75*NDK!CE137</f>
        <v>0</v>
      </c>
      <c r="CJ137" s="197"/>
      <c r="CL137" s="197"/>
      <c r="CN137" s="1966">
        <v>5</v>
      </c>
      <c r="CO137" s="2201">
        <v>5</v>
      </c>
      <c r="CP137" s="2203">
        <v>5</v>
      </c>
      <c r="CQ137" s="2203">
        <v>5</v>
      </c>
      <c r="CR137" s="2203">
        <v>5</v>
      </c>
      <c r="CS137" s="2203">
        <v>5</v>
      </c>
      <c r="CT137" s="969"/>
      <c r="CU137" s="969"/>
      <c r="CV137" s="968"/>
      <c r="CW137" s="968"/>
      <c r="CX137" s="959"/>
      <c r="CY137" s="959"/>
      <c r="CZ137" s="959"/>
      <c r="DA137" s="959"/>
      <c r="DB137" s="959"/>
      <c r="DC137" s="891">
        <v>1107</v>
      </c>
      <c r="DD137" s="891" t="s">
        <v>401</v>
      </c>
      <c r="DE137" s="891" t="s">
        <v>412</v>
      </c>
      <c r="DF137" s="891">
        <v>1</v>
      </c>
      <c r="DG137" s="959"/>
      <c r="DH137" s="959">
        <f t="shared" si="18"/>
        <v>1</v>
      </c>
      <c r="ER137" s="905">
        <v>2309</v>
      </c>
      <c r="ES137" s="906" t="s">
        <v>438</v>
      </c>
      <c r="ET137" s="2686">
        <v>9</v>
      </c>
      <c r="EV137" s="985"/>
      <c r="EW137" s="985"/>
      <c r="EX137" s="387"/>
      <c r="EY137" s="939"/>
      <c r="EZ137" s="886"/>
    </row>
    <row r="138" spans="31:156" ht="18" hidden="1">
      <c r="AV138" s="114" t="s">
        <v>1237</v>
      </c>
      <c r="AW138" s="278"/>
      <c r="AX138" s="112"/>
      <c r="BY138" s="60">
        <v>1.5</v>
      </c>
      <c r="BZ138" s="1962">
        <f>MAX(AY138*KÉRDÉSEK!$C$73,NDK!AZ138*KÉRDÉSEK!$C$71,NDK!BA138*KÉRDÉSEK!$C$72)</f>
        <v>0</v>
      </c>
      <c r="CE138" s="75">
        <f>MAX(BB138*KÉRDÉSEK!$C$76,BY138*KÉRDÉSEK!$C$24)</f>
        <v>0</v>
      </c>
      <c r="CI138" s="75">
        <f>BZ138*KÉRDÉSEK!$C$74+KÉRDÉSEK!$C$75*NDK!CE138</f>
        <v>0</v>
      </c>
      <c r="CJ138" s="197"/>
      <c r="CL138" s="197"/>
      <c r="CN138" s="1966">
        <v>6</v>
      </c>
      <c r="CO138" s="2201">
        <v>6</v>
      </c>
      <c r="CP138" s="2203">
        <v>6</v>
      </c>
      <c r="CQ138" s="2203">
        <v>6</v>
      </c>
      <c r="CR138" s="2203">
        <v>6</v>
      </c>
      <c r="CS138" s="2203">
        <v>6</v>
      </c>
      <c r="CT138" s="969"/>
      <c r="CU138" s="969"/>
      <c r="CV138" s="968"/>
      <c r="CW138" s="969"/>
      <c r="CX138" s="959"/>
      <c r="CY138" s="959"/>
      <c r="CZ138" s="959"/>
      <c r="DA138" s="959"/>
      <c r="DB138" s="959"/>
      <c r="DC138" s="891">
        <v>1108</v>
      </c>
      <c r="DD138" s="891" t="s">
        <v>401</v>
      </c>
      <c r="DE138" s="891" t="s">
        <v>2808</v>
      </c>
      <c r="DF138" s="891">
        <v>2</v>
      </c>
      <c r="DG138" s="959"/>
      <c r="DH138" s="959">
        <f t="shared" si="18"/>
        <v>1</v>
      </c>
      <c r="ER138" s="905">
        <v>2310</v>
      </c>
      <c r="ES138" s="906" t="s">
        <v>270</v>
      </c>
      <c r="ET138" s="2686">
        <v>2</v>
      </c>
      <c r="EU138" s="895">
        <v>1</v>
      </c>
      <c r="EV138" s="985"/>
      <c r="EW138" s="985"/>
      <c r="EX138" s="387"/>
      <c r="EY138" s="939"/>
      <c r="EZ138" s="886"/>
    </row>
    <row r="139" spans="31:156" hidden="1">
      <c r="AV139" s="114" t="s">
        <v>1238</v>
      </c>
      <c r="AW139" s="278"/>
      <c r="AX139" s="109">
        <v>5040</v>
      </c>
      <c r="AY139">
        <v>1</v>
      </c>
      <c r="AZ139">
        <v>0.8</v>
      </c>
      <c r="BA139">
        <v>0.8</v>
      </c>
      <c r="BB139">
        <v>2</v>
      </c>
      <c r="BY139" s="60">
        <v>1.5</v>
      </c>
      <c r="BZ139" s="1962">
        <f>MAX(AY139*KÉRDÉSEK!$C$73,NDK!AZ139*KÉRDÉSEK!$C$71,NDK!BA139*KÉRDÉSEK!$C$72)</f>
        <v>0</v>
      </c>
      <c r="CE139" s="75">
        <f>MAX(BB139*KÉRDÉSEK!$C$76,BY139*KÉRDÉSEK!$C$24)</f>
        <v>0</v>
      </c>
      <c r="CI139" s="75">
        <f>BZ139*KÉRDÉSEK!$C$74+KÉRDÉSEK!$C$75*NDK!CE139</f>
        <v>0</v>
      </c>
      <c r="CJ139" s="197"/>
      <c r="CL139" s="197"/>
      <c r="CX139" s="959"/>
      <c r="CY139" s="959"/>
      <c r="CZ139" s="959"/>
      <c r="DA139" s="959"/>
      <c r="DB139" s="959"/>
      <c r="DC139" s="891">
        <v>1111</v>
      </c>
      <c r="DD139" s="891" t="s">
        <v>401</v>
      </c>
      <c r="DE139" s="891" t="s">
        <v>421</v>
      </c>
      <c r="DF139" s="891">
        <v>2</v>
      </c>
      <c r="DG139" s="959"/>
      <c r="DH139" s="959">
        <f t="shared" si="18"/>
        <v>1</v>
      </c>
      <c r="ER139" s="905">
        <v>2314</v>
      </c>
      <c r="ES139" s="906" t="s">
        <v>440</v>
      </c>
      <c r="ET139" s="2686">
        <v>2</v>
      </c>
      <c r="EU139" s="895">
        <v>1</v>
      </c>
      <c r="EV139" s="985"/>
      <c r="EW139" s="985"/>
      <c r="EX139" s="387"/>
      <c r="EY139" s="939"/>
      <c r="EZ139" s="886"/>
    </row>
    <row r="140" spans="31:156" ht="25.5" hidden="1">
      <c r="AV140" s="115" t="s">
        <v>497</v>
      </c>
      <c r="AW140" s="281"/>
      <c r="AX140" s="109">
        <v>98880</v>
      </c>
      <c r="AY140">
        <v>0.9</v>
      </c>
      <c r="AZ140">
        <v>0.9</v>
      </c>
      <c r="BA140">
        <v>0.8</v>
      </c>
      <c r="BB140">
        <v>2</v>
      </c>
      <c r="BY140" s="60">
        <v>1.5</v>
      </c>
      <c r="BZ140" s="1962">
        <f>MAX(AY140*KÉRDÉSEK!$C$73,NDK!AZ140*KÉRDÉSEK!$C$71,NDK!BA140*KÉRDÉSEK!$C$72)</f>
        <v>0</v>
      </c>
      <c r="CE140" s="75">
        <f>MAX(BB140*KÉRDÉSEK!$C$76,BY140*KÉRDÉSEK!$C$24)</f>
        <v>0</v>
      </c>
      <c r="CI140" s="75">
        <f>BZ140*KÉRDÉSEK!$C$74+KÉRDÉSEK!$C$75*NDK!CE140</f>
        <v>0</v>
      </c>
      <c r="CJ140" s="197"/>
      <c r="CR140" s="1967" t="e">
        <f>VLOOKUP(CK124,CN133:CS138,CL141+1)</f>
        <v>#N/A</v>
      </c>
      <c r="CX140" s="959"/>
      <c r="CY140" s="959"/>
      <c r="CZ140" s="959"/>
      <c r="DA140" s="959"/>
      <c r="DB140" s="959"/>
      <c r="DC140" s="891">
        <v>1112</v>
      </c>
      <c r="DD140" s="891" t="s">
        <v>401</v>
      </c>
      <c r="DE140" s="891" t="s">
        <v>412</v>
      </c>
      <c r="DF140" s="891">
        <v>2</v>
      </c>
      <c r="DG140" s="959"/>
      <c r="DH140" s="959">
        <f t="shared" si="18"/>
        <v>1</v>
      </c>
      <c r="ER140" s="905">
        <v>2315</v>
      </c>
      <c r="ES140" s="906" t="s">
        <v>441</v>
      </c>
      <c r="ET140" s="2686">
        <v>2</v>
      </c>
      <c r="EU140" s="895">
        <v>1</v>
      </c>
      <c r="EV140" s="985"/>
      <c r="EW140" s="985"/>
      <c r="EX140" s="387"/>
      <c r="EY140" s="939"/>
      <c r="EZ140" s="886"/>
    </row>
    <row r="141" spans="31:156" hidden="1">
      <c r="AE141">
        <v>1</v>
      </c>
      <c r="AV141" s="106" t="s">
        <v>493</v>
      </c>
      <c r="AW141" s="451"/>
      <c r="AX141" s="109">
        <v>8400</v>
      </c>
      <c r="AY141">
        <v>0.9</v>
      </c>
      <c r="AZ141">
        <v>0.8</v>
      </c>
      <c r="BA141">
        <v>0.6</v>
      </c>
      <c r="BB141">
        <v>2</v>
      </c>
      <c r="BY141" s="60">
        <v>1.5</v>
      </c>
      <c r="BZ141" s="1962">
        <f>MAX(AY141*KÉRDÉSEK!$C$73,NDK!AZ141*KÉRDÉSEK!$C$71,NDK!BA141*KÉRDÉSEK!$C$72)</f>
        <v>0</v>
      </c>
      <c r="CE141" s="75">
        <f>MAX(BB141*KÉRDÉSEK!$C$76,BY141*KÉRDÉSEK!$C$24)</f>
        <v>0</v>
      </c>
      <c r="CI141" s="75">
        <f>BZ141*KÉRDÉSEK!$C$74+KÉRDÉSEK!$C$75*NDK!CE141</f>
        <v>0</v>
      </c>
      <c r="CJ141" s="197"/>
      <c r="CL141" s="1968">
        <f>IF(KÉRDÉSEK!$E$91=KÉRDÉSEK!B91,1,IF(KÉRDÉSEK!$E$91=KÉRDÉSEK!B92,2,IF(KÉRDÉSEK!$E$91=KÉRDÉSEK!B93,3,IF(KÉRDÉSEK!$E$91=KÉRDÉSEK!B94,4,5))))</f>
        <v>1</v>
      </c>
      <c r="CN141" s="1969"/>
      <c r="CX141" s="959"/>
      <c r="CY141" s="959"/>
      <c r="CZ141" s="959"/>
      <c r="DA141" s="959"/>
      <c r="DB141" s="959"/>
      <c r="DC141" s="891">
        <v>1113</v>
      </c>
      <c r="DD141" s="891" t="s">
        <v>401</v>
      </c>
      <c r="DE141" s="891" t="s">
        <v>412</v>
      </c>
      <c r="DF141" s="891">
        <v>1</v>
      </c>
      <c r="DG141" s="959"/>
      <c r="DH141" s="959">
        <f t="shared" si="18"/>
        <v>1</v>
      </c>
      <c r="ER141" s="905">
        <v>2316</v>
      </c>
      <c r="ES141" s="906" t="s">
        <v>442</v>
      </c>
      <c r="ET141" s="2686">
        <v>2</v>
      </c>
      <c r="EV141" s="985"/>
      <c r="EW141" s="985"/>
      <c r="EX141" s="387"/>
      <c r="EY141" s="939"/>
      <c r="EZ141" s="886"/>
    </row>
    <row r="142" spans="31:156" hidden="1">
      <c r="AV142" s="106" t="s">
        <v>494</v>
      </c>
      <c r="AW142" s="451"/>
      <c r="AX142" s="109">
        <v>8400</v>
      </c>
      <c r="AY142">
        <v>0.9</v>
      </c>
      <c r="AZ142">
        <v>0.8</v>
      </c>
      <c r="BA142">
        <v>0.6</v>
      </c>
      <c r="BB142">
        <v>2</v>
      </c>
      <c r="BY142" s="60">
        <v>1.5</v>
      </c>
      <c r="BZ142" s="1962">
        <f>MAX(AY142*KÉRDÉSEK!$C$73,NDK!AZ142*KÉRDÉSEK!$C$71,NDK!BA142*KÉRDÉSEK!$C$72)</f>
        <v>0</v>
      </c>
      <c r="CE142" s="75">
        <f>MAX(BB142*KÉRDÉSEK!$C$76,BY142*KÉRDÉSEK!$C$24)</f>
        <v>0</v>
      </c>
      <c r="CI142" s="75">
        <f>BZ142*KÉRDÉSEK!$C$74+KÉRDÉSEK!$C$75*NDK!CE142</f>
        <v>0</v>
      </c>
      <c r="CJ142" s="197"/>
      <c r="CX142" s="959"/>
      <c r="CY142" s="959"/>
      <c r="CZ142" s="959"/>
      <c r="DA142" s="959"/>
      <c r="DB142" s="959"/>
      <c r="DC142" s="891">
        <v>1114</v>
      </c>
      <c r="DD142" s="891" t="s">
        <v>401</v>
      </c>
      <c r="DE142" s="891" t="s">
        <v>431</v>
      </c>
      <c r="DF142" s="891">
        <v>1</v>
      </c>
      <c r="DG142" s="959"/>
      <c r="DH142" s="959">
        <f t="shared" si="18"/>
        <v>1</v>
      </c>
      <c r="ER142" s="905">
        <v>2317</v>
      </c>
      <c r="ES142" s="906" t="s">
        <v>443</v>
      </c>
      <c r="ET142" s="2686">
        <v>6</v>
      </c>
      <c r="EV142" s="985"/>
      <c r="EW142" s="985"/>
      <c r="EX142" s="387"/>
      <c r="EY142" s="939"/>
      <c r="EZ142" s="886"/>
    </row>
    <row r="143" spans="31:156" hidden="1">
      <c r="AV143" s="114" t="s">
        <v>1178</v>
      </c>
      <c r="AW143" s="278"/>
      <c r="AX143" s="109">
        <v>63000</v>
      </c>
      <c r="AY143">
        <v>0.9</v>
      </c>
      <c r="AZ143">
        <v>0.75</v>
      </c>
      <c r="BA143">
        <v>0.7</v>
      </c>
      <c r="BB143">
        <v>2</v>
      </c>
      <c r="BY143" s="60">
        <v>1.5</v>
      </c>
      <c r="BZ143" s="1962">
        <f>MAX(AY143*KÉRDÉSEK!$C$73,NDK!AZ143*KÉRDÉSEK!$C$71,NDK!BA143*KÉRDÉSEK!$C$72)</f>
        <v>0</v>
      </c>
      <c r="CE143" s="75">
        <f>MAX(BB143*KÉRDÉSEK!$C$76,BY143*KÉRDÉSEK!$C$24)</f>
        <v>0</v>
      </c>
      <c r="CI143" s="75">
        <f>BZ143*KÉRDÉSEK!$C$74+KÉRDÉSEK!$C$75*NDK!CE143</f>
        <v>0</v>
      </c>
      <c r="CJ143" s="197"/>
      <c r="CK143" s="197"/>
      <c r="CL143" s="197"/>
      <c r="CM143" s="213"/>
      <c r="CN143" s="213"/>
      <c r="CO143" s="197"/>
      <c r="CP143" s="197"/>
      <c r="CQ143" s="197"/>
      <c r="CR143" s="197"/>
      <c r="CS143" s="197"/>
      <c r="CT143" s="197"/>
      <c r="CU143" s="197"/>
      <c r="CV143" s="197"/>
      <c r="CW143" s="197"/>
      <c r="CX143" s="959"/>
      <c r="CY143" s="959"/>
      <c r="CZ143" s="959"/>
      <c r="DA143" s="959"/>
      <c r="DB143" s="959"/>
      <c r="DC143" s="891">
        <v>1115</v>
      </c>
      <c r="DD143" s="891" t="s">
        <v>401</v>
      </c>
      <c r="DE143" s="891" t="s">
        <v>428</v>
      </c>
      <c r="DF143" s="891">
        <v>1</v>
      </c>
      <c r="DG143" s="959"/>
      <c r="DH143" s="959">
        <f t="shared" si="18"/>
        <v>1</v>
      </c>
      <c r="ER143" s="905">
        <v>2318</v>
      </c>
      <c r="ES143" s="906" t="s">
        <v>444</v>
      </c>
      <c r="ET143" s="2686">
        <v>9</v>
      </c>
      <c r="EV143" s="985"/>
      <c r="EW143" s="985"/>
      <c r="EX143" s="387"/>
      <c r="EY143" s="939"/>
      <c r="EZ143" s="886"/>
    </row>
    <row r="144" spans="31:156" hidden="1">
      <c r="AV144" s="114" t="s">
        <v>1239</v>
      </c>
      <c r="AW144" s="278"/>
      <c r="AX144" s="109">
        <v>99120</v>
      </c>
      <c r="AY144">
        <v>0.9</v>
      </c>
      <c r="AZ144">
        <v>0.75</v>
      </c>
      <c r="BA144">
        <v>0.7</v>
      </c>
      <c r="BB144">
        <v>2</v>
      </c>
      <c r="BY144" s="60">
        <v>1.5</v>
      </c>
      <c r="BZ144" s="1962">
        <f>MAX(AY144*KÉRDÉSEK!$C$73,NDK!AZ144*KÉRDÉSEK!$C$71,NDK!BA144*KÉRDÉSEK!$C$72)</f>
        <v>0</v>
      </c>
      <c r="CE144" s="75">
        <f>MAX(BB144*KÉRDÉSEK!$C$76,BY144*KÉRDÉSEK!$C$24)</f>
        <v>0</v>
      </c>
      <c r="CI144" s="75">
        <f>BZ144*KÉRDÉSEK!$C$74+KÉRDÉSEK!$C$75*NDK!CE144</f>
        <v>0</v>
      </c>
      <c r="CJ144" s="197"/>
      <c r="CK144" s="197"/>
      <c r="CL144" s="197"/>
      <c r="CM144" s="213"/>
      <c r="CN144" s="213"/>
      <c r="CO144" s="197"/>
      <c r="CP144" s="197"/>
      <c r="CQ144" s="197"/>
      <c r="CR144" s="197"/>
      <c r="CS144" s="197"/>
      <c r="CT144" s="197"/>
      <c r="CU144" s="197"/>
      <c r="CV144" s="197"/>
      <c r="CW144" s="197"/>
      <c r="CX144" s="959"/>
      <c r="CY144" s="959"/>
      <c r="CZ144" s="959"/>
      <c r="DA144" s="959"/>
      <c r="DB144" s="959"/>
      <c r="DC144" s="891">
        <v>1116</v>
      </c>
      <c r="DD144" s="891" t="s">
        <v>401</v>
      </c>
      <c r="DE144" s="891" t="s">
        <v>423</v>
      </c>
      <c r="DF144" s="891">
        <v>1</v>
      </c>
      <c r="DG144" s="959"/>
      <c r="DH144" s="959">
        <f t="shared" si="18"/>
        <v>1</v>
      </c>
      <c r="ER144" s="905">
        <v>2319</v>
      </c>
      <c r="ES144" s="906" t="s">
        <v>445</v>
      </c>
      <c r="ET144" s="2686">
        <v>9</v>
      </c>
      <c r="EV144" s="985"/>
      <c r="EW144" s="985"/>
      <c r="EX144" s="387"/>
      <c r="EY144" s="939"/>
      <c r="EZ144" s="886"/>
    </row>
    <row r="145" spans="34:156" hidden="1">
      <c r="AV145" s="114" t="s">
        <v>1240</v>
      </c>
      <c r="AW145" s="278"/>
      <c r="AX145" s="109">
        <v>140040</v>
      </c>
      <c r="AY145">
        <v>0.9</v>
      </c>
      <c r="AZ145">
        <v>0.75</v>
      </c>
      <c r="BA145">
        <v>0.7</v>
      </c>
      <c r="BB145">
        <v>2</v>
      </c>
      <c r="BY145" s="60">
        <v>1.5</v>
      </c>
      <c r="BZ145" s="1962">
        <f>MAX(AY145*KÉRDÉSEK!$C$73,NDK!AZ145*KÉRDÉSEK!$C$71,NDK!BA145*KÉRDÉSEK!$C$72)</f>
        <v>0</v>
      </c>
      <c r="CE145" s="75">
        <f>MAX(BB145*KÉRDÉSEK!$C$76,BY145*KÉRDÉSEK!$C$24)</f>
        <v>0</v>
      </c>
      <c r="CI145" s="75">
        <f>BZ145*KÉRDÉSEK!$C$74+KÉRDÉSEK!$C$75*NDK!CE145</f>
        <v>0</v>
      </c>
      <c r="CJ145" s="197"/>
      <c r="CK145" s="197"/>
      <c r="CL145" s="197" t="s">
        <v>2818</v>
      </c>
      <c r="CM145" s="213"/>
      <c r="CN145" s="213"/>
      <c r="CO145" s="197"/>
      <c r="CP145" s="197"/>
      <c r="CQ145" s="197"/>
      <c r="CR145" s="197"/>
      <c r="CS145" s="197"/>
      <c r="CT145" s="197"/>
      <c r="CU145" s="197"/>
      <c r="CV145" s="197"/>
      <c r="CW145" s="197"/>
      <c r="CX145" s="959"/>
      <c r="CY145" s="959"/>
      <c r="CZ145" s="959"/>
      <c r="DA145" s="959"/>
      <c r="DB145" s="959"/>
      <c r="DC145" s="891">
        <v>1117</v>
      </c>
      <c r="DD145" s="891" t="s">
        <v>401</v>
      </c>
      <c r="DE145" s="891" t="s">
        <v>410</v>
      </c>
      <c r="DF145" s="891">
        <v>1</v>
      </c>
      <c r="DG145" s="959"/>
      <c r="DH145" s="959">
        <f t="shared" si="18"/>
        <v>1</v>
      </c>
      <c r="ER145" s="905">
        <v>2321</v>
      </c>
      <c r="ES145" s="906" t="s">
        <v>446</v>
      </c>
      <c r="ET145" s="2686">
        <v>9</v>
      </c>
      <c r="EV145" s="985"/>
      <c r="EW145" s="985"/>
      <c r="EX145" s="387"/>
      <c r="EY145" s="939"/>
      <c r="EZ145" s="886"/>
    </row>
    <row r="146" spans="34:156" hidden="1">
      <c r="AH146" t="s">
        <v>3060</v>
      </c>
      <c r="AK146" t="s">
        <v>3061</v>
      </c>
      <c r="AV146" s="114" t="s">
        <v>4873</v>
      </c>
      <c r="AW146" s="278"/>
      <c r="AX146" s="109">
        <v>157560</v>
      </c>
      <c r="AY146">
        <v>0.9</v>
      </c>
      <c r="AZ146">
        <v>0.75</v>
      </c>
      <c r="BA146">
        <v>0.7</v>
      </c>
      <c r="BB146">
        <v>2</v>
      </c>
      <c r="BY146" s="60">
        <v>1.5</v>
      </c>
      <c r="BZ146" s="1962">
        <f>MAX(AY146*KÉRDÉSEK!$C$73,NDK!AZ146*KÉRDÉSEK!$C$71,NDK!BA146*KÉRDÉSEK!$C$72)</f>
        <v>0</v>
      </c>
      <c r="CE146" s="75">
        <f>MAX(BB146*KÉRDÉSEK!$C$76,BY146*KÉRDÉSEK!$C$24)</f>
        <v>0</v>
      </c>
      <c r="CI146" s="75">
        <f>BZ146*KÉRDÉSEK!$C$74+KÉRDÉSEK!$C$75*NDK!CE146</f>
        <v>0</v>
      </c>
      <c r="CJ146" s="197"/>
      <c r="CK146" s="249" t="s">
        <v>1152</v>
      </c>
      <c r="CL146" s="248">
        <f>DA62</f>
        <v>3</v>
      </c>
      <c r="CM146" s="2180" t="s">
        <v>78</v>
      </c>
      <c r="CN146" s="213"/>
      <c r="CO146" s="197"/>
      <c r="CP146" s="197"/>
      <c r="CQ146" s="197"/>
      <c r="CR146" s="197"/>
      <c r="CS146" s="197"/>
      <c r="CT146" s="197"/>
      <c r="CU146" s="197"/>
      <c r="CV146" s="197"/>
      <c r="CW146" s="197"/>
      <c r="CX146" s="959"/>
      <c r="CY146" s="959"/>
      <c r="CZ146" s="959"/>
      <c r="DA146" s="959"/>
      <c r="DB146" s="959"/>
      <c r="DC146" s="891">
        <v>1118</v>
      </c>
      <c r="DD146" s="891" t="s">
        <v>401</v>
      </c>
      <c r="DE146" s="891" t="s">
        <v>421</v>
      </c>
      <c r="DF146" s="891">
        <v>2</v>
      </c>
      <c r="DG146" s="959"/>
      <c r="DH146" s="959">
        <f t="shared" si="18"/>
        <v>1</v>
      </c>
      <c r="ER146" s="905">
        <v>2322</v>
      </c>
      <c r="ES146" s="906" t="s">
        <v>447</v>
      </c>
      <c r="ET146" s="2686">
        <v>9</v>
      </c>
      <c r="EV146" s="985"/>
      <c r="EW146" s="985"/>
      <c r="EX146" s="387"/>
      <c r="EY146" s="939"/>
      <c r="EZ146" s="886"/>
    </row>
    <row r="147" spans="34:156" hidden="1">
      <c r="AV147" s="114" t="s">
        <v>490</v>
      </c>
      <c r="AW147" s="278"/>
      <c r="AX147" s="112"/>
      <c r="BY147" s="60">
        <v>1.5</v>
      </c>
      <c r="BZ147" s="1962">
        <f>MAX(AY147*KÉRDÉSEK!$C$73,NDK!AZ147*KÉRDÉSEK!$C$71,NDK!BA147*KÉRDÉSEK!$C$72)</f>
        <v>0</v>
      </c>
      <c r="CE147" s="75">
        <f>MAX(BB147*KÉRDÉSEK!$C$76,BY147*KÉRDÉSEK!$C$24)</f>
        <v>0</v>
      </c>
      <c r="CI147" s="75">
        <f>BZ147*KÉRDÉSEK!$C$74+KÉRDÉSEK!$C$75*NDK!CE147</f>
        <v>0</v>
      </c>
      <c r="CJ147" s="197"/>
      <c r="CK147" s="197" t="s">
        <v>1151</v>
      </c>
      <c r="CL147" s="221" t="e">
        <f>CR140</f>
        <v>#N/A</v>
      </c>
      <c r="CM147" s="213" t="s">
        <v>2817</v>
      </c>
      <c r="CN147" s="213">
        <v>1</v>
      </c>
      <c r="CO147" s="197">
        <v>2</v>
      </c>
      <c r="CP147" s="197">
        <v>3</v>
      </c>
      <c r="CQ147" s="197">
        <v>4</v>
      </c>
      <c r="CR147" s="197">
        <v>5</v>
      </c>
      <c r="CS147" s="197">
        <v>6</v>
      </c>
      <c r="CT147" s="197"/>
      <c r="CU147" s="197"/>
      <c r="CV147" s="197"/>
      <c r="CW147" s="197"/>
      <c r="CX147" s="959"/>
      <c r="CY147" s="959"/>
      <c r="CZ147" s="959"/>
      <c r="DA147" s="959"/>
      <c r="DB147" s="959"/>
      <c r="DC147" s="891">
        <v>1119</v>
      </c>
      <c r="DD147" s="891" t="s">
        <v>401</v>
      </c>
      <c r="DE147" s="891" t="s">
        <v>420</v>
      </c>
      <c r="DF147" s="891">
        <v>2</v>
      </c>
      <c r="DG147" s="959"/>
      <c r="DH147" s="959">
        <f t="shared" si="18"/>
        <v>1</v>
      </c>
      <c r="ER147" s="905">
        <v>2330</v>
      </c>
      <c r="ES147" s="906" t="s">
        <v>448</v>
      </c>
      <c r="ET147" s="2686">
        <v>2</v>
      </c>
      <c r="EU147" s="895">
        <v>1</v>
      </c>
      <c r="EV147" s="985"/>
      <c r="EW147" s="985"/>
      <c r="EX147" s="387"/>
      <c r="EY147" s="939"/>
      <c r="EZ147" s="886"/>
    </row>
    <row r="148" spans="34:156" hidden="1">
      <c r="AV148" s="114" t="s">
        <v>4874</v>
      </c>
      <c r="AW148" s="278"/>
      <c r="AX148" s="109">
        <v>642000</v>
      </c>
      <c r="AY148">
        <v>1</v>
      </c>
      <c r="AZ148">
        <v>1</v>
      </c>
      <c r="BA148">
        <v>1</v>
      </c>
      <c r="BB148">
        <v>2</v>
      </c>
      <c r="BY148" s="60">
        <v>1.5</v>
      </c>
      <c r="BZ148" s="1962">
        <f>MAX(AY148*KÉRDÉSEK!$C$73,NDK!AZ148*KÉRDÉSEK!$C$71,NDK!BA148*KÉRDÉSEK!$C$72)</f>
        <v>0</v>
      </c>
      <c r="CE148" s="75">
        <f>MAX(BB148*KÉRDÉSEK!$C$76,BY148*KÉRDÉSEK!$C$24)</f>
        <v>0</v>
      </c>
      <c r="CI148" s="75">
        <f>BZ148*KÉRDÉSEK!$C$74+KÉRDÉSEK!$C$75*NDK!CE148</f>
        <v>0</v>
      </c>
      <c r="CJ148" s="197"/>
      <c r="CK148" s="197"/>
      <c r="CL148" s="249" t="s">
        <v>2818</v>
      </c>
      <c r="CM148" s="248">
        <v>1</v>
      </c>
      <c r="CN148" s="1970">
        <v>0.4</v>
      </c>
      <c r="CO148" s="222">
        <v>0.3</v>
      </c>
      <c r="CP148" s="222">
        <v>0.2</v>
      </c>
      <c r="CQ148" s="222">
        <v>0.1</v>
      </c>
      <c r="CR148" s="222">
        <v>0.05</v>
      </c>
      <c r="CS148" s="2181">
        <v>-1</v>
      </c>
      <c r="CT148" s="197"/>
      <c r="CU148" s="197"/>
      <c r="CV148" s="197"/>
      <c r="CW148" s="197"/>
      <c r="CX148" s="959"/>
      <c r="CY148" s="959"/>
      <c r="CZ148" s="959"/>
      <c r="DA148" s="959"/>
      <c r="DB148" s="959"/>
      <c r="DC148" s="891">
        <v>1121</v>
      </c>
      <c r="DD148" s="891" t="s">
        <v>401</v>
      </c>
      <c r="DE148" s="891" t="s">
        <v>419</v>
      </c>
      <c r="DF148" s="891">
        <v>1</v>
      </c>
      <c r="DG148" s="959"/>
      <c r="DH148" s="959">
        <f t="shared" si="18"/>
        <v>1</v>
      </c>
      <c r="ER148" s="905">
        <v>2335</v>
      </c>
      <c r="ES148" s="906" t="s">
        <v>449</v>
      </c>
      <c r="ET148" s="2686">
        <v>2</v>
      </c>
      <c r="EV148" s="985"/>
      <c r="EW148" s="985"/>
      <c r="EX148" s="387"/>
      <c r="EY148" s="939"/>
      <c r="EZ148" s="886"/>
    </row>
    <row r="149" spans="34:156" hidden="1">
      <c r="CJ149" s="197"/>
      <c r="CK149" s="197"/>
      <c r="CL149" s="249" t="s">
        <v>2818</v>
      </c>
      <c r="CM149" s="248">
        <v>2</v>
      </c>
      <c r="CN149" s="1970">
        <v>0.4</v>
      </c>
      <c r="CO149" s="222">
        <v>0.3</v>
      </c>
      <c r="CP149" s="222">
        <v>0.2</v>
      </c>
      <c r="CQ149" s="222">
        <v>0.1</v>
      </c>
      <c r="CR149" s="222">
        <v>0.05</v>
      </c>
      <c r="CS149" s="2181">
        <v>-1</v>
      </c>
      <c r="CT149" s="197"/>
      <c r="CU149" s="197"/>
      <c r="CV149" s="197"/>
      <c r="CW149" s="197"/>
      <c r="CX149" s="959"/>
      <c r="CY149" s="959"/>
      <c r="CZ149" s="959"/>
      <c r="DA149" s="959"/>
      <c r="DB149" s="959"/>
      <c r="DC149" s="891">
        <v>1122</v>
      </c>
      <c r="DD149" s="891" t="s">
        <v>401</v>
      </c>
      <c r="DE149" s="891" t="s">
        <v>428</v>
      </c>
      <c r="DF149" s="891">
        <v>1</v>
      </c>
      <c r="DG149" s="959"/>
      <c r="DH149" s="959"/>
      <c r="ER149" s="905">
        <v>2336</v>
      </c>
      <c r="ES149" s="906" t="s">
        <v>450</v>
      </c>
      <c r="ET149" s="2686">
        <v>2</v>
      </c>
      <c r="EV149" s="985"/>
      <c r="EW149" s="985"/>
      <c r="EX149" s="387"/>
      <c r="EY149" s="939"/>
      <c r="EZ149" s="886"/>
    </row>
    <row r="150" spans="34:156" hidden="1">
      <c r="CJ150" s="197"/>
      <c r="CK150" s="197"/>
      <c r="CL150" s="249" t="s">
        <v>2818</v>
      </c>
      <c r="CM150" s="248">
        <v>3</v>
      </c>
      <c r="CN150" s="1970">
        <v>0.4</v>
      </c>
      <c r="CO150" s="222">
        <v>0.3</v>
      </c>
      <c r="CP150" s="222">
        <v>0.2</v>
      </c>
      <c r="CQ150" s="222">
        <v>0.1</v>
      </c>
      <c r="CR150" s="222">
        <v>0.05</v>
      </c>
      <c r="CS150" s="2181">
        <v>-1</v>
      </c>
      <c r="CT150" s="197"/>
      <c r="CU150" s="197"/>
      <c r="CV150" s="197"/>
      <c r="CW150" s="197"/>
      <c r="CX150" s="959"/>
      <c r="CY150" s="959"/>
      <c r="CZ150" s="959"/>
      <c r="DA150" s="959"/>
      <c r="DB150" s="959"/>
      <c r="DC150" s="891">
        <v>1123</v>
      </c>
      <c r="DD150" s="891" t="s">
        <v>401</v>
      </c>
      <c r="DE150" s="891" t="s">
        <v>418</v>
      </c>
      <c r="DF150" s="891">
        <v>2</v>
      </c>
      <c r="DG150" s="959"/>
      <c r="DH150" s="959"/>
      <c r="ER150" s="905">
        <v>2337</v>
      </c>
      <c r="ES150" s="906" t="s">
        <v>451</v>
      </c>
      <c r="ET150" s="2686">
        <v>6</v>
      </c>
      <c r="EV150" s="985"/>
      <c r="EW150" s="985"/>
      <c r="EX150" s="387"/>
      <c r="EY150" s="939"/>
      <c r="EZ150" s="886"/>
    </row>
    <row r="151" spans="34:156" hidden="1">
      <c r="CJ151" s="197"/>
      <c r="CK151" s="197"/>
      <c r="CL151" s="249" t="s">
        <v>2818</v>
      </c>
      <c r="CM151" s="248">
        <v>4</v>
      </c>
      <c r="CN151" s="1970">
        <v>0.4</v>
      </c>
      <c r="CO151" s="222">
        <v>0.3</v>
      </c>
      <c r="CP151" s="222">
        <v>0.2</v>
      </c>
      <c r="CQ151" s="222">
        <v>0.1</v>
      </c>
      <c r="CR151" s="222">
        <v>0.05</v>
      </c>
      <c r="CS151" s="2181">
        <v>-1</v>
      </c>
      <c r="CT151" s="197"/>
      <c r="CU151" s="197"/>
      <c r="CV151" s="197"/>
      <c r="CW151" s="197"/>
      <c r="CX151" s="959"/>
      <c r="CY151" s="959"/>
      <c r="CZ151" s="959"/>
      <c r="DA151" s="959"/>
      <c r="DB151" s="959"/>
      <c r="DC151" s="891">
        <v>1124</v>
      </c>
      <c r="DD151" s="891" t="s">
        <v>401</v>
      </c>
      <c r="DE151" s="891" t="s">
        <v>435</v>
      </c>
      <c r="DF151" s="891">
        <v>1</v>
      </c>
      <c r="DG151" s="959"/>
      <c r="DH151" s="959"/>
      <c r="ER151" s="905">
        <v>2338</v>
      </c>
      <c r="ES151" s="906" t="s">
        <v>452</v>
      </c>
      <c r="ET151" s="2686">
        <v>6</v>
      </c>
      <c r="EV151" s="985"/>
      <c r="EW151" s="985"/>
      <c r="EX151" s="387"/>
      <c r="EY151" s="939"/>
      <c r="EZ151" s="886"/>
    </row>
    <row r="152" spans="34:156" ht="51.75" hidden="1">
      <c r="AX152" s="439" t="s">
        <v>4759</v>
      </c>
      <c r="AY152" s="439" t="s">
        <v>4761</v>
      </c>
      <c r="AZ152" s="439" t="s">
        <v>3878</v>
      </c>
      <c r="BA152" s="439" t="s">
        <v>3880</v>
      </c>
      <c r="BB152" s="439" t="s">
        <v>3146</v>
      </c>
      <c r="BC152" s="1762"/>
      <c r="BD152" s="1762"/>
      <c r="BE152" s="1762"/>
      <c r="BF152" s="1762"/>
      <c r="BG152" s="1762"/>
      <c r="BH152" s="1762"/>
      <c r="BI152" s="1762"/>
      <c r="BJ152" s="1762"/>
      <c r="BK152" s="1762"/>
      <c r="BL152" s="1762"/>
      <c r="BM152" s="1762"/>
      <c r="BN152" s="1762"/>
      <c r="BO152" s="1762"/>
      <c r="BP152" s="1762"/>
      <c r="BQ152" s="1762"/>
      <c r="BR152" s="439"/>
      <c r="BS152" s="439"/>
      <c r="BT152" s="439"/>
      <c r="BU152" s="439"/>
      <c r="BV152" s="439"/>
      <c r="BW152" s="439"/>
      <c r="BX152" s="1236"/>
      <c r="BY152" s="1236" t="s">
        <v>4758</v>
      </c>
      <c r="BZ152" s="1954" t="s">
        <v>4763</v>
      </c>
      <c r="CA152" s="1954"/>
      <c r="CB152" s="1954"/>
      <c r="CC152" s="1954"/>
      <c r="CD152" s="1954"/>
      <c r="CE152" s="1954" t="s">
        <v>4762</v>
      </c>
      <c r="CI152" s="1954" t="s">
        <v>4764</v>
      </c>
      <c r="CJ152" s="197"/>
      <c r="CK152" s="197"/>
      <c r="CL152" s="249" t="s">
        <v>2818</v>
      </c>
      <c r="CM152" s="248">
        <v>5</v>
      </c>
      <c r="CN152" s="1970">
        <v>0.4</v>
      </c>
      <c r="CO152" s="222">
        <v>0.3</v>
      </c>
      <c r="CP152" s="222">
        <v>0.2</v>
      </c>
      <c r="CQ152" s="222">
        <v>0.1</v>
      </c>
      <c r="CR152" s="222">
        <v>0.05</v>
      </c>
      <c r="CS152" s="2181">
        <v>-1</v>
      </c>
      <c r="CT152" s="197"/>
      <c r="CU152" s="197"/>
      <c r="CV152" s="197"/>
      <c r="CW152" s="197"/>
      <c r="CX152" s="959"/>
      <c r="CY152" s="959"/>
      <c r="CZ152" s="959"/>
      <c r="DA152" s="959"/>
      <c r="DB152" s="959"/>
      <c r="DC152" s="891">
        <v>1125</v>
      </c>
      <c r="DD152" s="891" t="s">
        <v>401</v>
      </c>
      <c r="DE152" s="891" t="s">
        <v>431</v>
      </c>
      <c r="DF152" s="891">
        <v>1</v>
      </c>
      <c r="DG152" s="959"/>
      <c r="DH152" s="966" t="s">
        <v>4765</v>
      </c>
      <c r="DI152" s="967" t="s">
        <v>4767</v>
      </c>
      <c r="DJ152" s="967"/>
      <c r="DK152" s="967"/>
      <c r="DL152" s="952" t="s">
        <v>4766</v>
      </c>
      <c r="DM152" s="952"/>
      <c r="ER152" s="905">
        <v>2339</v>
      </c>
      <c r="ES152" s="906" t="s">
        <v>453</v>
      </c>
      <c r="ET152" s="2686">
        <v>6</v>
      </c>
      <c r="EV152" s="985"/>
      <c r="EW152" s="985"/>
      <c r="EX152" s="387"/>
      <c r="EY152" s="939"/>
      <c r="EZ152" s="886"/>
    </row>
    <row r="153" spans="34:156" hidden="1">
      <c r="AV153" s="106" t="s">
        <v>2451</v>
      </c>
      <c r="AW153" s="451"/>
      <c r="AX153" s="109">
        <v>22080</v>
      </c>
      <c r="AY153">
        <v>0.9</v>
      </c>
      <c r="AZ153">
        <v>0.8</v>
      </c>
      <c r="BA153">
        <v>0.8</v>
      </c>
      <c r="BB153">
        <v>2</v>
      </c>
      <c r="BY153" s="60">
        <v>1.5</v>
      </c>
      <c r="BZ153" s="1962">
        <f>MAX(AY153*KÉRDÉSEK!$C$73,NDK!AZ153*KÉRDÉSEK!$C$71,NDK!BA153*KÉRDÉSEK!$C$72)</f>
        <v>0</v>
      </c>
      <c r="CE153" s="75">
        <f>MAX(BB153*KÉRDÉSEK!$C$76,BY153*KÉRDÉSEK!$C$24)</f>
        <v>0</v>
      </c>
      <c r="CI153" s="75">
        <f>BZ153*KÉRDÉSEK!$C$74+KÉRDÉSEK!$C$75*NDK!CE153</f>
        <v>0</v>
      </c>
      <c r="CJ153" s="197"/>
      <c r="CK153" s="197"/>
      <c r="CL153" s="249" t="s">
        <v>2818</v>
      </c>
      <c r="CM153" s="248">
        <v>6</v>
      </c>
      <c r="CN153" s="1970">
        <v>0.4</v>
      </c>
      <c r="CO153" s="222">
        <v>0.3</v>
      </c>
      <c r="CP153" s="222">
        <v>0.2</v>
      </c>
      <c r="CQ153" s="222">
        <v>0.1</v>
      </c>
      <c r="CR153" s="222">
        <v>0.05</v>
      </c>
      <c r="CS153" s="2181">
        <v>-1</v>
      </c>
      <c r="CT153" s="197"/>
      <c r="CU153" s="197"/>
      <c r="CV153" s="197"/>
      <c r="CW153" s="197"/>
      <c r="CX153" s="959"/>
      <c r="CY153" s="959"/>
      <c r="CZ153" s="959"/>
      <c r="DA153" s="959"/>
      <c r="DB153" s="959"/>
      <c r="DC153" s="891">
        <v>1126</v>
      </c>
      <c r="DD153" s="891" t="s">
        <v>401</v>
      </c>
      <c r="DE153" s="891" t="s">
        <v>421</v>
      </c>
      <c r="DF153" s="891">
        <v>1</v>
      </c>
      <c r="DG153" s="959"/>
      <c r="DH153" s="959">
        <f>IF(CI153&gt;0,CI153,1)</f>
        <v>1</v>
      </c>
      <c r="DI153" s="885">
        <f>KÉRDÉSEK!$C$70</f>
        <v>0</v>
      </c>
      <c r="DL153" s="885">
        <f>KÉRDÉSEK!$C$64</f>
        <v>0</v>
      </c>
      <c r="ER153" s="905">
        <v>2340</v>
      </c>
      <c r="ES153" s="906" t="s">
        <v>454</v>
      </c>
      <c r="ET153" s="2686">
        <v>6</v>
      </c>
      <c r="EV153" s="985"/>
      <c r="EW153" s="985"/>
      <c r="EX153" s="387"/>
      <c r="EY153" s="939"/>
      <c r="EZ153" s="886"/>
    </row>
    <row r="154" spans="34:156" ht="115.5" hidden="1">
      <c r="AV154" s="111" t="s">
        <v>201</v>
      </c>
      <c r="AW154" s="452"/>
      <c r="AX154" s="112"/>
      <c r="CE154" s="75">
        <f>MAX(BB154*KÉRDÉSEK!$C$76,BY154*KÉRDÉSEK!$C$24)</f>
        <v>0</v>
      </c>
      <c r="CI154" s="75">
        <f>BZ154*KÉRDÉSEK!$C$74+KÉRDÉSEK!$C$75*NDK!CE154</f>
        <v>0</v>
      </c>
      <c r="CJ154" s="197"/>
      <c r="CK154" s="197"/>
      <c r="CL154" s="197"/>
      <c r="CM154" s="213"/>
      <c r="CN154" s="213"/>
      <c r="CO154" s="197"/>
      <c r="CP154" s="197"/>
      <c r="CQ154" s="197"/>
      <c r="CR154" s="197"/>
      <c r="CS154" s="197"/>
      <c r="CT154" s="197"/>
      <c r="CU154" s="197"/>
      <c r="CV154" s="197"/>
      <c r="CW154" s="197"/>
      <c r="CX154" s="959"/>
      <c r="CY154" s="959"/>
      <c r="CZ154" s="959"/>
      <c r="DA154" s="959"/>
      <c r="DB154" s="959"/>
      <c r="DC154" s="891">
        <v>1131</v>
      </c>
      <c r="DD154" s="891" t="s">
        <v>401</v>
      </c>
      <c r="DE154" s="891" t="s">
        <v>406</v>
      </c>
      <c r="DF154" s="891">
        <v>1</v>
      </c>
      <c r="DG154" s="959"/>
      <c r="DH154" s="959">
        <f t="shared" ref="DH154:DH195" si="19">IF(CI154&gt;0,CI154,1)</f>
        <v>1</v>
      </c>
      <c r="ER154" s="905">
        <v>2344</v>
      </c>
      <c r="ES154" s="906" t="s">
        <v>455</v>
      </c>
      <c r="ET154" s="2686">
        <v>6</v>
      </c>
      <c r="EV154" s="985"/>
      <c r="EW154" s="985"/>
      <c r="EX154" s="387"/>
      <c r="EY154" s="939"/>
      <c r="EZ154" s="886"/>
    </row>
    <row r="155" spans="34:156" hidden="1">
      <c r="AV155" s="106" t="s">
        <v>2452</v>
      </c>
      <c r="AW155" s="451"/>
      <c r="AX155" s="109">
        <v>28680</v>
      </c>
      <c r="AY155">
        <v>0.9</v>
      </c>
      <c r="AZ155">
        <v>0.8</v>
      </c>
      <c r="BA155">
        <v>0.7</v>
      </c>
      <c r="BB155">
        <v>2</v>
      </c>
      <c r="BY155" s="60">
        <v>1.5</v>
      </c>
      <c r="BZ155" s="1962">
        <f>MAX(AY155*KÉRDÉSEK!$C$73,NDK!AZ155*KÉRDÉSEK!$C$71,NDK!BA155*KÉRDÉSEK!$C$72)</f>
        <v>0</v>
      </c>
      <c r="CE155" s="75">
        <f>MAX(BB155*KÉRDÉSEK!$C$76,BY155*KÉRDÉSEK!$C$24)</f>
        <v>0</v>
      </c>
      <c r="CI155" s="75">
        <f>BZ155*KÉRDÉSEK!$C$74+KÉRDÉSEK!$C$75*NDK!CE155</f>
        <v>0</v>
      </c>
      <c r="CJ155" s="197"/>
      <c r="CK155" s="197"/>
      <c r="CL155" s="197"/>
      <c r="CM155" s="213"/>
      <c r="CN155" s="213"/>
      <c r="CO155" s="197"/>
      <c r="CP155" s="197"/>
      <c r="CQ155" s="197"/>
      <c r="CR155" s="197"/>
      <c r="CS155" s="197"/>
      <c r="CT155" s="197"/>
      <c r="CU155" s="197"/>
      <c r="CV155" s="197"/>
      <c r="CW155" s="197"/>
      <c r="CX155" s="959"/>
      <c r="CY155" s="959"/>
      <c r="CZ155" s="959"/>
      <c r="DA155" s="959"/>
      <c r="DB155" s="959"/>
      <c r="DC155" s="891">
        <v>1132</v>
      </c>
      <c r="DD155" s="891" t="s">
        <v>401</v>
      </c>
      <c r="DE155" s="891" t="s">
        <v>410</v>
      </c>
      <c r="DF155" s="891">
        <v>1</v>
      </c>
      <c r="DG155" s="959"/>
      <c r="DH155" s="959">
        <f t="shared" si="19"/>
        <v>1</v>
      </c>
      <c r="ER155" s="905">
        <v>2345</v>
      </c>
      <c r="ES155" s="906" t="s">
        <v>456</v>
      </c>
      <c r="ET155" s="2686">
        <v>9</v>
      </c>
      <c r="EV155" s="985"/>
      <c r="EW155" s="985"/>
      <c r="EX155" s="387"/>
      <c r="EY155" s="939"/>
      <c r="EZ155" s="886"/>
    </row>
    <row r="156" spans="34:156" ht="64.5" hidden="1">
      <c r="AV156" s="110" t="s">
        <v>3319</v>
      </c>
      <c r="AW156" s="453"/>
      <c r="AX156" s="109">
        <v>35280</v>
      </c>
      <c r="AY156">
        <v>0.8</v>
      </c>
      <c r="AZ156">
        <v>0.7</v>
      </c>
      <c r="BA156">
        <v>0.7</v>
      </c>
      <c r="BB156">
        <v>2</v>
      </c>
      <c r="BY156" s="60">
        <v>1.5</v>
      </c>
      <c r="BZ156" s="1962">
        <f>MAX(AY156*KÉRDÉSEK!$C$73,NDK!AZ156*KÉRDÉSEK!$C$71,NDK!BA156*KÉRDÉSEK!$C$72)</f>
        <v>0</v>
      </c>
      <c r="CE156" s="75">
        <f>MAX(BB156*KÉRDÉSEK!$C$76,BY156*KÉRDÉSEK!$C$24)</f>
        <v>0</v>
      </c>
      <c r="CI156" s="75">
        <f>BZ156*KÉRDÉSEK!$C$74+KÉRDÉSEK!$C$75*NDK!CE156</f>
        <v>0</v>
      </c>
      <c r="CJ156" s="197"/>
      <c r="CK156" s="2182" t="s">
        <v>76</v>
      </c>
      <c r="CL156" s="197"/>
      <c r="CM156" s="1764" t="s">
        <v>4856</v>
      </c>
      <c r="CN156" s="1765" t="e">
        <f>IF(CN157=CO157,INDEX(CN148:CS153,CL146,CL147),0)</f>
        <v>#N/A</v>
      </c>
      <c r="CO156" s="223" t="e">
        <f>VLOOKUP(CL146,CM148:CS153,CL147+1)</f>
        <v>#N/A</v>
      </c>
      <c r="CP156" s="197" t="s">
        <v>79</v>
      </c>
      <c r="CQ156" s="197"/>
      <c r="CR156" s="197"/>
      <c r="CS156" s="197"/>
      <c r="CT156" s="197"/>
      <c r="CU156" s="197"/>
      <c r="CV156" s="197"/>
      <c r="CW156" s="197"/>
      <c r="CX156" s="959"/>
      <c r="CY156" s="959"/>
      <c r="CZ156" s="959"/>
      <c r="DA156" s="959"/>
      <c r="DB156" s="959"/>
      <c r="DC156" s="891">
        <v>1133</v>
      </c>
      <c r="DD156" s="891" t="s">
        <v>401</v>
      </c>
      <c r="DE156" s="891" t="s">
        <v>418</v>
      </c>
      <c r="DF156" s="891">
        <v>2</v>
      </c>
      <c r="DG156" s="959"/>
      <c r="DH156" s="959">
        <f t="shared" si="19"/>
        <v>1</v>
      </c>
      <c r="ER156" s="905">
        <v>2347</v>
      </c>
      <c r="ES156" s="906" t="s">
        <v>457</v>
      </c>
      <c r="ET156" s="2686">
        <v>9</v>
      </c>
      <c r="EV156" s="985"/>
      <c r="EW156" s="985"/>
      <c r="EX156" s="387"/>
      <c r="EY156" s="939"/>
      <c r="EZ156" s="886"/>
    </row>
    <row r="157" spans="34:156" ht="63.75" hidden="1">
      <c r="AV157" s="111" t="s">
        <v>1491</v>
      </c>
      <c r="AW157" s="452"/>
      <c r="AX157" s="112"/>
      <c r="CE157" s="75">
        <f>MAX(BB157*KÉRDÉSEK!$C$76,BY157*KÉRDÉSEK!$C$24)</f>
        <v>0</v>
      </c>
      <c r="CI157" s="75">
        <f>BZ157*KÉRDÉSEK!$C$74+KÉRDÉSEK!$C$75*NDK!CE157</f>
        <v>0</v>
      </c>
      <c r="CJ157" s="197"/>
      <c r="CK157" s="197"/>
      <c r="CL157" s="197"/>
      <c r="CM157" s="1763" t="s">
        <v>77</v>
      </c>
      <c r="CN157" s="222" t="str">
        <f>KÉRDÉSEK!C97</f>
        <v>IGEN</v>
      </c>
      <c r="CO157" s="1768" t="s">
        <v>4201</v>
      </c>
      <c r="CP157" s="197"/>
      <c r="CQ157" s="197"/>
      <c r="CR157" s="197"/>
      <c r="CS157" s="197"/>
      <c r="CT157" s="197"/>
      <c r="CU157" s="197"/>
      <c r="CV157" s="197"/>
      <c r="CW157" s="197"/>
      <c r="CX157" s="959"/>
      <c r="CY157" s="959"/>
      <c r="CZ157" s="959"/>
      <c r="DA157" s="959"/>
      <c r="DB157" s="959"/>
      <c r="DC157" s="891">
        <v>1134</v>
      </c>
      <c r="DD157" s="891" t="s">
        <v>401</v>
      </c>
      <c r="DE157" s="891" t="s">
        <v>427</v>
      </c>
      <c r="DF157" s="891">
        <v>2</v>
      </c>
      <c r="DG157" s="959"/>
      <c r="DH157" s="959">
        <f t="shared" si="19"/>
        <v>1</v>
      </c>
      <c r="ER157" s="905">
        <v>2351</v>
      </c>
      <c r="ES157" s="906" t="s">
        <v>458</v>
      </c>
      <c r="ET157" s="2686">
        <v>6</v>
      </c>
      <c r="EV157" s="985"/>
      <c r="EW157" s="985"/>
      <c r="EX157" s="387"/>
      <c r="EY157" s="939"/>
      <c r="EZ157" s="886"/>
    </row>
    <row r="158" spans="34:156" ht="26.25" hidden="1">
      <c r="AV158" s="111" t="s">
        <v>3826</v>
      </c>
      <c r="AW158" s="452"/>
      <c r="AX158" s="112"/>
      <c r="CE158" s="75">
        <f>MAX(BB158*KÉRDÉSEK!$C$76,BY158*KÉRDÉSEK!$C$24)</f>
        <v>0</v>
      </c>
      <c r="CI158" s="75">
        <f>BZ158*KÉRDÉSEK!$C$74+KÉRDÉSEK!$C$75*NDK!CE158</f>
        <v>0</v>
      </c>
      <c r="CJ158" s="197"/>
      <c r="CK158" s="197"/>
      <c r="CL158" s="197"/>
      <c r="CM158" s="213"/>
      <c r="CN158" s="213"/>
      <c r="CO158" s="1768" t="s">
        <v>4202</v>
      </c>
      <c r="CP158" s="197"/>
      <c r="CQ158" s="197"/>
      <c r="CR158" s="197"/>
      <c r="CS158" s="197"/>
      <c r="CT158" s="197"/>
      <c r="CU158" s="197"/>
      <c r="CV158" s="197"/>
      <c r="CW158" s="197"/>
      <c r="CX158" s="959"/>
      <c r="CY158" s="959"/>
      <c r="CZ158" s="959"/>
      <c r="DA158" s="959"/>
      <c r="DB158" s="959"/>
      <c r="DC158" s="891">
        <v>1135</v>
      </c>
      <c r="DD158" s="891" t="s">
        <v>401</v>
      </c>
      <c r="DE158" s="891" t="s">
        <v>428</v>
      </c>
      <c r="DF158" s="891">
        <v>1</v>
      </c>
      <c r="DG158" s="959"/>
      <c r="DH158" s="959">
        <f t="shared" si="19"/>
        <v>1</v>
      </c>
      <c r="ER158" s="905">
        <v>2360</v>
      </c>
      <c r="ES158" s="906" t="s">
        <v>271</v>
      </c>
      <c r="ET158" s="2686">
        <v>2</v>
      </c>
      <c r="EU158" s="895">
        <v>1</v>
      </c>
      <c r="EV158" s="985"/>
      <c r="EW158" s="985"/>
      <c r="EX158" s="387"/>
      <c r="EY158" s="939"/>
      <c r="EZ158" s="886"/>
    </row>
    <row r="159" spans="34:156" ht="64.5" hidden="1">
      <c r="AV159" s="110" t="s">
        <v>3320</v>
      </c>
      <c r="AW159" s="453"/>
      <c r="AX159" s="109">
        <v>44160</v>
      </c>
      <c r="AY159">
        <v>0.9</v>
      </c>
      <c r="AZ159">
        <v>0.8</v>
      </c>
      <c r="BA159">
        <v>0.7</v>
      </c>
      <c r="BB159">
        <v>2</v>
      </c>
      <c r="BY159" s="60">
        <v>1.5</v>
      </c>
      <c r="BZ159" s="1962">
        <f>MAX(AY159*KÉRDÉSEK!$C$73,NDK!AZ159*KÉRDÉSEK!$C$71,NDK!BA159*KÉRDÉSEK!$C$72)</f>
        <v>0</v>
      </c>
      <c r="CE159" s="75">
        <f>MAX(BB159*KÉRDÉSEK!$C$76,BY159*KÉRDÉSEK!$C$24)</f>
        <v>0</v>
      </c>
      <c r="CI159" s="75">
        <f>BZ159*KÉRDÉSEK!$C$74+KÉRDÉSEK!$C$75*NDK!CE159</f>
        <v>0</v>
      </c>
      <c r="CJ159" s="197"/>
      <c r="CK159" s="197"/>
      <c r="CL159" s="197"/>
      <c r="CM159" s="213"/>
      <c r="CN159" s="213"/>
      <c r="CO159" s="197"/>
      <c r="CP159" s="197"/>
      <c r="CQ159" s="197"/>
      <c r="CR159" s="197"/>
      <c r="CS159" s="197"/>
      <c r="CT159" s="197"/>
      <c r="CU159" s="197"/>
      <c r="CV159" s="197"/>
      <c r="CW159" s="197"/>
      <c r="CX159" s="959"/>
      <c r="CY159" s="959"/>
      <c r="CZ159" s="959"/>
      <c r="DA159" s="959"/>
      <c r="DB159" s="959"/>
      <c r="DC159" s="891">
        <v>1136</v>
      </c>
      <c r="DD159" s="891" t="s">
        <v>401</v>
      </c>
      <c r="DE159" s="891" t="s">
        <v>406</v>
      </c>
      <c r="DF159" s="891">
        <v>1</v>
      </c>
      <c r="DG159" s="959"/>
      <c r="DH159" s="959">
        <f t="shared" si="19"/>
        <v>1</v>
      </c>
      <c r="ER159" s="905">
        <v>2363</v>
      </c>
      <c r="ES159" s="906" t="s">
        <v>460</v>
      </c>
      <c r="ET159" s="2686">
        <v>6</v>
      </c>
      <c r="EV159" s="985"/>
      <c r="EW159" s="985"/>
      <c r="EX159" s="387"/>
      <c r="EY159" s="939"/>
      <c r="EZ159" s="886"/>
    </row>
    <row r="160" spans="34:156" ht="26.25" hidden="1">
      <c r="AV160" s="111" t="s">
        <v>1493</v>
      </c>
      <c r="AW160" s="452"/>
      <c r="AX160" s="112"/>
      <c r="BZ160" s="1962">
        <f>MAX(AY160*KÉRDÉSEK!$C$73,NDK!AZ160*KÉRDÉSEK!$C$71,NDK!BA160*KÉRDÉSEK!$C$72)</f>
        <v>0</v>
      </c>
      <c r="CE160" s="75">
        <f>MAX(BB160*KÉRDÉSEK!$C$76,BY160*KÉRDÉSEK!$C$24)</f>
        <v>0</v>
      </c>
      <c r="CI160" s="75">
        <f>BZ160*KÉRDÉSEK!$C$74+KÉRDÉSEK!$C$75*NDK!CE160</f>
        <v>0</v>
      </c>
      <c r="CJ160" s="197"/>
      <c r="CK160" s="197"/>
      <c r="CL160" s="197"/>
      <c r="CM160" s="213"/>
      <c r="CN160" s="213"/>
      <c r="CO160" s="197"/>
      <c r="CP160" s="197"/>
      <c r="CQ160" s="197"/>
      <c r="CR160" s="197"/>
      <c r="CS160" s="197"/>
      <c r="CT160" s="197"/>
      <c r="CU160" s="197"/>
      <c r="CV160" s="197"/>
      <c r="CW160" s="197"/>
      <c r="CX160" s="959"/>
      <c r="CY160" s="959"/>
      <c r="CZ160" s="959"/>
      <c r="DA160" s="959"/>
      <c r="DB160" s="959"/>
      <c r="DC160" s="891">
        <v>1137</v>
      </c>
      <c r="DD160" s="891" t="s">
        <v>401</v>
      </c>
      <c r="DE160" s="891" t="s">
        <v>412</v>
      </c>
      <c r="DF160" s="891">
        <v>1</v>
      </c>
      <c r="DG160" s="959"/>
      <c r="DH160" s="959">
        <f t="shared" si="19"/>
        <v>1</v>
      </c>
      <c r="ER160" s="905">
        <v>2364</v>
      </c>
      <c r="ES160" s="906" t="s">
        <v>461</v>
      </c>
      <c r="ET160" s="2686">
        <v>6</v>
      </c>
      <c r="EV160" s="985"/>
      <c r="EW160" s="985"/>
      <c r="EX160" s="387"/>
      <c r="EY160" s="939"/>
      <c r="EZ160" s="886"/>
    </row>
    <row r="161" spans="48:156" hidden="1">
      <c r="AV161" s="114" t="s">
        <v>2453</v>
      </c>
      <c r="AW161" s="278"/>
      <c r="AX161" s="109">
        <v>55200</v>
      </c>
      <c r="AY161">
        <v>0.9</v>
      </c>
      <c r="AZ161">
        <v>0.8</v>
      </c>
      <c r="BA161">
        <v>0.7</v>
      </c>
      <c r="BB161">
        <v>2</v>
      </c>
      <c r="BY161" s="60">
        <v>1.5</v>
      </c>
      <c r="BZ161" s="1962">
        <f>MAX(AY161*KÉRDÉSEK!$C$73,NDK!AZ161*KÉRDÉSEK!$C$71,NDK!BA161*KÉRDÉSEK!$C$72)</f>
        <v>0</v>
      </c>
      <c r="CE161" s="75">
        <f>MAX(BB161*KÉRDÉSEK!$C$76,BY161*KÉRDÉSEK!$C$24)</f>
        <v>0</v>
      </c>
      <c r="CI161" s="75">
        <f>BZ161*KÉRDÉSEK!$C$74+KÉRDÉSEK!$C$75*NDK!CE161</f>
        <v>0</v>
      </c>
      <c r="CJ161" s="197"/>
      <c r="CK161" s="197"/>
      <c r="CL161" s="197"/>
      <c r="CM161" s="213"/>
      <c r="CN161" s="213"/>
      <c r="CO161" s="197"/>
      <c r="CP161" s="197"/>
      <c r="CQ161" s="197"/>
      <c r="CR161" s="197"/>
      <c r="CS161" s="197"/>
      <c r="CT161" s="197"/>
      <c r="CU161" s="197"/>
      <c r="CV161" s="197"/>
      <c r="CW161" s="197"/>
      <c r="CX161" s="959"/>
      <c r="CY161" s="959"/>
      <c r="CZ161" s="959"/>
      <c r="DA161" s="959"/>
      <c r="DB161" s="959"/>
      <c r="DC161" s="891">
        <v>1138</v>
      </c>
      <c r="DD161" s="891" t="s">
        <v>401</v>
      </c>
      <c r="DE161" s="891" t="s">
        <v>412</v>
      </c>
      <c r="DF161" s="891">
        <v>2</v>
      </c>
      <c r="DG161" s="959"/>
      <c r="DH161" s="959">
        <f t="shared" si="19"/>
        <v>1</v>
      </c>
      <c r="ER161" s="905">
        <v>2365</v>
      </c>
      <c r="ES161" s="906" t="s">
        <v>462</v>
      </c>
      <c r="ET161" s="2686">
        <v>6</v>
      </c>
      <c r="EV161" s="985"/>
      <c r="EW161" s="985"/>
      <c r="EX161" s="387"/>
      <c r="EY161" s="939"/>
      <c r="EZ161" s="886"/>
    </row>
    <row r="162" spans="48:156" hidden="1">
      <c r="AV162" s="114" t="s">
        <v>2454</v>
      </c>
      <c r="AW162" s="278"/>
      <c r="AX162" s="109">
        <v>66120</v>
      </c>
      <c r="AY162">
        <v>0.9</v>
      </c>
      <c r="AZ162">
        <v>0.9</v>
      </c>
      <c r="BA162">
        <v>0.9</v>
      </c>
      <c r="BB162">
        <v>2</v>
      </c>
      <c r="BY162" s="60">
        <v>1.5</v>
      </c>
      <c r="BZ162" s="1962">
        <f>MAX(AY162*KÉRDÉSEK!$C$73,NDK!AZ162*KÉRDÉSEK!$C$71,NDK!BA162*KÉRDÉSEK!$C$72)</f>
        <v>0</v>
      </c>
      <c r="CE162" s="75">
        <f>MAX(BB162*KÉRDÉSEK!$C$76,BY162*KÉRDÉSEK!$C$24)</f>
        <v>0</v>
      </c>
      <c r="CI162" s="75">
        <f>BZ162*KÉRDÉSEK!$C$74+KÉRDÉSEK!$C$75*NDK!CE162</f>
        <v>0</v>
      </c>
      <c r="CJ162" s="197"/>
      <c r="CK162" s="197"/>
      <c r="CL162" s="197"/>
      <c r="CM162" s="213"/>
      <c r="CN162" s="213"/>
      <c r="CO162" s="197"/>
      <c r="CP162" s="197"/>
      <c r="CQ162" s="197"/>
      <c r="CR162" s="197"/>
      <c r="CS162" s="197"/>
      <c r="CT162" s="197"/>
      <c r="CU162" s="197"/>
      <c r="CV162" s="197"/>
      <c r="CW162" s="197"/>
      <c r="CX162" s="959"/>
      <c r="CY162" s="959"/>
      <c r="CZ162" s="959"/>
      <c r="DA162" s="959"/>
      <c r="DB162" s="959"/>
      <c r="DC162" s="891">
        <v>1139</v>
      </c>
      <c r="DD162" s="891" t="s">
        <v>401</v>
      </c>
      <c r="DE162" s="891" t="s">
        <v>412</v>
      </c>
      <c r="DF162" s="891">
        <v>3</v>
      </c>
      <c r="DG162" s="959"/>
      <c r="DH162" s="959">
        <f t="shared" si="19"/>
        <v>1</v>
      </c>
      <c r="ER162" s="905">
        <v>2366</v>
      </c>
      <c r="ES162" s="906" t="s">
        <v>463</v>
      </c>
      <c r="ET162" s="2686">
        <v>6</v>
      </c>
      <c r="EV162" s="985"/>
      <c r="EW162" s="985"/>
      <c r="EX162" s="387"/>
      <c r="EY162" s="939"/>
      <c r="EZ162" s="886"/>
    </row>
    <row r="163" spans="48:156" hidden="1">
      <c r="AV163" s="114" t="s">
        <v>2455</v>
      </c>
      <c r="AW163" s="278"/>
      <c r="AX163" s="112"/>
      <c r="BZ163" s="1962">
        <f>MAX(AY163*KÉRDÉSEK!$C$73,NDK!AZ163*KÉRDÉSEK!$C$71,NDK!BA163*KÉRDÉSEK!$C$72)</f>
        <v>0</v>
      </c>
      <c r="CE163" s="75">
        <f>MAX(BB163*KÉRDÉSEK!$C$76,BY163*KÉRDÉSEK!$C$24)</f>
        <v>0</v>
      </c>
      <c r="CI163" s="75">
        <f>BZ163*KÉRDÉSEK!$C$74+KÉRDÉSEK!$C$75*NDK!CE163</f>
        <v>0</v>
      </c>
      <c r="CJ163" s="197"/>
      <c r="CK163" s="197"/>
      <c r="CL163" s="197"/>
      <c r="CM163" s="213"/>
      <c r="CN163" s="213"/>
      <c r="CO163" s="197"/>
      <c r="CP163" s="197"/>
      <c r="CQ163" s="197"/>
      <c r="CR163" s="197"/>
      <c r="CS163" s="197"/>
      <c r="CT163" s="197"/>
      <c r="CU163" s="197"/>
      <c r="CV163" s="197"/>
      <c r="CW163" s="197"/>
      <c r="CX163" s="959"/>
      <c r="CY163" s="959"/>
      <c r="CZ163" s="959"/>
      <c r="DA163" s="959"/>
      <c r="DB163" s="959"/>
      <c r="DC163" s="891">
        <v>1141</v>
      </c>
      <c r="DD163" s="891" t="s">
        <v>401</v>
      </c>
      <c r="DE163" s="891" t="s">
        <v>412</v>
      </c>
      <c r="DF163" s="891">
        <v>1</v>
      </c>
      <c r="DG163" s="959"/>
      <c r="DH163" s="959">
        <f t="shared" si="19"/>
        <v>1</v>
      </c>
      <c r="ER163" s="905">
        <v>2367</v>
      </c>
      <c r="ES163" s="906" t="s">
        <v>464</v>
      </c>
      <c r="ET163" s="2686">
        <v>6</v>
      </c>
      <c r="EV163" s="985"/>
      <c r="EW163" s="985"/>
      <c r="EX163" s="387"/>
      <c r="EY163" s="939"/>
      <c r="EZ163" s="886"/>
    </row>
    <row r="164" spans="48:156" hidden="1">
      <c r="AV164" s="114" t="s">
        <v>2438</v>
      </c>
      <c r="AW164" s="278"/>
      <c r="AX164" s="109">
        <v>46800</v>
      </c>
      <c r="AY164">
        <v>0.81</v>
      </c>
      <c r="AZ164">
        <v>0.7</v>
      </c>
      <c r="BA164">
        <v>0.5</v>
      </c>
      <c r="BB164">
        <v>2</v>
      </c>
      <c r="BY164" s="60">
        <v>1.5</v>
      </c>
      <c r="BZ164" s="1962">
        <f>MAX(AY164*KÉRDÉSEK!$C$73,NDK!AZ164*KÉRDÉSEK!$C$71,NDK!BA164*KÉRDÉSEK!$C$72)</f>
        <v>0</v>
      </c>
      <c r="CE164" s="75">
        <f>MAX(BB164*KÉRDÉSEK!$C$76,BY164*KÉRDÉSEK!$C$24)</f>
        <v>0</v>
      </c>
      <c r="CI164" s="75">
        <f>BZ164*KÉRDÉSEK!$C$74+KÉRDÉSEK!$C$75*NDK!CE164</f>
        <v>0</v>
      </c>
      <c r="CJ164" s="197"/>
      <c r="CK164" s="197"/>
      <c r="CL164" s="197"/>
      <c r="CM164" s="213"/>
      <c r="CN164" s="213"/>
      <c r="CO164" s="197"/>
      <c r="CP164" s="197"/>
      <c r="CQ164" s="197"/>
      <c r="CR164" s="197"/>
      <c r="CS164" s="197"/>
      <c r="CT164" s="197"/>
      <c r="CU164" s="197"/>
      <c r="CV164" s="197"/>
      <c r="CW164" s="197"/>
      <c r="CX164" s="959"/>
      <c r="CY164" s="959"/>
      <c r="CZ164" s="959"/>
      <c r="DA164" s="959"/>
      <c r="DB164" s="959"/>
      <c r="DC164" s="891">
        <v>1142</v>
      </c>
      <c r="DD164" s="891" t="s">
        <v>401</v>
      </c>
      <c r="DE164" s="891" t="s">
        <v>431</v>
      </c>
      <c r="DF164" s="891">
        <v>1</v>
      </c>
      <c r="DG164" s="959"/>
      <c r="DH164" s="959">
        <f t="shared" si="19"/>
        <v>1</v>
      </c>
      <c r="ER164" s="905">
        <v>2370</v>
      </c>
      <c r="ES164" s="906" t="s">
        <v>465</v>
      </c>
      <c r="ET164" s="2686">
        <v>6</v>
      </c>
      <c r="EV164" s="985"/>
      <c r="EW164" s="985"/>
      <c r="EX164" s="387"/>
      <c r="EY164" s="939"/>
      <c r="EZ164" s="886"/>
    </row>
    <row r="165" spans="48:156" ht="51.75" hidden="1">
      <c r="AV165" s="258" t="s">
        <v>2439</v>
      </c>
      <c r="AW165" s="280"/>
      <c r="AX165" s="112"/>
      <c r="BZ165" s="1962">
        <f>MAX(AY165*KÉRDÉSEK!$C$73,NDK!AZ165*KÉRDÉSEK!$C$71,NDK!BA165*KÉRDÉSEK!$C$72)</f>
        <v>0</v>
      </c>
      <c r="CE165" s="75">
        <f>MAX(BB165*KÉRDÉSEK!$C$76,BY165*KÉRDÉSEK!$C$24)</f>
        <v>0</v>
      </c>
      <c r="CI165" s="75">
        <f>BZ165*KÉRDÉSEK!$C$74+KÉRDÉSEK!$C$75*NDK!CE165</f>
        <v>0</v>
      </c>
      <c r="CJ165" s="197"/>
      <c r="CK165" s="197"/>
      <c r="CL165" s="197"/>
      <c r="CM165" s="213"/>
      <c r="CN165" s="213"/>
      <c r="CO165" s="197"/>
      <c r="CP165" s="197"/>
      <c r="CQ165" s="197"/>
      <c r="CR165" s="197"/>
      <c r="CS165" s="197"/>
      <c r="CT165" s="197"/>
      <c r="CU165" s="197"/>
      <c r="CV165" s="197"/>
      <c r="CW165" s="197"/>
      <c r="CX165" s="959"/>
      <c r="CY165" s="959"/>
      <c r="CZ165" s="959"/>
      <c r="DA165" s="959"/>
      <c r="DB165" s="959"/>
      <c r="DC165" s="891">
        <v>1143</v>
      </c>
      <c r="DD165" s="891" t="s">
        <v>401</v>
      </c>
      <c r="DE165" s="891" t="s">
        <v>417</v>
      </c>
      <c r="DF165" s="891">
        <v>1</v>
      </c>
      <c r="DG165" s="959"/>
      <c r="DH165" s="959">
        <f t="shared" si="19"/>
        <v>1</v>
      </c>
      <c r="ER165" s="905">
        <v>2371</v>
      </c>
      <c r="ES165" s="930" t="s">
        <v>272</v>
      </c>
      <c r="ET165" s="2686">
        <v>6</v>
      </c>
      <c r="EV165" s="985"/>
      <c r="EW165" s="985"/>
      <c r="EX165" s="387"/>
      <c r="EY165" s="939"/>
      <c r="EZ165" s="886"/>
    </row>
    <row r="166" spans="48:156" hidden="1">
      <c r="AV166" s="257" t="s">
        <v>4937</v>
      </c>
      <c r="AW166" s="279"/>
      <c r="AX166" s="112"/>
      <c r="BZ166" s="1962">
        <f>MAX(AY166*KÉRDÉSEK!$C$73,NDK!AZ166*KÉRDÉSEK!$C$71,NDK!BA166*KÉRDÉSEK!$C$72)</f>
        <v>0</v>
      </c>
      <c r="CE166" s="75">
        <f>MAX(BB166*KÉRDÉSEK!$C$76,BY166*KÉRDÉSEK!$C$24)</f>
        <v>0</v>
      </c>
      <c r="CI166" s="75">
        <f>BZ166*KÉRDÉSEK!$C$74+KÉRDÉSEK!$C$75*NDK!CE166</f>
        <v>0</v>
      </c>
      <c r="CJ166" s="197"/>
      <c r="CK166" s="197"/>
      <c r="CL166" s="197"/>
      <c r="CM166" s="213"/>
      <c r="CN166" s="213"/>
      <c r="CO166" s="197"/>
      <c r="CP166" s="197"/>
      <c r="CQ166" s="197"/>
      <c r="CR166" s="197"/>
      <c r="CS166" s="197"/>
      <c r="CT166" s="197"/>
      <c r="CU166" s="197"/>
      <c r="CV166" s="197"/>
      <c r="CW166" s="197"/>
      <c r="CX166" s="959"/>
      <c r="CY166" s="959"/>
      <c r="CZ166" s="959"/>
      <c r="DA166" s="959"/>
      <c r="DB166" s="959"/>
      <c r="DC166" s="891">
        <v>1144</v>
      </c>
      <c r="DD166" s="891" t="s">
        <v>401</v>
      </c>
      <c r="DE166" s="891" t="s">
        <v>434</v>
      </c>
      <c r="DF166" s="891">
        <v>1</v>
      </c>
      <c r="DG166" s="959"/>
      <c r="DH166" s="959">
        <f t="shared" si="19"/>
        <v>1</v>
      </c>
      <c r="ER166" s="905">
        <v>2373</v>
      </c>
      <c r="ES166" s="930" t="s">
        <v>273</v>
      </c>
      <c r="ET166" s="2686">
        <v>6</v>
      </c>
      <c r="EV166" s="985"/>
      <c r="EW166" s="985"/>
      <c r="EX166" s="387"/>
      <c r="EY166" s="939"/>
      <c r="EZ166" s="886"/>
    </row>
    <row r="167" spans="48:156" hidden="1">
      <c r="AV167" s="114" t="s">
        <v>2456</v>
      </c>
      <c r="AW167" s="278"/>
      <c r="AX167" s="109">
        <v>132000</v>
      </c>
      <c r="AY167">
        <v>0.81</v>
      </c>
      <c r="AZ167">
        <v>0.7</v>
      </c>
      <c r="BA167">
        <v>0.54</v>
      </c>
      <c r="BB167">
        <v>2</v>
      </c>
      <c r="BY167" s="60">
        <v>1.5</v>
      </c>
      <c r="BZ167" s="1962">
        <f>MAX(AY167*KÉRDÉSEK!$C$73,NDK!AZ167*KÉRDÉSEK!$C$71,NDK!BA167*KÉRDÉSEK!$C$72)</f>
        <v>0</v>
      </c>
      <c r="CE167" s="75">
        <f>MAX(BB167*KÉRDÉSEK!$C$76,BY167*KÉRDÉSEK!$C$24)</f>
        <v>0</v>
      </c>
      <c r="CI167" s="75">
        <f>BZ167*KÉRDÉSEK!$C$74+KÉRDÉSEK!$C$75*NDK!CE167</f>
        <v>0</v>
      </c>
      <c r="CJ167" s="197"/>
      <c r="CK167" s="197"/>
      <c r="CL167" s="197"/>
      <c r="CM167" s="213"/>
      <c r="CN167" s="213"/>
      <c r="CO167" s="197"/>
      <c r="CP167" s="197"/>
      <c r="CQ167" s="197"/>
      <c r="CR167" s="197"/>
      <c r="CS167" s="197"/>
      <c r="CT167" s="197"/>
      <c r="CU167" s="197"/>
      <c r="CV167" s="197"/>
      <c r="CW167" s="197"/>
      <c r="CX167" s="959"/>
      <c r="CY167" s="959"/>
      <c r="CZ167" s="959"/>
      <c r="DA167" s="959"/>
      <c r="DB167" s="959"/>
      <c r="DC167" s="891">
        <v>1145</v>
      </c>
      <c r="DD167" s="891" t="s">
        <v>401</v>
      </c>
      <c r="DE167" s="891" t="s">
        <v>431</v>
      </c>
      <c r="DF167" s="891">
        <v>1</v>
      </c>
      <c r="DG167" s="959"/>
      <c r="DH167" s="959">
        <f t="shared" si="19"/>
        <v>1</v>
      </c>
      <c r="ER167" s="905">
        <v>2375</v>
      </c>
      <c r="ES167" s="906" t="s">
        <v>467</v>
      </c>
      <c r="ET167" s="2686">
        <v>9</v>
      </c>
      <c r="EV167" s="985"/>
      <c r="EW167" s="985"/>
      <c r="EX167" s="387"/>
      <c r="EY167" s="939"/>
      <c r="EZ167" s="886"/>
    </row>
    <row r="168" spans="48:156" hidden="1">
      <c r="AV168" s="257" t="s">
        <v>4938</v>
      </c>
      <c r="AW168" s="279"/>
      <c r="AX168" s="112"/>
      <c r="BZ168" s="1962">
        <f>MAX(AY168*KÉRDÉSEK!$C$73,NDK!AZ168*KÉRDÉSEK!$C$71,NDK!BA168*KÉRDÉSEK!$C$72)</f>
        <v>0</v>
      </c>
      <c r="CE168" s="75">
        <f>MAX(BB168*KÉRDÉSEK!$C$76,BY168*KÉRDÉSEK!$C$24)</f>
        <v>0</v>
      </c>
      <c r="CI168" s="75">
        <f>BZ168*KÉRDÉSEK!$C$74+KÉRDÉSEK!$C$75*NDK!CE168</f>
        <v>0</v>
      </c>
      <c r="CJ168" s="197"/>
      <c r="CK168" s="197"/>
      <c r="CL168" s="197"/>
      <c r="CM168" s="213"/>
      <c r="CN168" s="213"/>
      <c r="CO168" s="197"/>
      <c r="CP168" s="197"/>
      <c r="CQ168" s="197"/>
      <c r="CR168" s="197"/>
      <c r="CS168" s="197"/>
      <c r="CT168" s="197"/>
      <c r="CU168" s="197"/>
      <c r="CV168" s="197"/>
      <c r="CW168" s="197"/>
      <c r="CX168" s="959"/>
      <c r="CY168" s="959"/>
      <c r="CZ168" s="959"/>
      <c r="DA168" s="959"/>
      <c r="DB168" s="959"/>
      <c r="DC168" s="891">
        <v>1146</v>
      </c>
      <c r="DD168" s="891" t="s">
        <v>401</v>
      </c>
      <c r="DE168" s="891" t="s">
        <v>417</v>
      </c>
      <c r="DF168" s="891">
        <v>1</v>
      </c>
      <c r="DG168" s="959"/>
      <c r="DH168" s="959">
        <f t="shared" si="19"/>
        <v>1</v>
      </c>
      <c r="ER168" s="905">
        <v>2376</v>
      </c>
      <c r="ES168" s="906" t="s">
        <v>468</v>
      </c>
      <c r="ET168" s="2686">
        <v>6</v>
      </c>
      <c r="EV168" s="985"/>
      <c r="EW168" s="985"/>
      <c r="EX168" s="387"/>
      <c r="EY168" s="939"/>
      <c r="EZ168" s="886"/>
    </row>
    <row r="169" spans="48:156" hidden="1">
      <c r="AV169" s="257" t="s">
        <v>2440</v>
      </c>
      <c r="AW169" s="279"/>
      <c r="AX169" s="112"/>
      <c r="BZ169" s="1962">
        <f>MAX(AY169*KÉRDÉSEK!$C$73,NDK!AZ169*KÉRDÉSEK!$C$71,NDK!BA169*KÉRDÉSEK!$C$72)</f>
        <v>0</v>
      </c>
      <c r="CE169" s="75">
        <f>MAX(BB169*KÉRDÉSEK!$C$76,BY169*KÉRDÉSEK!$C$24)</f>
        <v>0</v>
      </c>
      <c r="CI169" s="75">
        <f>BZ169*KÉRDÉSEK!$C$74+KÉRDÉSEK!$C$75*NDK!CE169</f>
        <v>0</v>
      </c>
      <c r="CJ169" s="197"/>
      <c r="CK169" s="197"/>
      <c r="CL169" s="197"/>
      <c r="CM169" s="213"/>
      <c r="CN169" s="213"/>
      <c r="CO169" s="197"/>
      <c r="CP169" s="197"/>
      <c r="CQ169" s="197"/>
      <c r="CR169" s="197"/>
      <c r="CS169" s="197"/>
      <c r="CT169" s="197"/>
      <c r="CU169" s="197"/>
      <c r="CV169" s="197"/>
      <c r="CW169" s="197"/>
      <c r="CX169" s="959"/>
      <c r="CY169" s="959"/>
      <c r="CZ169" s="959"/>
      <c r="DA169" s="959"/>
      <c r="DB169" s="959"/>
      <c r="DC169" s="891">
        <v>1147</v>
      </c>
      <c r="DD169" s="891" t="s">
        <v>401</v>
      </c>
      <c r="DE169" s="891" t="s">
        <v>412</v>
      </c>
      <c r="DF169" s="891">
        <v>1</v>
      </c>
      <c r="DG169" s="959"/>
      <c r="DH169" s="959">
        <f t="shared" si="19"/>
        <v>1</v>
      </c>
      <c r="ER169" s="905">
        <v>2377</v>
      </c>
      <c r="ES169" s="906" t="s">
        <v>469</v>
      </c>
      <c r="ET169" s="2686">
        <v>6</v>
      </c>
      <c r="EV169" s="985"/>
      <c r="EW169" s="985"/>
      <c r="EX169" s="387"/>
      <c r="EY169" s="939"/>
      <c r="EZ169" s="886"/>
    </row>
    <row r="170" spans="48:156" hidden="1">
      <c r="AV170" s="106" t="s">
        <v>4134</v>
      </c>
      <c r="AW170" s="451"/>
      <c r="AX170" s="109">
        <v>192480</v>
      </c>
      <c r="AY170">
        <v>0.81</v>
      </c>
      <c r="AZ170">
        <v>0.7</v>
      </c>
      <c r="BA170">
        <v>0.54</v>
      </c>
      <c r="BB170">
        <v>2</v>
      </c>
      <c r="BY170" s="60">
        <v>1.5</v>
      </c>
      <c r="BZ170" s="1962">
        <f>MAX(AY170*KÉRDÉSEK!$C$73,NDK!AZ170*KÉRDÉSEK!$C$71,NDK!BA170*KÉRDÉSEK!$C$72)</f>
        <v>0</v>
      </c>
      <c r="CE170" s="75">
        <f>MAX(BB170*KÉRDÉSEK!$C$76,BY170*KÉRDÉSEK!$C$24)</f>
        <v>0</v>
      </c>
      <c r="CI170" s="75">
        <f>BZ170*KÉRDÉSEK!$C$74+KÉRDÉSEK!$C$75*NDK!CE170</f>
        <v>0</v>
      </c>
      <c r="CJ170" s="197"/>
      <c r="CK170" s="197"/>
      <c r="CL170" s="197"/>
      <c r="CM170" s="213"/>
      <c r="CN170" s="213"/>
      <c r="CO170" s="197"/>
      <c r="CP170" s="197"/>
      <c r="CQ170" s="197"/>
      <c r="CR170" s="197"/>
      <c r="CS170" s="197"/>
      <c r="CT170" s="197"/>
      <c r="CU170" s="197"/>
      <c r="CV170" s="197"/>
      <c r="CW170" s="197"/>
      <c r="CX170" s="959"/>
      <c r="CY170" s="959"/>
      <c r="CZ170" s="959"/>
      <c r="DA170" s="959"/>
      <c r="DB170" s="959"/>
      <c r="DC170" s="891">
        <v>1148</v>
      </c>
      <c r="DD170" s="891" t="s">
        <v>401</v>
      </c>
      <c r="DE170" s="891" t="s">
        <v>420</v>
      </c>
      <c r="DF170" s="891">
        <v>1</v>
      </c>
      <c r="DG170" s="959"/>
      <c r="DH170" s="959">
        <f t="shared" si="19"/>
        <v>1</v>
      </c>
      <c r="ER170" s="905">
        <v>2378</v>
      </c>
      <c r="ES170" s="906" t="s">
        <v>470</v>
      </c>
      <c r="ET170" s="2686">
        <v>9</v>
      </c>
      <c r="EV170" s="985"/>
      <c r="EW170" s="985"/>
      <c r="EX170" s="387"/>
      <c r="EY170" s="939"/>
      <c r="EZ170" s="886"/>
    </row>
    <row r="171" spans="48:156" hidden="1">
      <c r="AV171" s="106" t="s">
        <v>2459</v>
      </c>
      <c r="AW171" s="451"/>
      <c r="AX171" s="112"/>
      <c r="BZ171" s="1962">
        <f>MAX(AY171*KÉRDÉSEK!$C$73,NDK!AZ171*KÉRDÉSEK!$C$71,NDK!BA171*KÉRDÉSEK!$C$72)</f>
        <v>0</v>
      </c>
      <c r="CE171" s="75">
        <f>MAX(BB171*KÉRDÉSEK!$C$76,BY171*KÉRDÉSEK!$C$24)</f>
        <v>0</v>
      </c>
      <c r="CI171" s="75">
        <f>BZ171*KÉRDÉSEK!$C$74+KÉRDÉSEK!$C$75*NDK!CE171</f>
        <v>0</v>
      </c>
      <c r="CJ171" s="197"/>
      <c r="CK171" s="197"/>
      <c r="CL171" s="197"/>
      <c r="CM171" s="213"/>
      <c r="CN171" s="213"/>
      <c r="CO171" s="197"/>
      <c r="CP171" s="197"/>
      <c r="CQ171" s="197"/>
      <c r="CR171" s="197"/>
      <c r="CS171" s="197"/>
      <c r="CT171" s="197"/>
      <c r="CU171" s="197"/>
      <c r="CV171" s="197"/>
      <c r="CW171" s="197"/>
      <c r="CX171" s="959"/>
      <c r="CY171" s="959"/>
      <c r="CZ171" s="959"/>
      <c r="DA171" s="959"/>
      <c r="DB171" s="959"/>
      <c r="DC171" s="891">
        <v>1149</v>
      </c>
      <c r="DD171" s="891" t="s">
        <v>401</v>
      </c>
      <c r="DE171" s="891" t="s">
        <v>418</v>
      </c>
      <c r="DF171" s="891">
        <v>1</v>
      </c>
      <c r="DG171" s="959"/>
      <c r="DH171" s="959">
        <f t="shared" si="19"/>
        <v>1</v>
      </c>
      <c r="ER171" s="905">
        <v>2381</v>
      </c>
      <c r="ES171" s="906" t="s">
        <v>274</v>
      </c>
      <c r="ET171" s="2686">
        <v>6</v>
      </c>
      <c r="EV171" s="985"/>
      <c r="EW171" s="985"/>
      <c r="EX171" s="387"/>
      <c r="EY171" s="939"/>
      <c r="EZ171" s="886"/>
    </row>
    <row r="172" spans="48:156" hidden="1">
      <c r="AV172" s="114" t="s">
        <v>1494</v>
      </c>
      <c r="AW172" s="278"/>
      <c r="AX172" s="109">
        <v>2280</v>
      </c>
      <c r="AY172">
        <v>0.9</v>
      </c>
      <c r="AZ172">
        <v>0.8</v>
      </c>
      <c r="BA172">
        <v>0.7</v>
      </c>
      <c r="BB172">
        <v>2</v>
      </c>
      <c r="BY172" s="60">
        <v>1.5</v>
      </c>
      <c r="BZ172" s="1962">
        <f>MAX(AY172*KÉRDÉSEK!$C$73,NDK!AZ172*KÉRDÉSEK!$C$71,NDK!BA172*KÉRDÉSEK!$C$72)</f>
        <v>0</v>
      </c>
      <c r="CE172" s="75">
        <f>MAX(BB172*KÉRDÉSEK!$C$76,BY172*KÉRDÉSEK!$C$24)</f>
        <v>0</v>
      </c>
      <c r="CI172" s="75">
        <f>BZ172*KÉRDÉSEK!$C$74+KÉRDÉSEK!$C$75*NDK!CE172</f>
        <v>0</v>
      </c>
      <c r="CJ172" s="197"/>
      <c r="CK172" s="197"/>
      <c r="CL172" s="197"/>
      <c r="CM172" s="213"/>
      <c r="CN172" s="213"/>
      <c r="CO172" s="197"/>
      <c r="CP172" s="197"/>
      <c r="CQ172" s="197"/>
      <c r="CR172" s="197"/>
      <c r="CS172" s="197"/>
      <c r="CT172" s="197"/>
      <c r="CU172" s="197"/>
      <c r="CV172" s="197"/>
      <c r="CW172" s="197"/>
      <c r="CX172" s="959"/>
      <c r="CY172" s="959"/>
      <c r="CZ172" s="959"/>
      <c r="DA172" s="959"/>
      <c r="DB172" s="959"/>
      <c r="DC172" s="891">
        <v>1151</v>
      </c>
      <c r="DD172" s="891" t="s">
        <v>401</v>
      </c>
      <c r="DE172" s="891" t="s">
        <v>419</v>
      </c>
      <c r="DF172" s="891">
        <v>2</v>
      </c>
      <c r="DG172" s="959"/>
      <c r="DH172" s="959">
        <f t="shared" si="19"/>
        <v>1</v>
      </c>
      <c r="ER172" s="905">
        <v>2400</v>
      </c>
      <c r="ES172" s="906" t="s">
        <v>472</v>
      </c>
      <c r="ET172" s="2686">
        <v>7</v>
      </c>
      <c r="EV172" s="985"/>
      <c r="EW172" s="985"/>
      <c r="EX172" s="387"/>
      <c r="EY172" s="939"/>
      <c r="EZ172" s="886"/>
    </row>
    <row r="173" spans="48:156" hidden="1">
      <c r="AV173" s="114" t="s">
        <v>3072</v>
      </c>
      <c r="AW173" s="278"/>
      <c r="AX173" s="109">
        <v>4800</v>
      </c>
      <c r="AY173">
        <v>0.9</v>
      </c>
      <c r="AZ173">
        <v>0.6</v>
      </c>
      <c r="BA173">
        <v>0.6</v>
      </c>
      <c r="BB173">
        <v>2</v>
      </c>
      <c r="BY173" s="60">
        <v>1.5</v>
      </c>
      <c r="BZ173" s="1962">
        <f>MAX(AY173*KÉRDÉSEK!$C$73,NDK!AZ173*KÉRDÉSEK!$C$71,NDK!BA173*KÉRDÉSEK!$C$72)</f>
        <v>0</v>
      </c>
      <c r="CE173" s="75">
        <f>MAX(BB173*KÉRDÉSEK!$C$76,BY173*KÉRDÉSEK!$C$24)</f>
        <v>0</v>
      </c>
      <c r="CI173" s="75">
        <f>BZ173*KÉRDÉSEK!$C$74+KÉRDÉSEK!$C$75*NDK!CE173</f>
        <v>0</v>
      </c>
      <c r="CJ173" s="197"/>
      <c r="CK173" s="197"/>
      <c r="CL173" s="197"/>
      <c r="CM173" s="213"/>
      <c r="CN173" s="213"/>
      <c r="CO173" s="197"/>
      <c r="CP173" s="197"/>
      <c r="CQ173" s="197"/>
      <c r="CR173" s="197"/>
      <c r="CS173" s="197"/>
      <c r="CT173" s="197"/>
      <c r="CU173" s="197"/>
      <c r="CV173" s="197"/>
      <c r="CW173" s="197"/>
      <c r="CX173" s="959"/>
      <c r="CY173" s="959"/>
      <c r="CZ173" s="959"/>
      <c r="DA173" s="959"/>
      <c r="DB173" s="959"/>
      <c r="DC173" s="891">
        <v>1152</v>
      </c>
      <c r="DD173" s="891" t="s">
        <v>401</v>
      </c>
      <c r="DE173" s="891" t="s">
        <v>406</v>
      </c>
      <c r="DF173" s="891">
        <v>1</v>
      </c>
      <c r="DG173" s="959"/>
      <c r="DH173" s="959">
        <f t="shared" si="19"/>
        <v>1</v>
      </c>
      <c r="ER173" s="905">
        <v>2407</v>
      </c>
      <c r="ES173" s="930" t="s">
        <v>275</v>
      </c>
      <c r="ET173" s="2686">
        <v>7</v>
      </c>
      <c r="EV173" s="985"/>
      <c r="EW173" s="985"/>
      <c r="EX173" s="387"/>
      <c r="EY173" s="939"/>
      <c r="EZ173" s="886"/>
    </row>
    <row r="174" spans="48:156" hidden="1">
      <c r="AV174" s="257" t="s">
        <v>2711</v>
      </c>
      <c r="AW174" s="279"/>
      <c r="AX174" s="112"/>
      <c r="BY174" s="60">
        <v>1.5</v>
      </c>
      <c r="BZ174" s="1962">
        <f>MAX(AY174*KÉRDÉSEK!$C$73,NDK!AZ174*KÉRDÉSEK!$C$71,NDK!BA174*KÉRDÉSEK!$C$72)</f>
        <v>0</v>
      </c>
      <c r="CE174" s="75">
        <f>MAX(BB174*KÉRDÉSEK!$C$76,BY174*KÉRDÉSEK!$C$24)</f>
        <v>0</v>
      </c>
      <c r="CI174" s="75">
        <f>BZ174*KÉRDÉSEK!$C$74+KÉRDÉSEK!$C$75*NDK!CE174</f>
        <v>0</v>
      </c>
      <c r="CJ174" s="197"/>
      <c r="CK174" s="197"/>
      <c r="CL174" s="197"/>
      <c r="CM174" s="213"/>
      <c r="CN174" s="213"/>
      <c r="CO174" s="197"/>
      <c r="CP174" s="197"/>
      <c r="CQ174" s="197"/>
      <c r="CR174" s="197"/>
      <c r="CS174" s="197"/>
      <c r="CT174" s="197"/>
      <c r="CU174" s="197"/>
      <c r="CV174" s="197"/>
      <c r="CW174" s="197"/>
      <c r="CX174" s="959"/>
      <c r="CY174" s="959"/>
      <c r="CZ174" s="959"/>
      <c r="DA174" s="959"/>
      <c r="DB174" s="959"/>
      <c r="DC174" s="891">
        <v>1153</v>
      </c>
      <c r="DD174" s="891" t="s">
        <v>401</v>
      </c>
      <c r="DE174" s="891" t="s">
        <v>410</v>
      </c>
      <c r="DF174" s="891">
        <v>1</v>
      </c>
      <c r="DG174" s="959"/>
      <c r="DH174" s="959">
        <f t="shared" si="19"/>
        <v>1</v>
      </c>
      <c r="ER174" s="905">
        <v>2421</v>
      </c>
      <c r="ES174" s="906" t="s">
        <v>474</v>
      </c>
      <c r="ET174" s="2686">
        <v>9</v>
      </c>
      <c r="EV174" s="985"/>
      <c r="EW174" s="985"/>
      <c r="EX174" s="387"/>
      <c r="EY174" s="939"/>
      <c r="EZ174" s="886"/>
    </row>
    <row r="175" spans="48:156" hidden="1">
      <c r="AV175" s="114" t="s">
        <v>3071</v>
      </c>
      <c r="AW175" s="278"/>
      <c r="AX175" s="109">
        <v>4800</v>
      </c>
      <c r="AY175">
        <v>0.9</v>
      </c>
      <c r="AZ175">
        <v>0.6</v>
      </c>
      <c r="BA175">
        <v>0.6</v>
      </c>
      <c r="BB175">
        <v>2</v>
      </c>
      <c r="BY175" s="60">
        <v>1.5</v>
      </c>
      <c r="BZ175" s="1962">
        <f>MAX(AY175*KÉRDÉSEK!$C$73,NDK!AZ175*KÉRDÉSEK!$C$71,NDK!BA175*KÉRDÉSEK!$C$72)</f>
        <v>0</v>
      </c>
      <c r="CE175" s="75">
        <f>MAX(BB175*KÉRDÉSEK!$C$76,BY175*KÉRDÉSEK!$C$24)</f>
        <v>0</v>
      </c>
      <c r="CI175" s="75">
        <f>BZ175*KÉRDÉSEK!$C$74+KÉRDÉSEK!$C$75*NDK!CE175</f>
        <v>0</v>
      </c>
      <c r="CJ175" s="197"/>
      <c r="CK175" s="197"/>
      <c r="CL175" s="197"/>
      <c r="CM175" s="213"/>
      <c r="CN175" s="213"/>
      <c r="CO175" s="197"/>
      <c r="CP175" s="197"/>
      <c r="CQ175" s="197"/>
      <c r="CR175" s="197"/>
      <c r="CS175" s="197"/>
      <c r="CT175" s="197"/>
      <c r="CU175" s="197"/>
      <c r="CV175" s="197"/>
      <c r="CW175" s="197"/>
      <c r="CX175" s="959"/>
      <c r="CY175" s="959"/>
      <c r="CZ175" s="959"/>
      <c r="DA175" s="959"/>
      <c r="DB175" s="959"/>
      <c r="DC175" s="891">
        <v>1154</v>
      </c>
      <c r="DD175" s="891" t="s">
        <v>401</v>
      </c>
      <c r="DE175" s="891" t="s">
        <v>410</v>
      </c>
      <c r="DF175" s="891">
        <v>1</v>
      </c>
      <c r="DG175" s="959"/>
      <c r="DH175" s="959">
        <f t="shared" si="19"/>
        <v>1</v>
      </c>
      <c r="ER175" s="905">
        <v>2422</v>
      </c>
      <c r="ES175" s="906" t="s">
        <v>475</v>
      </c>
      <c r="ET175" s="2686">
        <v>9</v>
      </c>
      <c r="EV175" s="985"/>
      <c r="EW175" s="985"/>
      <c r="EX175" s="387"/>
      <c r="EY175" s="939"/>
      <c r="EZ175" s="886"/>
    </row>
    <row r="176" spans="48:156" hidden="1">
      <c r="AV176" s="114" t="s">
        <v>3073</v>
      </c>
      <c r="AW176" s="278"/>
      <c r="AX176" s="112"/>
      <c r="BY176" s="60">
        <v>1.5</v>
      </c>
      <c r="BZ176" s="1962">
        <f>MAX(AY176*KÉRDÉSEK!$C$73,NDK!AZ176*KÉRDÉSEK!$C$71,NDK!BA176*KÉRDÉSEK!$C$72)</f>
        <v>0</v>
      </c>
      <c r="CE176" s="75">
        <f>MAX(BB176*KÉRDÉSEK!$C$76,BY176*KÉRDÉSEK!$C$24)</f>
        <v>0</v>
      </c>
      <c r="CI176" s="75">
        <f>BZ176*KÉRDÉSEK!$C$74+KÉRDÉSEK!$C$75*NDK!CE176</f>
        <v>0</v>
      </c>
      <c r="CJ176" s="197"/>
      <c r="CK176" s="197"/>
      <c r="CL176" s="197"/>
      <c r="CM176" s="213"/>
      <c r="CN176" s="213"/>
      <c r="CO176" s="197"/>
      <c r="CP176" s="197"/>
      <c r="CQ176" s="197"/>
      <c r="CR176" s="197"/>
      <c r="CS176" s="197"/>
      <c r="CT176" s="197"/>
      <c r="CU176" s="197"/>
      <c r="CV176" s="197"/>
      <c r="CW176" s="197"/>
      <c r="CX176" s="959"/>
      <c r="CY176" s="959"/>
      <c r="CZ176" s="959"/>
      <c r="DA176" s="959"/>
      <c r="DB176" s="959"/>
      <c r="DC176" s="891">
        <v>1155</v>
      </c>
      <c r="DD176" s="891" t="s">
        <v>401</v>
      </c>
      <c r="DE176" s="891" t="s">
        <v>435</v>
      </c>
      <c r="DF176" s="891">
        <v>1</v>
      </c>
      <c r="DG176" s="959"/>
      <c r="DH176" s="959">
        <f t="shared" si="19"/>
        <v>1</v>
      </c>
      <c r="ER176" s="905">
        <v>2423</v>
      </c>
      <c r="ES176" s="905" t="s">
        <v>276</v>
      </c>
      <c r="ET176" s="2686">
        <v>9</v>
      </c>
      <c r="EV176" s="985"/>
      <c r="EW176" s="985"/>
      <c r="EX176" s="387"/>
      <c r="EY176" s="939"/>
      <c r="EZ176" s="886"/>
    </row>
    <row r="177" spans="31:156" hidden="1">
      <c r="AV177" s="114" t="s">
        <v>491</v>
      </c>
      <c r="AW177" s="278"/>
      <c r="AX177" s="109">
        <v>500040</v>
      </c>
      <c r="AY177">
        <v>0.8</v>
      </c>
      <c r="AZ177">
        <v>0.54</v>
      </c>
      <c r="BA177">
        <v>0.54</v>
      </c>
      <c r="BB177">
        <v>2</v>
      </c>
      <c r="BY177" s="60">
        <v>1.5</v>
      </c>
      <c r="BZ177" s="1962">
        <f>MAX(AY177*KÉRDÉSEK!$C$73,NDK!AZ177*KÉRDÉSEK!$C$71,NDK!BA177*KÉRDÉSEK!$C$72)</f>
        <v>0</v>
      </c>
      <c r="CE177" s="75">
        <f>MAX(BB177*KÉRDÉSEK!$C$76,BY177*KÉRDÉSEK!$C$24)</f>
        <v>0</v>
      </c>
      <c r="CI177" s="75">
        <f>BZ177*KÉRDÉSEK!$C$74+KÉRDÉSEK!$C$75*NDK!CE177</f>
        <v>0</v>
      </c>
      <c r="CJ177" s="197"/>
      <c r="CK177" s="197"/>
      <c r="CL177" s="197"/>
      <c r="CM177" s="213"/>
      <c r="CN177" s="213"/>
      <c r="CO177" s="197"/>
      <c r="CP177" s="197"/>
      <c r="CQ177" s="197"/>
      <c r="CR177" s="197"/>
      <c r="CS177" s="197"/>
      <c r="CT177" s="197"/>
      <c r="CU177" s="197"/>
      <c r="CV177" s="197"/>
      <c r="CW177" s="197"/>
      <c r="CX177" s="959"/>
      <c r="CY177" s="959"/>
      <c r="CZ177" s="959"/>
      <c r="DA177" s="959"/>
      <c r="DB177" s="959"/>
      <c r="DC177" s="891">
        <v>1156</v>
      </c>
      <c r="DD177" s="891" t="s">
        <v>401</v>
      </c>
      <c r="DE177" s="891" t="s">
        <v>406</v>
      </c>
      <c r="DF177" s="891">
        <v>1</v>
      </c>
      <c r="DG177" s="959"/>
      <c r="DH177" s="959">
        <f t="shared" si="19"/>
        <v>1</v>
      </c>
      <c r="ER177" s="905">
        <v>2424</v>
      </c>
      <c r="ES177" s="906" t="s">
        <v>477</v>
      </c>
      <c r="ET177" s="2686">
        <v>9</v>
      </c>
      <c r="EV177" s="985"/>
      <c r="EW177" s="985"/>
      <c r="EX177" s="387"/>
      <c r="EY177" s="939"/>
      <c r="EZ177" s="886"/>
    </row>
    <row r="178" spans="31:156" hidden="1">
      <c r="AV178" s="114" t="s">
        <v>492</v>
      </c>
      <c r="AW178" s="278"/>
      <c r="AX178" s="109">
        <v>500040</v>
      </c>
      <c r="AY178">
        <v>0.8</v>
      </c>
      <c r="AZ178">
        <v>0.54</v>
      </c>
      <c r="BA178">
        <v>0.54</v>
      </c>
      <c r="BB178">
        <v>2</v>
      </c>
      <c r="BY178" s="60">
        <v>1.5</v>
      </c>
      <c r="BZ178" s="1962">
        <f>MAX(AY178*KÉRDÉSEK!$C$73,NDK!AZ178*KÉRDÉSEK!$C$71,NDK!BA178*KÉRDÉSEK!$C$72)</f>
        <v>0</v>
      </c>
      <c r="CE178" s="75">
        <f>MAX(BB178*KÉRDÉSEK!$C$76,BY178*KÉRDÉSEK!$C$24)</f>
        <v>0</v>
      </c>
      <c r="CI178" s="75">
        <f>BZ178*KÉRDÉSEK!$C$74+KÉRDÉSEK!$C$75*NDK!CE178</f>
        <v>0</v>
      </c>
      <c r="CJ178" s="197"/>
      <c r="CK178" s="197"/>
      <c r="CL178" s="197"/>
      <c r="CM178" s="213"/>
      <c r="CN178" s="213"/>
      <c r="CO178" s="197"/>
      <c r="CP178" s="197"/>
      <c r="CQ178" s="197"/>
      <c r="CR178" s="197"/>
      <c r="CS178" s="197"/>
      <c r="CT178" s="197"/>
      <c r="CU178" s="197"/>
      <c r="CV178" s="197"/>
      <c r="CW178" s="197"/>
      <c r="CX178" s="959"/>
      <c r="CY178" s="959"/>
      <c r="CZ178" s="959"/>
      <c r="DA178" s="959"/>
      <c r="DB178" s="959"/>
      <c r="DC178" s="891">
        <v>1157</v>
      </c>
      <c r="DD178" s="891" t="s">
        <v>401</v>
      </c>
      <c r="DE178" s="891" t="s">
        <v>406</v>
      </c>
      <c r="DF178" s="891">
        <v>1</v>
      </c>
      <c r="DG178" s="959"/>
      <c r="DH178" s="959">
        <f t="shared" si="19"/>
        <v>1</v>
      </c>
      <c r="ER178" s="905">
        <v>2425</v>
      </c>
      <c r="ES178" s="906" t="s">
        <v>478</v>
      </c>
      <c r="ET178" s="2686">
        <v>9</v>
      </c>
      <c r="EV178" s="985"/>
      <c r="EW178" s="985"/>
      <c r="EX178" s="387"/>
      <c r="EY178" s="939"/>
      <c r="EZ178" s="886"/>
    </row>
    <row r="179" spans="31:156" hidden="1">
      <c r="AV179" s="114" t="s">
        <v>1179</v>
      </c>
      <c r="AW179" s="278"/>
      <c r="AX179" s="109">
        <v>12000</v>
      </c>
      <c r="AY179">
        <v>0.9</v>
      </c>
      <c r="AZ179">
        <v>0.6</v>
      </c>
      <c r="BA179">
        <v>0.6</v>
      </c>
      <c r="BB179">
        <v>2</v>
      </c>
      <c r="BY179" s="60">
        <v>1.5</v>
      </c>
      <c r="BZ179" s="1962">
        <f>MAX(AY179*KÉRDÉSEK!$C$73,NDK!AZ179*KÉRDÉSEK!$C$71,NDK!BA179*KÉRDÉSEK!$C$72)</f>
        <v>0</v>
      </c>
      <c r="CE179" s="75">
        <f>MAX(BB179*KÉRDÉSEK!$C$76,BY179*KÉRDÉSEK!$C$24)</f>
        <v>0</v>
      </c>
      <c r="CI179" s="75">
        <f>BZ179*KÉRDÉSEK!$C$74+KÉRDÉSEK!$C$75*NDK!CE179</f>
        <v>0</v>
      </c>
      <c r="CJ179" s="197"/>
      <c r="CK179" s="197"/>
      <c r="CL179" s="197"/>
      <c r="CM179" s="213"/>
      <c r="CN179" s="213"/>
      <c r="CO179" s="197"/>
      <c r="CP179" s="197"/>
      <c r="CQ179" s="197"/>
      <c r="CR179" s="197"/>
      <c r="CS179" s="197"/>
      <c r="CT179" s="197"/>
      <c r="CU179" s="197"/>
      <c r="CV179" s="197"/>
      <c r="CW179" s="197"/>
      <c r="CX179" s="959"/>
      <c r="CY179" s="959"/>
      <c r="CZ179" s="959"/>
      <c r="DA179" s="959"/>
      <c r="DB179" s="959"/>
      <c r="DC179" s="891">
        <v>1158</v>
      </c>
      <c r="DD179" s="891" t="s">
        <v>401</v>
      </c>
      <c r="DE179" s="891" t="s">
        <v>423</v>
      </c>
      <c r="DF179" s="891">
        <v>1</v>
      </c>
      <c r="DG179" s="959"/>
      <c r="DH179" s="959">
        <f t="shared" si="19"/>
        <v>1</v>
      </c>
      <c r="ER179" s="905">
        <v>2426</v>
      </c>
      <c r="ES179" s="906" t="s">
        <v>277</v>
      </c>
      <c r="ET179" s="2686">
        <v>9</v>
      </c>
      <c r="EV179" s="985"/>
      <c r="EW179" s="985"/>
      <c r="EX179" s="387"/>
      <c r="EY179" s="939"/>
      <c r="EZ179" s="886"/>
    </row>
    <row r="180" spans="31:156" hidden="1">
      <c r="AV180" s="114" t="s">
        <v>3074</v>
      </c>
      <c r="AW180" s="278"/>
      <c r="AX180" s="109">
        <v>6000</v>
      </c>
      <c r="AY180">
        <v>0.9</v>
      </c>
      <c r="AZ180">
        <v>0.8</v>
      </c>
      <c r="BA180">
        <v>0.7</v>
      </c>
      <c r="BB180">
        <v>2</v>
      </c>
      <c r="BY180" s="60">
        <v>1.5</v>
      </c>
      <c r="BZ180" s="1962">
        <f>MAX(AY180*KÉRDÉSEK!$C$73,NDK!AZ180*KÉRDÉSEK!$C$71,NDK!BA180*KÉRDÉSEK!$C$72)</f>
        <v>0</v>
      </c>
      <c r="CE180" s="75">
        <f>MAX(BB180*KÉRDÉSEK!$C$76,BY180*KÉRDÉSEK!$C$24)</f>
        <v>0</v>
      </c>
      <c r="CI180" s="75">
        <f>BZ180*KÉRDÉSEK!$C$74+KÉRDÉSEK!$C$75*NDK!CE180</f>
        <v>0</v>
      </c>
      <c r="CJ180" s="197"/>
      <c r="CK180" s="197"/>
      <c r="CL180" s="197"/>
      <c r="CM180" s="213"/>
      <c r="CN180" s="213"/>
      <c r="CO180" s="197"/>
      <c r="CP180" s="197"/>
      <c r="CQ180" s="197"/>
      <c r="CR180" s="197"/>
      <c r="CS180" s="197"/>
      <c r="CT180" s="197"/>
      <c r="CU180" s="197"/>
      <c r="CV180" s="197"/>
      <c r="CW180" s="197"/>
      <c r="CX180" s="959"/>
      <c r="CY180" s="959"/>
      <c r="CZ180" s="959"/>
      <c r="DA180" s="959"/>
      <c r="DB180" s="959"/>
      <c r="DC180" s="891">
        <v>1161</v>
      </c>
      <c r="DD180" s="891" t="s">
        <v>401</v>
      </c>
      <c r="DE180" s="891" t="s">
        <v>420</v>
      </c>
      <c r="DF180" s="891">
        <v>1</v>
      </c>
      <c r="DG180" s="959"/>
      <c r="DH180" s="959">
        <f t="shared" si="19"/>
        <v>1</v>
      </c>
      <c r="ER180" s="905">
        <v>2427</v>
      </c>
      <c r="ES180" s="906" t="s">
        <v>278</v>
      </c>
      <c r="ET180" s="2686">
        <v>9</v>
      </c>
      <c r="EV180" s="985"/>
      <c r="EW180" s="985"/>
      <c r="EX180" s="387"/>
      <c r="EY180" s="939"/>
      <c r="EZ180" s="886"/>
    </row>
    <row r="181" spans="31:156" hidden="1">
      <c r="AV181" s="114" t="s">
        <v>1234</v>
      </c>
      <c r="AW181" s="278"/>
      <c r="AX181" s="109">
        <v>9120</v>
      </c>
      <c r="AY181">
        <v>0.9</v>
      </c>
      <c r="AZ181">
        <v>0.8</v>
      </c>
      <c r="BA181">
        <v>0.7</v>
      </c>
      <c r="BB181">
        <v>2</v>
      </c>
      <c r="BY181" s="60">
        <v>1.5</v>
      </c>
      <c r="BZ181" s="1962">
        <f>MAX(AY181*KÉRDÉSEK!$C$73,NDK!AZ181*KÉRDÉSEK!$C$71,NDK!BA181*KÉRDÉSEK!$C$72)</f>
        <v>0</v>
      </c>
      <c r="CE181" s="75">
        <f>MAX(BB181*KÉRDÉSEK!$C$76,BY181*KÉRDÉSEK!$C$24)</f>
        <v>0</v>
      </c>
      <c r="CI181" s="75">
        <f>BZ181*KÉRDÉSEK!$C$74+KÉRDÉSEK!$C$75*NDK!CE181</f>
        <v>0</v>
      </c>
      <c r="CJ181" s="197"/>
      <c r="CK181" s="197"/>
      <c r="CL181" s="197"/>
      <c r="CM181" s="213"/>
      <c r="CN181" s="213"/>
      <c r="CO181" s="197"/>
      <c r="CP181" s="197"/>
      <c r="CQ181" s="197"/>
      <c r="CR181" s="197"/>
      <c r="CS181" s="197"/>
      <c r="CT181" s="197"/>
      <c r="CU181" s="197"/>
      <c r="CV181" s="197"/>
      <c r="CW181" s="197"/>
      <c r="CX181" s="959"/>
      <c r="CY181" s="959"/>
      <c r="CZ181" s="959"/>
      <c r="DA181" s="959"/>
      <c r="DB181" s="959"/>
      <c r="DC181" s="891">
        <v>1162</v>
      </c>
      <c r="DD181" s="891" t="s">
        <v>401</v>
      </c>
      <c r="DE181" s="891" t="s">
        <v>423</v>
      </c>
      <c r="DF181" s="891">
        <v>1</v>
      </c>
      <c r="DG181" s="959"/>
      <c r="DH181" s="959">
        <f t="shared" si="19"/>
        <v>1</v>
      </c>
      <c r="ER181" s="905">
        <v>2428</v>
      </c>
      <c r="ES181" s="906" t="s">
        <v>3027</v>
      </c>
      <c r="ET181" s="2686">
        <v>6</v>
      </c>
      <c r="EV181" s="985"/>
      <c r="EW181" s="985"/>
      <c r="EX181" s="387"/>
      <c r="EY181" s="939"/>
      <c r="EZ181" s="886"/>
    </row>
    <row r="182" spans="31:156" hidden="1">
      <c r="AV182" s="114" t="s">
        <v>1235</v>
      </c>
      <c r="AW182" s="278"/>
      <c r="AX182" s="109">
        <v>15120</v>
      </c>
      <c r="AY182">
        <v>0.9</v>
      </c>
      <c r="AZ182">
        <v>0.8</v>
      </c>
      <c r="BA182">
        <v>0.7</v>
      </c>
      <c r="BB182">
        <v>2</v>
      </c>
      <c r="BY182" s="60">
        <v>1.5</v>
      </c>
      <c r="BZ182" s="1962">
        <f>MAX(AY182*KÉRDÉSEK!$C$73,NDK!AZ182*KÉRDÉSEK!$C$71,NDK!BA182*KÉRDÉSEK!$C$72)</f>
        <v>0</v>
      </c>
      <c r="CE182" s="75">
        <f>MAX(BB182*KÉRDÉSEK!$C$76,BY182*KÉRDÉSEK!$C$24)</f>
        <v>0</v>
      </c>
      <c r="CI182" s="75">
        <f>BZ182*KÉRDÉSEK!$C$74+KÉRDÉSEK!$C$75*NDK!CE182</f>
        <v>0</v>
      </c>
      <c r="CJ182" s="197"/>
      <c r="CK182" s="197"/>
      <c r="CL182" s="197"/>
      <c r="CM182" s="213"/>
      <c r="CN182" s="213"/>
      <c r="CO182" s="197"/>
      <c r="CP182" s="197"/>
      <c r="CQ182" s="197"/>
      <c r="CR182" s="197"/>
      <c r="CS182" s="197"/>
      <c r="CT182" s="197"/>
      <c r="CU182" s="197"/>
      <c r="CV182" s="197"/>
      <c r="CW182" s="197"/>
      <c r="CX182" s="959"/>
      <c r="CY182" s="959"/>
      <c r="CZ182" s="959"/>
      <c r="DA182" s="959"/>
      <c r="DB182" s="959"/>
      <c r="DC182" s="891">
        <v>1163</v>
      </c>
      <c r="DD182" s="891" t="s">
        <v>401</v>
      </c>
      <c r="DE182" s="891" t="s">
        <v>432</v>
      </c>
      <c r="DF182" s="891">
        <v>2</v>
      </c>
      <c r="DG182" s="959"/>
      <c r="DH182" s="959">
        <f t="shared" si="19"/>
        <v>1</v>
      </c>
      <c r="ER182" s="905">
        <v>2431</v>
      </c>
      <c r="ES182" s="906" t="s">
        <v>3028</v>
      </c>
      <c r="ET182" s="2686">
        <v>9</v>
      </c>
      <c r="EV182" s="985"/>
      <c r="EW182" s="985"/>
      <c r="EX182" s="387"/>
      <c r="EY182" s="939"/>
      <c r="EZ182" s="886"/>
    </row>
    <row r="183" spans="31:156" hidden="1">
      <c r="AV183" s="114" t="s">
        <v>1236</v>
      </c>
      <c r="AW183" s="278"/>
      <c r="AX183" s="109">
        <v>35280</v>
      </c>
      <c r="AY183">
        <v>0.9</v>
      </c>
      <c r="AZ183">
        <v>0.8</v>
      </c>
      <c r="BA183">
        <v>0.7</v>
      </c>
      <c r="BB183">
        <v>2</v>
      </c>
      <c r="BY183" s="60">
        <v>1.5</v>
      </c>
      <c r="BZ183" s="1962">
        <f>MAX(AY183*KÉRDÉSEK!$C$73,NDK!AZ183*KÉRDÉSEK!$C$71,NDK!BA183*KÉRDÉSEK!$C$72)</f>
        <v>0</v>
      </c>
      <c r="CE183" s="75">
        <f>MAX(BB183*KÉRDÉSEK!$C$76,BY183*KÉRDÉSEK!$C$24)</f>
        <v>0</v>
      </c>
      <c r="CI183" s="75">
        <f>BZ183*KÉRDÉSEK!$C$74+KÉRDÉSEK!$C$75*NDK!CE183</f>
        <v>0</v>
      </c>
      <c r="CJ183" s="197"/>
      <c r="CK183" s="197"/>
      <c r="CL183" s="197"/>
      <c r="CM183" s="213"/>
      <c r="CN183" s="213"/>
      <c r="CO183" s="197"/>
      <c r="CP183" s="197"/>
      <c r="CQ183" s="197"/>
      <c r="CR183" s="197"/>
      <c r="CS183" s="197"/>
      <c r="CT183" s="197"/>
      <c r="CU183" s="197"/>
      <c r="CV183" s="197"/>
      <c r="CW183" s="197"/>
      <c r="CX183" s="959"/>
      <c r="CY183" s="959"/>
      <c r="CZ183" s="959"/>
      <c r="DA183" s="959"/>
      <c r="DB183" s="959"/>
      <c r="DC183" s="891">
        <v>1164</v>
      </c>
      <c r="DD183" s="891" t="s">
        <v>401</v>
      </c>
      <c r="DE183" s="891" t="s">
        <v>417</v>
      </c>
      <c r="DF183" s="891">
        <v>1</v>
      </c>
      <c r="DG183" s="959"/>
      <c r="DH183" s="959">
        <f t="shared" si="19"/>
        <v>1</v>
      </c>
      <c r="ER183" s="905">
        <v>2432</v>
      </c>
      <c r="ES183" s="906" t="s">
        <v>3029</v>
      </c>
      <c r="ET183" s="2686">
        <v>9</v>
      </c>
      <c r="EV183" s="985"/>
      <c r="EW183" s="985"/>
      <c r="EX183" s="387"/>
      <c r="EY183" s="939"/>
      <c r="EZ183" s="886"/>
    </row>
    <row r="184" spans="31:156" ht="77.25" hidden="1">
      <c r="AV184" s="258" t="s">
        <v>1574</v>
      </c>
      <c r="AW184" s="280"/>
      <c r="AX184" s="112"/>
      <c r="BY184" s="60">
        <v>1.5</v>
      </c>
      <c r="BZ184" s="1962">
        <f>MAX(AY184*KÉRDÉSEK!$C$73,NDK!AZ184*KÉRDÉSEK!$C$71,NDK!BA184*KÉRDÉSEK!$C$72)</f>
        <v>0</v>
      </c>
      <c r="CE184" s="75">
        <f>MAX(BB184*KÉRDÉSEK!$C$76,BY184*KÉRDÉSEK!$C$24)</f>
        <v>0</v>
      </c>
      <c r="CI184" s="75">
        <f>BZ184*KÉRDÉSEK!$C$74+KÉRDÉSEK!$C$75*NDK!CE184</f>
        <v>0</v>
      </c>
      <c r="CJ184" s="197"/>
      <c r="CK184" s="197"/>
      <c r="CL184" s="197"/>
      <c r="CM184" s="213"/>
      <c r="CN184" s="213"/>
      <c r="CO184" s="197"/>
      <c r="CP184" s="197"/>
      <c r="CQ184" s="197"/>
      <c r="CR184" s="197"/>
      <c r="CS184" s="197"/>
      <c r="CT184" s="197"/>
      <c r="CU184" s="197"/>
      <c r="CV184" s="197"/>
      <c r="CW184" s="197"/>
      <c r="CX184" s="959"/>
      <c r="CY184" s="959"/>
      <c r="CZ184" s="959"/>
      <c r="DA184" s="959"/>
      <c r="DB184" s="959"/>
      <c r="DC184" s="891">
        <v>1165</v>
      </c>
      <c r="DD184" s="891" t="s">
        <v>401</v>
      </c>
      <c r="DE184" s="891" t="s">
        <v>427</v>
      </c>
      <c r="DF184" s="891">
        <v>1</v>
      </c>
      <c r="DG184" s="959"/>
      <c r="DH184" s="959">
        <f t="shared" si="19"/>
        <v>1</v>
      </c>
      <c r="ER184" s="905">
        <v>2433</v>
      </c>
      <c r="ES184" s="906" t="s">
        <v>3030</v>
      </c>
      <c r="ET184" s="2686">
        <v>9</v>
      </c>
      <c r="EV184" s="985"/>
      <c r="EW184" s="985"/>
      <c r="EX184" s="387"/>
      <c r="EY184" s="939"/>
      <c r="EZ184" s="886"/>
    </row>
    <row r="185" spans="31:156" hidden="1">
      <c r="AV185" s="114" t="s">
        <v>1237</v>
      </c>
      <c r="AW185" s="278"/>
      <c r="AX185" s="112"/>
      <c r="BY185" s="60">
        <v>1.5</v>
      </c>
      <c r="BZ185" s="1962">
        <f>MAX(AY185*KÉRDÉSEK!$C$73,NDK!AZ185*KÉRDÉSEK!$C$71,NDK!BA185*KÉRDÉSEK!$C$72)</f>
        <v>0</v>
      </c>
      <c r="CE185" s="75">
        <f>MAX(BB185*KÉRDÉSEK!$C$76,BY185*KÉRDÉSEK!$C$24)</f>
        <v>0</v>
      </c>
      <c r="CI185" s="75">
        <f>BZ185*KÉRDÉSEK!$C$74+KÉRDÉSEK!$C$75*NDK!CE185</f>
        <v>0</v>
      </c>
      <c r="CJ185" s="197"/>
      <c r="CK185" s="197"/>
      <c r="CL185" s="197"/>
      <c r="CM185" s="213"/>
      <c r="CN185" s="213"/>
      <c r="CO185" s="197"/>
      <c r="CP185" s="197"/>
      <c r="CQ185" s="197"/>
      <c r="CR185" s="197"/>
      <c r="CS185" s="197"/>
      <c r="CT185" s="197"/>
      <c r="CU185" s="197"/>
      <c r="CV185" s="197"/>
      <c r="CW185" s="197"/>
      <c r="CX185" s="959"/>
      <c r="CY185" s="959"/>
      <c r="CZ185" s="959"/>
      <c r="DA185" s="959"/>
      <c r="DB185" s="959"/>
      <c r="DC185" s="891">
        <v>1171</v>
      </c>
      <c r="DD185" s="891" t="s">
        <v>401</v>
      </c>
      <c r="DE185" s="891" t="s">
        <v>427</v>
      </c>
      <c r="DF185" s="891">
        <v>1</v>
      </c>
      <c r="DG185" s="959"/>
      <c r="DH185" s="959">
        <f t="shared" si="19"/>
        <v>1</v>
      </c>
      <c r="ER185" s="905">
        <v>2434</v>
      </c>
      <c r="ES185" s="906" t="s">
        <v>3031</v>
      </c>
      <c r="ET185" s="2686">
        <v>9</v>
      </c>
      <c r="EV185" s="985"/>
      <c r="EW185" s="985"/>
      <c r="EX185" s="387"/>
      <c r="EY185" s="939"/>
      <c r="EZ185" s="886"/>
    </row>
    <row r="186" spans="31:156" hidden="1">
      <c r="AV186" s="114" t="s">
        <v>1238</v>
      </c>
      <c r="AW186" s="278"/>
      <c r="AX186" s="109">
        <v>5040</v>
      </c>
      <c r="AY186">
        <v>1</v>
      </c>
      <c r="AZ186">
        <v>0.8</v>
      </c>
      <c r="BA186">
        <v>0.8</v>
      </c>
      <c r="BB186">
        <v>2</v>
      </c>
      <c r="BY186" s="60">
        <v>1.5</v>
      </c>
      <c r="BZ186" s="1962">
        <f>MAX(AY186*KÉRDÉSEK!$C$73,NDK!AZ186*KÉRDÉSEK!$C$71,NDK!BA186*KÉRDÉSEK!$C$72)</f>
        <v>0</v>
      </c>
      <c r="CE186" s="75">
        <f>MAX(BB186*KÉRDÉSEK!$C$76,BY186*KÉRDÉSEK!$C$24)</f>
        <v>0</v>
      </c>
      <c r="CI186" s="75">
        <f>BZ186*KÉRDÉSEK!$C$74+KÉRDÉSEK!$C$75*NDK!CE186</f>
        <v>0</v>
      </c>
      <c r="CJ186" s="197"/>
      <c r="CK186" s="197"/>
      <c r="CL186" s="197"/>
      <c r="CM186" s="213"/>
      <c r="CN186" s="213"/>
      <c r="CO186" s="197"/>
      <c r="CP186" s="197"/>
      <c r="CQ186" s="197"/>
      <c r="CR186" s="197"/>
      <c r="CS186" s="197"/>
      <c r="CT186" s="197"/>
      <c r="CU186" s="197"/>
      <c r="CV186" s="197"/>
      <c r="CW186" s="197"/>
      <c r="CX186" s="959"/>
      <c r="CY186" s="959"/>
      <c r="CZ186" s="959"/>
      <c r="DA186" s="959"/>
      <c r="DB186" s="959"/>
      <c r="DC186" s="891">
        <v>1172</v>
      </c>
      <c r="DD186" s="891" t="s">
        <v>401</v>
      </c>
      <c r="DE186" s="891" t="s">
        <v>427</v>
      </c>
      <c r="DF186" s="891">
        <v>1</v>
      </c>
      <c r="DG186" s="959"/>
      <c r="DH186" s="959">
        <f t="shared" si="19"/>
        <v>1</v>
      </c>
      <c r="ER186" s="905">
        <v>2435</v>
      </c>
      <c r="ES186" s="906" t="s">
        <v>3032</v>
      </c>
      <c r="ET186" s="2686">
        <v>9</v>
      </c>
      <c r="EV186" s="985"/>
      <c r="EW186" s="985"/>
      <c r="EX186" s="387"/>
      <c r="EY186" s="939"/>
      <c r="EZ186" s="886"/>
    </row>
    <row r="187" spans="31:156" ht="25.5" hidden="1">
      <c r="AV187" s="115" t="s">
        <v>497</v>
      </c>
      <c r="AW187" s="281"/>
      <c r="AX187" s="109">
        <v>98880</v>
      </c>
      <c r="AY187">
        <v>0.9</v>
      </c>
      <c r="AZ187">
        <v>0.9</v>
      </c>
      <c r="BA187">
        <v>0.8</v>
      </c>
      <c r="BB187">
        <v>2</v>
      </c>
      <c r="BY187" s="60">
        <v>1.5</v>
      </c>
      <c r="BZ187" s="1962">
        <f>MAX(AY187*KÉRDÉSEK!$C$73,NDK!AZ187*KÉRDÉSEK!$C$71,NDK!BA187*KÉRDÉSEK!$C$72)</f>
        <v>0</v>
      </c>
      <c r="CE187" s="75">
        <f>MAX(BB187*KÉRDÉSEK!$C$76,BY187*KÉRDÉSEK!$C$24)</f>
        <v>0</v>
      </c>
      <c r="CI187" s="75">
        <f>BZ187*KÉRDÉSEK!$C$74+KÉRDÉSEK!$C$75*NDK!CE187</f>
        <v>0</v>
      </c>
      <c r="CJ187" s="197"/>
      <c r="CK187" s="197"/>
      <c r="CL187" s="197"/>
      <c r="CM187" s="213"/>
      <c r="CN187" s="213"/>
      <c r="CO187" s="197"/>
      <c r="CP187" s="197"/>
      <c r="CQ187" s="197"/>
      <c r="CR187" s="197"/>
      <c r="CS187" s="197"/>
      <c r="CT187" s="197"/>
      <c r="CU187" s="197"/>
      <c r="CV187" s="197"/>
      <c r="CW187" s="197"/>
      <c r="CX187" s="959"/>
      <c r="CY187" s="959"/>
      <c r="CZ187" s="959"/>
      <c r="DA187" s="959"/>
      <c r="DB187" s="959"/>
      <c r="DC187" s="891">
        <v>1173</v>
      </c>
      <c r="DD187" s="891" t="s">
        <v>401</v>
      </c>
      <c r="DE187" s="891" t="s">
        <v>427</v>
      </c>
      <c r="DF187" s="891">
        <v>1</v>
      </c>
      <c r="DG187" s="959"/>
      <c r="DH187" s="959">
        <f t="shared" si="19"/>
        <v>1</v>
      </c>
      <c r="ER187" s="905">
        <v>2440</v>
      </c>
      <c r="ES187" s="906" t="s">
        <v>3033</v>
      </c>
      <c r="ET187" s="2686">
        <v>6</v>
      </c>
      <c r="EV187" s="985"/>
      <c r="EW187" s="985"/>
      <c r="EX187" s="387"/>
      <c r="EY187" s="939"/>
      <c r="EZ187" s="886"/>
    </row>
    <row r="188" spans="31:156" hidden="1">
      <c r="AV188" s="106" t="s">
        <v>493</v>
      </c>
      <c r="AW188" s="451"/>
      <c r="AX188" s="109">
        <v>8400</v>
      </c>
      <c r="AY188">
        <v>0.9</v>
      </c>
      <c r="AZ188">
        <v>0.8</v>
      </c>
      <c r="BA188">
        <v>0.6</v>
      </c>
      <c r="BB188">
        <v>2</v>
      </c>
      <c r="BY188" s="60">
        <v>1.5</v>
      </c>
      <c r="BZ188" s="1962">
        <f>MAX(AY188*KÉRDÉSEK!$C$73,NDK!AZ188*KÉRDÉSEK!$C$71,NDK!BA188*KÉRDÉSEK!$C$72)</f>
        <v>0</v>
      </c>
      <c r="CE188" s="75">
        <f>MAX(BB188*KÉRDÉSEK!$C$76,BY188*KÉRDÉSEK!$C$24)</f>
        <v>0</v>
      </c>
      <c r="CI188" s="75">
        <f>BZ188*KÉRDÉSEK!$C$74+KÉRDÉSEK!$C$75*NDK!CE188</f>
        <v>0</v>
      </c>
      <c r="CJ188" s="197"/>
      <c r="CK188" s="197"/>
      <c r="CL188" s="197"/>
      <c r="CM188" s="213"/>
      <c r="CN188" s="213"/>
      <c r="CO188" s="197"/>
      <c r="CP188" s="197"/>
      <c r="CQ188" s="197"/>
      <c r="CR188" s="197"/>
      <c r="CS188" s="197"/>
      <c r="CT188" s="197"/>
      <c r="CU188" s="197"/>
      <c r="CV188" s="197"/>
      <c r="CW188" s="197"/>
      <c r="CX188" s="959"/>
      <c r="CY188" s="959"/>
      <c r="CZ188" s="959"/>
      <c r="DA188" s="959"/>
      <c r="DB188" s="959"/>
      <c r="DC188" s="891">
        <v>1174</v>
      </c>
      <c r="DD188" s="891" t="s">
        <v>401</v>
      </c>
      <c r="DE188" s="891" t="s">
        <v>427</v>
      </c>
      <c r="DF188" s="891">
        <v>3</v>
      </c>
      <c r="DG188" s="959"/>
      <c r="DH188" s="959">
        <f t="shared" si="19"/>
        <v>1</v>
      </c>
      <c r="ER188" s="905">
        <v>2451</v>
      </c>
      <c r="ES188" s="906" t="s">
        <v>279</v>
      </c>
      <c r="ET188" s="2686">
        <v>9</v>
      </c>
      <c r="EV188" s="985"/>
      <c r="EW188" s="985"/>
      <c r="EX188" s="387"/>
      <c r="EY188" s="939"/>
      <c r="EZ188" s="886"/>
    </row>
    <row r="189" spans="31:156" hidden="1">
      <c r="AV189" s="106" t="s">
        <v>494</v>
      </c>
      <c r="AW189" s="451"/>
      <c r="AX189" s="109">
        <v>8400</v>
      </c>
      <c r="AY189">
        <v>0.9</v>
      </c>
      <c r="AZ189">
        <v>0.8</v>
      </c>
      <c r="BA189">
        <v>0.6</v>
      </c>
      <c r="BB189">
        <v>2</v>
      </c>
      <c r="BY189" s="60">
        <v>1.5</v>
      </c>
      <c r="BZ189" s="1962">
        <f>MAX(AY189*KÉRDÉSEK!$C$73,NDK!AZ189*KÉRDÉSEK!$C$71,NDK!BA189*KÉRDÉSEK!$C$72)</f>
        <v>0</v>
      </c>
      <c r="CE189" s="75">
        <f>MAX(BB189*KÉRDÉSEK!$C$76,BY189*KÉRDÉSEK!$C$24)</f>
        <v>0</v>
      </c>
      <c r="CI189" s="75">
        <f>BZ189*KÉRDÉSEK!$C$74+KÉRDÉSEK!$C$75*NDK!CE189</f>
        <v>0</v>
      </c>
      <c r="CJ189" s="197"/>
      <c r="CK189" s="197"/>
      <c r="CL189" s="197"/>
      <c r="CM189" s="213"/>
      <c r="CN189" s="213"/>
      <c r="CO189" s="197"/>
      <c r="CP189" s="197"/>
      <c r="CQ189" s="197"/>
      <c r="CR189" s="197"/>
      <c r="CS189" s="197"/>
      <c r="CT189" s="197"/>
      <c r="CU189" s="197"/>
      <c r="CV189" s="197"/>
      <c r="CW189" s="197"/>
      <c r="CX189" s="959"/>
      <c r="CY189" s="959"/>
      <c r="CZ189" s="959"/>
      <c r="DA189" s="959"/>
      <c r="DB189" s="959"/>
      <c r="DC189" s="891">
        <v>1181</v>
      </c>
      <c r="DD189" s="891" t="s">
        <v>401</v>
      </c>
      <c r="DE189" s="891" t="s">
        <v>419</v>
      </c>
      <c r="DF189" s="891">
        <v>1</v>
      </c>
      <c r="DG189" s="959"/>
      <c r="DH189" s="959">
        <f t="shared" si="19"/>
        <v>1</v>
      </c>
      <c r="ER189" s="905">
        <v>2453</v>
      </c>
      <c r="ES189" s="906" t="s">
        <v>280</v>
      </c>
      <c r="ET189" s="2686">
        <v>9</v>
      </c>
      <c r="EV189" s="985"/>
      <c r="EW189" s="985"/>
      <c r="EX189" s="387"/>
      <c r="EY189" s="939"/>
      <c r="EZ189" s="886"/>
    </row>
    <row r="190" spans="31:156" hidden="1">
      <c r="AV190" s="114" t="s">
        <v>1178</v>
      </c>
      <c r="AW190" s="278"/>
      <c r="AX190" s="109">
        <v>63000</v>
      </c>
      <c r="AY190">
        <v>0.9</v>
      </c>
      <c r="AZ190">
        <v>0.75</v>
      </c>
      <c r="BA190">
        <v>0.7</v>
      </c>
      <c r="BB190">
        <v>2</v>
      </c>
      <c r="BY190" s="60">
        <v>1.5</v>
      </c>
      <c r="BZ190" s="1962">
        <f>MAX(AY190*KÉRDÉSEK!$C$73,NDK!AZ190*KÉRDÉSEK!$C$71,NDK!BA190*KÉRDÉSEK!$C$72)</f>
        <v>0</v>
      </c>
      <c r="CE190" s="75">
        <f>MAX(BB190*KÉRDÉSEK!$C$76,BY190*KÉRDÉSEK!$C$24)</f>
        <v>0</v>
      </c>
      <c r="CI190" s="75">
        <f>BZ190*KÉRDÉSEK!$C$74+KÉRDÉSEK!$C$75*NDK!CE190</f>
        <v>0</v>
      </c>
      <c r="CJ190" s="197"/>
      <c r="CK190" s="197"/>
      <c r="CL190" s="197"/>
      <c r="CM190" s="213"/>
      <c r="CN190" s="213"/>
      <c r="CO190" s="197"/>
      <c r="CP190" s="197"/>
      <c r="CQ190" s="197"/>
      <c r="CR190" s="197"/>
      <c r="CS190" s="197"/>
      <c r="CT190" s="197"/>
      <c r="CU190" s="197"/>
      <c r="CV190" s="197"/>
      <c r="CW190" s="197"/>
      <c r="CX190" s="959"/>
      <c r="CY190" s="959"/>
      <c r="CZ190" s="959"/>
      <c r="DA190" s="959"/>
      <c r="DB190" s="959"/>
      <c r="DC190" s="891">
        <v>1182</v>
      </c>
      <c r="DD190" s="891" t="s">
        <v>401</v>
      </c>
      <c r="DE190" s="891" t="s">
        <v>419</v>
      </c>
      <c r="DF190" s="891">
        <v>3</v>
      </c>
      <c r="DG190" s="959"/>
      <c r="DH190" s="959">
        <f t="shared" si="19"/>
        <v>1</v>
      </c>
      <c r="ER190" s="905">
        <v>2454</v>
      </c>
      <c r="ES190" s="906" t="s">
        <v>3036</v>
      </c>
      <c r="ET190" s="2686">
        <v>9</v>
      </c>
      <c r="EV190" s="985"/>
      <c r="EW190" s="985"/>
      <c r="EX190" s="387"/>
      <c r="EY190" s="939"/>
      <c r="EZ190" s="886"/>
    </row>
    <row r="191" spans="31:156" hidden="1">
      <c r="AV191" s="114" t="s">
        <v>1239</v>
      </c>
      <c r="AW191" s="278"/>
      <c r="AX191" s="109">
        <v>99120</v>
      </c>
      <c r="AY191">
        <v>0.9</v>
      </c>
      <c r="AZ191">
        <v>0.75</v>
      </c>
      <c r="BA191">
        <v>0.7</v>
      </c>
      <c r="BB191">
        <v>2</v>
      </c>
      <c r="BY191" s="60">
        <v>1.5</v>
      </c>
      <c r="BZ191" s="1962">
        <f>MAX(AY191*KÉRDÉSEK!$C$73,NDK!AZ191*KÉRDÉSEK!$C$71,NDK!BA191*KÉRDÉSEK!$C$72)</f>
        <v>0</v>
      </c>
      <c r="CE191" s="75">
        <f>MAX(BB191*KÉRDÉSEK!$C$76,BY191*KÉRDÉSEK!$C$24)</f>
        <v>0</v>
      </c>
      <c r="CI191" s="75">
        <f>BZ191*KÉRDÉSEK!$C$74+KÉRDÉSEK!$C$75*NDK!CE191</f>
        <v>0</v>
      </c>
      <c r="CJ191" s="197"/>
      <c r="CK191" s="197"/>
      <c r="CL191" s="197"/>
      <c r="CM191" s="213"/>
      <c r="CN191" s="213"/>
      <c r="CO191" s="197"/>
      <c r="CP191" s="197"/>
      <c r="CQ191" s="197"/>
      <c r="CR191" s="197"/>
      <c r="CS191" s="197"/>
      <c r="CT191" s="197"/>
      <c r="CU191" s="197"/>
      <c r="CV191" s="197"/>
      <c r="CW191" s="197"/>
      <c r="CX191" s="959"/>
      <c r="CY191" s="959"/>
      <c r="CZ191" s="959"/>
      <c r="DA191" s="959"/>
      <c r="DB191" s="959"/>
      <c r="DC191" s="891">
        <v>1183</v>
      </c>
      <c r="DD191" s="891" t="s">
        <v>401</v>
      </c>
      <c r="DE191" s="891" t="s">
        <v>419</v>
      </c>
      <c r="DF191" s="891">
        <v>1</v>
      </c>
      <c r="DG191" s="959"/>
      <c r="DH191" s="959">
        <f t="shared" si="19"/>
        <v>1</v>
      </c>
      <c r="ER191" s="905">
        <v>2455</v>
      </c>
      <c r="ES191" s="906" t="s">
        <v>281</v>
      </c>
      <c r="ET191" s="2686">
        <v>6</v>
      </c>
      <c r="EV191" s="985"/>
      <c r="EW191" s="985"/>
      <c r="EX191" s="387"/>
      <c r="EY191" s="939"/>
      <c r="EZ191" s="886"/>
    </row>
    <row r="192" spans="31:156" ht="51" hidden="1">
      <c r="AE192" s="9" t="s">
        <v>4878</v>
      </c>
      <c r="AF192" s="51" t="s">
        <v>4876</v>
      </c>
      <c r="AG192" s="52" t="s">
        <v>4877</v>
      </c>
      <c r="AH192" s="8"/>
      <c r="AI192" s="8"/>
      <c r="AJ192" s="9" t="s">
        <v>4884</v>
      </c>
      <c r="AK192" s="10" t="s">
        <v>4885</v>
      </c>
      <c r="AL192" s="10"/>
      <c r="AM192" s="11" t="s">
        <v>4886</v>
      </c>
      <c r="AN192" s="8"/>
      <c r="AV192" s="114" t="s">
        <v>1240</v>
      </c>
      <c r="AW192" s="278"/>
      <c r="AX192" s="109">
        <v>140040</v>
      </c>
      <c r="AY192">
        <v>0.9</v>
      </c>
      <c r="AZ192">
        <v>0.75</v>
      </c>
      <c r="BA192">
        <v>0.7</v>
      </c>
      <c r="BB192">
        <v>2</v>
      </c>
      <c r="BY192" s="60">
        <v>1.5</v>
      </c>
      <c r="BZ192" s="1962">
        <f>MAX(AY192*KÉRDÉSEK!$C$73,NDK!AZ192*KÉRDÉSEK!$C$71,NDK!BA192*KÉRDÉSEK!$C$72)</f>
        <v>0</v>
      </c>
      <c r="CE192" s="75">
        <f>MAX(BB192*KÉRDÉSEK!$C$76,BY192*KÉRDÉSEK!$C$24)</f>
        <v>0</v>
      </c>
      <c r="CI192" s="75">
        <f>BZ192*KÉRDÉSEK!$C$74+KÉRDÉSEK!$C$75*NDK!CE192</f>
        <v>0</v>
      </c>
      <c r="CJ192" s="197"/>
      <c r="CK192" s="197"/>
      <c r="CL192" s="197"/>
      <c r="CM192" s="213"/>
      <c r="CN192" s="213"/>
      <c r="CO192" s="197"/>
      <c r="CP192" s="197"/>
      <c r="CQ192" s="197"/>
      <c r="CR192" s="197"/>
      <c r="CS192" s="197"/>
      <c r="CT192" s="197"/>
      <c r="CU192" s="197"/>
      <c r="CV192" s="197"/>
      <c r="CW192" s="197"/>
      <c r="CX192" s="959"/>
      <c r="CY192" s="959"/>
      <c r="CZ192" s="959"/>
      <c r="DA192" s="959"/>
      <c r="DB192" s="959"/>
      <c r="DC192" s="891">
        <v>1184</v>
      </c>
      <c r="DD192" s="891" t="s">
        <v>401</v>
      </c>
      <c r="DE192" s="891" t="s">
        <v>419</v>
      </c>
      <c r="DF192" s="891">
        <v>2</v>
      </c>
      <c r="DG192" s="959"/>
      <c r="DH192" s="959">
        <f t="shared" si="19"/>
        <v>1</v>
      </c>
      <c r="ER192" s="905">
        <v>2456</v>
      </c>
      <c r="ES192" s="906" t="s">
        <v>3037</v>
      </c>
      <c r="ET192" s="2686">
        <v>9</v>
      </c>
      <c r="EV192" s="985"/>
      <c r="EW192" s="985"/>
      <c r="EX192" s="387"/>
      <c r="EY192" s="939"/>
      <c r="EZ192" s="886"/>
    </row>
    <row r="193" spans="31:156" hidden="1">
      <c r="AE193" s="9"/>
      <c r="AF193" s="10"/>
      <c r="AG193" s="11"/>
      <c r="AH193" s="8"/>
      <c r="AI193" s="8"/>
      <c r="AJ193" s="9"/>
      <c r="AK193" s="10"/>
      <c r="AL193" s="10"/>
      <c r="AM193" s="11"/>
      <c r="AN193" s="8"/>
      <c r="AV193" s="114" t="s">
        <v>4873</v>
      </c>
      <c r="AW193" s="278"/>
      <c r="AX193" s="109">
        <v>157560</v>
      </c>
      <c r="AY193">
        <v>0.9</v>
      </c>
      <c r="AZ193">
        <v>0.75</v>
      </c>
      <c r="BA193">
        <v>0.7</v>
      </c>
      <c r="BB193">
        <v>2</v>
      </c>
      <c r="BY193" s="60">
        <v>1.5</v>
      </c>
      <c r="BZ193" s="1962">
        <f>MAX(AY193*KÉRDÉSEK!$C$73,NDK!AZ193*KÉRDÉSEK!$C$71,NDK!BA193*KÉRDÉSEK!$C$72)</f>
        <v>0</v>
      </c>
      <c r="CE193" s="75">
        <f>MAX(BB193*KÉRDÉSEK!$C$76,BY193*KÉRDÉSEK!$C$24)</f>
        <v>0</v>
      </c>
      <c r="CI193" s="75">
        <f>BZ193*KÉRDÉSEK!$C$74+KÉRDÉSEK!$C$75*NDK!CE193</f>
        <v>0</v>
      </c>
      <c r="CJ193" s="197"/>
      <c r="CK193" s="197"/>
      <c r="CL193" s="197"/>
      <c r="CM193" s="213"/>
      <c r="CN193" s="213"/>
      <c r="CO193" s="197"/>
      <c r="CP193" s="197"/>
      <c r="CQ193" s="197"/>
      <c r="CR193" s="197"/>
      <c r="CS193" s="197"/>
      <c r="CT193" s="197"/>
      <c r="CU193" s="197"/>
      <c r="CV193" s="197"/>
      <c r="CW193" s="197"/>
      <c r="CX193" s="959"/>
      <c r="CY193" s="959"/>
      <c r="CZ193" s="959"/>
      <c r="DA193" s="959"/>
      <c r="DB193" s="959"/>
      <c r="DC193" s="891">
        <v>1185</v>
      </c>
      <c r="DD193" s="891" t="s">
        <v>401</v>
      </c>
      <c r="DE193" s="891" t="s">
        <v>418</v>
      </c>
      <c r="DF193" s="891">
        <v>3</v>
      </c>
      <c r="DG193" s="959"/>
      <c r="DH193" s="959">
        <f t="shared" si="19"/>
        <v>1</v>
      </c>
      <c r="ER193" s="905">
        <v>2457</v>
      </c>
      <c r="ES193" s="906" t="s">
        <v>3038</v>
      </c>
      <c r="ET193" s="2686">
        <v>9</v>
      </c>
      <c r="EV193" s="985"/>
      <c r="EW193" s="985"/>
      <c r="EX193" s="387"/>
      <c r="EY193" s="939"/>
      <c r="EZ193" s="886"/>
    </row>
    <row r="194" spans="31:156" ht="25.5" hidden="1">
      <c r="AE194" s="13"/>
      <c r="AF194" s="14" t="s">
        <v>4881</v>
      </c>
      <c r="AG194" s="15" t="s">
        <v>4881</v>
      </c>
      <c r="AH194" s="12" t="s">
        <v>4893</v>
      </c>
      <c r="AI194" s="12"/>
      <c r="AJ194" s="13"/>
      <c r="AK194" s="14" t="s">
        <v>4881</v>
      </c>
      <c r="AL194" s="14"/>
      <c r="AM194" s="15" t="s">
        <v>4881</v>
      </c>
      <c r="AN194" s="12" t="s">
        <v>4893</v>
      </c>
      <c r="AV194" s="114" t="s">
        <v>490</v>
      </c>
      <c r="AW194" s="278"/>
      <c r="AX194" s="112"/>
      <c r="BY194" s="60">
        <v>1.5</v>
      </c>
      <c r="BZ194" s="1962">
        <f>MAX(AY194*KÉRDÉSEK!$C$73,NDK!AZ194*KÉRDÉSEK!$C$71,NDK!BA194*KÉRDÉSEK!$C$72)</f>
        <v>0</v>
      </c>
      <c r="CE194" s="75">
        <f>MAX(BB194*KÉRDÉSEK!$C$76,BY194*KÉRDÉSEK!$C$24)</f>
        <v>0</v>
      </c>
      <c r="CI194" s="75">
        <f>BZ194*KÉRDÉSEK!$C$74+KÉRDÉSEK!$C$75*NDK!CE194</f>
        <v>0</v>
      </c>
      <c r="CJ194" s="197"/>
      <c r="CK194" s="197"/>
      <c r="CL194" s="197"/>
      <c r="CM194" s="213"/>
      <c r="CN194" s="213"/>
      <c r="CO194" s="197"/>
      <c r="CP194" s="197"/>
      <c r="CQ194" s="197"/>
      <c r="CR194" s="197"/>
      <c r="CS194" s="197"/>
      <c r="CT194" s="197"/>
      <c r="CU194" s="197"/>
      <c r="CV194" s="197"/>
      <c r="CW194" s="197"/>
      <c r="CX194" s="959"/>
      <c r="CY194" s="959"/>
      <c r="CZ194" s="959"/>
      <c r="DA194" s="959"/>
      <c r="DB194" s="959"/>
      <c r="DC194" s="891">
        <v>1186</v>
      </c>
      <c r="DD194" s="891" t="s">
        <v>401</v>
      </c>
      <c r="DE194" s="891" t="s">
        <v>434</v>
      </c>
      <c r="DF194" s="891">
        <v>1</v>
      </c>
      <c r="DG194" s="959"/>
      <c r="DH194" s="959">
        <f t="shared" si="19"/>
        <v>1</v>
      </c>
      <c r="ER194" s="905">
        <v>2458</v>
      </c>
      <c r="ES194" s="906" t="s">
        <v>3039</v>
      </c>
      <c r="ET194" s="2686">
        <v>9</v>
      </c>
      <c r="EV194" s="985"/>
      <c r="EW194" s="985"/>
      <c r="EX194" s="387"/>
      <c r="EY194" s="939"/>
      <c r="EZ194" s="886"/>
    </row>
    <row r="195" spans="31:156" hidden="1">
      <c r="AE195" s="19">
        <v>3981</v>
      </c>
      <c r="AF195" s="20">
        <v>1.073</v>
      </c>
      <c r="AG195" s="21">
        <v>1.1322000000000001</v>
      </c>
      <c r="AH195" s="49" t="s">
        <v>4889</v>
      </c>
      <c r="AI195" s="49"/>
      <c r="AJ195" s="22"/>
      <c r="AK195" s="20">
        <v>2.282</v>
      </c>
      <c r="AL195" s="20"/>
      <c r="AM195" s="21">
        <v>1.5</v>
      </c>
      <c r="AN195" s="49" t="s">
        <v>4889</v>
      </c>
      <c r="AV195" s="114" t="s">
        <v>4874</v>
      </c>
      <c r="AW195" s="278"/>
      <c r="AX195" s="109">
        <v>642000</v>
      </c>
      <c r="AY195">
        <v>1</v>
      </c>
      <c r="AZ195">
        <v>1</v>
      </c>
      <c r="BA195">
        <v>1</v>
      </c>
      <c r="BB195">
        <v>2</v>
      </c>
      <c r="BY195" s="60">
        <v>1.5</v>
      </c>
      <c r="BZ195" s="1962">
        <f>MAX(AY195*KÉRDÉSEK!$C$73,NDK!AZ195*KÉRDÉSEK!$C$71,NDK!BA195*KÉRDÉSEK!$C$72)</f>
        <v>0</v>
      </c>
      <c r="CE195" s="75">
        <f>MAX(BB195*KÉRDÉSEK!$C$76,BY195*KÉRDÉSEK!$C$24)</f>
        <v>0</v>
      </c>
      <c r="CI195" s="75">
        <f>BZ195*KÉRDÉSEK!$C$74+KÉRDÉSEK!$C$75*NDK!CE195</f>
        <v>0</v>
      </c>
      <c r="CJ195" s="197"/>
      <c r="CK195" s="197"/>
      <c r="CL195" s="197"/>
      <c r="CM195" s="213"/>
      <c r="CN195" s="213"/>
      <c r="CO195" s="197"/>
      <c r="CP195" s="197"/>
      <c r="CQ195" s="197"/>
      <c r="CR195" s="197"/>
      <c r="CS195" s="197"/>
      <c r="CT195" s="197"/>
      <c r="CU195" s="197"/>
      <c r="CV195" s="197"/>
      <c r="CW195" s="197"/>
      <c r="CX195" s="959"/>
      <c r="CY195" s="959"/>
      <c r="CZ195" s="959"/>
      <c r="DA195" s="959"/>
      <c r="DB195" s="959"/>
      <c r="DC195" s="891">
        <v>1188</v>
      </c>
      <c r="DD195" s="891" t="s">
        <v>401</v>
      </c>
      <c r="DE195" s="891" t="s">
        <v>432</v>
      </c>
      <c r="DF195" s="891">
        <v>3</v>
      </c>
      <c r="DG195" s="959"/>
      <c r="DH195" s="959">
        <f t="shared" si="19"/>
        <v>1</v>
      </c>
      <c r="ER195" s="905">
        <v>2459</v>
      </c>
      <c r="ES195" s="906" t="s">
        <v>3040</v>
      </c>
      <c r="ET195" s="2686">
        <v>6</v>
      </c>
      <c r="EV195" s="985"/>
      <c r="EW195" s="985"/>
      <c r="EX195" s="387"/>
      <c r="EY195" s="939"/>
      <c r="EZ195" s="886"/>
    </row>
    <row r="196" spans="31:156" hidden="1">
      <c r="AE196" s="27">
        <v>4820</v>
      </c>
      <c r="AF196" s="8">
        <v>0.92500000000000004</v>
      </c>
      <c r="AG196" s="8">
        <v>0.96199999999999997</v>
      </c>
      <c r="AH196" s="49" t="s">
        <v>4890</v>
      </c>
      <c r="AI196" s="49"/>
      <c r="AJ196" s="22"/>
      <c r="AK196" s="8">
        <v>2.282</v>
      </c>
      <c r="AL196" s="8"/>
      <c r="AM196" s="38">
        <v>1.5</v>
      </c>
      <c r="AN196" s="49" t="s">
        <v>4890</v>
      </c>
      <c r="BZ196" s="1971"/>
      <c r="CA196" s="1971"/>
      <c r="CB196" s="1971"/>
      <c r="CC196" s="1971"/>
      <c r="CD196" s="1971"/>
      <c r="CE196" s="1971"/>
      <c r="CJ196" s="197"/>
      <c r="CK196" s="197"/>
      <c r="CL196" s="197"/>
      <c r="CM196" s="213"/>
      <c r="CN196" s="213"/>
      <c r="CO196" s="197"/>
      <c r="CP196" s="197"/>
      <c r="CQ196" s="197"/>
      <c r="CR196" s="197"/>
      <c r="CS196" s="197"/>
      <c r="CT196" s="197"/>
      <c r="CU196" s="197"/>
      <c r="CV196" s="197"/>
      <c r="CW196" s="197"/>
      <c r="CX196" s="959"/>
      <c r="CY196" s="959"/>
      <c r="CZ196" s="959"/>
      <c r="DA196" s="959"/>
      <c r="DB196" s="959"/>
      <c r="DC196" s="891">
        <v>1191</v>
      </c>
      <c r="DD196" s="891" t="s">
        <v>401</v>
      </c>
      <c r="DE196" s="891" t="s">
        <v>432</v>
      </c>
      <c r="DF196" s="891">
        <v>1</v>
      </c>
      <c r="DG196" s="959"/>
      <c r="DH196" s="959"/>
      <c r="ER196" s="905">
        <v>2461</v>
      </c>
      <c r="ES196" s="906" t="s">
        <v>3041</v>
      </c>
      <c r="ET196" s="2686">
        <v>6</v>
      </c>
      <c r="EV196" s="985"/>
      <c r="EW196" s="985"/>
      <c r="EX196" s="387"/>
      <c r="EY196" s="939"/>
      <c r="EZ196" s="886"/>
    </row>
    <row r="197" spans="31:156" hidden="1">
      <c r="AE197" s="27">
        <v>5571</v>
      </c>
      <c r="AF197" s="8">
        <v>0.92500000000000004</v>
      </c>
      <c r="AG197" s="8">
        <v>0.96199999999999997</v>
      </c>
      <c r="AH197" s="49" t="s">
        <v>4891</v>
      </c>
      <c r="AI197" s="49"/>
      <c r="AJ197" s="22"/>
      <c r="AK197" s="8">
        <v>1.694</v>
      </c>
      <c r="AL197" s="8"/>
      <c r="AM197" s="38">
        <v>1</v>
      </c>
      <c r="AN197" s="49" t="s">
        <v>4891</v>
      </c>
      <c r="CJ197" s="197"/>
      <c r="CK197" s="197"/>
      <c r="CL197" s="197"/>
      <c r="CM197" s="213"/>
      <c r="CN197" s="213"/>
      <c r="CO197" s="197"/>
      <c r="CP197" s="197"/>
      <c r="CQ197" s="197"/>
      <c r="CR197" s="197"/>
      <c r="CS197" s="197"/>
      <c r="CT197" s="197"/>
      <c r="CU197" s="197"/>
      <c r="CV197" s="197"/>
      <c r="CW197" s="197"/>
      <c r="CX197" s="959"/>
      <c r="CY197" s="959"/>
      <c r="CZ197" s="959"/>
      <c r="DA197" s="959"/>
      <c r="DB197" s="959"/>
      <c r="DC197" s="891">
        <v>1192</v>
      </c>
      <c r="DD197" s="891" t="s">
        <v>401</v>
      </c>
      <c r="DE197" s="891" t="s">
        <v>417</v>
      </c>
      <c r="DF197" s="891">
        <v>1</v>
      </c>
      <c r="DG197" s="959"/>
      <c r="DH197" s="959"/>
      <c r="ER197" s="905">
        <v>2462</v>
      </c>
      <c r="ES197" s="906" t="s">
        <v>3042</v>
      </c>
      <c r="ET197" s="2686">
        <v>9</v>
      </c>
      <c r="EV197" s="985"/>
      <c r="EW197" s="985"/>
      <c r="EX197" s="387"/>
      <c r="EY197" s="939"/>
      <c r="EZ197" s="886"/>
    </row>
    <row r="198" spans="31:156" hidden="1">
      <c r="AE198" s="27"/>
      <c r="AF198" s="8"/>
      <c r="AG198" s="8"/>
      <c r="AH198" s="49"/>
      <c r="AI198" s="49"/>
      <c r="AJ198" s="22"/>
      <c r="AK198" s="8"/>
      <c r="AL198" s="8"/>
      <c r="AM198" s="38"/>
      <c r="AN198" s="49"/>
      <c r="AU198" t="s">
        <v>3201</v>
      </c>
      <c r="BZ198" s="603" t="s">
        <v>4196</v>
      </c>
      <c r="CA198" s="603"/>
      <c r="CB198" s="603"/>
      <c r="CC198" s="603"/>
      <c r="CD198" s="603"/>
      <c r="CJ198" s="197"/>
      <c r="CK198" s="197"/>
      <c r="CL198" s="197"/>
      <c r="CM198" s="213"/>
      <c r="CN198" s="213"/>
      <c r="CO198" s="197"/>
      <c r="CP198" s="197"/>
      <c r="CQ198" s="197"/>
      <c r="CR198" s="197"/>
      <c r="CS198" s="197"/>
      <c r="CT198" s="197"/>
      <c r="CU198" s="197"/>
      <c r="CV198" s="197"/>
      <c r="CW198" s="197"/>
      <c r="CX198" s="959"/>
      <c r="CY198" s="959"/>
      <c r="CZ198" s="959"/>
      <c r="DA198" s="959"/>
      <c r="DB198" s="959"/>
      <c r="DC198" s="891">
        <v>1193</v>
      </c>
      <c r="DD198" s="891" t="s">
        <v>401</v>
      </c>
      <c r="DE198" s="891" t="s">
        <v>420</v>
      </c>
      <c r="DF198" s="891">
        <v>2</v>
      </c>
      <c r="DG198" s="959"/>
      <c r="DH198" s="959"/>
      <c r="ER198" s="905">
        <v>2463</v>
      </c>
      <c r="ES198" s="906" t="s">
        <v>3043</v>
      </c>
      <c r="ET198" s="2686">
        <v>9</v>
      </c>
      <c r="EV198" s="985"/>
      <c r="EW198" s="985"/>
      <c r="EX198" s="387"/>
      <c r="EY198" s="939"/>
      <c r="EZ198" s="886"/>
    </row>
    <row r="199" spans="31:156" hidden="1">
      <c r="AE199" s="19">
        <v>7856</v>
      </c>
      <c r="AF199" s="38">
        <v>0.6512</v>
      </c>
      <c r="AG199" s="38">
        <v>0.71040000000000003</v>
      </c>
      <c r="AH199" s="50" t="s">
        <v>4892</v>
      </c>
      <c r="AI199" s="50"/>
      <c r="AJ199" s="22"/>
      <c r="AK199" s="38">
        <v>1.05</v>
      </c>
      <c r="AL199" s="38"/>
      <c r="AM199" s="38">
        <v>0.82499999999999996</v>
      </c>
      <c r="AN199" s="50" t="s">
        <v>4892</v>
      </c>
      <c r="AU199" t="s">
        <v>430</v>
      </c>
      <c r="CJ199" s="197"/>
      <c r="CK199" s="197"/>
      <c r="CL199" s="197"/>
      <c r="CM199" s="213"/>
      <c r="CN199" s="213"/>
      <c r="CO199" s="197"/>
      <c r="CP199" s="197"/>
      <c r="CQ199" s="197"/>
      <c r="CR199" s="197"/>
      <c r="CS199" s="197"/>
      <c r="CT199" s="197"/>
      <c r="CU199" s="197"/>
      <c r="CV199" s="197"/>
      <c r="CW199" s="197"/>
      <c r="CX199" s="959"/>
      <c r="CY199" s="959"/>
      <c r="CZ199" s="959"/>
      <c r="DA199" s="959"/>
      <c r="DB199" s="959"/>
      <c r="DC199" s="891">
        <v>1194</v>
      </c>
      <c r="DD199" s="891" t="s">
        <v>401</v>
      </c>
      <c r="DE199" s="891" t="s">
        <v>427</v>
      </c>
      <c r="DF199" s="891">
        <v>2</v>
      </c>
      <c r="DG199" s="959"/>
      <c r="DH199" s="959"/>
      <c r="ER199" s="905">
        <v>2464</v>
      </c>
      <c r="ES199" s="906" t="s">
        <v>3044</v>
      </c>
      <c r="ET199" s="2686">
        <v>9</v>
      </c>
      <c r="EV199" s="985"/>
      <c r="EW199" s="985"/>
      <c r="EX199" s="387"/>
      <c r="EY199" s="939"/>
      <c r="EZ199" s="886"/>
    </row>
    <row r="200" spans="31:156" hidden="1">
      <c r="AE200" s="19"/>
      <c r="AF200" s="38"/>
      <c r="AG200" s="38"/>
      <c r="AH200" s="50"/>
      <c r="AI200" s="50"/>
      <c r="AJ200" s="22"/>
      <c r="AK200" s="38"/>
      <c r="AL200" s="38"/>
      <c r="AM200" s="38"/>
      <c r="AN200" s="50"/>
      <c r="CJ200" s="197"/>
      <c r="CK200" s="197"/>
      <c r="CL200" s="197"/>
      <c r="CM200" s="213"/>
      <c r="CN200" s="213"/>
      <c r="CO200" s="197"/>
      <c r="CP200" s="197"/>
      <c r="CQ200" s="197"/>
      <c r="CR200" s="197"/>
      <c r="CS200" s="197"/>
      <c r="CT200" s="197"/>
      <c r="CU200" s="197"/>
      <c r="CV200" s="197"/>
      <c r="CW200" s="197"/>
      <c r="CX200" s="959"/>
      <c r="CY200" s="959"/>
      <c r="CZ200" s="959"/>
      <c r="DA200" s="959"/>
      <c r="DB200" s="959"/>
      <c r="DC200" s="891">
        <v>1195</v>
      </c>
      <c r="DD200" s="891" t="s">
        <v>401</v>
      </c>
      <c r="DE200" s="891" t="s">
        <v>427</v>
      </c>
      <c r="DF200" s="891">
        <v>1</v>
      </c>
      <c r="DG200" s="959"/>
      <c r="DH200" s="959"/>
      <c r="ER200" s="905">
        <v>2465</v>
      </c>
      <c r="ES200" s="906" t="s">
        <v>3045</v>
      </c>
      <c r="ET200" s="2686">
        <v>6</v>
      </c>
      <c r="EV200" s="985"/>
      <c r="EW200" s="985"/>
      <c r="EX200" s="387"/>
      <c r="EY200" s="939"/>
      <c r="EZ200" s="886"/>
    </row>
    <row r="201" spans="31:156" hidden="1">
      <c r="AE201" s="19">
        <v>9627</v>
      </c>
      <c r="AF201" s="8"/>
      <c r="AG201" s="8"/>
      <c r="AH201" s="8"/>
      <c r="AI201" s="8"/>
      <c r="AJ201" s="22"/>
      <c r="AK201" s="8"/>
      <c r="AL201" s="8"/>
      <c r="AM201" s="8"/>
      <c r="AN201" s="8"/>
      <c r="BZ201" s="273" t="s">
        <v>4191</v>
      </c>
      <c r="CA201" s="2"/>
      <c r="CB201" s="566" t="s">
        <v>4193</v>
      </c>
      <c r="CC201" s="567" t="s">
        <v>4194</v>
      </c>
      <c r="CD201" s="568" t="s">
        <v>4195</v>
      </c>
      <c r="CJ201" s="197"/>
      <c r="CK201" s="197"/>
      <c r="CL201" s="197"/>
      <c r="CM201" s="213"/>
      <c r="CN201" s="213"/>
      <c r="CO201" s="197"/>
      <c r="CP201" s="197"/>
      <c r="CQ201" s="197"/>
      <c r="CR201" s="197"/>
      <c r="CS201" s="197"/>
      <c r="CT201" s="197"/>
      <c r="CU201" s="197"/>
      <c r="CV201" s="197"/>
      <c r="CW201" s="197"/>
      <c r="CX201" s="959"/>
      <c r="CY201" s="959"/>
      <c r="CZ201" s="959"/>
      <c r="DA201" s="959"/>
      <c r="DB201" s="959"/>
      <c r="DC201" s="891">
        <v>1196</v>
      </c>
      <c r="DD201" s="891" t="s">
        <v>401</v>
      </c>
      <c r="DE201" s="891" t="s">
        <v>427</v>
      </c>
      <c r="DF201" s="891">
        <v>1</v>
      </c>
      <c r="DG201" s="959"/>
      <c r="DH201" s="959"/>
      <c r="ER201" s="905">
        <v>2471</v>
      </c>
      <c r="ES201" s="906" t="s">
        <v>3046</v>
      </c>
      <c r="ET201" s="2686">
        <v>9</v>
      </c>
      <c r="EV201" s="985"/>
      <c r="EW201" s="985"/>
      <c r="EX201" s="387"/>
      <c r="EY201" s="939"/>
      <c r="EZ201" s="886"/>
    </row>
    <row r="202" spans="31:156" hidden="1">
      <c r="AE202" s="19">
        <v>11887</v>
      </c>
      <c r="AF202" s="8"/>
      <c r="AG202" s="8"/>
      <c r="AH202" s="8"/>
      <c r="AI202" s="8"/>
      <c r="AJ202" s="22"/>
      <c r="AK202" s="8"/>
      <c r="AL202" s="8"/>
      <c r="AM202" s="8"/>
      <c r="AN202" s="8"/>
      <c r="BZ202" s="2"/>
      <c r="CA202" s="2"/>
      <c r="CB202" s="569"/>
      <c r="CC202" s="570"/>
      <c r="CD202" s="571"/>
      <c r="CJ202" s="197"/>
      <c r="CK202" s="197"/>
      <c r="CL202" s="197"/>
      <c r="CM202" s="213"/>
      <c r="CN202" s="213"/>
      <c r="CO202" s="197"/>
      <c r="CP202" s="197"/>
      <c r="CQ202" s="197"/>
      <c r="CR202" s="197"/>
      <c r="CS202" s="197"/>
      <c r="CT202" s="197"/>
      <c r="CU202" s="197"/>
      <c r="CV202" s="197"/>
      <c r="CW202" s="197"/>
      <c r="CX202" s="959"/>
      <c r="CY202" s="959"/>
      <c r="CZ202" s="959"/>
      <c r="DA202" s="959"/>
      <c r="DB202" s="959"/>
      <c r="DC202" s="891">
        <v>1201</v>
      </c>
      <c r="DD202" s="891" t="s">
        <v>401</v>
      </c>
      <c r="DE202" s="891" t="s">
        <v>427</v>
      </c>
      <c r="DF202" s="891">
        <v>1</v>
      </c>
      <c r="DG202" s="959"/>
      <c r="DH202" s="959"/>
      <c r="ER202" s="905">
        <v>2472</v>
      </c>
      <c r="ES202" s="906" t="s">
        <v>3047</v>
      </c>
      <c r="ET202" s="2686">
        <v>9</v>
      </c>
      <c r="EV202" s="985"/>
      <c r="EW202" s="985"/>
      <c r="EX202" s="387"/>
      <c r="EY202" s="939"/>
      <c r="EZ202" s="886"/>
    </row>
    <row r="203" spans="31:156" hidden="1">
      <c r="AE203" s="65"/>
      <c r="AF203" s="8"/>
      <c r="AG203" s="8"/>
      <c r="AH203" s="8"/>
      <c r="AI203" s="8"/>
      <c r="AJ203" s="22"/>
      <c r="AK203" s="8"/>
      <c r="AL203" s="8"/>
      <c r="AM203" s="8"/>
      <c r="AN203" s="8"/>
      <c r="BZ203" s="564">
        <v>0.4713</v>
      </c>
      <c r="CA203" s="553" t="b">
        <f>OR(AND($B$51&gt;=200,$B$51&lt;=399),AND($B$51&gt;=3600,$B$51&lt;=3799),AND($B$51&gt;=8500,$B$51&lt;=8599),AND($B$51&gt;=9700,$B$51&lt;=9899),AND($B$51&gt;=111,$B$51&lt;=116),$B$51=119,AND($B$51&gt;=121,$B$51&lt;=130),$B$51=150,AND($B$51&gt;=161,$B$51&lt;=164),$B$51=170,$B$51=7712,$B$51=7731)</f>
        <v>0</v>
      </c>
      <c r="CB203" s="572"/>
      <c r="CC203" s="573"/>
      <c r="CD203" s="574"/>
      <c r="CE203" s="712"/>
      <c r="CF203" s="712"/>
      <c r="CG203" s="712"/>
      <c r="CH203" s="712"/>
      <c r="CI203" s="712"/>
      <c r="CJ203" s="197"/>
      <c r="CK203" s="197"/>
      <c r="CL203" s="197"/>
      <c r="CM203" s="213"/>
      <c r="CN203" s="213"/>
      <c r="CO203" s="197"/>
      <c r="CP203" s="197"/>
      <c r="CQ203" s="197"/>
      <c r="CR203" s="197"/>
      <c r="CS203" s="197"/>
      <c r="CT203" s="197"/>
      <c r="CU203" s="197"/>
      <c r="CV203" s="197"/>
      <c r="CW203" s="197"/>
      <c r="CX203" s="959"/>
      <c r="CY203" s="959"/>
      <c r="CZ203" s="959"/>
      <c r="DA203" s="959"/>
      <c r="DB203" s="959"/>
      <c r="DC203" s="891">
        <v>1202</v>
      </c>
      <c r="DD203" s="891" t="s">
        <v>401</v>
      </c>
      <c r="DE203" s="891" t="s">
        <v>421</v>
      </c>
      <c r="DF203" s="891">
        <v>1</v>
      </c>
      <c r="DG203" s="959"/>
      <c r="DH203" s="959"/>
      <c r="ER203" s="905">
        <v>2473</v>
      </c>
      <c r="ES203" s="906" t="s">
        <v>1578</v>
      </c>
      <c r="ET203" s="2686">
        <v>9</v>
      </c>
      <c r="EV203" s="985"/>
      <c r="EW203" s="985"/>
      <c r="EX203" s="387"/>
      <c r="EY203" s="939"/>
      <c r="EZ203" s="886"/>
    </row>
    <row r="204" spans="31:156" hidden="1">
      <c r="AE204" s="34"/>
      <c r="AF204" s="8"/>
      <c r="AG204" s="8"/>
      <c r="AH204" s="8"/>
      <c r="AI204" s="8"/>
      <c r="AJ204" s="35">
        <v>5745</v>
      </c>
      <c r="AK204" s="8"/>
      <c r="AL204" s="8"/>
      <c r="AM204" s="8"/>
      <c r="AN204" s="8"/>
      <c r="BZ204" s="564">
        <v>0.75919999999999999</v>
      </c>
      <c r="CA204" s="553" t="b">
        <f>OR(CB204,CC204)</f>
        <v>0</v>
      </c>
      <c r="CB204" s="572" t="b">
        <f>OR(AND($B$51&gt;=1300,$B$51&lt;=1799),AND($B$51&gt;=1900,$B$51&lt;=1999),AND($B$51&gt;=2500,$B$51&lt;=2599),AND($B$51&gt;=3500,$B$51&lt;=3599),AND($B$51&gt;=3800,$B$51&lt;=3999),AND($B$51&gt;=5000,$B$51&lt;=5199),AND($B$51&gt;=9400,$B$51&lt;=9699),AND($B$51&gt;=9900,$B$51&lt;=9999),$B$51=1031,$B$51=1032,$B$51=1039,$B$51=1041,$B$51=1042)</f>
        <v>0</v>
      </c>
      <c r="CC204" s="573" t="b">
        <f>OR($B$51=1051,$B$51=1052,$B$51=1061,$B$51=1062,$B$51=1072,$B$51=1073,AND($B$51&gt;=1081,$B$51&lt;=1086),$B$51=1089,$B$51=1091,$B$51=1092,$B$51=4221,$B$51=4222,$B$51=4291,$B$51=4299,$B$51=7732)</f>
        <v>0</v>
      </c>
      <c r="CD204" s="574"/>
      <c r="CE204" s="712"/>
      <c r="CF204" s="712"/>
      <c r="CG204" s="712"/>
      <c r="CH204" s="712"/>
      <c r="CI204" s="712"/>
      <c r="CJ204" s="197"/>
      <c r="CK204" s="197"/>
      <c r="CL204" s="197"/>
      <c r="CM204" s="213"/>
      <c r="CN204" s="213"/>
      <c r="CO204" s="197"/>
      <c r="CP204" s="197"/>
      <c r="CQ204" s="197"/>
      <c r="CR204" s="197"/>
      <c r="CS204" s="197"/>
      <c r="CT204" s="197"/>
      <c r="CU204" s="197"/>
      <c r="CV204" s="197"/>
      <c r="CW204" s="197"/>
      <c r="CX204" s="959"/>
      <c r="CY204" s="959"/>
      <c r="CZ204" s="959"/>
      <c r="DA204" s="959"/>
      <c r="DB204" s="959"/>
      <c r="DC204" s="891">
        <v>1203</v>
      </c>
      <c r="DD204" s="891" t="s">
        <v>401</v>
      </c>
      <c r="DE204" s="891" t="s">
        <v>420</v>
      </c>
      <c r="DF204" s="891">
        <v>1</v>
      </c>
      <c r="DG204" s="959"/>
      <c r="DH204" s="959"/>
      <c r="ER204" s="905">
        <v>2475</v>
      </c>
      <c r="ES204" s="906" t="s">
        <v>1579</v>
      </c>
      <c r="ET204" s="2686">
        <v>9</v>
      </c>
      <c r="EV204" s="985"/>
      <c r="EW204" s="985"/>
      <c r="EX204" s="387"/>
      <c r="EY204" s="939"/>
      <c r="EZ204" s="886"/>
    </row>
    <row r="205" spans="31:156" hidden="1">
      <c r="AE205" s="34"/>
      <c r="AF205" s="8"/>
      <c r="AG205" s="8"/>
      <c r="AH205" s="8"/>
      <c r="AI205" s="8"/>
      <c r="AJ205" s="35"/>
      <c r="AK205" s="8"/>
      <c r="AL205" s="8"/>
      <c r="AM205" s="8"/>
      <c r="AN205" s="8"/>
      <c r="BZ205" s="564">
        <v>0.86970000000000003</v>
      </c>
      <c r="CA205" s="553" t="b">
        <f>OR(CB205,CC205,CD205)</f>
        <v>0</v>
      </c>
      <c r="CB205" s="572" t="b">
        <f>OR(AND($B$51&gt;=2000,$B$51&lt;=2099),AND($B$51&gt;=2400,$B$51&lt;=2499),AND($B$51&gt;=4100,$B$51&lt;=4199),AND($B$51&gt;=5800,$B$51&lt;=5899),AND($B$51&gt;=6100,$B$51&lt;=6199),AND($B$51&gt;=7100,$B$51&lt;=7199),AND($B$51&gt;=8400,$B$51&lt;=8499),AND($B$51&gt;=141,$B$51&lt;=147),$B$51=149,AND($B$51&gt;=1011,$B$51&lt;=1013),$B$51=1020)</f>
        <v>0</v>
      </c>
      <c r="CC205" s="573" t="b">
        <f>OR(AND($B$51&gt;=4211,$B$51&lt;=4213),AND($B$51&gt;=4631,$B$51&lt;=4639),AND($B$51&gt;=4661,$B$51&lt;=4666),$B$51=4669,$B$51=4730,AND($B$51&gt;=4741,$B$51&lt;=4743),AND($B$51&gt;=4751,$B$51&lt;=4754),$B$51=4759,AND($B$51&gt;=4761,$B$51&lt;=4765),AND($B$51&gt;=4771,$B$51&lt;=4779),$B$51=4782,$B$51=4789,$B$51=4791,$B$51=4799,$B$51=7721)</f>
        <v>0</v>
      </c>
      <c r="CD205" s="574" t="b">
        <f>OR($B$51=7722,$B$51=7729,AND($B$51&gt;=7733,$B$51&lt;=7735),$B$51=7739,$B$51=7740)</f>
        <v>0</v>
      </c>
      <c r="CE205" s="712"/>
      <c r="CF205" s="712"/>
      <c r="CG205" s="712"/>
      <c r="CH205" s="712"/>
      <c r="CI205" s="712"/>
      <c r="CJ205" s="197"/>
      <c r="CK205" s="197"/>
      <c r="CL205" s="197"/>
      <c r="CM205" s="213"/>
      <c r="CN205" s="213"/>
      <c r="CO205" s="197"/>
      <c r="CP205" s="197"/>
      <c r="CQ205" s="197"/>
      <c r="CR205" s="197"/>
      <c r="CS205" s="197"/>
      <c r="CT205" s="197"/>
      <c r="CU205" s="197"/>
      <c r="CV205" s="197"/>
      <c r="CW205" s="197"/>
      <c r="CX205" s="959"/>
      <c r="CY205" s="959"/>
      <c r="CZ205" s="959"/>
      <c r="DA205" s="959"/>
      <c r="DB205" s="959"/>
      <c r="DC205" s="891">
        <v>1204</v>
      </c>
      <c r="DD205" s="891" t="s">
        <v>401</v>
      </c>
      <c r="DE205" s="891" t="s">
        <v>420</v>
      </c>
      <c r="DF205" s="891">
        <v>2</v>
      </c>
      <c r="DG205" s="959"/>
      <c r="DH205" s="959"/>
      <c r="ER205" s="905">
        <v>2476</v>
      </c>
      <c r="ES205" s="906" t="s">
        <v>1580</v>
      </c>
      <c r="ET205" s="2686">
        <v>9</v>
      </c>
      <c r="EV205" s="985"/>
      <c r="EW205" s="985"/>
      <c r="EX205" s="387"/>
      <c r="EY205" s="939"/>
      <c r="EZ205" s="886"/>
    </row>
    <row r="206" spans="31:156" hidden="1">
      <c r="AE206" s="34"/>
      <c r="AF206" s="8"/>
      <c r="AG206" s="8"/>
      <c r="AH206" s="8"/>
      <c r="AI206" s="8"/>
      <c r="AJ206" s="35"/>
      <c r="AK206" s="8"/>
      <c r="AL206" s="8"/>
      <c r="AM206" s="8"/>
      <c r="AN206" s="8"/>
      <c r="BZ206" s="564">
        <v>1.1778</v>
      </c>
      <c r="CA206" s="553" t="b">
        <f>OR(AND($B$51&gt;=500,$B$51&lt;=999),AND($B$51&gt;=1100,$B$51&lt;=1299),AND($B$51&gt;=2700,$B$51&lt;=2799),AND($B$51&gt;=2900,$B$51&lt;=3299),AND($B$51&gt;=5500,$B$51&lt;=5699),AND($B$51&gt;=6200,$B$51&lt;=6399),AND($B$51&gt;=6900,$B$51&lt;=7099),AND($B$51&gt;=7200,$B$51&lt;=7599),AND($B$51&gt;=8000,$B$51&lt;=8099),$B$51=4511,AND($B$51&gt;=4611,$B$51&lt;=4619),$B$51=4690)</f>
        <v>1</v>
      </c>
      <c r="CB206" s="572"/>
      <c r="CC206" s="573"/>
      <c r="CD206" s="574"/>
      <c r="CE206" s="712"/>
      <c r="CF206" s="712"/>
      <c r="CG206" s="712"/>
      <c r="CH206" s="712"/>
      <c r="CI206" s="712"/>
      <c r="CJ206" s="197"/>
      <c r="CK206" s="197"/>
      <c r="CL206" s="197"/>
      <c r="CM206" s="213"/>
      <c r="CN206" s="213"/>
      <c r="CO206" s="197"/>
      <c r="CP206" s="197"/>
      <c r="CQ206" s="197"/>
      <c r="CR206" s="197"/>
      <c r="CS206" s="197"/>
      <c r="CT206" s="197"/>
      <c r="CU206" s="197"/>
      <c r="CV206" s="197"/>
      <c r="CW206" s="197"/>
      <c r="CX206" s="959"/>
      <c r="CY206" s="959"/>
      <c r="CZ206" s="959"/>
      <c r="DA206" s="959"/>
      <c r="DB206" s="959"/>
      <c r="DC206" s="891">
        <v>1205</v>
      </c>
      <c r="DD206" s="891" t="s">
        <v>401</v>
      </c>
      <c r="DE206" s="891" t="s">
        <v>432</v>
      </c>
      <c r="DF206" s="891">
        <v>1</v>
      </c>
      <c r="DG206" s="959"/>
      <c r="DH206" s="959"/>
      <c r="ER206" s="905">
        <v>2477</v>
      </c>
      <c r="ES206" s="906" t="s">
        <v>1581</v>
      </c>
      <c r="ET206" s="2686">
        <v>9</v>
      </c>
      <c r="EV206" s="985"/>
      <c r="EW206" s="985"/>
      <c r="EX206" s="387"/>
      <c r="EY206" s="939"/>
      <c r="EZ206" s="886"/>
    </row>
    <row r="207" spans="31:156" hidden="1">
      <c r="AE207" s="34"/>
      <c r="AF207" s="8"/>
      <c r="AG207" s="8"/>
      <c r="AH207" s="8"/>
      <c r="AI207" s="8"/>
      <c r="AJ207" s="37">
        <v>10190</v>
      </c>
      <c r="AK207" s="8"/>
      <c r="AL207" s="8"/>
      <c r="AM207" s="8"/>
      <c r="AN207" s="8"/>
      <c r="BZ207" s="564">
        <v>1.3776999999999999</v>
      </c>
      <c r="CA207" s="553" t="b">
        <f>OR(AND($B$51&gt;=2200,$B$51&lt;=2299),AND($B$51&gt;=2600,$B$51&lt;=2699),AND($B$51&gt;=5300,$B$51&lt;=5399),AND($B$51&gt;=5900,$B$51&lt;=6099),AND($B$51&gt;=7800,$B$51&lt;=7999),AND($B$51&gt;=8200,$B$51&lt;=8299),$B$51=1071,$B$51=4519,$B$51=4711,$B$51=4719,AND($B$51&gt;=4721,$B$51&lt;=4726),$B$51=4729,$B$51=4781,$B$51=4939)</f>
        <v>0</v>
      </c>
      <c r="CB207" s="572"/>
      <c r="CC207" s="573"/>
      <c r="CD207" s="574"/>
      <c r="CE207" s="712"/>
      <c r="CF207" s="712"/>
      <c r="CG207" s="712"/>
      <c r="CH207" s="712"/>
      <c r="CI207" s="712"/>
      <c r="CJ207" s="197"/>
      <c r="CK207" s="197"/>
      <c r="CL207" s="197"/>
      <c r="CM207" s="213"/>
      <c r="CN207" s="213"/>
      <c r="CO207" s="197"/>
      <c r="CP207" s="197"/>
      <c r="CQ207" s="197"/>
      <c r="CR207" s="197"/>
      <c r="CS207" s="197"/>
      <c r="CT207" s="197"/>
      <c r="CU207" s="197"/>
      <c r="CV207" s="197"/>
      <c r="CW207" s="197"/>
      <c r="CX207" s="959"/>
      <c r="CY207" s="959"/>
      <c r="CZ207" s="959"/>
      <c r="DA207" s="959"/>
      <c r="DB207" s="959"/>
      <c r="DC207" s="891">
        <v>1211</v>
      </c>
      <c r="DD207" s="891" t="s">
        <v>401</v>
      </c>
      <c r="DE207" s="891" t="s">
        <v>423</v>
      </c>
      <c r="DF207" s="891">
        <v>2</v>
      </c>
      <c r="DG207" s="959"/>
      <c r="DH207" s="959"/>
      <c r="ER207" s="905">
        <v>2481</v>
      </c>
      <c r="ES207" s="906" t="s">
        <v>282</v>
      </c>
      <c r="ET207" s="2686">
        <v>9</v>
      </c>
      <c r="EV207" s="985"/>
      <c r="EW207" s="985"/>
      <c r="EX207" s="387"/>
      <c r="EY207" s="939"/>
      <c r="EZ207" s="886"/>
    </row>
    <row r="208" spans="31:156" hidden="1">
      <c r="AE208" s="34"/>
      <c r="AF208" s="8"/>
      <c r="AG208" s="8"/>
      <c r="AH208" s="8"/>
      <c r="AI208" s="8"/>
      <c r="AJ208" s="37"/>
      <c r="AK208" s="8"/>
      <c r="AL208" s="8"/>
      <c r="AM208" s="8"/>
      <c r="AN208" s="8"/>
      <c r="BZ208" s="564">
        <v>1.6232</v>
      </c>
      <c r="CA208" s="553" t="b">
        <f>OR(AND($B$51&gt;=1800,$B$51&lt;=1899),AND($B$51&gt;=5200,$B$51&lt;=5299),AND($B$51&gt;=6500,$B$51&lt;=6699),AND($B$51&gt;=8600,$B$51&lt;=8899),AND($B$51&gt;=9000,$B$51&lt;=9399),AND($B$51&gt;=4331,$B$51&lt;=4334),$B$51=4339,$B$51=4391,$B$51=4399,$B$51=4520,$B$51=4531,$B$51=4532,$B$51=4540,$B$51=4651,$B$51=4652,$B$51=4931,$B$51=6411,$B$51=6419,$B$51=6420,$B$51=6430,$B$51=6492,$B$51=6499)</f>
        <v>0</v>
      </c>
      <c r="CB208" s="572"/>
      <c r="CC208" s="573"/>
      <c r="CD208" s="574"/>
      <c r="CE208" s="712"/>
      <c r="CF208" s="712"/>
      <c r="CG208" s="712"/>
      <c r="CH208" s="712"/>
      <c r="CI208" s="712"/>
      <c r="CJ208" s="197"/>
      <c r="CK208" s="197"/>
      <c r="CL208" s="197"/>
      <c r="CM208" s="213"/>
      <c r="CN208" s="213"/>
      <c r="CO208" s="197"/>
      <c r="CP208" s="197"/>
      <c r="CQ208" s="197"/>
      <c r="CR208" s="197"/>
      <c r="CS208" s="197"/>
      <c r="CT208" s="197"/>
      <c r="CU208" s="197"/>
      <c r="CV208" s="197"/>
      <c r="CW208" s="197"/>
      <c r="CX208" s="959"/>
      <c r="CY208" s="959"/>
      <c r="CZ208" s="959"/>
      <c r="DA208" s="959"/>
      <c r="DB208" s="959"/>
      <c r="DC208" s="891">
        <v>1212</v>
      </c>
      <c r="DD208" s="891" t="s">
        <v>401</v>
      </c>
      <c r="DE208" s="891" t="s">
        <v>406</v>
      </c>
      <c r="DF208" s="891">
        <v>2</v>
      </c>
      <c r="DG208" s="959"/>
      <c r="DH208" s="959"/>
      <c r="ER208" s="905">
        <v>2483</v>
      </c>
      <c r="ES208" s="906" t="s">
        <v>283</v>
      </c>
      <c r="ET208" s="2686">
        <v>9</v>
      </c>
      <c r="EV208" s="985"/>
      <c r="EW208" s="985"/>
      <c r="EX208" s="387"/>
      <c r="EY208" s="939"/>
      <c r="EZ208" s="886"/>
    </row>
    <row r="209" spans="31:156" hidden="1">
      <c r="AE209" s="34"/>
      <c r="AF209" s="8"/>
      <c r="AG209" s="8"/>
      <c r="AH209" s="8"/>
      <c r="AI209" s="8"/>
      <c r="AJ209" s="22"/>
      <c r="AK209" s="8"/>
      <c r="AL209" s="8"/>
      <c r="AM209" s="8"/>
      <c r="AN209" s="8"/>
      <c r="BZ209" s="564">
        <v>2.1926000000000001</v>
      </c>
      <c r="CA209" s="553" t="b">
        <f>OR($B$51=4621,$B$51=4622,$B$51=4623,$B$51=4624,$B$51=4932,$B$51=4941,$B$51=6491)</f>
        <v>0</v>
      </c>
      <c r="CB209" s="575"/>
      <c r="CC209" s="576"/>
      <c r="CD209" s="577"/>
      <c r="CE209" s="712"/>
      <c r="CF209" s="712"/>
      <c r="CG209" s="712"/>
      <c r="CH209" s="712"/>
      <c r="CI209" s="712"/>
      <c r="CJ209" s="197"/>
      <c r="CK209" s="197"/>
      <c r="CL209" s="197"/>
      <c r="CM209" s="213"/>
      <c r="CN209" s="213"/>
      <c r="CO209" s="197"/>
      <c r="CP209" s="197"/>
      <c r="CQ209" s="197"/>
      <c r="CR209" s="197"/>
      <c r="CS209" s="197"/>
      <c r="CT209" s="197"/>
      <c r="CU209" s="197"/>
      <c r="CV209" s="197"/>
      <c r="CW209" s="197"/>
      <c r="CX209" s="959"/>
      <c r="CY209" s="959"/>
      <c r="CZ209" s="959"/>
      <c r="DA209" s="959"/>
      <c r="DB209" s="959"/>
      <c r="DC209" s="891">
        <v>1213</v>
      </c>
      <c r="DD209" s="891" t="s">
        <v>401</v>
      </c>
      <c r="DE209" s="891" t="s">
        <v>434</v>
      </c>
      <c r="DF209" s="891">
        <v>3</v>
      </c>
      <c r="DG209" s="959"/>
      <c r="DH209" s="959"/>
      <c r="ER209" s="905">
        <v>2484</v>
      </c>
      <c r="ES209" s="906" t="s">
        <v>284</v>
      </c>
      <c r="ET209" s="2686">
        <v>9</v>
      </c>
      <c r="EV209" s="985"/>
      <c r="EW209" s="985"/>
      <c r="EX209" s="387"/>
      <c r="EY209" s="939"/>
      <c r="EZ209" s="886"/>
    </row>
    <row r="210" spans="31:156" hidden="1">
      <c r="AE210" s="34"/>
      <c r="AF210" s="8"/>
      <c r="AG210" s="8"/>
      <c r="AH210" s="8"/>
      <c r="AI210" s="8"/>
      <c r="AJ210" s="66"/>
      <c r="AK210" s="8"/>
      <c r="AL210" s="8"/>
      <c r="AM210" s="8"/>
      <c r="AN210" s="8"/>
      <c r="BZ210" s="564">
        <v>1</v>
      </c>
      <c r="CA210" s="553" t="b">
        <f>IF(OR(CA203,CA204,CA205,CA206,CA207,CA208,CA209),FALSE,TRUE)</f>
        <v>0</v>
      </c>
      <c r="CB210" s="553"/>
      <c r="CC210" s="553"/>
      <c r="CD210" s="553"/>
      <c r="CE210" s="712"/>
      <c r="CF210" s="712"/>
      <c r="CG210" s="712"/>
      <c r="CH210" s="712"/>
      <c r="CI210" s="712"/>
      <c r="CJ210" s="197"/>
      <c r="CK210" s="197"/>
      <c r="CL210" s="197"/>
      <c r="CM210" s="213"/>
      <c r="CN210" s="213"/>
      <c r="CO210" s="197"/>
      <c r="CP210" s="197"/>
      <c r="CQ210" s="197"/>
      <c r="CR210" s="197"/>
      <c r="CS210" s="197"/>
      <c r="CT210" s="197"/>
      <c r="CU210" s="197"/>
      <c r="CV210" s="197"/>
      <c r="CW210" s="197"/>
      <c r="CX210" s="959"/>
      <c r="CY210" s="959"/>
      <c r="CZ210" s="959"/>
      <c r="DA210" s="959"/>
      <c r="DB210" s="959"/>
      <c r="DC210" s="891">
        <v>1214</v>
      </c>
      <c r="DD210" s="891" t="s">
        <v>401</v>
      </c>
      <c r="DE210" s="891" t="s">
        <v>406</v>
      </c>
      <c r="DF210" s="891">
        <v>1</v>
      </c>
      <c r="DG210" s="959"/>
      <c r="DH210" s="959"/>
      <c r="ER210" s="905">
        <v>2485</v>
      </c>
      <c r="ES210" s="906" t="s">
        <v>285</v>
      </c>
      <c r="ET210" s="2686">
        <v>9</v>
      </c>
      <c r="EV210" s="985"/>
      <c r="EW210" s="985"/>
      <c r="EX210" s="387"/>
      <c r="EY210" s="939"/>
      <c r="EZ210" s="886"/>
    </row>
    <row r="211" spans="31:156" hidden="1">
      <c r="AE211" s="34"/>
      <c r="AF211" s="8"/>
      <c r="AG211" s="8"/>
      <c r="AH211" s="8"/>
      <c r="AI211" s="8"/>
      <c r="AJ211" s="39"/>
      <c r="AK211" s="8"/>
      <c r="AL211" s="8"/>
      <c r="AM211" s="8"/>
      <c r="AN211" s="8"/>
      <c r="BZ211" s="273" t="s">
        <v>3192</v>
      </c>
      <c r="CB211" s="564">
        <f>MAX(BZ203*CA203,BZ204*CA204,BZ205*CA205,BZ206*CA206,BZ207*CA207,BZ208*CA208,BZ209*CA209,BZ210*CA210)</f>
        <v>1.1778</v>
      </c>
      <c r="CJ211" s="197"/>
      <c r="CK211" s="197"/>
      <c r="CL211" s="197"/>
      <c r="CM211" s="213"/>
      <c r="CN211" s="213"/>
      <c r="CO211" s="197"/>
      <c r="CP211" s="197"/>
      <c r="CQ211" s="197"/>
      <c r="CR211" s="197"/>
      <c r="CS211" s="197"/>
      <c r="CT211" s="197"/>
      <c r="CU211" s="197"/>
      <c r="CV211" s="197"/>
      <c r="CW211" s="197"/>
      <c r="CX211" s="959"/>
      <c r="CY211" s="959"/>
      <c r="CZ211" s="959"/>
      <c r="DA211" s="959"/>
      <c r="DB211" s="959"/>
      <c r="DC211" s="891">
        <v>1215</v>
      </c>
      <c r="DD211" s="891" t="s">
        <v>401</v>
      </c>
      <c r="DE211" s="891" t="s">
        <v>420</v>
      </c>
      <c r="DF211" s="891">
        <v>1</v>
      </c>
      <c r="DG211" s="959"/>
      <c r="DH211" s="959"/>
      <c r="ER211" s="905">
        <v>2490</v>
      </c>
      <c r="ES211" s="906" t="s">
        <v>1587</v>
      </c>
      <c r="ET211" s="2686">
        <v>9</v>
      </c>
      <c r="EV211" s="985"/>
      <c r="EW211" s="985"/>
      <c r="EX211" s="387"/>
      <c r="EY211" s="939"/>
      <c r="EZ211" s="886"/>
    </row>
    <row r="212" spans="31:156" hidden="1">
      <c r="AE212" s="34"/>
      <c r="AF212" s="8"/>
      <c r="AG212" s="8"/>
      <c r="AH212" s="8"/>
      <c r="AI212" s="8"/>
      <c r="AJ212" s="39"/>
      <c r="AK212" s="8"/>
      <c r="AL212" s="8"/>
      <c r="AM212" s="8"/>
      <c r="AN212" s="8"/>
      <c r="CJ212" s="197"/>
      <c r="CK212" s="197"/>
      <c r="CL212" s="197"/>
      <c r="CM212" s="213"/>
      <c r="CN212" s="213"/>
      <c r="CO212" s="197"/>
      <c r="CP212" s="197"/>
      <c r="CQ212" s="197"/>
      <c r="CR212" s="197"/>
      <c r="CS212" s="197"/>
      <c r="CT212" s="197"/>
      <c r="CU212" s="197"/>
      <c r="CV212" s="197"/>
      <c r="CW212" s="197"/>
      <c r="CX212" s="959"/>
      <c r="CY212" s="959"/>
      <c r="CZ212" s="959"/>
      <c r="DA212" s="959"/>
      <c r="DB212" s="959"/>
      <c r="DC212" s="891">
        <v>1221</v>
      </c>
      <c r="DD212" s="891" t="s">
        <v>401</v>
      </c>
      <c r="DE212" s="891" t="s">
        <v>419</v>
      </c>
      <c r="DF212" s="891">
        <v>2</v>
      </c>
      <c r="DG212" s="959"/>
      <c r="DH212" s="959"/>
      <c r="ER212" s="905">
        <v>2500</v>
      </c>
      <c r="ES212" s="906" t="s">
        <v>1589</v>
      </c>
      <c r="ET212" s="2686">
        <v>6</v>
      </c>
      <c r="EV212" s="985"/>
      <c r="EW212" s="985"/>
      <c r="EX212" s="387"/>
      <c r="EY212" s="939"/>
      <c r="EZ212" s="886"/>
    </row>
    <row r="213" spans="31:156" hidden="1">
      <c r="AE213" s="34"/>
      <c r="AF213" s="8"/>
      <c r="AG213" s="8"/>
      <c r="AH213" s="8"/>
      <c r="AI213" s="8"/>
      <c r="AJ213" s="39"/>
      <c r="AK213" s="8"/>
      <c r="AL213" s="8"/>
      <c r="AM213" s="8"/>
      <c r="AN213" s="8"/>
      <c r="CJ213" s="197"/>
      <c r="CK213" s="197"/>
      <c r="CL213" s="197"/>
      <c r="CM213" s="213"/>
      <c r="CN213" s="213"/>
      <c r="CO213" s="197"/>
      <c r="CP213" s="197"/>
      <c r="CQ213" s="197"/>
      <c r="CR213" s="197"/>
      <c r="CS213" s="197"/>
      <c r="CT213" s="197"/>
      <c r="CU213" s="197"/>
      <c r="CV213" s="197"/>
      <c r="CW213" s="197"/>
      <c r="CX213" s="959"/>
      <c r="CY213" s="959"/>
      <c r="CZ213" s="959"/>
      <c r="DA213" s="959"/>
      <c r="DB213" s="959"/>
      <c r="DC213" s="891">
        <v>1222</v>
      </c>
      <c r="DD213" s="891" t="s">
        <v>401</v>
      </c>
      <c r="DE213" s="891" t="s">
        <v>402</v>
      </c>
      <c r="DF213" s="891">
        <v>2</v>
      </c>
      <c r="DG213" s="959"/>
      <c r="DH213" s="959"/>
      <c r="ER213" s="905">
        <v>2508</v>
      </c>
      <c r="ES213" s="930" t="s">
        <v>4070</v>
      </c>
      <c r="ET213" s="2686">
        <v>6</v>
      </c>
      <c r="EV213" s="985"/>
      <c r="EW213" s="985"/>
      <c r="EX213" s="387"/>
      <c r="EY213" s="939"/>
      <c r="EZ213" s="886"/>
    </row>
    <row r="214" spans="31:156" hidden="1">
      <c r="AE214" s="34"/>
      <c r="AF214" s="8"/>
      <c r="AG214" s="8"/>
      <c r="AH214" s="8"/>
      <c r="AI214" s="8"/>
      <c r="AJ214" s="39"/>
      <c r="AK214" s="8"/>
      <c r="AL214" s="8"/>
      <c r="AM214" s="8"/>
      <c r="AN214" s="8"/>
      <c r="CJ214" s="197"/>
      <c r="CK214" s="197"/>
      <c r="CL214" s="197"/>
      <c r="CM214" s="213"/>
      <c r="CN214" s="213"/>
      <c r="CO214" s="197"/>
      <c r="CP214" s="197"/>
      <c r="CQ214" s="197"/>
      <c r="CR214" s="197"/>
      <c r="CS214" s="197"/>
      <c r="CT214" s="197"/>
      <c r="CU214" s="197"/>
      <c r="CV214" s="197"/>
      <c r="CW214" s="197"/>
      <c r="CX214" s="959"/>
      <c r="CY214" s="959"/>
      <c r="CZ214" s="959"/>
      <c r="DA214" s="959"/>
      <c r="DB214" s="959"/>
      <c r="DC214" s="891">
        <v>1223</v>
      </c>
      <c r="DD214" s="891" t="s">
        <v>401</v>
      </c>
      <c r="DE214" s="891" t="s">
        <v>419</v>
      </c>
      <c r="DF214" s="891">
        <v>1</v>
      </c>
      <c r="DG214" s="959"/>
      <c r="DH214" s="959"/>
      <c r="ER214" s="905">
        <v>2509</v>
      </c>
      <c r="ES214" s="930" t="s">
        <v>4071</v>
      </c>
      <c r="ET214" s="2686">
        <v>9</v>
      </c>
      <c r="EV214" s="985"/>
      <c r="EW214" s="985"/>
      <c r="EX214" s="387"/>
      <c r="EY214" s="939"/>
      <c r="EZ214" s="886"/>
    </row>
    <row r="215" spans="31:156" hidden="1">
      <c r="AE215" s="34"/>
      <c r="AF215" s="8"/>
      <c r="AG215" s="8"/>
      <c r="AH215" s="8"/>
      <c r="AI215" s="8"/>
      <c r="AJ215" s="39"/>
      <c r="AK215" s="8"/>
      <c r="AL215" s="8"/>
      <c r="AM215" s="8"/>
      <c r="AN215" s="8"/>
      <c r="CJ215" s="197"/>
      <c r="CK215" s="197"/>
      <c r="CL215" s="197"/>
      <c r="CM215" s="213"/>
      <c r="CN215" s="213"/>
      <c r="CO215" s="197"/>
      <c r="CP215" s="197"/>
      <c r="CQ215" s="197"/>
      <c r="CR215" s="197"/>
      <c r="CS215" s="197"/>
      <c r="CT215" s="197"/>
      <c r="CU215" s="197"/>
      <c r="CV215" s="197"/>
      <c r="CW215" s="197"/>
      <c r="CX215" s="959"/>
      <c r="CY215" s="959"/>
      <c r="CZ215" s="959"/>
      <c r="DA215" s="959"/>
      <c r="DB215" s="959"/>
      <c r="DC215" s="891">
        <v>1224</v>
      </c>
      <c r="DD215" s="891" t="s">
        <v>401</v>
      </c>
      <c r="DE215" s="891" t="s">
        <v>419</v>
      </c>
      <c r="DF215" s="891">
        <v>2</v>
      </c>
      <c r="DG215" s="959"/>
      <c r="DH215" s="959"/>
      <c r="ER215" s="905">
        <v>2510</v>
      </c>
      <c r="ES215" s="906" t="s">
        <v>1590</v>
      </c>
      <c r="ET215" s="2686">
        <v>6</v>
      </c>
      <c r="EV215" s="985"/>
      <c r="EW215" s="985"/>
      <c r="EX215" s="387"/>
      <c r="EY215" s="939"/>
      <c r="EZ215" s="886"/>
    </row>
    <row r="216" spans="31:156" hidden="1">
      <c r="AE216" s="34"/>
      <c r="AF216" s="8"/>
      <c r="AG216" s="8"/>
      <c r="AH216" s="8"/>
      <c r="AI216" s="8"/>
      <c r="AJ216" s="40"/>
      <c r="AK216" s="8"/>
      <c r="AL216" s="8"/>
      <c r="AM216" s="8"/>
      <c r="AN216" s="8"/>
      <c r="CJ216" s="197"/>
      <c r="CK216" s="197"/>
      <c r="CL216" s="197"/>
      <c r="CM216" s="213"/>
      <c r="CN216" s="213"/>
      <c r="CO216" s="197"/>
      <c r="CP216" s="197"/>
      <c r="CQ216" s="197"/>
      <c r="CR216" s="197"/>
      <c r="CS216" s="197"/>
      <c r="CT216" s="197"/>
      <c r="CU216" s="197"/>
      <c r="CV216" s="197"/>
      <c r="CW216" s="197"/>
      <c r="CX216" s="959"/>
      <c r="CY216" s="959"/>
      <c r="CZ216" s="959"/>
      <c r="DA216" s="959"/>
      <c r="DB216" s="959"/>
      <c r="DC216" s="891">
        <v>1225</v>
      </c>
      <c r="DD216" s="891" t="s">
        <v>401</v>
      </c>
      <c r="DE216" s="891" t="s">
        <v>419</v>
      </c>
      <c r="DF216" s="891">
        <v>3</v>
      </c>
      <c r="DG216" s="959"/>
      <c r="DH216" s="959"/>
      <c r="ER216" s="905">
        <v>2517</v>
      </c>
      <c r="ES216" s="906" t="s">
        <v>1591</v>
      </c>
      <c r="ET216" s="2686">
        <v>6</v>
      </c>
      <c r="EV216" s="985"/>
      <c r="EW216" s="985"/>
      <c r="EX216" s="387"/>
      <c r="EY216" s="939"/>
      <c r="EZ216" s="886"/>
    </row>
    <row r="217" spans="31:156" hidden="1">
      <c r="AE217" s="34"/>
      <c r="AF217" s="8"/>
      <c r="AG217" s="8"/>
      <c r="AH217" s="8"/>
      <c r="AI217" s="8"/>
      <c r="AJ217" s="40"/>
      <c r="AK217" s="8"/>
      <c r="AL217" s="8"/>
      <c r="AM217" s="8"/>
      <c r="AN217" s="8"/>
      <c r="CJ217" s="197"/>
      <c r="CK217" s="197"/>
      <c r="CL217" s="197"/>
      <c r="CM217" s="213"/>
      <c r="CN217" s="213"/>
      <c r="CO217" s="197"/>
      <c r="CP217" s="197"/>
      <c r="CQ217" s="197"/>
      <c r="CR217" s="197"/>
      <c r="CS217" s="197"/>
      <c r="CT217" s="197"/>
      <c r="CU217" s="197"/>
      <c r="CV217" s="197"/>
      <c r="CW217" s="197"/>
      <c r="CX217" s="959"/>
      <c r="CY217" s="959"/>
      <c r="CZ217" s="959"/>
      <c r="DA217" s="959"/>
      <c r="DB217" s="959"/>
      <c r="DC217" s="891">
        <v>1237</v>
      </c>
      <c r="DD217" s="891" t="s">
        <v>401</v>
      </c>
      <c r="DE217" s="891" t="s">
        <v>402</v>
      </c>
      <c r="DF217" s="891">
        <v>3</v>
      </c>
      <c r="DG217" s="959"/>
      <c r="DH217" s="959"/>
      <c r="ER217" s="905">
        <v>2518</v>
      </c>
      <c r="ES217" s="906" t="s">
        <v>2285</v>
      </c>
      <c r="ET217" s="2686">
        <v>6</v>
      </c>
      <c r="EV217" s="985"/>
      <c r="EW217" s="985"/>
      <c r="EX217" s="387"/>
      <c r="EY217" s="939"/>
      <c r="EZ217" s="886"/>
    </row>
    <row r="218" spans="31:156" hidden="1">
      <c r="AE218" s="34"/>
      <c r="AF218" s="8"/>
      <c r="AG218" s="8"/>
      <c r="AH218" s="8"/>
      <c r="AI218" s="8"/>
      <c r="AJ218" s="41"/>
      <c r="AK218" s="8"/>
      <c r="AL218" s="8"/>
      <c r="AM218" s="8"/>
      <c r="AN218" s="8"/>
      <c r="CJ218" s="197"/>
      <c r="CK218" s="197"/>
      <c r="CL218" s="197"/>
      <c r="CM218" s="213"/>
      <c r="CN218" s="213"/>
      <c r="CO218" s="197"/>
      <c r="CP218" s="197"/>
      <c r="CQ218" s="197"/>
      <c r="CR218" s="197"/>
      <c r="CS218" s="197"/>
      <c r="CT218" s="197"/>
      <c r="CU218" s="197"/>
      <c r="CV218" s="197"/>
      <c r="CW218" s="197"/>
      <c r="CX218" s="959"/>
      <c r="CY218" s="959"/>
      <c r="CZ218" s="959"/>
      <c r="DA218" s="959"/>
      <c r="DB218" s="959"/>
      <c r="DC218" s="891">
        <v>1238</v>
      </c>
      <c r="DD218" s="891" t="s">
        <v>401</v>
      </c>
      <c r="DE218" s="891" t="s">
        <v>419</v>
      </c>
      <c r="DF218" s="891">
        <v>1</v>
      </c>
      <c r="DG218" s="959"/>
      <c r="DH218" s="959"/>
      <c r="ER218" s="905">
        <v>2519</v>
      </c>
      <c r="ES218" s="906" t="s">
        <v>2286</v>
      </c>
      <c r="ET218" s="2686">
        <v>6</v>
      </c>
      <c r="EU218" s="895">
        <v>1</v>
      </c>
      <c r="EV218" s="985"/>
      <c r="EW218" s="985"/>
      <c r="EX218" s="387"/>
      <c r="EY218" s="939"/>
      <c r="EZ218" s="886"/>
    </row>
    <row r="219" spans="31:156" hidden="1">
      <c r="AE219" s="34"/>
      <c r="AF219" s="8"/>
      <c r="AG219" s="8"/>
      <c r="AH219" s="8"/>
      <c r="AI219" s="8"/>
      <c r="AJ219" s="41"/>
      <c r="AK219" s="8"/>
      <c r="AL219" s="8"/>
      <c r="AM219" s="8"/>
      <c r="AN219" s="8"/>
      <c r="CJ219" s="197"/>
      <c r="CK219" s="197"/>
      <c r="CL219" s="197"/>
      <c r="CM219" s="213"/>
      <c r="CN219" s="213"/>
      <c r="CO219" s="197"/>
      <c r="CP219" s="197"/>
      <c r="CQ219" s="197"/>
      <c r="CR219" s="197"/>
      <c r="CS219" s="197"/>
      <c r="CT219" s="197"/>
      <c r="CU219" s="197"/>
      <c r="CV219" s="197"/>
      <c r="CW219" s="197"/>
      <c r="CX219" s="959"/>
      <c r="CY219" s="959"/>
      <c r="CZ219" s="959"/>
      <c r="DA219" s="959"/>
      <c r="DB219" s="959"/>
      <c r="DC219" s="891">
        <v>1239</v>
      </c>
      <c r="DD219" s="891" t="s">
        <v>401</v>
      </c>
      <c r="DE219" s="891" t="s">
        <v>419</v>
      </c>
      <c r="DF219" s="891">
        <v>3</v>
      </c>
      <c r="DG219" s="959"/>
      <c r="DH219" s="959"/>
      <c r="ER219" s="905">
        <v>2521</v>
      </c>
      <c r="ES219" s="906" t="s">
        <v>2287</v>
      </c>
      <c r="ET219" s="2686">
        <v>6</v>
      </c>
      <c r="EV219" s="985"/>
      <c r="EW219" s="985"/>
      <c r="EX219" s="387"/>
      <c r="EY219" s="939"/>
      <c r="EZ219" s="886"/>
    </row>
    <row r="220" spans="31:156" hidden="1">
      <c r="AE220" s="34"/>
      <c r="AF220" s="8"/>
      <c r="AG220" s="8"/>
      <c r="AH220" s="8"/>
      <c r="AI220" s="8"/>
      <c r="AJ220" s="41"/>
      <c r="AK220" s="8"/>
      <c r="AL220" s="8"/>
      <c r="AM220" s="8"/>
      <c r="AN220" s="8"/>
      <c r="CJ220" s="197"/>
      <c r="CK220" s="197"/>
      <c r="CL220" s="197"/>
      <c r="CM220" s="213"/>
      <c r="CN220" s="213"/>
      <c r="CO220" s="197"/>
      <c r="CP220" s="197"/>
      <c r="CQ220" s="197"/>
      <c r="CR220" s="197"/>
      <c r="CS220" s="197"/>
      <c r="CT220" s="197"/>
      <c r="CU220" s="197"/>
      <c r="CV220" s="197"/>
      <c r="CW220" s="197"/>
      <c r="CX220" s="959"/>
      <c r="CY220" s="959"/>
      <c r="CZ220" s="959"/>
      <c r="DA220" s="959"/>
      <c r="DB220" s="959"/>
      <c r="DC220" s="891">
        <v>1528</v>
      </c>
      <c r="DD220" s="891" t="s">
        <v>401</v>
      </c>
      <c r="DE220" s="891" t="s">
        <v>417</v>
      </c>
      <c r="DF220" s="891">
        <v>1</v>
      </c>
      <c r="DG220" s="959"/>
      <c r="DH220" s="959"/>
      <c r="ER220" s="905">
        <v>2522</v>
      </c>
      <c r="ES220" s="906" t="s">
        <v>2288</v>
      </c>
      <c r="ET220" s="2686">
        <v>6</v>
      </c>
      <c r="EV220" s="985"/>
      <c r="EW220" s="985"/>
      <c r="EX220" s="387"/>
      <c r="EY220" s="939"/>
      <c r="EZ220" s="886"/>
    </row>
    <row r="221" spans="31:156" hidden="1">
      <c r="AE221" s="34"/>
      <c r="AF221" s="8"/>
      <c r="AG221" s="8"/>
      <c r="AH221" s="8"/>
      <c r="AI221" s="8"/>
      <c r="AJ221" s="41"/>
      <c r="AK221" s="8"/>
      <c r="AL221" s="8"/>
      <c r="AM221" s="8"/>
      <c r="AN221" s="8"/>
      <c r="CJ221" s="197"/>
      <c r="CK221" s="197"/>
      <c r="CL221" s="197"/>
      <c r="CM221" s="213"/>
      <c r="CN221" s="213"/>
      <c r="CO221" s="197"/>
      <c r="CP221" s="197"/>
      <c r="CQ221" s="197"/>
      <c r="CR221" s="197"/>
      <c r="CS221" s="197"/>
      <c r="CT221" s="197"/>
      <c r="CU221" s="197"/>
      <c r="CV221" s="197"/>
      <c r="CW221" s="197"/>
      <c r="CX221" s="959"/>
      <c r="CY221" s="959"/>
      <c r="CZ221" s="959"/>
      <c r="DA221" s="959"/>
      <c r="DB221" s="959"/>
      <c r="DC221" s="891">
        <v>1529</v>
      </c>
      <c r="DD221" s="891" t="s">
        <v>401</v>
      </c>
      <c r="DE221" s="891" t="s">
        <v>419</v>
      </c>
      <c r="DF221" s="891">
        <v>2</v>
      </c>
      <c r="DG221" s="959"/>
      <c r="DH221" s="959"/>
      <c r="ER221" s="905">
        <v>2523</v>
      </c>
      <c r="ES221" s="906" t="s">
        <v>4072</v>
      </c>
      <c r="ET221" s="2686">
        <v>6</v>
      </c>
      <c r="EV221" s="985"/>
      <c r="EW221" s="985"/>
      <c r="EX221" s="387"/>
      <c r="EY221" s="939"/>
      <c r="EZ221" s="886"/>
    </row>
    <row r="222" spans="31:156" hidden="1">
      <c r="AE222" s="34"/>
      <c r="AF222" s="8"/>
      <c r="AG222" s="8"/>
      <c r="AH222" s="8"/>
      <c r="AI222" s="8"/>
      <c r="AJ222" s="41"/>
      <c r="AK222" s="8"/>
      <c r="AL222" s="8"/>
      <c r="AM222" s="8"/>
      <c r="AN222" s="8"/>
      <c r="CJ222" s="197"/>
      <c r="CK222" s="197"/>
      <c r="CL222" s="197"/>
      <c r="CM222" s="213"/>
      <c r="CN222" s="213"/>
      <c r="CO222" s="197"/>
      <c r="CP222" s="197"/>
      <c r="CQ222" s="197"/>
      <c r="CR222" s="197"/>
      <c r="CS222" s="197"/>
      <c r="CT222" s="197"/>
      <c r="CU222" s="197"/>
      <c r="CV222" s="197"/>
      <c r="CW222" s="197"/>
      <c r="CX222" s="959"/>
      <c r="CY222" s="959"/>
      <c r="CZ222" s="959"/>
      <c r="DA222" s="959"/>
      <c r="DB222" s="959"/>
      <c r="DC222" s="891">
        <v>1999</v>
      </c>
      <c r="DD222" s="891" t="s">
        <v>401</v>
      </c>
      <c r="DE222" s="891" t="s">
        <v>419</v>
      </c>
      <c r="DF222" s="891">
        <v>2</v>
      </c>
      <c r="DG222" s="959"/>
      <c r="DH222" s="959"/>
      <c r="ER222" s="905">
        <v>2524</v>
      </c>
      <c r="ES222" s="906" t="s">
        <v>2290</v>
      </c>
      <c r="ET222" s="2686">
        <v>6</v>
      </c>
      <c r="EV222" s="985"/>
      <c r="EW222" s="985"/>
      <c r="EX222" s="387"/>
      <c r="EY222" s="939"/>
      <c r="EZ222" s="886"/>
    </row>
    <row r="223" spans="31:156" hidden="1">
      <c r="AE223" s="34"/>
      <c r="AF223" s="8"/>
      <c r="AG223" s="8"/>
      <c r="AH223" s="8"/>
      <c r="AI223" s="8"/>
      <c r="AJ223" s="41"/>
      <c r="AK223" s="8"/>
      <c r="AL223" s="8"/>
      <c r="AM223" s="8"/>
      <c r="AN223" s="8"/>
      <c r="CJ223" s="197"/>
      <c r="CK223" s="197"/>
      <c r="CL223" s="197"/>
      <c r="CM223" s="213"/>
      <c r="CN223" s="213"/>
      <c r="CO223" s="197"/>
      <c r="CP223" s="197"/>
      <c r="CQ223" s="197"/>
      <c r="CR223" s="197"/>
      <c r="CS223" s="197"/>
      <c r="CT223" s="197"/>
      <c r="CU223" s="197"/>
      <c r="CV223" s="197"/>
      <c r="CW223" s="197"/>
      <c r="CX223" s="959"/>
      <c r="CY223" s="959"/>
      <c r="CZ223" s="959"/>
      <c r="DA223" s="959"/>
      <c r="DB223" s="959"/>
      <c r="DC223" s="891">
        <v>2000</v>
      </c>
      <c r="DD223" s="891" t="s">
        <v>2819</v>
      </c>
      <c r="DE223" s="891" t="s">
        <v>420</v>
      </c>
      <c r="DF223" s="891">
        <v>3</v>
      </c>
      <c r="DG223" s="959"/>
      <c r="DH223" s="959"/>
      <c r="ER223" s="905">
        <v>2525</v>
      </c>
      <c r="ES223" s="906" t="s">
        <v>2291</v>
      </c>
      <c r="ET223" s="2686">
        <v>6</v>
      </c>
      <c r="EU223" s="895">
        <v>1</v>
      </c>
      <c r="EV223" s="985"/>
      <c r="EW223" s="985"/>
      <c r="EX223" s="387"/>
      <c r="EY223" s="939"/>
      <c r="EZ223" s="886"/>
    </row>
    <row r="224" spans="31:156" hidden="1">
      <c r="AE224" s="34"/>
      <c r="AF224" s="8"/>
      <c r="AG224" s="8"/>
      <c r="AH224" s="8"/>
      <c r="AI224" s="8"/>
      <c r="AJ224" s="41"/>
      <c r="AK224" s="8"/>
      <c r="AL224" s="8"/>
      <c r="AM224" s="8"/>
      <c r="AN224" s="8"/>
      <c r="CJ224" s="197"/>
      <c r="CK224" s="197"/>
      <c r="CL224" s="197"/>
      <c r="CM224" s="213"/>
      <c r="CN224" s="213"/>
      <c r="CO224" s="197"/>
      <c r="CP224" s="197"/>
      <c r="CQ224" s="197"/>
      <c r="CR224" s="197"/>
      <c r="CS224" s="197"/>
      <c r="CT224" s="197"/>
      <c r="CU224" s="197"/>
      <c r="CV224" s="197"/>
      <c r="CW224" s="197"/>
      <c r="CX224" s="959"/>
      <c r="CY224" s="959"/>
      <c r="CZ224" s="959"/>
      <c r="DA224" s="959"/>
      <c r="DB224" s="959"/>
      <c r="DC224" s="891">
        <v>2009</v>
      </c>
      <c r="DD224" s="891" t="s">
        <v>2820</v>
      </c>
      <c r="DE224" s="891" t="s">
        <v>419</v>
      </c>
      <c r="DF224" s="891">
        <v>3</v>
      </c>
      <c r="DG224" s="959"/>
      <c r="DH224" s="959"/>
      <c r="ER224" s="905">
        <v>2526</v>
      </c>
      <c r="ES224" s="906" t="s">
        <v>2292</v>
      </c>
      <c r="ET224" s="2686">
        <v>6</v>
      </c>
      <c r="EV224" s="985"/>
      <c r="EW224" s="985"/>
      <c r="EX224" s="387"/>
      <c r="EY224" s="939"/>
      <c r="EZ224" s="886"/>
    </row>
    <row r="225" spans="31:156" hidden="1">
      <c r="AE225" s="34"/>
      <c r="AF225" s="8"/>
      <c r="AG225" s="8"/>
      <c r="AH225" s="8"/>
      <c r="AI225" s="8"/>
      <c r="AJ225" s="41"/>
      <c r="AK225" s="8"/>
      <c r="AL225" s="8"/>
      <c r="AM225" s="8"/>
      <c r="AN225" s="8"/>
      <c r="CJ225" s="197"/>
      <c r="CK225" s="197"/>
      <c r="CL225" s="197"/>
      <c r="CM225" s="213"/>
      <c r="CN225" s="213"/>
      <c r="CO225" s="197"/>
      <c r="CP225" s="197"/>
      <c r="CQ225" s="197"/>
      <c r="CR225" s="197"/>
      <c r="CS225" s="197"/>
      <c r="CT225" s="197"/>
      <c r="CU225" s="197"/>
      <c r="CV225" s="197"/>
      <c r="CW225" s="197"/>
      <c r="CX225" s="959"/>
      <c r="CY225" s="959"/>
      <c r="CZ225" s="959"/>
      <c r="DA225" s="959"/>
      <c r="DB225" s="959"/>
      <c r="DC225" s="891">
        <v>2011</v>
      </c>
      <c r="DD225" s="891" t="s">
        <v>2821</v>
      </c>
      <c r="DE225" s="891" t="s">
        <v>419</v>
      </c>
      <c r="DF225" s="891">
        <v>2</v>
      </c>
      <c r="DG225" s="959"/>
      <c r="DH225" s="959"/>
      <c r="ER225" s="905">
        <v>2527</v>
      </c>
      <c r="ES225" s="906" t="s">
        <v>2293</v>
      </c>
      <c r="ET225" s="2686">
        <v>6</v>
      </c>
      <c r="EV225" s="985"/>
      <c r="EW225" s="985"/>
      <c r="EX225" s="387"/>
      <c r="EY225" s="939"/>
      <c r="EZ225" s="886"/>
    </row>
    <row r="226" spans="31:156" hidden="1">
      <c r="AE226" s="34"/>
      <c r="AF226" s="8"/>
      <c r="AG226" s="8"/>
      <c r="AH226" s="8"/>
      <c r="AI226" s="8"/>
      <c r="AJ226" s="40"/>
      <c r="AK226" s="8"/>
      <c r="AL226" s="8"/>
      <c r="AM226" s="8"/>
      <c r="AN226" s="8"/>
      <c r="CJ226" s="197"/>
      <c r="CK226" s="197"/>
      <c r="CL226" s="197"/>
      <c r="CM226" s="213"/>
      <c r="CN226" s="213"/>
      <c r="CO226" s="197"/>
      <c r="CP226" s="197"/>
      <c r="CQ226" s="197"/>
      <c r="CR226" s="197"/>
      <c r="CS226" s="197"/>
      <c r="CT226" s="197"/>
      <c r="CU226" s="197"/>
      <c r="CV226" s="197"/>
      <c r="CW226" s="197"/>
      <c r="CX226" s="959"/>
      <c r="CY226" s="959"/>
      <c r="CZ226" s="959"/>
      <c r="DA226" s="959"/>
      <c r="DB226" s="959"/>
      <c r="DC226" s="891">
        <v>2013</v>
      </c>
      <c r="DD226" s="891" t="s">
        <v>2822</v>
      </c>
      <c r="DE226" s="891" t="s">
        <v>419</v>
      </c>
      <c r="DF226" s="891">
        <v>2</v>
      </c>
      <c r="DG226" s="959"/>
      <c r="DH226" s="959"/>
      <c r="ER226" s="905">
        <v>2528</v>
      </c>
      <c r="ES226" s="906" t="s">
        <v>2294</v>
      </c>
      <c r="ET226" s="2686">
        <v>6</v>
      </c>
      <c r="EV226" s="985"/>
      <c r="EW226" s="985"/>
      <c r="EX226" s="387"/>
      <c r="EY226" s="939"/>
      <c r="EZ226" s="886"/>
    </row>
    <row r="227" spans="31:156" hidden="1">
      <c r="AE227" s="42"/>
      <c r="AF227" s="8"/>
      <c r="AG227" s="8"/>
      <c r="AH227" s="8"/>
      <c r="AI227" s="8"/>
      <c r="AJ227" s="41"/>
      <c r="AK227" s="8"/>
      <c r="AL227" s="8"/>
      <c r="AM227" s="8"/>
      <c r="AN227" s="8"/>
      <c r="CJ227" s="197"/>
      <c r="CK227" s="197"/>
      <c r="CL227" s="197"/>
      <c r="CM227" s="213"/>
      <c r="CN227" s="213"/>
      <c r="CO227" s="197"/>
      <c r="CP227" s="197"/>
      <c r="CQ227" s="197"/>
      <c r="CR227" s="197"/>
      <c r="CS227" s="197"/>
      <c r="CT227" s="197"/>
      <c r="CU227" s="197"/>
      <c r="CV227" s="197"/>
      <c r="CW227" s="197"/>
      <c r="CX227" s="959"/>
      <c r="CY227" s="959"/>
      <c r="CZ227" s="959"/>
      <c r="DA227" s="959"/>
      <c r="DB227" s="959"/>
      <c r="DC227" s="891">
        <v>2014</v>
      </c>
      <c r="DD227" s="891" t="s">
        <v>2823</v>
      </c>
      <c r="DE227" s="891" t="s">
        <v>420</v>
      </c>
      <c r="DF227" s="891">
        <v>2</v>
      </c>
      <c r="DG227" s="959"/>
      <c r="DH227" s="959"/>
      <c r="ER227" s="905">
        <v>2529</v>
      </c>
      <c r="ES227" s="906" t="s">
        <v>2295</v>
      </c>
      <c r="ET227" s="2686">
        <v>6</v>
      </c>
      <c r="EV227" s="985"/>
      <c r="EW227" s="985"/>
      <c r="EX227" s="387"/>
      <c r="EY227" s="939"/>
      <c r="EZ227" s="886"/>
    </row>
    <row r="228" spans="31:156" hidden="1">
      <c r="CJ228" s="197"/>
      <c r="CK228" s="197"/>
      <c r="CL228" s="197"/>
      <c r="CM228" s="213"/>
      <c r="CN228" s="213"/>
      <c r="CO228" s="197"/>
      <c r="CP228" s="197"/>
      <c r="CQ228" s="197"/>
      <c r="CR228" s="197"/>
      <c r="CS228" s="197"/>
      <c r="CT228" s="197"/>
      <c r="CU228" s="197"/>
      <c r="CV228" s="197"/>
      <c r="CW228" s="197"/>
      <c r="CX228" s="959"/>
      <c r="CY228" s="959"/>
      <c r="CZ228" s="959"/>
      <c r="DA228" s="959"/>
      <c r="DB228" s="959"/>
      <c r="DC228" s="891">
        <v>2015</v>
      </c>
      <c r="DD228" s="891" t="s">
        <v>2824</v>
      </c>
      <c r="DE228" s="891" t="s">
        <v>419</v>
      </c>
      <c r="DF228" s="891">
        <v>2</v>
      </c>
      <c r="DG228" s="959"/>
      <c r="DH228" s="959"/>
      <c r="ER228" s="905">
        <v>2531</v>
      </c>
      <c r="ES228" s="906" t="s">
        <v>4073</v>
      </c>
      <c r="ET228" s="2686">
        <v>6</v>
      </c>
      <c r="EV228" s="985"/>
      <c r="EW228" s="985"/>
      <c r="EX228" s="387"/>
      <c r="EY228" s="939"/>
      <c r="EZ228" s="886"/>
    </row>
    <row r="229" spans="31:156" hidden="1">
      <c r="CJ229" s="197"/>
      <c r="CK229" s="197"/>
      <c r="CL229" s="197"/>
      <c r="CM229" s="213"/>
      <c r="CN229" s="213"/>
      <c r="CO229" s="197"/>
      <c r="CP229" s="197"/>
      <c r="CQ229" s="197"/>
      <c r="CR229" s="197"/>
      <c r="CS229" s="197"/>
      <c r="CT229" s="197"/>
      <c r="CU229" s="197"/>
      <c r="CV229" s="197"/>
      <c r="CW229" s="197"/>
      <c r="CX229" s="959"/>
      <c r="CY229" s="959"/>
      <c r="CZ229" s="959"/>
      <c r="DA229" s="959"/>
      <c r="DB229" s="959"/>
      <c r="DC229" s="891">
        <v>2016</v>
      </c>
      <c r="DD229" s="891" t="s">
        <v>2825</v>
      </c>
      <c r="DE229" s="891" t="s">
        <v>419</v>
      </c>
      <c r="DF229" s="891">
        <v>2</v>
      </c>
      <c r="DG229" s="959"/>
      <c r="DH229" s="959"/>
      <c r="ER229" s="905">
        <v>2532</v>
      </c>
      <c r="ES229" s="906" t="s">
        <v>2297</v>
      </c>
      <c r="ET229" s="2686">
        <v>6</v>
      </c>
      <c r="EV229" s="985"/>
      <c r="EW229" s="985"/>
      <c r="EX229" s="387"/>
      <c r="EY229" s="939"/>
      <c r="EZ229" s="886"/>
    </row>
    <row r="230" spans="31:156" hidden="1">
      <c r="CJ230" s="197"/>
      <c r="CK230" s="197"/>
      <c r="CL230" s="197"/>
      <c r="CM230" s="213"/>
      <c r="CN230" s="213"/>
      <c r="CO230" s="197"/>
      <c r="CP230" s="197"/>
      <c r="CQ230" s="197"/>
      <c r="CR230" s="197"/>
      <c r="CS230" s="197"/>
      <c r="CT230" s="197"/>
      <c r="CU230" s="197"/>
      <c r="CV230" s="197"/>
      <c r="CW230" s="197"/>
      <c r="CX230" s="959"/>
      <c r="CY230" s="959"/>
      <c r="CZ230" s="959"/>
      <c r="DA230" s="959"/>
      <c r="DB230" s="959"/>
      <c r="DC230" s="891">
        <v>2017</v>
      </c>
      <c r="DD230" s="891" t="s">
        <v>2826</v>
      </c>
      <c r="DE230" s="891" t="s">
        <v>431</v>
      </c>
      <c r="DF230" s="891">
        <v>3</v>
      </c>
      <c r="DG230" s="959"/>
      <c r="DH230" s="959"/>
      <c r="ER230" s="905">
        <v>2533</v>
      </c>
      <c r="ES230" s="906" t="s">
        <v>2298</v>
      </c>
      <c r="ET230" s="2686">
        <v>6</v>
      </c>
      <c r="EV230" s="985"/>
      <c r="EW230" s="985"/>
      <c r="EX230" s="387"/>
      <c r="EY230" s="939"/>
      <c r="EZ230" s="886"/>
    </row>
    <row r="231" spans="31:156" hidden="1">
      <c r="CJ231" s="197"/>
      <c r="CK231" s="197"/>
      <c r="CL231" s="197"/>
      <c r="CM231" s="213"/>
      <c r="CN231" s="213"/>
      <c r="CO231" s="197"/>
      <c r="CP231" s="197"/>
      <c r="CQ231" s="197"/>
      <c r="CR231" s="197"/>
      <c r="CS231" s="197"/>
      <c r="CT231" s="197"/>
      <c r="CU231" s="197"/>
      <c r="CV231" s="197"/>
      <c r="CW231" s="197"/>
      <c r="CX231" s="959"/>
      <c r="CY231" s="959"/>
      <c r="CZ231" s="959"/>
      <c r="DA231" s="959"/>
      <c r="DB231" s="959"/>
      <c r="DC231" s="891">
        <v>2018</v>
      </c>
      <c r="DD231" s="891" t="s">
        <v>2827</v>
      </c>
      <c r="DE231" s="891" t="s">
        <v>406</v>
      </c>
      <c r="DF231" s="891">
        <v>3</v>
      </c>
      <c r="DG231" s="959"/>
      <c r="DH231" s="959"/>
      <c r="ER231" s="905">
        <v>2534</v>
      </c>
      <c r="ES231" s="906" t="s">
        <v>2299</v>
      </c>
      <c r="ET231" s="2686">
        <v>6</v>
      </c>
      <c r="EV231" s="985"/>
      <c r="EW231" s="985"/>
      <c r="EX231" s="387"/>
      <c r="EY231" s="939"/>
      <c r="EZ231" s="886"/>
    </row>
    <row r="232" spans="31:156" hidden="1">
      <c r="CJ232" s="197"/>
      <c r="CK232" s="197"/>
      <c r="CL232" s="197"/>
      <c r="CM232" s="213"/>
      <c r="CN232" s="213"/>
      <c r="CO232" s="197"/>
      <c r="CP232" s="197"/>
      <c r="CQ232" s="197"/>
      <c r="CR232" s="197"/>
      <c r="CS232" s="197"/>
      <c r="CT232" s="197"/>
      <c r="CU232" s="197"/>
      <c r="CV232" s="197"/>
      <c r="CW232" s="197"/>
      <c r="CX232" s="959"/>
      <c r="CY232" s="959"/>
      <c r="CZ232" s="959"/>
      <c r="DA232" s="959"/>
      <c r="DB232" s="959"/>
      <c r="DC232" s="891">
        <v>2021</v>
      </c>
      <c r="DD232" s="891" t="s">
        <v>2828</v>
      </c>
      <c r="DE232" s="891" t="s">
        <v>412</v>
      </c>
      <c r="DF232" s="891">
        <v>3</v>
      </c>
      <c r="DG232" s="959"/>
      <c r="DH232" s="959"/>
      <c r="ER232" s="905">
        <v>2535</v>
      </c>
      <c r="ES232" s="906" t="s">
        <v>2300</v>
      </c>
      <c r="ET232" s="2686">
        <v>6</v>
      </c>
      <c r="EV232" s="985"/>
      <c r="EW232" s="985"/>
      <c r="EX232" s="387"/>
      <c r="EY232" s="939"/>
      <c r="EZ232" s="886"/>
    </row>
    <row r="233" spans="31:156" hidden="1">
      <c r="CJ233" s="197"/>
      <c r="CK233" s="197"/>
      <c r="CL233" s="197"/>
      <c r="CM233" s="213"/>
      <c r="CN233" s="213"/>
      <c r="CO233" s="197"/>
      <c r="CP233" s="197"/>
      <c r="CQ233" s="197"/>
      <c r="CR233" s="197"/>
      <c r="CS233" s="197"/>
      <c r="CT233" s="197"/>
      <c r="CU233" s="197"/>
      <c r="CV233" s="197"/>
      <c r="CW233" s="197"/>
      <c r="CX233" s="959"/>
      <c r="CY233" s="959"/>
      <c r="CZ233" s="959"/>
      <c r="DA233" s="959"/>
      <c r="DB233" s="959"/>
      <c r="DC233" s="891">
        <v>2022</v>
      </c>
      <c r="DD233" s="891" t="s">
        <v>2829</v>
      </c>
      <c r="DE233" s="891" t="s">
        <v>428</v>
      </c>
      <c r="DF233" s="891">
        <v>3</v>
      </c>
      <c r="DG233" s="959"/>
      <c r="DH233" s="959"/>
      <c r="ER233" s="905">
        <v>2536</v>
      </c>
      <c r="ES233" s="906" t="s">
        <v>4074</v>
      </c>
      <c r="ET233" s="2686">
        <v>6</v>
      </c>
      <c r="EV233" s="985"/>
      <c r="EW233" s="985"/>
      <c r="EX233" s="387"/>
      <c r="EY233" s="939"/>
      <c r="EZ233" s="886"/>
    </row>
    <row r="234" spans="31:156" hidden="1">
      <c r="CJ234" s="197"/>
      <c r="CK234" s="197"/>
      <c r="CL234" s="197"/>
      <c r="CM234" s="213"/>
      <c r="CN234" s="213"/>
      <c r="CO234" s="197"/>
      <c r="CP234" s="197"/>
      <c r="CQ234" s="197"/>
      <c r="CR234" s="197"/>
      <c r="CS234" s="197"/>
      <c r="CT234" s="197"/>
      <c r="CU234" s="197"/>
      <c r="CV234" s="197"/>
      <c r="CW234" s="197"/>
      <c r="CX234" s="959"/>
      <c r="CY234" s="959"/>
      <c r="CZ234" s="959"/>
      <c r="DA234" s="959"/>
      <c r="DB234" s="959"/>
      <c r="DC234" s="891">
        <v>2023</v>
      </c>
      <c r="DD234" s="891" t="s">
        <v>2830</v>
      </c>
      <c r="DE234" s="891" t="s">
        <v>432</v>
      </c>
      <c r="DF234" s="891">
        <v>3</v>
      </c>
      <c r="DG234" s="959"/>
      <c r="DH234" s="959"/>
      <c r="ER234" s="905">
        <v>2537</v>
      </c>
      <c r="ES234" s="930" t="s">
        <v>33</v>
      </c>
      <c r="ET234" s="2686">
        <v>6</v>
      </c>
      <c r="EV234" s="985"/>
      <c r="EW234" s="985"/>
      <c r="EX234" s="387"/>
      <c r="EY234" s="939"/>
      <c r="EZ234" s="886"/>
    </row>
    <row r="235" spans="31:156" hidden="1">
      <c r="CJ235" s="197"/>
      <c r="CK235" s="197"/>
      <c r="CL235" s="197"/>
      <c r="CM235" s="213"/>
      <c r="CN235" s="213"/>
      <c r="CO235" s="197"/>
      <c r="CP235" s="197"/>
      <c r="CQ235" s="197"/>
      <c r="CR235" s="197"/>
      <c r="CS235" s="197"/>
      <c r="CT235" s="197"/>
      <c r="CU235" s="197"/>
      <c r="CV235" s="197"/>
      <c r="CW235" s="197"/>
      <c r="CX235" s="959"/>
      <c r="CY235" s="959"/>
      <c r="CZ235" s="959"/>
      <c r="DA235" s="959"/>
      <c r="DB235" s="959"/>
      <c r="DC235" s="891">
        <v>2024</v>
      </c>
      <c r="DD235" s="891" t="s">
        <v>2831</v>
      </c>
      <c r="DE235" s="891" t="s">
        <v>412</v>
      </c>
      <c r="DF235" s="891">
        <v>5</v>
      </c>
      <c r="DG235" s="959"/>
      <c r="DH235" s="959"/>
      <c r="ER235" s="905">
        <v>2541</v>
      </c>
      <c r="ES235" s="906" t="s">
        <v>34</v>
      </c>
      <c r="ET235" s="2686">
        <v>6</v>
      </c>
      <c r="EV235" s="985"/>
      <c r="EW235" s="985"/>
      <c r="EX235" s="387"/>
      <c r="EY235" s="939"/>
      <c r="EZ235" s="886"/>
    </row>
    <row r="236" spans="31:156" hidden="1">
      <c r="CJ236" s="197"/>
      <c r="CK236" s="197"/>
      <c r="CL236" s="197"/>
      <c r="CM236" s="213"/>
      <c r="CN236" s="213"/>
      <c r="CO236" s="197"/>
      <c r="CP236" s="197"/>
      <c r="CQ236" s="197"/>
      <c r="CR236" s="197"/>
      <c r="CS236" s="197"/>
      <c r="CT236" s="197"/>
      <c r="CU236" s="197"/>
      <c r="CV236" s="197"/>
      <c r="CW236" s="197"/>
      <c r="CX236" s="959"/>
      <c r="CY236" s="959"/>
      <c r="CZ236" s="959"/>
      <c r="DA236" s="959"/>
      <c r="DB236" s="959"/>
      <c r="DC236" s="891">
        <v>2025</v>
      </c>
      <c r="DD236" s="891" t="s">
        <v>2832</v>
      </c>
      <c r="DE236" s="891" t="s">
        <v>2808</v>
      </c>
      <c r="DF236" s="891">
        <v>3</v>
      </c>
      <c r="DG236" s="959"/>
      <c r="DH236" s="959"/>
      <c r="ER236" s="905">
        <v>2543</v>
      </c>
      <c r="ES236" s="906" t="s">
        <v>2304</v>
      </c>
      <c r="ET236" s="2686">
        <v>6</v>
      </c>
      <c r="EV236" s="985"/>
      <c r="EW236" s="985"/>
      <c r="EX236" s="387"/>
      <c r="EY236" s="939"/>
      <c r="EZ236" s="886"/>
    </row>
    <row r="237" spans="31:156" hidden="1">
      <c r="CJ237" s="197"/>
      <c r="CK237" s="197"/>
      <c r="CL237" s="197"/>
      <c r="CM237" s="213"/>
      <c r="CN237" s="213"/>
      <c r="CO237" s="197"/>
      <c r="CP237" s="197"/>
      <c r="CQ237" s="197"/>
      <c r="CR237" s="197"/>
      <c r="CS237" s="197"/>
      <c r="CT237" s="197"/>
      <c r="CU237" s="197"/>
      <c r="CV237" s="197"/>
      <c r="CW237" s="197"/>
      <c r="CX237" s="959"/>
      <c r="CY237" s="959"/>
      <c r="CZ237" s="959"/>
      <c r="DA237" s="959"/>
      <c r="DB237" s="959"/>
      <c r="DC237" s="891">
        <v>2026</v>
      </c>
      <c r="DD237" s="891" t="s">
        <v>2832</v>
      </c>
      <c r="DE237" s="891" t="s">
        <v>2808</v>
      </c>
      <c r="DF237" s="891">
        <v>3</v>
      </c>
      <c r="DG237" s="959"/>
      <c r="DH237" s="959"/>
      <c r="ER237" s="905">
        <v>2544</v>
      </c>
      <c r="ES237" s="906" t="s">
        <v>2305</v>
      </c>
      <c r="ET237" s="2686">
        <v>6</v>
      </c>
      <c r="EV237" s="985"/>
      <c r="EW237" s="985"/>
      <c r="EX237" s="387"/>
      <c r="EY237" s="939"/>
      <c r="EZ237" s="886"/>
    </row>
    <row r="238" spans="31:156" hidden="1">
      <c r="CJ238" s="197"/>
      <c r="CK238" s="197"/>
      <c r="CL238" s="197"/>
      <c r="CM238" s="213"/>
      <c r="CN238" s="213"/>
      <c r="CO238" s="197"/>
      <c r="CP238" s="197"/>
      <c r="CQ238" s="197"/>
      <c r="CR238" s="197"/>
      <c r="CS238" s="197"/>
      <c r="CT238" s="197"/>
      <c r="CU238" s="197"/>
      <c r="CV238" s="197"/>
      <c r="CW238" s="197"/>
      <c r="CX238" s="959"/>
      <c r="CY238" s="959"/>
      <c r="CZ238" s="959"/>
      <c r="DA238" s="959"/>
      <c r="DB238" s="959"/>
      <c r="DC238" s="891">
        <v>2027</v>
      </c>
      <c r="DD238" s="891" t="s">
        <v>2833</v>
      </c>
      <c r="DE238" s="891" t="s">
        <v>2808</v>
      </c>
      <c r="DF238" s="891">
        <v>3</v>
      </c>
      <c r="DG238" s="959"/>
      <c r="DH238" s="959"/>
      <c r="ER238" s="905">
        <v>2545</v>
      </c>
      <c r="ES238" s="906" t="s">
        <v>2306</v>
      </c>
      <c r="ET238" s="2686">
        <v>6</v>
      </c>
      <c r="EV238" s="985"/>
      <c r="EW238" s="985"/>
      <c r="EX238" s="387"/>
      <c r="EY238" s="939"/>
      <c r="EZ238" s="886"/>
    </row>
    <row r="239" spans="31:156" hidden="1">
      <c r="CJ239" s="197"/>
      <c r="CK239" s="197"/>
      <c r="CL239" s="197"/>
      <c r="CM239" s="213"/>
      <c r="CN239" s="213"/>
      <c r="CO239" s="197"/>
      <c r="CP239" s="197"/>
      <c r="CQ239" s="197"/>
      <c r="CR239" s="197"/>
      <c r="CS239" s="197"/>
      <c r="CT239" s="197"/>
      <c r="CU239" s="197"/>
      <c r="CV239" s="197"/>
      <c r="CW239" s="197"/>
      <c r="CX239" s="959"/>
      <c r="CY239" s="959"/>
      <c r="CZ239" s="959"/>
      <c r="DA239" s="959"/>
      <c r="DB239" s="959"/>
      <c r="DC239" s="891">
        <v>2028</v>
      </c>
      <c r="DD239" s="891" t="s">
        <v>2834</v>
      </c>
      <c r="DE239" s="891" t="s">
        <v>431</v>
      </c>
      <c r="DF239" s="891">
        <v>3</v>
      </c>
      <c r="DG239" s="959"/>
      <c r="DH239" s="959"/>
      <c r="ER239" s="905">
        <v>2600</v>
      </c>
      <c r="ES239" s="906" t="s">
        <v>2307</v>
      </c>
      <c r="ET239" s="2686">
        <v>6</v>
      </c>
      <c r="EV239" s="985"/>
      <c r="EW239" s="985"/>
      <c r="EX239" s="387"/>
      <c r="EY239" s="939"/>
      <c r="EZ239" s="886"/>
    </row>
    <row r="240" spans="31:156" hidden="1">
      <c r="CJ240" s="197"/>
      <c r="CK240" s="197"/>
      <c r="CL240" s="197"/>
      <c r="CM240" s="213"/>
      <c r="CN240" s="213"/>
      <c r="CO240" s="197"/>
      <c r="CP240" s="197"/>
      <c r="CQ240" s="197"/>
      <c r="CR240" s="197"/>
      <c r="CS240" s="197"/>
      <c r="CT240" s="197"/>
      <c r="CU240" s="197"/>
      <c r="CV240" s="197"/>
      <c r="CW240" s="197"/>
      <c r="CX240" s="959"/>
      <c r="CY240" s="959"/>
      <c r="CZ240" s="959"/>
      <c r="DA240" s="959"/>
      <c r="DB240" s="959"/>
      <c r="DC240" s="891">
        <v>2030</v>
      </c>
      <c r="DD240" s="891" t="s">
        <v>2835</v>
      </c>
      <c r="DE240" s="891" t="s">
        <v>410</v>
      </c>
      <c r="DF240" s="891">
        <v>2</v>
      </c>
      <c r="DG240" s="959"/>
      <c r="DH240" s="959"/>
      <c r="ER240" s="905">
        <v>2610</v>
      </c>
      <c r="ES240" s="906" t="s">
        <v>2308</v>
      </c>
      <c r="ET240" s="2686">
        <v>9</v>
      </c>
      <c r="EV240" s="985"/>
      <c r="EW240" s="985"/>
      <c r="EX240" s="387"/>
      <c r="EY240" s="939"/>
      <c r="EZ240" s="886"/>
    </row>
    <row r="241" spans="31:156" hidden="1">
      <c r="CJ241" s="197"/>
      <c r="CK241" s="197"/>
      <c r="CL241" s="197"/>
      <c r="CM241" s="213"/>
      <c r="CN241" s="213"/>
      <c r="CO241" s="197"/>
      <c r="CP241" s="197"/>
      <c r="CQ241" s="197"/>
      <c r="CR241" s="197"/>
      <c r="CS241" s="197"/>
      <c r="CT241" s="197"/>
      <c r="CU241" s="197"/>
      <c r="CV241" s="197"/>
      <c r="CW241" s="197"/>
      <c r="CX241" s="959"/>
      <c r="CY241" s="959"/>
      <c r="CZ241" s="959"/>
      <c r="DA241" s="959"/>
      <c r="DB241" s="959"/>
      <c r="DC241" s="891">
        <v>2035</v>
      </c>
      <c r="DD241" s="891" t="s">
        <v>2836</v>
      </c>
      <c r="DE241" s="891" t="s">
        <v>419</v>
      </c>
      <c r="DF241" s="891">
        <v>2</v>
      </c>
      <c r="DG241" s="959"/>
      <c r="DH241" s="959"/>
      <c r="ER241" s="905">
        <v>2610</v>
      </c>
      <c r="ES241" s="906" t="s">
        <v>35</v>
      </c>
      <c r="ET241" s="2686">
        <v>9</v>
      </c>
      <c r="EV241" s="985"/>
      <c r="EW241" s="985"/>
      <c r="EX241" s="387"/>
      <c r="EY241" s="939"/>
      <c r="EZ241" s="886"/>
    </row>
    <row r="242" spans="31:156" hidden="1">
      <c r="CJ242" s="197"/>
      <c r="CK242" s="197"/>
      <c r="CL242" s="197"/>
      <c r="CM242" s="213"/>
      <c r="CN242" s="213"/>
      <c r="CO242" s="197"/>
      <c r="CP242" s="197"/>
      <c r="CQ242" s="197"/>
      <c r="CR242" s="197"/>
      <c r="CS242" s="197"/>
      <c r="CT242" s="197"/>
      <c r="CU242" s="197"/>
      <c r="CV242" s="197"/>
      <c r="CW242" s="197"/>
      <c r="CX242" s="959"/>
      <c r="CY242" s="959"/>
      <c r="CZ242" s="959"/>
      <c r="DA242" s="959"/>
      <c r="DB242" s="959"/>
      <c r="DC242" s="891">
        <v>2036</v>
      </c>
      <c r="DD242" s="891" t="s">
        <v>2837</v>
      </c>
      <c r="DE242" s="891" t="s">
        <v>419</v>
      </c>
      <c r="DF242" s="891">
        <v>3</v>
      </c>
      <c r="DG242" s="959"/>
      <c r="DH242" s="959"/>
      <c r="ER242" s="905">
        <v>2611</v>
      </c>
      <c r="ES242" s="906" t="s">
        <v>2309</v>
      </c>
      <c r="ET242" s="2686">
        <v>9</v>
      </c>
      <c r="EV242" s="985"/>
      <c r="EW242" s="985"/>
      <c r="EX242" s="387"/>
      <c r="EY242" s="939"/>
      <c r="EZ242" s="886"/>
    </row>
    <row r="243" spans="31:156" hidden="1">
      <c r="CJ243" s="197"/>
      <c r="CK243" s="197"/>
      <c r="CL243" s="197"/>
      <c r="CM243" s="213"/>
      <c r="CN243" s="213"/>
      <c r="CO243" s="197"/>
      <c r="CP243" s="197"/>
      <c r="CQ243" s="197"/>
      <c r="CR243" s="197"/>
      <c r="CS243" s="197"/>
      <c r="CT243" s="197"/>
      <c r="CU243" s="197"/>
      <c r="CV243" s="197"/>
      <c r="CW243" s="197"/>
      <c r="CX243" s="959"/>
      <c r="CY243" s="959"/>
      <c r="CZ243" s="959"/>
      <c r="DA243" s="959"/>
      <c r="DB243" s="959"/>
      <c r="DC243" s="891">
        <v>2038</v>
      </c>
      <c r="DD243" s="891" t="s">
        <v>2838</v>
      </c>
      <c r="DE243" s="891" t="s">
        <v>419</v>
      </c>
      <c r="DF243" s="891">
        <v>2</v>
      </c>
      <c r="DG243" s="959"/>
      <c r="DH243" s="959"/>
      <c r="ER243" s="905">
        <v>2612</v>
      </c>
      <c r="ES243" s="906" t="s">
        <v>2310</v>
      </c>
      <c r="ET243" s="2686">
        <v>6</v>
      </c>
      <c r="EV243" s="985"/>
      <c r="EW243" s="985"/>
      <c r="EX243" s="387"/>
      <c r="EY243" s="939"/>
      <c r="EZ243" s="886"/>
    </row>
    <row r="244" spans="31:156" hidden="1">
      <c r="CJ244" s="197"/>
      <c r="CK244" s="197"/>
      <c r="CL244" s="197"/>
      <c r="CM244" s="213"/>
      <c r="CN244" s="213"/>
      <c r="CO244" s="197"/>
      <c r="CP244" s="197"/>
      <c r="CQ244" s="197"/>
      <c r="CR244" s="197"/>
      <c r="CS244" s="197"/>
      <c r="CT244" s="197"/>
      <c r="CU244" s="197"/>
      <c r="CV244" s="197"/>
      <c r="CW244" s="197"/>
      <c r="CX244" s="959"/>
      <c r="CY244" s="959"/>
      <c r="CZ244" s="959"/>
      <c r="DA244" s="959"/>
      <c r="DB244" s="959"/>
      <c r="DC244" s="891">
        <v>2039</v>
      </c>
      <c r="DD244" s="891" t="s">
        <v>2839</v>
      </c>
      <c r="DE244" s="891" t="s">
        <v>419</v>
      </c>
      <c r="DF244" s="891">
        <v>3</v>
      </c>
      <c r="DG244" s="959"/>
      <c r="DH244" s="959"/>
      <c r="ER244" s="905">
        <v>2613</v>
      </c>
      <c r="ES244" s="906" t="s">
        <v>2311</v>
      </c>
      <c r="ET244" s="2686">
        <v>6</v>
      </c>
      <c r="EV244" s="985"/>
      <c r="EW244" s="985"/>
      <c r="EX244" s="387"/>
      <c r="EY244" s="939"/>
      <c r="EZ244" s="886"/>
    </row>
    <row r="245" spans="31:156" hidden="1">
      <c r="CJ245" s="197"/>
      <c r="CK245" s="197"/>
      <c r="CL245" s="197"/>
      <c r="CM245" s="213"/>
      <c r="CN245" s="213"/>
      <c r="CO245" s="197"/>
      <c r="CP245" s="197"/>
      <c r="CQ245" s="197"/>
      <c r="CR245" s="197"/>
      <c r="CS245" s="197"/>
      <c r="CT245" s="197"/>
      <c r="CU245" s="197"/>
      <c r="CV245" s="197"/>
      <c r="CW245" s="197"/>
      <c r="CX245" s="959"/>
      <c r="CY245" s="959"/>
      <c r="CZ245" s="959"/>
      <c r="DA245" s="959"/>
      <c r="DB245" s="959"/>
      <c r="DC245" s="891">
        <v>2040</v>
      </c>
      <c r="DD245" s="891" t="s">
        <v>2840</v>
      </c>
      <c r="DE245" s="891" t="s">
        <v>419</v>
      </c>
      <c r="DF245" s="891">
        <v>2</v>
      </c>
      <c r="DG245" s="959"/>
      <c r="DH245" s="959"/>
      <c r="ER245" s="905">
        <v>2614</v>
      </c>
      <c r="ES245" s="906" t="s">
        <v>2312</v>
      </c>
      <c r="ET245" s="2686">
        <v>6</v>
      </c>
      <c r="EV245" s="985"/>
      <c r="EW245" s="985"/>
      <c r="EX245" s="387"/>
      <c r="EY245" s="939"/>
      <c r="EZ245" s="886"/>
    </row>
    <row r="246" spans="31:156" hidden="1">
      <c r="CJ246" s="197"/>
      <c r="CK246" s="197"/>
      <c r="CL246" s="197"/>
      <c r="CM246" s="213"/>
      <c r="CN246" s="213"/>
      <c r="CO246" s="197"/>
      <c r="CP246" s="197"/>
      <c r="CQ246" s="197"/>
      <c r="CR246" s="197"/>
      <c r="CS246" s="197"/>
      <c r="CT246" s="197"/>
      <c r="CU246" s="197"/>
      <c r="CV246" s="197"/>
      <c r="CW246" s="197"/>
      <c r="CX246" s="959"/>
      <c r="CY246" s="959"/>
      <c r="CZ246" s="959"/>
      <c r="DA246" s="959"/>
      <c r="DB246" s="959"/>
      <c r="DC246" s="891">
        <v>2042</v>
      </c>
      <c r="DD246" s="891" t="s">
        <v>2840</v>
      </c>
      <c r="DE246" s="891" t="s">
        <v>423</v>
      </c>
      <c r="DF246" s="891">
        <v>2</v>
      </c>
      <c r="DG246" s="959"/>
      <c r="DH246" s="959"/>
      <c r="ER246" s="905">
        <v>2615</v>
      </c>
      <c r="ES246" s="906" t="s">
        <v>2313</v>
      </c>
      <c r="ET246" s="2686">
        <v>6</v>
      </c>
      <c r="EV246" s="985"/>
      <c r="EW246" s="985"/>
      <c r="EX246" s="387"/>
      <c r="EY246" s="939"/>
      <c r="EZ246" s="886"/>
    </row>
    <row r="247" spans="31:156" hidden="1">
      <c r="CJ247" s="197"/>
      <c r="CK247" s="197"/>
      <c r="CL247" s="197"/>
      <c r="CM247" s="213"/>
      <c r="CN247" s="213"/>
      <c r="CO247" s="197"/>
      <c r="CP247" s="197"/>
      <c r="CQ247" s="197"/>
      <c r="CR247" s="197"/>
      <c r="CS247" s="197"/>
      <c r="CT247" s="197"/>
      <c r="CU247" s="197"/>
      <c r="CV247" s="197"/>
      <c r="CW247" s="197"/>
      <c r="CX247" s="959"/>
      <c r="CY247" s="959"/>
      <c r="CZ247" s="959"/>
      <c r="DA247" s="959"/>
      <c r="DB247" s="959"/>
      <c r="DC247" s="891">
        <v>2045</v>
      </c>
      <c r="DD247" s="891" t="s">
        <v>2841</v>
      </c>
      <c r="DE247" s="891" t="s">
        <v>423</v>
      </c>
      <c r="DF247" s="891">
        <v>2</v>
      </c>
      <c r="DG247" s="959"/>
      <c r="DH247" s="959"/>
      <c r="ER247" s="905">
        <v>2616</v>
      </c>
      <c r="ES247" s="906" t="s">
        <v>36</v>
      </c>
      <c r="ET247" s="2686">
        <v>9</v>
      </c>
      <c r="EV247" s="985"/>
      <c r="EW247" s="985"/>
      <c r="EX247" s="387"/>
      <c r="EY247" s="939"/>
      <c r="EZ247" s="886"/>
    </row>
    <row r="248" spans="31:156" hidden="1">
      <c r="AE248" s="8"/>
      <c r="AF248" s="8"/>
      <c r="AG248" s="8"/>
      <c r="AH248" s="8"/>
      <c r="AI248" s="8"/>
      <c r="AJ248" s="8"/>
      <c r="AK248" s="8"/>
      <c r="AL248" s="8"/>
      <c r="AM248" s="8"/>
      <c r="AN248" s="8"/>
      <c r="AO248" s="8"/>
      <c r="CJ248" s="197"/>
      <c r="CK248" s="197"/>
      <c r="CL248" s="197"/>
      <c r="CM248" s="213"/>
      <c r="CN248" s="213"/>
      <c r="CO248" s="197"/>
      <c r="CP248" s="197"/>
      <c r="CQ248" s="197"/>
      <c r="CR248" s="197"/>
      <c r="CS248" s="197"/>
      <c r="CT248" s="197"/>
      <c r="CU248" s="197"/>
      <c r="CV248" s="197"/>
      <c r="CW248" s="197"/>
      <c r="CX248" s="959"/>
      <c r="CY248" s="959"/>
      <c r="CZ248" s="959"/>
      <c r="DA248" s="959"/>
      <c r="DB248" s="959"/>
      <c r="DC248" s="891">
        <v>2049</v>
      </c>
      <c r="DD248" s="891" t="s">
        <v>2842</v>
      </c>
      <c r="DE248" s="891" t="s">
        <v>423</v>
      </c>
      <c r="DF248" s="891">
        <v>2</v>
      </c>
      <c r="DG248" s="959"/>
      <c r="DH248" s="959"/>
      <c r="ER248" s="905">
        <v>2617</v>
      </c>
      <c r="ES248" s="906" t="s">
        <v>2315</v>
      </c>
      <c r="ET248" s="2686">
        <v>9</v>
      </c>
      <c r="EV248" s="985"/>
      <c r="EW248" s="985"/>
      <c r="EX248" s="387"/>
      <c r="EY248" s="939"/>
      <c r="EZ248" s="886"/>
    </row>
    <row r="249" spans="31:156" hidden="1">
      <c r="AE249" s="8"/>
      <c r="AF249" s="8"/>
      <c r="AG249" s="8"/>
      <c r="AH249" s="8"/>
      <c r="AI249" s="8"/>
      <c r="AJ249" s="8"/>
      <c r="AK249" s="8"/>
      <c r="AL249" s="8"/>
      <c r="AM249" s="8"/>
      <c r="AN249" s="8"/>
      <c r="AO249" s="8"/>
      <c r="CJ249" s="197"/>
      <c r="CK249" s="197"/>
      <c r="CL249" s="197"/>
      <c r="CM249" s="213"/>
      <c r="CN249" s="213"/>
      <c r="CO249" s="197"/>
      <c r="CP249" s="197"/>
      <c r="CQ249" s="197"/>
      <c r="CR249" s="197"/>
      <c r="CS249" s="197"/>
      <c r="CT249" s="197"/>
      <c r="CU249" s="197"/>
      <c r="CV249" s="197"/>
      <c r="CW249" s="197"/>
      <c r="CX249" s="959"/>
      <c r="CY249" s="959"/>
      <c r="CZ249" s="959"/>
      <c r="DA249" s="959"/>
      <c r="DB249" s="959"/>
      <c r="DC249" s="891">
        <v>2051</v>
      </c>
      <c r="DD249" s="891" t="s">
        <v>2843</v>
      </c>
      <c r="DE249" s="891" t="s">
        <v>423</v>
      </c>
      <c r="DF249" s="891">
        <v>3</v>
      </c>
      <c r="DG249" s="959"/>
      <c r="DH249" s="959"/>
      <c r="ER249" s="905">
        <v>2618</v>
      </c>
      <c r="ES249" s="906" t="s">
        <v>2316</v>
      </c>
      <c r="ET249" s="2686">
        <v>9</v>
      </c>
      <c r="EV249" s="985"/>
      <c r="EW249" s="985"/>
      <c r="EX249" s="387"/>
      <c r="EY249" s="939"/>
      <c r="EZ249" s="886"/>
    </row>
    <row r="250" spans="31:156" ht="38.25" hidden="1">
      <c r="AE250" s="16" t="s">
        <v>4880</v>
      </c>
      <c r="AF250" s="16" t="s">
        <v>4883</v>
      </c>
      <c r="AG250" s="16" t="s">
        <v>4882</v>
      </c>
      <c r="AH250" s="16" t="s">
        <v>4879</v>
      </c>
      <c r="AI250" s="62"/>
      <c r="AJ250" s="62"/>
      <c r="AK250" s="17" t="s">
        <v>1167</v>
      </c>
      <c r="AL250" s="17"/>
      <c r="AM250" s="17" t="s">
        <v>1168</v>
      </c>
      <c r="AN250" s="17" t="s">
        <v>1165</v>
      </c>
      <c r="AO250" s="17" t="s">
        <v>1166</v>
      </c>
      <c r="CJ250" s="197"/>
      <c r="CK250" s="197"/>
      <c r="CL250" s="197"/>
      <c r="CM250" s="213"/>
      <c r="CN250" s="213"/>
      <c r="CO250" s="197"/>
      <c r="CP250" s="197"/>
      <c r="CQ250" s="197"/>
      <c r="CR250" s="197"/>
      <c r="CS250" s="197"/>
      <c r="CT250" s="197"/>
      <c r="CU250" s="197"/>
      <c r="CV250" s="197"/>
      <c r="CW250" s="197"/>
      <c r="CX250" s="959"/>
      <c r="CY250" s="959"/>
      <c r="CZ250" s="959"/>
      <c r="DA250" s="959"/>
      <c r="DB250" s="959"/>
      <c r="DC250" s="891">
        <v>2053</v>
      </c>
      <c r="DD250" s="891" t="s">
        <v>538</v>
      </c>
      <c r="DE250" s="891" t="s">
        <v>423</v>
      </c>
      <c r="DF250" s="891">
        <v>3</v>
      </c>
      <c r="DG250" s="959"/>
      <c r="DH250" s="959"/>
      <c r="ER250" s="905">
        <v>2619</v>
      </c>
      <c r="ES250" s="906" t="s">
        <v>2317</v>
      </c>
      <c r="ET250" s="2686">
        <v>9</v>
      </c>
      <c r="EV250" s="985"/>
      <c r="EW250" s="985"/>
      <c r="EX250" s="387"/>
      <c r="EY250" s="939"/>
      <c r="EZ250" s="886"/>
    </row>
    <row r="251" spans="31:156" hidden="1">
      <c r="AE251" s="23">
        <f>AG251*$AH$251*$AF$251</f>
        <v>47687.94</v>
      </c>
      <c r="AF251" s="23">
        <v>0.9</v>
      </c>
      <c r="AG251" s="24">
        <v>58874</v>
      </c>
      <c r="AH251" s="24">
        <v>0.9</v>
      </c>
      <c r="AI251" s="44"/>
      <c r="AJ251" s="44"/>
      <c r="AK251" s="8"/>
      <c r="AL251" s="8"/>
      <c r="AM251" s="8"/>
      <c r="AN251" s="8">
        <v>1.8</v>
      </c>
      <c r="AO251" s="38">
        <v>1.1000000000000001</v>
      </c>
      <c r="CJ251" s="197"/>
      <c r="CK251" s="197"/>
      <c r="CL251" s="197"/>
      <c r="CM251" s="213"/>
      <c r="CN251" s="213"/>
      <c r="CO251" s="197"/>
      <c r="CP251" s="197"/>
      <c r="CQ251" s="197"/>
      <c r="CR251" s="197"/>
      <c r="CS251" s="197"/>
      <c r="CT251" s="197"/>
      <c r="CU251" s="197"/>
      <c r="CV251" s="197"/>
      <c r="CW251" s="197"/>
      <c r="CX251" s="959"/>
      <c r="CY251" s="959"/>
      <c r="CZ251" s="959"/>
      <c r="DA251" s="959"/>
      <c r="DB251" s="959"/>
      <c r="DC251" s="891">
        <v>2060</v>
      </c>
      <c r="DD251" s="891" t="s">
        <v>539</v>
      </c>
      <c r="DE251" s="891" t="s">
        <v>419</v>
      </c>
      <c r="DF251" s="891">
        <v>3</v>
      </c>
      <c r="DG251" s="959"/>
      <c r="DH251" s="959"/>
      <c r="ER251" s="905">
        <v>2621</v>
      </c>
      <c r="ES251" s="906" t="s">
        <v>37</v>
      </c>
      <c r="ET251" s="2686">
        <v>6</v>
      </c>
      <c r="EV251" s="985"/>
      <c r="EW251" s="985"/>
      <c r="EX251" s="387"/>
      <c r="EY251" s="939"/>
      <c r="EZ251" s="886"/>
    </row>
    <row r="252" spans="31:156" hidden="1">
      <c r="AE252" s="23">
        <f>AG252*$AH$251*$AF$251</f>
        <v>47687.94</v>
      </c>
      <c r="AF252" s="28"/>
      <c r="AG252" s="24">
        <v>58874</v>
      </c>
      <c r="AH252" s="26"/>
      <c r="AI252" s="45"/>
      <c r="AJ252" s="45"/>
      <c r="AK252" s="8"/>
      <c r="AL252" s="8"/>
      <c r="AM252" s="8"/>
      <c r="AN252" s="8"/>
      <c r="AO252" s="8"/>
      <c r="CJ252" s="197"/>
      <c r="CK252" s="197"/>
      <c r="CL252" s="197"/>
      <c r="CM252" s="213"/>
      <c r="CN252" s="213"/>
      <c r="CO252" s="197"/>
      <c r="CP252" s="197"/>
      <c r="CQ252" s="197"/>
      <c r="CR252" s="197"/>
      <c r="CS252" s="197"/>
      <c r="CT252" s="197"/>
      <c r="CU252" s="197"/>
      <c r="CV252" s="197"/>
      <c r="CW252" s="197"/>
      <c r="CX252" s="959"/>
      <c r="CY252" s="959"/>
      <c r="CZ252" s="959"/>
      <c r="DA252" s="959"/>
      <c r="DB252" s="959"/>
      <c r="DC252" s="891">
        <v>2063</v>
      </c>
      <c r="DD252" s="891" t="s">
        <v>540</v>
      </c>
      <c r="DE252" s="891" t="s">
        <v>419</v>
      </c>
      <c r="DF252" s="891">
        <v>3</v>
      </c>
      <c r="DG252" s="959"/>
      <c r="DH252" s="959"/>
      <c r="ER252" s="905">
        <v>2623</v>
      </c>
      <c r="ES252" s="906" t="s">
        <v>2319</v>
      </c>
      <c r="ET252" s="2686">
        <v>6</v>
      </c>
      <c r="EV252" s="985"/>
      <c r="EW252" s="985"/>
      <c r="EX252" s="387"/>
      <c r="EY252" s="939"/>
      <c r="EZ252" s="886"/>
    </row>
    <row r="253" spans="31:156" hidden="1">
      <c r="AE253" s="23">
        <f>AG253*$AH$251*$AF$251</f>
        <v>57528.630000000005</v>
      </c>
      <c r="AF253" s="28"/>
      <c r="AG253" s="24">
        <v>71023</v>
      </c>
      <c r="AH253" s="26"/>
      <c r="AI253" s="45"/>
      <c r="AJ253" s="45"/>
      <c r="AK253" s="8"/>
      <c r="AL253" s="8"/>
      <c r="AM253" s="8"/>
      <c r="AN253" s="8"/>
      <c r="AO253" s="8"/>
      <c r="CJ253" s="197"/>
      <c r="CK253" s="197"/>
      <c r="CL253" s="197"/>
      <c r="CM253" s="213"/>
      <c r="CN253" s="213"/>
      <c r="CO253" s="197"/>
      <c r="CP253" s="197"/>
      <c r="CQ253" s="197"/>
      <c r="CR253" s="197"/>
      <c r="CS253" s="197"/>
      <c r="CT253" s="197"/>
      <c r="CU253" s="197"/>
      <c r="CV253" s="197"/>
      <c r="CW253" s="197"/>
      <c r="CX253" s="959"/>
      <c r="CY253" s="959"/>
      <c r="CZ253" s="959"/>
      <c r="DA253" s="959"/>
      <c r="DB253" s="959"/>
      <c r="DC253" s="891">
        <v>2064</v>
      </c>
      <c r="DD253" s="891" t="s">
        <v>541</v>
      </c>
      <c r="DE253" s="891" t="s">
        <v>423</v>
      </c>
      <c r="DF253" s="891">
        <v>3</v>
      </c>
      <c r="DG253" s="959"/>
      <c r="DH253" s="959"/>
      <c r="ER253" s="905">
        <v>2624</v>
      </c>
      <c r="ES253" s="906" t="s">
        <v>2320</v>
      </c>
      <c r="ET253" s="2686">
        <v>6</v>
      </c>
      <c r="EV253" s="985"/>
      <c r="EW253" s="985"/>
      <c r="EX253" s="387"/>
      <c r="EY253" s="939"/>
      <c r="EZ253" s="886"/>
    </row>
    <row r="254" spans="31:156" hidden="1">
      <c r="AE254" s="23"/>
      <c r="AF254" s="28"/>
      <c r="AG254" s="24"/>
      <c r="AH254" s="26"/>
      <c r="AI254" s="45"/>
      <c r="AJ254" s="45"/>
      <c r="AK254" s="8"/>
      <c r="AL254" s="8"/>
      <c r="AM254" s="8"/>
      <c r="AN254" s="8"/>
      <c r="AO254" s="8"/>
      <c r="CJ254" s="197"/>
      <c r="CK254" s="197"/>
      <c r="CL254" s="197"/>
      <c r="CM254" s="213"/>
      <c r="CN254" s="213"/>
      <c r="CO254" s="197"/>
      <c r="CP254" s="197"/>
      <c r="CQ254" s="197"/>
      <c r="CR254" s="197"/>
      <c r="CS254" s="197"/>
      <c r="CT254" s="197"/>
      <c r="CU254" s="197"/>
      <c r="CV254" s="197"/>
      <c r="CW254" s="197"/>
      <c r="CX254" s="959"/>
      <c r="CY254" s="959"/>
      <c r="CZ254" s="959"/>
      <c r="DA254" s="959"/>
      <c r="DB254" s="959"/>
      <c r="DC254" s="891">
        <v>2065</v>
      </c>
      <c r="DD254" s="891" t="s">
        <v>542</v>
      </c>
      <c r="DE254" s="891" t="s">
        <v>423</v>
      </c>
      <c r="DF254" s="891">
        <v>2</v>
      </c>
      <c r="DG254" s="959"/>
      <c r="DH254" s="959"/>
      <c r="ER254" s="905">
        <v>2625</v>
      </c>
      <c r="ES254" s="906" t="s">
        <v>2321</v>
      </c>
      <c r="ET254" s="2686">
        <v>6</v>
      </c>
      <c r="EV254" s="985"/>
      <c r="EW254" s="985"/>
      <c r="EX254" s="387"/>
      <c r="EY254" s="939"/>
      <c r="EZ254" s="886"/>
    </row>
    <row r="255" spans="31:156" hidden="1">
      <c r="AE255" s="23">
        <f>AG255*$AH$251*$AF$251</f>
        <v>83264.760000000009</v>
      </c>
      <c r="AF255" s="28"/>
      <c r="AG255" s="24">
        <v>102796</v>
      </c>
      <c r="AH255" s="26"/>
      <c r="AI255" s="45"/>
      <c r="AJ255" s="45"/>
      <c r="AK255" s="8"/>
      <c r="AL255" s="8"/>
      <c r="AM255" s="30"/>
      <c r="AN255" s="8"/>
      <c r="AO255" s="8"/>
      <c r="CJ255" s="197"/>
      <c r="CK255" s="197"/>
      <c r="CL255" s="197"/>
      <c r="CM255" s="213"/>
      <c r="CN255" s="213"/>
      <c r="CO255" s="197"/>
      <c r="CP255" s="197"/>
      <c r="CQ255" s="197"/>
      <c r="CR255" s="197"/>
      <c r="CS255" s="197"/>
      <c r="CT255" s="197"/>
      <c r="CU255" s="197"/>
      <c r="CV255" s="197"/>
      <c r="CW255" s="197"/>
      <c r="CX255" s="959"/>
      <c r="CY255" s="959"/>
      <c r="CZ255" s="959"/>
      <c r="DA255" s="959"/>
      <c r="DB255" s="959"/>
      <c r="DC255" s="891">
        <v>2066</v>
      </c>
      <c r="DD255" s="891" t="s">
        <v>543</v>
      </c>
      <c r="DE255" s="891" t="s">
        <v>419</v>
      </c>
      <c r="DF255" s="891">
        <v>5</v>
      </c>
      <c r="DG255" s="959"/>
      <c r="DH255" s="959"/>
      <c r="ER255" s="905">
        <v>2626</v>
      </c>
      <c r="ES255" s="906" t="s">
        <v>2322</v>
      </c>
      <c r="ET255" s="2686">
        <v>6</v>
      </c>
      <c r="EV255" s="985"/>
      <c r="EW255" s="985"/>
      <c r="EX255" s="387"/>
      <c r="EY255" s="939"/>
      <c r="EZ255" s="886"/>
    </row>
    <row r="256" spans="31:156" hidden="1">
      <c r="AE256" s="23"/>
      <c r="AF256" s="28"/>
      <c r="AG256" s="24"/>
      <c r="AH256" s="26"/>
      <c r="AI256" s="45"/>
      <c r="AJ256" s="45"/>
      <c r="AK256" s="8"/>
      <c r="AL256" s="8"/>
      <c r="AM256" s="30"/>
      <c r="AN256" s="8"/>
      <c r="AO256" s="8"/>
      <c r="CJ256" s="197"/>
      <c r="CK256" s="197"/>
      <c r="CL256" s="197"/>
      <c r="CM256" s="213"/>
      <c r="CN256" s="213"/>
      <c r="CO256" s="197"/>
      <c r="CP256" s="197"/>
      <c r="CQ256" s="197"/>
      <c r="CR256" s="197"/>
      <c r="CS256" s="197"/>
      <c r="CT256" s="197"/>
      <c r="CU256" s="197"/>
      <c r="CV256" s="197"/>
      <c r="CW256" s="197"/>
      <c r="CX256" s="959"/>
      <c r="CY256" s="959"/>
      <c r="CZ256" s="959"/>
      <c r="DA256" s="959"/>
      <c r="DB256" s="959"/>
      <c r="DC256" s="891">
        <v>2067</v>
      </c>
      <c r="DD256" s="891" t="s">
        <v>544</v>
      </c>
      <c r="DE256" s="891" t="s">
        <v>423</v>
      </c>
      <c r="DF256" s="891">
        <v>3</v>
      </c>
      <c r="DG256" s="959"/>
      <c r="DH256" s="959"/>
      <c r="ER256" s="905">
        <v>2627</v>
      </c>
      <c r="ES256" s="906" t="s">
        <v>2323</v>
      </c>
      <c r="ET256" s="2686">
        <v>6</v>
      </c>
      <c r="EV256" s="985"/>
      <c r="EW256" s="985"/>
      <c r="EX256" s="387"/>
      <c r="EY256" s="939"/>
      <c r="EZ256" s="886"/>
    </row>
    <row r="257" spans="31:156" hidden="1">
      <c r="AE257" s="23">
        <f>AG257*$AH$251*$AF$251</f>
        <v>103702.68</v>
      </c>
      <c r="AF257" s="28"/>
      <c r="AG257" s="24">
        <v>128028</v>
      </c>
      <c r="AH257" s="26"/>
      <c r="AI257" s="45"/>
      <c r="AJ257" s="45"/>
      <c r="AK257" s="8"/>
      <c r="AL257" s="8"/>
      <c r="AM257" s="8"/>
      <c r="AN257" s="8"/>
      <c r="AO257" s="8"/>
      <c r="CJ257" s="197"/>
      <c r="CK257" s="197"/>
      <c r="CL257" s="197"/>
      <c r="CM257" s="213"/>
      <c r="CN257" s="213"/>
      <c r="CO257" s="197"/>
      <c r="CP257" s="197"/>
      <c r="CQ257" s="197"/>
      <c r="CR257" s="197"/>
      <c r="CS257" s="197"/>
      <c r="CT257" s="197"/>
      <c r="CU257" s="197"/>
      <c r="CV257" s="197"/>
      <c r="CW257" s="197"/>
      <c r="CX257" s="959"/>
      <c r="CY257" s="959"/>
      <c r="CZ257" s="959"/>
      <c r="DA257" s="959"/>
      <c r="DB257" s="959"/>
      <c r="DC257" s="891">
        <v>2071</v>
      </c>
      <c r="DD257" s="891" t="s">
        <v>3981</v>
      </c>
      <c r="DE257" s="891" t="s">
        <v>419</v>
      </c>
      <c r="DF257" s="891">
        <v>1</v>
      </c>
      <c r="DG257" s="959"/>
      <c r="DH257" s="959"/>
      <c r="ER257" s="905">
        <v>2628</v>
      </c>
      <c r="ES257" s="906" t="s">
        <v>2324</v>
      </c>
      <c r="ET257" s="2686">
        <v>6</v>
      </c>
      <c r="EV257" s="985"/>
      <c r="EW257" s="985"/>
      <c r="EX257" s="387"/>
      <c r="EY257" s="939"/>
      <c r="EZ257" s="886"/>
    </row>
    <row r="258" spans="31:156" hidden="1">
      <c r="AE258" s="23">
        <f>AG258*$AH$251*$AF$251</f>
        <v>108244.35</v>
      </c>
      <c r="AF258" s="28"/>
      <c r="AG258" s="24">
        <v>133635</v>
      </c>
      <c r="AH258" s="26"/>
      <c r="AI258" s="45"/>
      <c r="AJ258" s="45"/>
      <c r="AK258" s="8"/>
      <c r="AL258" s="8"/>
      <c r="AM258" s="8"/>
      <c r="AN258" s="8"/>
      <c r="AO258" s="8"/>
      <c r="CJ258" s="197"/>
      <c r="CK258" s="197"/>
      <c r="CL258" s="197"/>
      <c r="CM258" s="213"/>
      <c r="CN258" s="213"/>
      <c r="CO258" s="197"/>
      <c r="CP258" s="197"/>
      <c r="CQ258" s="197"/>
      <c r="CR258" s="197"/>
      <c r="CS258" s="197"/>
      <c r="CT258" s="197"/>
      <c r="CU258" s="197"/>
      <c r="CV258" s="197"/>
      <c r="CW258" s="197"/>
      <c r="CX258" s="959"/>
      <c r="CY258" s="959"/>
      <c r="CZ258" s="959"/>
      <c r="DA258" s="959"/>
      <c r="DB258" s="959"/>
      <c r="DC258" s="891">
        <v>2072</v>
      </c>
      <c r="DD258" s="891" t="s">
        <v>3982</v>
      </c>
      <c r="DE258" s="891" t="s">
        <v>419</v>
      </c>
      <c r="DF258" s="891">
        <v>3</v>
      </c>
      <c r="DG258" s="959"/>
      <c r="DH258" s="959"/>
      <c r="ER258" s="905">
        <v>2629</v>
      </c>
      <c r="ES258" s="906" t="s">
        <v>2325</v>
      </c>
      <c r="ET258" s="2686">
        <v>6</v>
      </c>
      <c r="EV258" s="985"/>
      <c r="EW258" s="985"/>
      <c r="EX258" s="387"/>
      <c r="EY258" s="939"/>
      <c r="EZ258" s="886"/>
    </row>
    <row r="259" spans="31:156" hidden="1">
      <c r="AE259" s="23"/>
      <c r="AF259" s="28"/>
      <c r="AG259" s="24"/>
      <c r="AH259" s="26"/>
      <c r="AI259" s="45"/>
      <c r="AJ259" s="45"/>
      <c r="AK259" s="8"/>
      <c r="AL259" s="8"/>
      <c r="AM259" s="8"/>
      <c r="AN259" s="8"/>
      <c r="AO259" s="8"/>
      <c r="CJ259" s="197"/>
      <c r="CK259" s="197"/>
      <c r="CL259" s="197"/>
      <c r="CM259" s="213"/>
      <c r="CN259" s="213"/>
      <c r="CO259" s="197"/>
      <c r="CP259" s="197"/>
      <c r="CQ259" s="197"/>
      <c r="CR259" s="197"/>
      <c r="CS259" s="197"/>
      <c r="CT259" s="197"/>
      <c r="CU259" s="197"/>
      <c r="CV259" s="197"/>
      <c r="CW259" s="197"/>
      <c r="CX259" s="959"/>
      <c r="CY259" s="959"/>
      <c r="CZ259" s="959"/>
      <c r="DA259" s="959"/>
      <c r="DB259" s="959"/>
      <c r="DC259" s="891">
        <v>2073</v>
      </c>
      <c r="DD259" s="891" t="s">
        <v>3983</v>
      </c>
      <c r="DE259" s="891" t="s">
        <v>419</v>
      </c>
      <c r="DF259" s="891">
        <v>3</v>
      </c>
      <c r="DG259" s="959"/>
      <c r="DH259" s="959"/>
      <c r="ER259" s="905">
        <v>2631</v>
      </c>
      <c r="ES259" s="906" t="s">
        <v>2326</v>
      </c>
      <c r="ET259" s="2686">
        <v>6</v>
      </c>
      <c r="EV259" s="985"/>
      <c r="EW259" s="985"/>
      <c r="EX259" s="387"/>
      <c r="EY259" s="939"/>
      <c r="EZ259" s="886"/>
    </row>
    <row r="260" spans="31:156" hidden="1">
      <c r="AE260" s="31">
        <f>AG260*$AH$260</f>
        <v>95576.4</v>
      </c>
      <c r="AF260" s="31"/>
      <c r="AG260" s="36">
        <v>79647</v>
      </c>
      <c r="AH260" s="36">
        <v>1.2</v>
      </c>
      <c r="AI260" s="63"/>
      <c r="AJ260" s="63"/>
      <c r="AK260" s="8"/>
      <c r="AL260" s="8"/>
      <c r="AM260" s="8"/>
      <c r="AN260" s="8"/>
      <c r="AO260" s="8"/>
      <c r="CJ260" s="197"/>
      <c r="CK260" s="197"/>
      <c r="CL260" s="197"/>
      <c r="CM260" s="213"/>
      <c r="CN260" s="213"/>
      <c r="CO260" s="197"/>
      <c r="CP260" s="197"/>
      <c r="CQ260" s="197"/>
      <c r="CR260" s="197"/>
      <c r="CS260" s="197"/>
      <c r="CT260" s="197"/>
      <c r="CU260" s="197"/>
      <c r="CV260" s="197"/>
      <c r="CW260" s="197"/>
      <c r="CX260" s="959"/>
      <c r="CY260" s="959"/>
      <c r="CZ260" s="959"/>
      <c r="DA260" s="959"/>
      <c r="DB260" s="959"/>
      <c r="DC260" s="891">
        <v>2074</v>
      </c>
      <c r="DD260" s="891" t="s">
        <v>3984</v>
      </c>
      <c r="DE260" s="891" t="s">
        <v>419</v>
      </c>
      <c r="DF260" s="891">
        <v>2</v>
      </c>
      <c r="DG260" s="959"/>
      <c r="DH260" s="959"/>
      <c r="ER260" s="905">
        <v>2632</v>
      </c>
      <c r="ES260" s="906" t="s">
        <v>2327</v>
      </c>
      <c r="ET260" s="2686">
        <v>6</v>
      </c>
      <c r="EV260" s="985"/>
      <c r="EW260" s="985"/>
      <c r="EX260" s="387"/>
      <c r="EY260" s="939"/>
      <c r="EZ260" s="886"/>
    </row>
    <row r="261" spans="31:156" hidden="1">
      <c r="AE261" s="31"/>
      <c r="AF261" s="31"/>
      <c r="AG261" s="36"/>
      <c r="AH261" s="36"/>
      <c r="AI261" s="63"/>
      <c r="AJ261" s="63"/>
      <c r="AK261" s="8"/>
      <c r="AL261" s="8"/>
      <c r="AM261" s="8"/>
      <c r="AN261" s="8"/>
      <c r="AO261" s="8"/>
      <c r="CJ261" s="197"/>
      <c r="CK261" s="197"/>
      <c r="CL261" s="197"/>
      <c r="CM261" s="213"/>
      <c r="CN261" s="213"/>
      <c r="CO261" s="197"/>
      <c r="CP261" s="197"/>
      <c r="CQ261" s="197"/>
      <c r="CR261" s="197"/>
      <c r="CS261" s="197"/>
      <c r="CT261" s="197"/>
      <c r="CU261" s="197"/>
      <c r="CV261" s="197"/>
      <c r="CW261" s="197"/>
      <c r="CX261" s="959"/>
      <c r="CY261" s="959"/>
      <c r="CZ261" s="959"/>
      <c r="DA261" s="959"/>
      <c r="DB261" s="959"/>
      <c r="DC261" s="891">
        <v>2080</v>
      </c>
      <c r="DD261" s="891" t="s">
        <v>3985</v>
      </c>
      <c r="DE261" s="891" t="s">
        <v>419</v>
      </c>
      <c r="DF261" s="891">
        <v>2</v>
      </c>
      <c r="DG261" s="959"/>
      <c r="DH261" s="959"/>
      <c r="ER261" s="905">
        <v>2633</v>
      </c>
      <c r="ES261" s="906" t="s">
        <v>2328</v>
      </c>
      <c r="ET261" s="2686">
        <v>6</v>
      </c>
      <c r="EV261" s="985"/>
      <c r="EW261" s="985"/>
      <c r="EX261" s="387"/>
      <c r="EY261" s="939"/>
      <c r="EZ261" s="886"/>
    </row>
    <row r="262" spans="31:156" hidden="1">
      <c r="AE262" s="31"/>
      <c r="AF262" s="31"/>
      <c r="AG262" s="36"/>
      <c r="AH262" s="36"/>
      <c r="AI262" s="63"/>
      <c r="AJ262" s="63"/>
      <c r="AK262" s="8"/>
      <c r="AL262" s="8"/>
      <c r="AM262" s="8"/>
      <c r="AN262" s="8"/>
      <c r="AO262" s="8"/>
      <c r="CJ262" s="197"/>
      <c r="CK262" s="197"/>
      <c r="CL262" s="197"/>
      <c r="CM262" s="213"/>
      <c r="CN262" s="213"/>
      <c r="CO262" s="197"/>
      <c r="CP262" s="197"/>
      <c r="CQ262" s="197"/>
      <c r="CR262" s="197"/>
      <c r="CS262" s="197"/>
      <c r="CT262" s="197"/>
      <c r="CU262" s="197"/>
      <c r="CV262" s="197"/>
      <c r="CW262" s="197"/>
      <c r="CX262" s="959"/>
      <c r="CY262" s="959"/>
      <c r="CZ262" s="959"/>
      <c r="DA262" s="959"/>
      <c r="DB262" s="959"/>
      <c r="DC262" s="891">
        <v>2081</v>
      </c>
      <c r="DD262" s="891" t="s">
        <v>3986</v>
      </c>
      <c r="DE262" s="891" t="s">
        <v>419</v>
      </c>
      <c r="DF262" s="891">
        <v>2</v>
      </c>
      <c r="DG262" s="959"/>
      <c r="DH262" s="959"/>
      <c r="ER262" s="905">
        <v>2634</v>
      </c>
      <c r="ES262" s="906" t="s">
        <v>2329</v>
      </c>
      <c r="ET262" s="2686">
        <v>6</v>
      </c>
      <c r="EV262" s="985"/>
      <c r="EW262" s="985"/>
      <c r="EX262" s="387"/>
      <c r="EY262" s="939"/>
      <c r="EZ262" s="886"/>
    </row>
    <row r="263" spans="31:156" hidden="1">
      <c r="AE263" s="31">
        <f>AG263*$AH$260</f>
        <v>123793.2</v>
      </c>
      <c r="AF263" s="31"/>
      <c r="AG263" s="36">
        <v>103161</v>
      </c>
      <c r="AH263" s="26"/>
      <c r="AI263" s="45"/>
      <c r="AJ263" s="45"/>
      <c r="AK263" s="8"/>
      <c r="AL263" s="8"/>
      <c r="AM263" s="8"/>
      <c r="AN263" s="8"/>
      <c r="AO263" s="8"/>
      <c r="CJ263" s="197"/>
      <c r="CK263" s="197"/>
      <c r="CL263" s="197"/>
      <c r="CM263" s="213"/>
      <c r="CN263" s="213"/>
      <c r="CO263" s="197"/>
      <c r="CP263" s="197"/>
      <c r="CQ263" s="197"/>
      <c r="CR263" s="197"/>
      <c r="CS263" s="197"/>
      <c r="CT263" s="197"/>
      <c r="CU263" s="197"/>
      <c r="CV263" s="197"/>
      <c r="CW263" s="197"/>
      <c r="CX263" s="959"/>
      <c r="CY263" s="959"/>
      <c r="CZ263" s="959"/>
      <c r="DA263" s="959"/>
      <c r="DB263" s="959"/>
      <c r="DC263" s="891">
        <v>2083</v>
      </c>
      <c r="DD263" s="891" t="s">
        <v>3987</v>
      </c>
      <c r="DE263" s="891" t="s">
        <v>432</v>
      </c>
      <c r="DF263" s="891">
        <v>1</v>
      </c>
      <c r="DG263" s="959"/>
      <c r="DH263" s="959"/>
      <c r="ER263" s="905">
        <v>2635</v>
      </c>
      <c r="ES263" s="906" t="s">
        <v>38</v>
      </c>
      <c r="ET263" s="2686">
        <v>6</v>
      </c>
      <c r="EV263" s="985"/>
      <c r="EW263" s="985"/>
      <c r="EX263" s="387"/>
      <c r="EY263" s="939"/>
      <c r="EZ263" s="886"/>
    </row>
    <row r="264" spans="31:156" hidden="1">
      <c r="AE264" s="31"/>
      <c r="AF264" s="31"/>
      <c r="AG264" s="36"/>
      <c r="AH264" s="26"/>
      <c r="AI264" s="45"/>
      <c r="AJ264" s="45"/>
      <c r="AK264" s="8"/>
      <c r="AL264" s="8"/>
      <c r="AM264" s="8"/>
      <c r="AN264" s="8"/>
      <c r="AO264" s="8"/>
      <c r="CJ264" s="197"/>
      <c r="CK264" s="197"/>
      <c r="CL264" s="197"/>
      <c r="CM264" s="213"/>
      <c r="CN264" s="213"/>
      <c r="CO264" s="197"/>
      <c r="CP264" s="197"/>
      <c r="CQ264" s="197"/>
      <c r="CR264" s="197"/>
      <c r="CS264" s="197"/>
      <c r="CT264" s="197"/>
      <c r="CU264" s="197"/>
      <c r="CV264" s="197"/>
      <c r="CW264" s="197"/>
      <c r="CX264" s="959"/>
      <c r="CY264" s="959"/>
      <c r="CZ264" s="959"/>
      <c r="DA264" s="959"/>
      <c r="DB264" s="959"/>
      <c r="DC264" s="891">
        <v>2084</v>
      </c>
      <c r="DD264" s="891" t="s">
        <v>3988</v>
      </c>
      <c r="DE264" s="891" t="s">
        <v>419</v>
      </c>
      <c r="DF264" s="891">
        <v>1</v>
      </c>
      <c r="DG264" s="959"/>
      <c r="DH264" s="959"/>
      <c r="ER264" s="905">
        <v>2636</v>
      </c>
      <c r="ES264" s="906" t="s">
        <v>2331</v>
      </c>
      <c r="ET264" s="2686">
        <v>6</v>
      </c>
      <c r="EV264" s="985"/>
      <c r="EW264" s="985"/>
      <c r="EX264" s="387"/>
      <c r="EY264" s="939"/>
      <c r="EZ264" s="886"/>
    </row>
    <row r="265" spans="31:156" hidden="1">
      <c r="AE265" s="31"/>
      <c r="AF265" s="31"/>
      <c r="AG265" s="33"/>
      <c r="AH265" s="26"/>
      <c r="AI265" s="45"/>
      <c r="AJ265" s="45"/>
      <c r="AK265" s="8"/>
      <c r="AL265" s="8"/>
      <c r="AM265" s="8"/>
      <c r="AN265" s="8"/>
      <c r="AO265" s="8"/>
      <c r="CJ265" s="197"/>
      <c r="CK265" s="197"/>
      <c r="CL265" s="197"/>
      <c r="CM265" s="213"/>
      <c r="CN265" s="213"/>
      <c r="CO265" s="197"/>
      <c r="CP265" s="197"/>
      <c r="CQ265" s="197"/>
      <c r="CR265" s="197"/>
      <c r="CS265" s="197"/>
      <c r="CT265" s="197"/>
      <c r="CU265" s="197"/>
      <c r="CV265" s="197"/>
      <c r="CW265" s="197"/>
      <c r="CX265" s="959"/>
      <c r="CY265" s="959"/>
      <c r="CZ265" s="959"/>
      <c r="DA265" s="959"/>
      <c r="DB265" s="959"/>
      <c r="DC265" s="891">
        <v>2085</v>
      </c>
      <c r="DD265" s="891" t="s">
        <v>3989</v>
      </c>
      <c r="DE265" s="891" t="s">
        <v>419</v>
      </c>
      <c r="DF265" s="891">
        <v>2</v>
      </c>
      <c r="DG265" s="959"/>
      <c r="DH265" s="959"/>
      <c r="ER265" s="905">
        <v>2637</v>
      </c>
      <c r="ES265" s="906" t="s">
        <v>2332</v>
      </c>
      <c r="ET265" s="2686">
        <v>6</v>
      </c>
      <c r="EV265" s="985"/>
      <c r="EW265" s="985"/>
      <c r="EX265" s="387"/>
      <c r="EY265" s="939"/>
      <c r="EZ265" s="886"/>
    </row>
    <row r="266" spans="31:156" hidden="1">
      <c r="AE266" s="31"/>
      <c r="AF266" s="31"/>
      <c r="AG266" s="33"/>
      <c r="AH266" s="26"/>
      <c r="AI266" s="45"/>
      <c r="AJ266" s="45"/>
      <c r="AK266" s="8"/>
      <c r="AL266" s="8"/>
      <c r="AM266" s="8"/>
      <c r="AN266" s="8"/>
      <c r="AO266" s="8"/>
      <c r="CJ266" s="197"/>
      <c r="CK266" s="197"/>
      <c r="CL266" s="197"/>
      <c r="CM266" s="213"/>
      <c r="CN266" s="213"/>
      <c r="CO266" s="197"/>
      <c r="CP266" s="197"/>
      <c r="CQ266" s="197"/>
      <c r="CR266" s="197"/>
      <c r="CS266" s="197"/>
      <c r="CT266" s="197"/>
      <c r="CU266" s="197"/>
      <c r="CV266" s="197"/>
      <c r="CW266" s="197"/>
      <c r="CX266" s="959"/>
      <c r="CY266" s="959"/>
      <c r="CZ266" s="959"/>
      <c r="DA266" s="959"/>
      <c r="DB266" s="959"/>
      <c r="DC266" s="891">
        <v>2086</v>
      </c>
      <c r="DD266" s="891" t="s">
        <v>3990</v>
      </c>
      <c r="DE266" s="891" t="s">
        <v>419</v>
      </c>
      <c r="DF266" s="891">
        <v>2</v>
      </c>
      <c r="DG266" s="959"/>
      <c r="DH266" s="959"/>
      <c r="ER266" s="905">
        <v>2638</v>
      </c>
      <c r="ES266" s="906" t="s">
        <v>2333</v>
      </c>
      <c r="ET266" s="2686">
        <v>6</v>
      </c>
      <c r="EV266" s="985"/>
      <c r="EW266" s="985"/>
      <c r="EX266" s="387"/>
      <c r="EY266" s="939"/>
      <c r="EZ266" s="886"/>
    </row>
    <row r="267" spans="31:156" hidden="1">
      <c r="AE267" s="31">
        <f>AG267</f>
        <v>2920</v>
      </c>
      <c r="AF267" s="31"/>
      <c r="AG267" s="24">
        <v>2920</v>
      </c>
      <c r="AH267" s="26"/>
      <c r="AI267" s="45"/>
      <c r="AJ267" s="45"/>
      <c r="AK267" s="8">
        <f t="shared" ref="AK267:AK274" si="20">AM267*1.8</f>
        <v>7380</v>
      </c>
      <c r="AL267" s="8"/>
      <c r="AM267" s="8">
        <v>4100</v>
      </c>
      <c r="AN267" s="8"/>
      <c r="AO267" s="8"/>
      <c r="CJ267" s="197"/>
      <c r="CK267" s="197"/>
      <c r="CL267" s="197"/>
      <c r="CM267" s="213"/>
      <c r="CN267" s="213"/>
      <c r="CO267" s="197"/>
      <c r="CP267" s="197"/>
      <c r="CQ267" s="197"/>
      <c r="CR267" s="197"/>
      <c r="CS267" s="197"/>
      <c r="CT267" s="197"/>
      <c r="CU267" s="197"/>
      <c r="CV267" s="197"/>
      <c r="CW267" s="197"/>
      <c r="CX267" s="959"/>
      <c r="CY267" s="959"/>
      <c r="CZ267" s="959"/>
      <c r="DA267" s="959"/>
      <c r="DB267" s="959"/>
      <c r="DC267" s="891">
        <v>2087</v>
      </c>
      <c r="DD267" s="891" t="s">
        <v>3986</v>
      </c>
      <c r="DE267" s="891" t="s">
        <v>419</v>
      </c>
      <c r="DF267" s="891">
        <v>1</v>
      </c>
      <c r="DG267" s="959"/>
      <c r="DH267" s="959"/>
      <c r="ER267" s="905">
        <v>2639</v>
      </c>
      <c r="ES267" s="906" t="s">
        <v>2334</v>
      </c>
      <c r="ET267" s="2686">
        <v>6</v>
      </c>
      <c r="EV267" s="985"/>
      <c r="EW267" s="985"/>
      <c r="EX267" s="387"/>
      <c r="EY267" s="939"/>
      <c r="EZ267" s="886"/>
    </row>
    <row r="268" spans="31:156" hidden="1">
      <c r="AE268" s="31"/>
      <c r="AF268" s="31"/>
      <c r="AG268" s="24"/>
      <c r="AH268" s="26"/>
      <c r="AI268" s="45"/>
      <c r="AJ268" s="45"/>
      <c r="AK268" s="8"/>
      <c r="AL268" s="8"/>
      <c r="AM268" s="8"/>
      <c r="AN268" s="8"/>
      <c r="AO268" s="8"/>
      <c r="CJ268" s="197"/>
      <c r="CK268" s="197"/>
      <c r="CL268" s="197"/>
      <c r="CM268" s="213"/>
      <c r="CN268" s="213"/>
      <c r="CO268" s="197"/>
      <c r="CP268" s="197"/>
      <c r="CQ268" s="197"/>
      <c r="CR268" s="197"/>
      <c r="CS268" s="197"/>
      <c r="CT268" s="197"/>
      <c r="CU268" s="197"/>
      <c r="CV268" s="197"/>
      <c r="CW268" s="197"/>
      <c r="CX268" s="959"/>
      <c r="CY268" s="959"/>
      <c r="CZ268" s="959"/>
      <c r="DA268" s="959"/>
      <c r="DB268" s="959"/>
      <c r="DC268" s="891">
        <v>2089</v>
      </c>
      <c r="DD268" s="891" t="s">
        <v>3991</v>
      </c>
      <c r="DE268" s="891" t="s">
        <v>423</v>
      </c>
      <c r="DF268" s="891">
        <v>2</v>
      </c>
      <c r="DG268" s="959"/>
      <c r="DH268" s="959"/>
      <c r="ER268" s="905">
        <v>2640</v>
      </c>
      <c r="ES268" s="906" t="s">
        <v>2335</v>
      </c>
      <c r="ET268" s="2686">
        <v>9</v>
      </c>
      <c r="EV268" s="985"/>
      <c r="EW268" s="985"/>
      <c r="EX268" s="387"/>
      <c r="EY268" s="939"/>
      <c r="EZ268" s="886"/>
    </row>
    <row r="269" spans="31:156" hidden="1">
      <c r="AE269" s="31"/>
      <c r="AF269" s="31"/>
      <c r="AG269" s="24"/>
      <c r="AH269" s="26"/>
      <c r="AI269" s="45"/>
      <c r="AJ269" s="45"/>
      <c r="AK269" s="8"/>
      <c r="AL269" s="8"/>
      <c r="AM269" s="8"/>
      <c r="AN269" s="8"/>
      <c r="AO269" s="8"/>
      <c r="CJ269" s="197"/>
      <c r="CK269" s="197"/>
      <c r="CL269" s="197"/>
      <c r="CM269" s="213"/>
      <c r="CN269" s="213"/>
      <c r="CO269" s="197"/>
      <c r="CP269" s="197"/>
      <c r="CQ269" s="197"/>
      <c r="CR269" s="197"/>
      <c r="CS269" s="197"/>
      <c r="CT269" s="197"/>
      <c r="CU269" s="197"/>
      <c r="CV269" s="197"/>
      <c r="CW269" s="197"/>
      <c r="CX269" s="959"/>
      <c r="CY269" s="959"/>
      <c r="CZ269" s="959"/>
      <c r="DA269" s="959"/>
      <c r="DB269" s="959"/>
      <c r="DC269" s="891">
        <v>2090</v>
      </c>
      <c r="DD269" s="891" t="s">
        <v>3992</v>
      </c>
      <c r="DE269" s="891" t="s">
        <v>423</v>
      </c>
      <c r="DF269" s="891">
        <v>1</v>
      </c>
      <c r="DG269" s="959"/>
      <c r="DH269" s="959"/>
      <c r="ER269" s="905">
        <v>2641</v>
      </c>
      <c r="ES269" s="906" t="s">
        <v>2336</v>
      </c>
      <c r="ET269" s="2686">
        <v>9</v>
      </c>
      <c r="EV269" s="985"/>
      <c r="EW269" s="985"/>
      <c r="EX269" s="387"/>
      <c r="EY269" s="939"/>
      <c r="EZ269" s="886"/>
    </row>
    <row r="270" spans="31:156" hidden="1">
      <c r="AE270" s="31"/>
      <c r="AF270" s="31"/>
      <c r="AG270" s="24"/>
      <c r="AH270" s="26"/>
      <c r="AI270" s="45"/>
      <c r="AJ270" s="45"/>
      <c r="AK270" s="8"/>
      <c r="AL270" s="8"/>
      <c r="AM270" s="8"/>
      <c r="AN270" s="8"/>
      <c r="AO270" s="8"/>
      <c r="CJ270" s="197"/>
      <c r="CK270" s="197"/>
      <c r="CL270" s="197"/>
      <c r="CM270" s="213"/>
      <c r="CN270" s="213"/>
      <c r="CO270" s="197"/>
      <c r="CP270" s="197"/>
      <c r="CQ270" s="197"/>
      <c r="CR270" s="197"/>
      <c r="CS270" s="197"/>
      <c r="CT270" s="197"/>
      <c r="CU270" s="197"/>
      <c r="CV270" s="197"/>
      <c r="CW270" s="197"/>
      <c r="CX270" s="959"/>
      <c r="CY270" s="959"/>
      <c r="CZ270" s="959"/>
      <c r="DA270" s="959"/>
      <c r="DB270" s="959"/>
      <c r="DC270" s="891">
        <v>2091</v>
      </c>
      <c r="DD270" s="891" t="s">
        <v>3993</v>
      </c>
      <c r="DE270" s="891" t="s">
        <v>423</v>
      </c>
      <c r="DF270" s="891">
        <v>2</v>
      </c>
      <c r="DG270" s="959"/>
      <c r="DH270" s="959"/>
      <c r="ER270" s="905">
        <v>2642</v>
      </c>
      <c r="ES270" s="906" t="s">
        <v>2808</v>
      </c>
      <c r="ET270" s="2686">
        <v>9</v>
      </c>
      <c r="EV270" s="985"/>
      <c r="EW270" s="985"/>
      <c r="EX270" s="387"/>
      <c r="EY270" s="939"/>
      <c r="EZ270" s="886"/>
    </row>
    <row r="271" spans="31:156" hidden="1">
      <c r="AE271" s="31">
        <f>AG271</f>
        <v>9125</v>
      </c>
      <c r="AF271" s="31"/>
      <c r="AG271" s="24">
        <v>9125</v>
      </c>
      <c r="AH271" s="26"/>
      <c r="AI271" s="45"/>
      <c r="AJ271" s="45"/>
      <c r="AK271" s="8">
        <f t="shared" si="20"/>
        <v>34560</v>
      </c>
      <c r="AL271" s="8"/>
      <c r="AM271" s="8">
        <v>19200</v>
      </c>
      <c r="AN271" s="8"/>
      <c r="AO271" s="8"/>
      <c r="CJ271" s="197"/>
      <c r="CK271" s="197"/>
      <c r="CL271" s="197"/>
      <c r="CM271" s="213"/>
      <c r="CN271" s="213"/>
      <c r="CO271" s="197"/>
      <c r="CP271" s="197"/>
      <c r="CQ271" s="197"/>
      <c r="CR271" s="197"/>
      <c r="CS271" s="197"/>
      <c r="CT271" s="197"/>
      <c r="CU271" s="197"/>
      <c r="CV271" s="197"/>
      <c r="CW271" s="197"/>
      <c r="CX271" s="959"/>
      <c r="CY271" s="959"/>
      <c r="CZ271" s="959"/>
      <c r="DA271" s="959"/>
      <c r="DB271" s="959"/>
      <c r="DC271" s="891">
        <v>2092</v>
      </c>
      <c r="DD271" s="891" t="s">
        <v>3994</v>
      </c>
      <c r="DE271" s="891" t="s">
        <v>432</v>
      </c>
      <c r="DF271" s="891">
        <v>2</v>
      </c>
      <c r="DG271" s="959"/>
      <c r="DH271" s="959"/>
      <c r="ER271" s="905">
        <v>2643</v>
      </c>
      <c r="ES271" s="906" t="s">
        <v>2337</v>
      </c>
      <c r="ET271" s="2686">
        <v>9</v>
      </c>
      <c r="EV271" s="985"/>
      <c r="EW271" s="985"/>
      <c r="EX271" s="387"/>
      <c r="EY271" s="939"/>
      <c r="EZ271" s="886"/>
    </row>
    <row r="272" spans="31:156" hidden="1">
      <c r="AE272" s="31">
        <f t="shared" ref="AE272:AE277" si="21">AG272*$AH$260</f>
        <v>381393.6</v>
      </c>
      <c r="AF272" s="31"/>
      <c r="AG272" s="36">
        <v>317828</v>
      </c>
      <c r="AH272" s="26"/>
      <c r="AI272" s="45"/>
      <c r="AJ272" s="45"/>
      <c r="AK272" s="8">
        <f t="shared" si="20"/>
        <v>1936800</v>
      </c>
      <c r="AL272" s="8"/>
      <c r="AM272" s="8">
        <v>1076000</v>
      </c>
      <c r="AN272" s="8"/>
      <c r="AO272" s="8"/>
      <c r="CJ272" s="197"/>
      <c r="CK272" s="197"/>
      <c r="CL272" s="197"/>
      <c r="CM272" s="213"/>
      <c r="CN272" s="213"/>
      <c r="CO272" s="197"/>
      <c r="CP272" s="197"/>
      <c r="CQ272" s="197"/>
      <c r="CR272" s="197"/>
      <c r="CS272" s="197"/>
      <c r="CT272" s="197"/>
      <c r="CU272" s="197"/>
      <c r="CV272" s="197"/>
      <c r="CW272" s="197"/>
      <c r="CX272" s="959"/>
      <c r="CY272" s="959"/>
      <c r="CZ272" s="959"/>
      <c r="DA272" s="959"/>
      <c r="DB272" s="959"/>
      <c r="DC272" s="891">
        <v>2093</v>
      </c>
      <c r="DD272" s="891" t="s">
        <v>3995</v>
      </c>
      <c r="DE272" s="891" t="s">
        <v>423</v>
      </c>
      <c r="DF272" s="891">
        <v>2</v>
      </c>
      <c r="DG272" s="959"/>
      <c r="DH272" s="959"/>
      <c r="ER272" s="905">
        <v>2644</v>
      </c>
      <c r="ES272" s="906" t="s">
        <v>2338</v>
      </c>
      <c r="ET272" s="2686">
        <v>9</v>
      </c>
      <c r="EV272" s="985"/>
      <c r="EW272" s="985"/>
      <c r="EX272" s="387"/>
      <c r="EY272" s="939"/>
      <c r="EZ272" s="886"/>
    </row>
    <row r="273" spans="31:156" hidden="1">
      <c r="AE273" s="31">
        <f t="shared" si="21"/>
        <v>381393.6</v>
      </c>
      <c r="AF273" s="31"/>
      <c r="AG273" s="36">
        <v>317828</v>
      </c>
      <c r="AH273" s="26"/>
      <c r="AI273" s="45"/>
      <c r="AJ273" s="45"/>
      <c r="AK273" s="8">
        <f t="shared" si="20"/>
        <v>1936800</v>
      </c>
      <c r="AL273" s="8"/>
      <c r="AM273" s="8">
        <v>1076000</v>
      </c>
      <c r="AN273" s="8"/>
      <c r="AO273" s="8"/>
      <c r="CJ273" s="197"/>
      <c r="CK273" s="197"/>
      <c r="CL273" s="197"/>
      <c r="CM273" s="213"/>
      <c r="CN273" s="213"/>
      <c r="CO273" s="197"/>
      <c r="CP273" s="197"/>
      <c r="CQ273" s="197"/>
      <c r="CR273" s="197"/>
      <c r="CS273" s="197"/>
      <c r="CT273" s="197"/>
      <c r="CU273" s="197"/>
      <c r="CV273" s="197"/>
      <c r="CW273" s="197"/>
      <c r="CX273" s="959"/>
      <c r="CY273" s="959"/>
      <c r="CZ273" s="959"/>
      <c r="DA273" s="959"/>
      <c r="DB273" s="959"/>
      <c r="DC273" s="891">
        <v>2094</v>
      </c>
      <c r="DD273" s="891" t="s">
        <v>3996</v>
      </c>
      <c r="DE273" s="891" t="s">
        <v>423</v>
      </c>
      <c r="DF273" s="891">
        <v>1</v>
      </c>
      <c r="DG273" s="959"/>
      <c r="DH273" s="959"/>
      <c r="ER273" s="905">
        <v>2645</v>
      </c>
      <c r="ES273" s="906" t="s">
        <v>2339</v>
      </c>
      <c r="ET273" s="2686">
        <v>9</v>
      </c>
      <c r="EV273" s="985"/>
      <c r="EW273" s="985"/>
      <c r="EX273" s="387"/>
      <c r="EY273" s="939"/>
      <c r="EZ273" s="886"/>
    </row>
    <row r="274" spans="31:156" hidden="1">
      <c r="AE274" s="31">
        <f t="shared" si="21"/>
        <v>20025.599999999999</v>
      </c>
      <c r="AF274" s="31"/>
      <c r="AG274" s="36">
        <v>16688</v>
      </c>
      <c r="AH274" s="26"/>
      <c r="AI274" s="45"/>
      <c r="AJ274" s="45"/>
      <c r="AK274" s="8">
        <f t="shared" si="20"/>
        <v>31500</v>
      </c>
      <c r="AL274" s="8"/>
      <c r="AM274" s="8">
        <v>17500</v>
      </c>
      <c r="AN274" s="8"/>
      <c r="AO274" s="8"/>
      <c r="CJ274" s="197"/>
      <c r="CK274" s="197"/>
      <c r="CL274" s="197"/>
      <c r="CM274" s="213"/>
      <c r="CN274" s="213"/>
      <c r="CO274" s="197"/>
      <c r="CP274" s="197"/>
      <c r="CQ274" s="197"/>
      <c r="CR274" s="197"/>
      <c r="CS274" s="197"/>
      <c r="CT274" s="197"/>
      <c r="CU274" s="197"/>
      <c r="CV274" s="197"/>
      <c r="CW274" s="197"/>
      <c r="CX274" s="959"/>
      <c r="CY274" s="959"/>
      <c r="CZ274" s="959"/>
      <c r="DA274" s="959"/>
      <c r="DB274" s="959"/>
      <c r="DC274" s="891">
        <v>2095</v>
      </c>
      <c r="DD274" s="891" t="s">
        <v>3997</v>
      </c>
      <c r="DE274" s="891" t="s">
        <v>419</v>
      </c>
      <c r="DF274" s="891">
        <v>3</v>
      </c>
      <c r="DG274" s="959"/>
      <c r="DH274" s="959"/>
      <c r="ER274" s="905">
        <v>2646</v>
      </c>
      <c r="ES274" s="906" t="s">
        <v>2340</v>
      </c>
      <c r="ET274" s="2686">
        <v>9</v>
      </c>
      <c r="EV274" s="985"/>
      <c r="EW274" s="985"/>
      <c r="EX274" s="387"/>
      <c r="EY274" s="939"/>
      <c r="EZ274" s="886"/>
    </row>
    <row r="275" spans="31:156" hidden="1">
      <c r="AE275" s="31">
        <f t="shared" si="21"/>
        <v>9217.1999999999989</v>
      </c>
      <c r="AF275" s="31"/>
      <c r="AG275" s="36">
        <v>7681</v>
      </c>
      <c r="AH275" s="26"/>
      <c r="AI275" s="45"/>
      <c r="AJ275" s="45"/>
      <c r="AK275" s="8">
        <f>AM275*1.8*1.1</f>
        <v>25146.000000000004</v>
      </c>
      <c r="AL275" s="8"/>
      <c r="AM275" s="8">
        <v>12700</v>
      </c>
      <c r="AN275" s="8"/>
      <c r="AO275" s="8"/>
      <c r="CJ275" s="197"/>
      <c r="CK275" s="197"/>
      <c r="CL275" s="197"/>
      <c r="CM275" s="213"/>
      <c r="CN275" s="213"/>
      <c r="CO275" s="197"/>
      <c r="CP275" s="197"/>
      <c r="CQ275" s="197"/>
      <c r="CR275" s="197"/>
      <c r="CS275" s="197"/>
      <c r="CT275" s="197"/>
      <c r="CU275" s="197"/>
      <c r="CV275" s="197"/>
      <c r="CW275" s="197"/>
      <c r="CX275" s="959"/>
      <c r="CY275" s="959"/>
      <c r="CZ275" s="959"/>
      <c r="DA275" s="959"/>
      <c r="DB275" s="959"/>
      <c r="DC275" s="891">
        <v>2096</v>
      </c>
      <c r="DD275" s="891" t="s">
        <v>3998</v>
      </c>
      <c r="DE275" s="891" t="s">
        <v>423</v>
      </c>
      <c r="DF275" s="891">
        <v>1</v>
      </c>
      <c r="DG275" s="959"/>
      <c r="DH275" s="959"/>
      <c r="ER275" s="905">
        <v>2647</v>
      </c>
      <c r="ES275" s="906" t="s">
        <v>2341</v>
      </c>
      <c r="ET275" s="2686">
        <v>9</v>
      </c>
      <c r="EV275" s="985"/>
      <c r="EW275" s="985"/>
      <c r="EX275" s="387"/>
      <c r="EY275" s="939"/>
      <c r="EZ275" s="886"/>
    </row>
    <row r="276" spans="31:156" hidden="1">
      <c r="AE276" s="31">
        <f t="shared" si="21"/>
        <v>11418</v>
      </c>
      <c r="AF276" s="31"/>
      <c r="AG276" s="36">
        <v>9515</v>
      </c>
      <c r="AH276" s="26"/>
      <c r="AI276" s="45"/>
      <c r="AJ276" s="45"/>
      <c r="AK276" s="8">
        <f>AM276*1.8*1.1</f>
        <v>29502.000000000004</v>
      </c>
      <c r="AL276" s="8"/>
      <c r="AM276" s="8">
        <v>14900</v>
      </c>
      <c r="AN276" s="8"/>
      <c r="AO276" s="8"/>
      <c r="CJ276" s="197"/>
      <c r="CK276" s="197"/>
      <c r="CL276" s="197"/>
      <c r="CM276" s="213"/>
      <c r="CN276" s="213"/>
      <c r="CO276" s="197"/>
      <c r="CP276" s="197"/>
      <c r="CQ276" s="197"/>
      <c r="CR276" s="197"/>
      <c r="CS276" s="197"/>
      <c r="CT276" s="197"/>
      <c r="CU276" s="197"/>
      <c r="CV276" s="197"/>
      <c r="CW276" s="197"/>
      <c r="CX276" s="959"/>
      <c r="CY276" s="959"/>
      <c r="CZ276" s="959"/>
      <c r="DA276" s="959"/>
      <c r="DB276" s="959"/>
      <c r="DC276" s="891">
        <v>2097</v>
      </c>
      <c r="DD276" s="891" t="s">
        <v>3999</v>
      </c>
      <c r="DE276" s="891" t="s">
        <v>423</v>
      </c>
      <c r="DF276" s="891">
        <v>1</v>
      </c>
      <c r="DG276" s="959"/>
      <c r="DH276" s="959"/>
      <c r="ER276" s="905">
        <v>2648</v>
      </c>
      <c r="ES276" s="906" t="s">
        <v>2342</v>
      </c>
      <c r="ET276" s="2686">
        <v>9</v>
      </c>
      <c r="EV276" s="985"/>
      <c r="EW276" s="985"/>
      <c r="EX276" s="387"/>
      <c r="EY276" s="939"/>
      <c r="EZ276" s="886"/>
    </row>
    <row r="277" spans="31:156" hidden="1">
      <c r="AE277" s="31">
        <f t="shared" si="21"/>
        <v>31572</v>
      </c>
      <c r="AF277" s="31"/>
      <c r="AG277" s="36">
        <v>26310</v>
      </c>
      <c r="AH277" s="26"/>
      <c r="AI277" s="45"/>
      <c r="AJ277" s="45"/>
      <c r="AK277" s="8">
        <f>AM277*1.8*1.1</f>
        <v>52074.000000000007</v>
      </c>
      <c r="AL277" s="8"/>
      <c r="AM277" s="8">
        <v>26300</v>
      </c>
      <c r="AN277" s="8"/>
      <c r="AO277" s="8"/>
      <c r="CJ277" s="197"/>
      <c r="CK277" s="197"/>
      <c r="CL277" s="197"/>
      <c r="CM277" s="213"/>
      <c r="CN277" s="213"/>
      <c r="CO277" s="197"/>
      <c r="CP277" s="197"/>
      <c r="CQ277" s="197"/>
      <c r="CR277" s="197"/>
      <c r="CS277" s="197"/>
      <c r="CT277" s="197"/>
      <c r="CU277" s="197"/>
      <c r="CV277" s="197"/>
      <c r="CW277" s="197"/>
      <c r="CX277" s="959"/>
      <c r="CY277" s="959"/>
      <c r="CZ277" s="959"/>
      <c r="DA277" s="959"/>
      <c r="DB277" s="959"/>
      <c r="DC277" s="891">
        <v>2098</v>
      </c>
      <c r="DD277" s="891" t="s">
        <v>4000</v>
      </c>
      <c r="DE277" s="891" t="s">
        <v>423</v>
      </c>
      <c r="DF277" s="891">
        <v>3</v>
      </c>
      <c r="DG277" s="959"/>
      <c r="DH277" s="959"/>
      <c r="ER277" s="905">
        <v>2649</v>
      </c>
      <c r="ES277" s="906" t="s">
        <v>2343</v>
      </c>
      <c r="ET277" s="2686">
        <v>9</v>
      </c>
      <c r="EV277" s="985"/>
      <c r="EW277" s="985"/>
      <c r="EX277" s="387"/>
      <c r="EY277" s="939"/>
      <c r="EZ277" s="886"/>
    </row>
    <row r="278" spans="31:156" hidden="1">
      <c r="AE278" s="31"/>
      <c r="AF278" s="31"/>
      <c r="AG278" s="36"/>
      <c r="AH278" s="26"/>
      <c r="AI278" s="45"/>
      <c r="AJ278" s="45"/>
      <c r="AK278" s="8"/>
      <c r="AL278" s="8"/>
      <c r="AM278" s="8"/>
      <c r="AN278" s="8"/>
      <c r="AO278" s="8"/>
      <c r="CJ278" s="197"/>
      <c r="CK278" s="197"/>
      <c r="CL278" s="197"/>
      <c r="CM278" s="213"/>
      <c r="CN278" s="213"/>
      <c r="CO278" s="197"/>
      <c r="CP278" s="197"/>
      <c r="CQ278" s="197"/>
      <c r="CR278" s="197"/>
      <c r="CS278" s="197"/>
      <c r="CT278" s="197"/>
      <c r="CU278" s="197"/>
      <c r="CV278" s="197"/>
      <c r="CW278" s="197"/>
      <c r="CX278" s="959"/>
      <c r="CY278" s="959"/>
      <c r="CZ278" s="959"/>
      <c r="DA278" s="959"/>
      <c r="DB278" s="959"/>
      <c r="DC278" s="891">
        <v>2099</v>
      </c>
      <c r="DD278" s="891" t="s">
        <v>4001</v>
      </c>
      <c r="DE278" s="891" t="s">
        <v>423</v>
      </c>
      <c r="DF278" s="891">
        <v>3</v>
      </c>
      <c r="DG278" s="959"/>
      <c r="DH278" s="959"/>
      <c r="ER278" s="905">
        <v>2651</v>
      </c>
      <c r="ES278" s="906" t="s">
        <v>2344</v>
      </c>
      <c r="ET278" s="2686">
        <v>9</v>
      </c>
      <c r="EV278" s="985"/>
      <c r="EW278" s="985"/>
      <c r="EX278" s="387"/>
      <c r="EY278" s="939"/>
      <c r="EZ278" s="886"/>
    </row>
    <row r="279" spans="31:156" hidden="1">
      <c r="AE279" s="31"/>
      <c r="AF279" s="31"/>
      <c r="AG279" s="36"/>
      <c r="AH279" s="26"/>
      <c r="AI279" s="45"/>
      <c r="AJ279" s="45"/>
      <c r="AK279" s="8"/>
      <c r="AL279" s="8"/>
      <c r="AM279" s="8"/>
      <c r="AN279" s="8"/>
      <c r="AO279" s="8"/>
      <c r="CJ279" s="197"/>
      <c r="CK279" s="197"/>
      <c r="CL279" s="197"/>
      <c r="CM279" s="213"/>
      <c r="CN279" s="213"/>
      <c r="CO279" s="197"/>
      <c r="CP279" s="197"/>
      <c r="CQ279" s="197"/>
      <c r="CR279" s="197"/>
      <c r="CS279" s="197"/>
      <c r="CT279" s="197"/>
      <c r="CU279" s="197"/>
      <c r="CV279" s="197"/>
      <c r="CW279" s="197"/>
      <c r="CX279" s="959"/>
      <c r="CY279" s="959"/>
      <c r="CZ279" s="959"/>
      <c r="DA279" s="959"/>
      <c r="DB279" s="959"/>
      <c r="DC279" s="891">
        <v>2100</v>
      </c>
      <c r="DD279" s="891" t="s">
        <v>4002</v>
      </c>
      <c r="DE279" s="891" t="s">
        <v>419</v>
      </c>
      <c r="DF279" s="891">
        <v>2</v>
      </c>
      <c r="DG279" s="959"/>
      <c r="DH279" s="959"/>
      <c r="ER279" s="905">
        <v>2652</v>
      </c>
      <c r="ES279" s="906" t="s">
        <v>2345</v>
      </c>
      <c r="ET279" s="2686">
        <v>9</v>
      </c>
      <c r="EV279" s="985"/>
      <c r="EW279" s="985"/>
      <c r="EX279" s="387"/>
      <c r="EY279" s="939"/>
      <c r="EZ279" s="886"/>
    </row>
    <row r="280" spans="31:156" hidden="1">
      <c r="AE280" s="31"/>
      <c r="AF280" s="31"/>
      <c r="AG280" s="36"/>
      <c r="AH280" s="26"/>
      <c r="AI280" s="45"/>
      <c r="AJ280" s="45"/>
      <c r="AK280" s="8"/>
      <c r="AL280" s="8"/>
      <c r="AM280" s="8"/>
      <c r="AN280" s="8"/>
      <c r="AO280" s="8"/>
      <c r="CJ280" s="197"/>
      <c r="CK280" s="197"/>
      <c r="CL280" s="197"/>
      <c r="CM280" s="213"/>
      <c r="CN280" s="213"/>
      <c r="CO280" s="197"/>
      <c r="CP280" s="197"/>
      <c r="CQ280" s="197"/>
      <c r="CR280" s="197"/>
      <c r="CS280" s="197"/>
      <c r="CT280" s="197"/>
      <c r="CU280" s="197"/>
      <c r="CV280" s="197"/>
      <c r="CW280" s="197"/>
      <c r="CX280" s="959"/>
      <c r="CY280" s="959"/>
      <c r="CZ280" s="959"/>
      <c r="DA280" s="959"/>
      <c r="DB280" s="959"/>
      <c r="DC280" s="891">
        <v>2102</v>
      </c>
      <c r="DD280" s="891" t="s">
        <v>4002</v>
      </c>
      <c r="DE280" s="891" t="s">
        <v>419</v>
      </c>
      <c r="DF280" s="891">
        <v>3</v>
      </c>
      <c r="DG280" s="959"/>
      <c r="DH280" s="959"/>
      <c r="ER280" s="905">
        <v>2653</v>
      </c>
      <c r="ES280" s="906" t="s">
        <v>2346</v>
      </c>
      <c r="ET280" s="2686">
        <v>9</v>
      </c>
      <c r="EV280" s="985"/>
      <c r="EW280" s="985"/>
      <c r="EX280" s="387"/>
      <c r="EY280" s="939"/>
      <c r="EZ280" s="886"/>
    </row>
    <row r="281" spans="31:156" hidden="1">
      <c r="AE281" s="31"/>
      <c r="AF281" s="31"/>
      <c r="AG281" s="36"/>
      <c r="AH281" s="26"/>
      <c r="AI281" s="45"/>
      <c r="AJ281" s="45"/>
      <c r="AK281" s="8"/>
      <c r="AL281" s="8"/>
      <c r="AM281" s="8"/>
      <c r="AN281" s="8"/>
      <c r="AO281" s="8"/>
      <c r="CJ281" s="197"/>
      <c r="CK281" s="197"/>
      <c r="CL281" s="197"/>
      <c r="CM281" s="213"/>
      <c r="CN281" s="213"/>
      <c r="CO281" s="197"/>
      <c r="CP281" s="197"/>
      <c r="CQ281" s="197"/>
      <c r="CR281" s="197"/>
      <c r="CS281" s="197"/>
      <c r="CT281" s="197"/>
      <c r="CU281" s="197"/>
      <c r="CV281" s="197"/>
      <c r="CW281" s="197"/>
      <c r="CX281" s="959"/>
      <c r="CY281" s="959"/>
      <c r="CZ281" s="959"/>
      <c r="DA281" s="959"/>
      <c r="DB281" s="959"/>
      <c r="DC281" s="891">
        <v>2111</v>
      </c>
      <c r="DD281" s="891" t="s">
        <v>4003</v>
      </c>
      <c r="DE281" s="891" t="s">
        <v>419</v>
      </c>
      <c r="DF281" s="891">
        <v>3</v>
      </c>
      <c r="DG281" s="959"/>
      <c r="DH281" s="959"/>
      <c r="ER281" s="905">
        <v>2654</v>
      </c>
      <c r="ES281" s="906" t="s">
        <v>2347</v>
      </c>
      <c r="ET281" s="2686">
        <v>9</v>
      </c>
      <c r="EV281" s="985"/>
      <c r="EW281" s="985"/>
      <c r="EX281" s="387"/>
      <c r="EY281" s="939"/>
      <c r="EZ281" s="886"/>
    </row>
    <row r="282" spans="31:156" hidden="1">
      <c r="AE282" s="31"/>
      <c r="AF282" s="31"/>
      <c r="AG282" s="36"/>
      <c r="AH282" s="26"/>
      <c r="AI282" s="45"/>
      <c r="AJ282" s="45"/>
      <c r="AK282" s="8"/>
      <c r="AL282" s="8"/>
      <c r="AM282" s="30"/>
      <c r="AN282" s="8"/>
      <c r="AO282" s="8"/>
      <c r="CJ282" s="197"/>
      <c r="CK282" s="197"/>
      <c r="CL282" s="197"/>
      <c r="CM282" s="213"/>
      <c r="CN282" s="213"/>
      <c r="CO282" s="197"/>
      <c r="CP282" s="197"/>
      <c r="CQ282" s="197"/>
      <c r="CR282" s="197"/>
      <c r="CS282" s="197"/>
      <c r="CT282" s="197"/>
      <c r="CU282" s="197"/>
      <c r="CV282" s="197"/>
      <c r="CW282" s="197"/>
      <c r="CX282" s="959"/>
      <c r="CY282" s="959"/>
      <c r="CZ282" s="959"/>
      <c r="DA282" s="959"/>
      <c r="DB282" s="959"/>
      <c r="DC282" s="891">
        <v>2112</v>
      </c>
      <c r="DD282" s="891" t="s">
        <v>4004</v>
      </c>
      <c r="DE282" s="891" t="s">
        <v>423</v>
      </c>
      <c r="DF282" s="891">
        <v>3</v>
      </c>
      <c r="DG282" s="959"/>
      <c r="DH282" s="959"/>
      <c r="ER282" s="905">
        <v>2655</v>
      </c>
      <c r="ES282" s="906" t="s">
        <v>39</v>
      </c>
      <c r="ET282" s="2686">
        <v>9</v>
      </c>
      <c r="EV282" s="985"/>
      <c r="EW282" s="985"/>
      <c r="EX282" s="387"/>
      <c r="EY282" s="939"/>
      <c r="EZ282" s="886"/>
    </row>
    <row r="283" spans="31:156" hidden="1">
      <c r="AE283" s="31">
        <f>AG283</f>
        <v>14235</v>
      </c>
      <c r="AF283" s="31"/>
      <c r="AG283" s="24">
        <v>14235</v>
      </c>
      <c r="AH283" s="26"/>
      <c r="AI283" s="45"/>
      <c r="AJ283" s="45"/>
      <c r="AK283" s="8"/>
      <c r="AL283" s="8"/>
      <c r="AM283" s="30"/>
      <c r="AN283" s="8"/>
      <c r="AO283" s="8"/>
      <c r="CJ283" s="197"/>
      <c r="CK283" s="197"/>
      <c r="CL283" s="197"/>
      <c r="CM283" s="213"/>
      <c r="CN283" s="213"/>
      <c r="CO283" s="197"/>
      <c r="CP283" s="197"/>
      <c r="CQ283" s="197"/>
      <c r="CR283" s="197"/>
      <c r="CS283" s="197"/>
      <c r="CT283" s="197"/>
      <c r="CU283" s="197"/>
      <c r="CV283" s="197"/>
      <c r="CW283" s="197"/>
      <c r="CX283" s="959"/>
      <c r="CY283" s="959"/>
      <c r="CZ283" s="959"/>
      <c r="DA283" s="959"/>
      <c r="DB283" s="959"/>
      <c r="DC283" s="891">
        <v>2113</v>
      </c>
      <c r="DD283" s="891" t="s">
        <v>4005</v>
      </c>
      <c r="DE283" s="891" t="s">
        <v>419</v>
      </c>
      <c r="DF283" s="891">
        <v>5</v>
      </c>
      <c r="DG283" s="959"/>
      <c r="DH283" s="959"/>
      <c r="ER283" s="905">
        <v>2655</v>
      </c>
      <c r="ES283" s="906" t="s">
        <v>40</v>
      </c>
      <c r="ET283" s="2686">
        <v>9</v>
      </c>
      <c r="EV283" s="985"/>
      <c r="EW283" s="985"/>
      <c r="EX283" s="387"/>
      <c r="EY283" s="939"/>
      <c r="EZ283" s="886"/>
    </row>
    <row r="284" spans="31:156" hidden="1">
      <c r="AE284" s="31"/>
      <c r="AF284" s="31"/>
      <c r="AG284" s="24"/>
      <c r="AH284" s="26"/>
      <c r="AI284" s="45"/>
      <c r="AJ284" s="45"/>
      <c r="AK284" s="8"/>
      <c r="AL284" s="8"/>
      <c r="AM284" s="30"/>
      <c r="AN284" s="8"/>
      <c r="AO284" s="8"/>
      <c r="CJ284" s="197"/>
      <c r="CK284" s="197"/>
      <c r="CL284" s="197"/>
      <c r="CM284" s="213"/>
      <c r="CN284" s="213"/>
      <c r="CO284" s="197"/>
      <c r="CP284" s="197"/>
      <c r="CQ284" s="197"/>
      <c r="CR284" s="197"/>
      <c r="CS284" s="197"/>
      <c r="CT284" s="197"/>
      <c r="CU284" s="197"/>
      <c r="CV284" s="197"/>
      <c r="CW284" s="197"/>
      <c r="CX284" s="959"/>
      <c r="CY284" s="959"/>
      <c r="CZ284" s="959"/>
      <c r="DA284" s="959"/>
      <c r="DB284" s="959"/>
      <c r="DC284" s="891">
        <v>2114</v>
      </c>
      <c r="DD284" s="891" t="s">
        <v>4006</v>
      </c>
      <c r="DE284" s="891" t="s">
        <v>417</v>
      </c>
      <c r="DF284" s="891">
        <v>3</v>
      </c>
      <c r="DG284" s="959"/>
      <c r="DH284" s="959"/>
      <c r="ER284" s="905">
        <v>2655</v>
      </c>
      <c r="ES284" s="906" t="s">
        <v>41</v>
      </c>
      <c r="ET284" s="2686">
        <v>9</v>
      </c>
      <c r="EV284" s="985"/>
      <c r="EW284" s="985"/>
      <c r="EX284" s="387"/>
      <c r="EY284" s="939"/>
      <c r="EZ284" s="886"/>
    </row>
    <row r="285" spans="31:156" hidden="1">
      <c r="AE285" s="31">
        <f>AG285*$AH$260</f>
        <v>107409.59999999999</v>
      </c>
      <c r="AF285" s="31"/>
      <c r="AG285" s="36">
        <v>89508</v>
      </c>
      <c r="AH285" s="26"/>
      <c r="AI285" s="45"/>
      <c r="AJ285" s="45"/>
      <c r="AK285" s="8">
        <f>AM285*1.8*1.1</f>
        <v>732600.00000000012</v>
      </c>
      <c r="AL285" s="8"/>
      <c r="AM285" s="8">
        <v>370000</v>
      </c>
      <c r="AN285" s="8"/>
      <c r="AO285" s="8"/>
      <c r="CJ285" s="197"/>
      <c r="CK285" s="197"/>
      <c r="CL285" s="197"/>
      <c r="CM285" s="213"/>
      <c r="CN285" s="213"/>
      <c r="CO285" s="197"/>
      <c r="CP285" s="197"/>
      <c r="CQ285" s="197"/>
      <c r="CR285" s="197"/>
      <c r="CS285" s="197"/>
      <c r="CT285" s="197"/>
      <c r="CU285" s="197"/>
      <c r="CV285" s="197"/>
      <c r="CW285" s="197"/>
      <c r="CX285" s="959"/>
      <c r="CY285" s="959"/>
      <c r="CZ285" s="959"/>
      <c r="DA285" s="959"/>
      <c r="DB285" s="959"/>
      <c r="DC285" s="891">
        <v>2115</v>
      </c>
      <c r="DD285" s="891" t="s">
        <v>4007</v>
      </c>
      <c r="DE285" s="891" t="s">
        <v>402</v>
      </c>
      <c r="DF285" s="891">
        <v>5</v>
      </c>
      <c r="DG285" s="959"/>
      <c r="DH285" s="959"/>
      <c r="ER285" s="905">
        <v>2656</v>
      </c>
      <c r="ES285" s="906" t="s">
        <v>2349</v>
      </c>
      <c r="ET285" s="2686">
        <v>9</v>
      </c>
      <c r="EV285" s="985"/>
      <c r="EW285" s="985"/>
      <c r="EX285" s="387"/>
      <c r="EY285" s="939"/>
      <c r="EZ285" s="886"/>
    </row>
    <row r="286" spans="31:156" hidden="1">
      <c r="AE286" s="31">
        <f>AG286*$AH$260</f>
        <v>340432.8</v>
      </c>
      <c r="AF286" s="31"/>
      <c r="AG286" s="36">
        <v>283694</v>
      </c>
      <c r="AH286" s="26"/>
      <c r="AI286" s="45"/>
      <c r="AJ286" s="45"/>
      <c r="AK286" s="8">
        <f>AM286*1.8*1.1</f>
        <v>1386000</v>
      </c>
      <c r="AL286" s="8"/>
      <c r="AM286" s="8">
        <v>700000</v>
      </c>
      <c r="AN286" s="8"/>
      <c r="AO286" s="8"/>
      <c r="CJ286" s="197"/>
      <c r="CK286" s="197"/>
      <c r="CL286" s="197"/>
      <c r="CM286" s="213"/>
      <c r="CN286" s="213"/>
      <c r="CO286" s="197"/>
      <c r="CP286" s="197"/>
      <c r="CQ286" s="197"/>
      <c r="CR286" s="197"/>
      <c r="CS286" s="197"/>
      <c r="CT286" s="197"/>
      <c r="CU286" s="197"/>
      <c r="CV286" s="197"/>
      <c r="CW286" s="197"/>
      <c r="CX286" s="959"/>
      <c r="CY286" s="959"/>
      <c r="CZ286" s="959"/>
      <c r="DA286" s="959"/>
      <c r="DB286" s="959"/>
      <c r="DC286" s="891">
        <v>2116</v>
      </c>
      <c r="DD286" s="891" t="s">
        <v>4008</v>
      </c>
      <c r="DE286" s="891" t="s">
        <v>402</v>
      </c>
      <c r="DF286" s="891">
        <v>5</v>
      </c>
      <c r="DG286" s="959"/>
      <c r="DH286" s="959"/>
      <c r="ER286" s="905">
        <v>2657</v>
      </c>
      <c r="ES286" s="906" t="s">
        <v>2350</v>
      </c>
      <c r="ET286" s="2686">
        <v>9</v>
      </c>
      <c r="EV286" s="985"/>
      <c r="EW286" s="985"/>
      <c r="EX286" s="387"/>
      <c r="EY286" s="939"/>
      <c r="EZ286" s="886"/>
    </row>
    <row r="287" spans="31:156" hidden="1">
      <c r="AE287" s="31"/>
      <c r="AF287" s="31"/>
      <c r="AG287" s="36"/>
      <c r="AH287" s="26"/>
      <c r="AI287" s="45"/>
      <c r="AJ287" s="45"/>
      <c r="AK287" s="8"/>
      <c r="AL287" s="8"/>
      <c r="AM287" s="8"/>
      <c r="AN287" s="8"/>
      <c r="AO287" s="8"/>
      <c r="CJ287" s="197"/>
      <c r="CK287" s="197"/>
      <c r="CL287" s="197"/>
      <c r="CM287" s="213"/>
      <c r="CN287" s="213"/>
      <c r="CO287" s="197"/>
      <c r="CP287" s="197"/>
      <c r="CQ287" s="197"/>
      <c r="CR287" s="197"/>
      <c r="CS287" s="197"/>
      <c r="CT287" s="197"/>
      <c r="CU287" s="197"/>
      <c r="CV287" s="197"/>
      <c r="CW287" s="197"/>
      <c r="CX287" s="959"/>
      <c r="CY287" s="959"/>
      <c r="CZ287" s="959"/>
      <c r="DA287" s="959"/>
      <c r="DB287" s="959"/>
      <c r="DC287" s="891">
        <v>2117</v>
      </c>
      <c r="DD287" s="891" t="s">
        <v>4009</v>
      </c>
      <c r="DE287" s="891" t="s">
        <v>428</v>
      </c>
      <c r="DF287" s="891">
        <v>3</v>
      </c>
      <c r="DG287" s="959"/>
      <c r="DH287" s="959"/>
      <c r="ER287" s="905">
        <v>2658</v>
      </c>
      <c r="ES287" s="906" t="s">
        <v>42</v>
      </c>
      <c r="ET287" s="2686">
        <v>9</v>
      </c>
      <c r="EV287" s="985"/>
      <c r="EW287" s="985"/>
      <c r="EX287" s="387"/>
      <c r="EY287" s="939"/>
      <c r="EZ287" s="886"/>
    </row>
    <row r="288" spans="31:156" hidden="1">
      <c r="AE288" s="31">
        <f>AG288*$AH$260</f>
        <v>340432.8</v>
      </c>
      <c r="AF288" s="31"/>
      <c r="AG288" s="36">
        <v>283694</v>
      </c>
      <c r="AH288" s="26"/>
      <c r="AI288" s="45"/>
      <c r="AJ288" s="45"/>
      <c r="AK288" s="8">
        <f>AM288*1.8*1.1</f>
        <v>1584000.0000000002</v>
      </c>
      <c r="AL288" s="8"/>
      <c r="AM288" s="8">
        <v>800000</v>
      </c>
      <c r="AN288" s="8"/>
      <c r="AO288" s="8"/>
      <c r="CJ288" s="197"/>
      <c r="CK288" s="197"/>
      <c r="CL288" s="197"/>
      <c r="CM288" s="213"/>
      <c r="CN288" s="213"/>
      <c r="CO288" s="197"/>
      <c r="CP288" s="197"/>
      <c r="CQ288" s="197"/>
      <c r="CR288" s="197"/>
      <c r="CS288" s="197"/>
      <c r="CT288" s="197"/>
      <c r="CU288" s="197"/>
      <c r="CV288" s="197"/>
      <c r="CW288" s="197"/>
      <c r="CX288" s="959"/>
      <c r="CY288" s="959"/>
      <c r="CZ288" s="959"/>
      <c r="DA288" s="959"/>
      <c r="DB288" s="959"/>
      <c r="DC288" s="891">
        <v>2118</v>
      </c>
      <c r="DD288" s="891" t="s">
        <v>4010</v>
      </c>
      <c r="DE288" s="891" t="s">
        <v>427</v>
      </c>
      <c r="DF288" s="891">
        <v>5</v>
      </c>
      <c r="DG288" s="959"/>
      <c r="DH288" s="959"/>
      <c r="ER288" s="905">
        <v>2658</v>
      </c>
      <c r="ES288" s="906" t="s">
        <v>43</v>
      </c>
      <c r="ET288" s="2686">
        <v>9</v>
      </c>
      <c r="EV288" s="985"/>
      <c r="EW288" s="985"/>
      <c r="EX288" s="387"/>
      <c r="EY288" s="939"/>
      <c r="EZ288" s="886"/>
    </row>
    <row r="289" spans="31:156" hidden="1">
      <c r="AE289" s="31"/>
      <c r="AF289" s="31"/>
      <c r="AG289" s="36"/>
      <c r="AH289" s="26"/>
      <c r="AI289" s="45"/>
      <c r="AJ289" s="45"/>
      <c r="AK289" s="8"/>
      <c r="AL289" s="8"/>
      <c r="AM289" s="8"/>
      <c r="AN289" s="8"/>
      <c r="AO289" s="8"/>
      <c r="CJ289" s="197"/>
      <c r="CK289" s="197"/>
      <c r="CL289" s="197"/>
      <c r="CM289" s="213"/>
      <c r="CN289" s="213"/>
      <c r="CO289" s="197"/>
      <c r="CP289" s="197"/>
      <c r="CQ289" s="197"/>
      <c r="CR289" s="197"/>
      <c r="CS289" s="197"/>
      <c r="CT289" s="197"/>
      <c r="CU289" s="197"/>
      <c r="CV289" s="197"/>
      <c r="CW289" s="197"/>
      <c r="CX289" s="959"/>
      <c r="CY289" s="959"/>
      <c r="CZ289" s="959"/>
      <c r="DA289" s="959"/>
      <c r="DB289" s="959"/>
      <c r="DC289" s="891">
        <v>2119</v>
      </c>
      <c r="DD289" s="891" t="s">
        <v>4011</v>
      </c>
      <c r="DE289" s="891" t="s">
        <v>434</v>
      </c>
      <c r="DF289" s="891">
        <v>3</v>
      </c>
      <c r="DG289" s="959"/>
      <c r="DH289" s="959"/>
      <c r="ER289" s="905">
        <v>2659</v>
      </c>
      <c r="ES289" s="906" t="s">
        <v>2352</v>
      </c>
      <c r="ET289" s="2686">
        <v>9</v>
      </c>
      <c r="EV289" s="985"/>
      <c r="EW289" s="985"/>
      <c r="EX289" s="387"/>
      <c r="EY289" s="939"/>
      <c r="EZ289" s="886"/>
    </row>
    <row r="290" spans="31:156" hidden="1">
      <c r="AE290" s="31">
        <f>AG290*$AH$260</f>
        <v>340432.8</v>
      </c>
      <c r="AF290" s="31"/>
      <c r="AG290" s="36">
        <v>283694</v>
      </c>
      <c r="AH290" s="26"/>
      <c r="AI290" s="45"/>
      <c r="AJ290" s="45"/>
      <c r="AK290" s="8">
        <f>AM290*1.8</f>
        <v>1184400</v>
      </c>
      <c r="AL290" s="8"/>
      <c r="AM290" s="8">
        <v>658000</v>
      </c>
      <c r="AN290" s="8"/>
      <c r="AO290" s="8"/>
      <c r="CJ290" s="197"/>
      <c r="CK290" s="197"/>
      <c r="CL290" s="197"/>
      <c r="CM290" s="213"/>
      <c r="CN290" s="213"/>
      <c r="CO290" s="197"/>
      <c r="CP290" s="197"/>
      <c r="CQ290" s="197"/>
      <c r="CR290" s="197"/>
      <c r="CS290" s="197"/>
      <c r="CT290" s="197"/>
      <c r="CU290" s="197"/>
      <c r="CV290" s="197"/>
      <c r="CW290" s="197"/>
      <c r="CX290" s="959"/>
      <c r="CY290" s="959"/>
      <c r="CZ290" s="959"/>
      <c r="DA290" s="959"/>
      <c r="DB290" s="959"/>
      <c r="DC290" s="891">
        <v>2120</v>
      </c>
      <c r="DD290" s="891" t="s">
        <v>4012</v>
      </c>
      <c r="DE290" s="891" t="s">
        <v>421</v>
      </c>
      <c r="DF290" s="891">
        <v>3</v>
      </c>
      <c r="DG290" s="959"/>
      <c r="DH290" s="959"/>
      <c r="ER290" s="905">
        <v>2660</v>
      </c>
      <c r="ES290" s="906" t="s">
        <v>44</v>
      </c>
      <c r="ET290" s="2686">
        <v>9</v>
      </c>
      <c r="EV290" s="985"/>
      <c r="EW290" s="985"/>
      <c r="EX290" s="387"/>
      <c r="EY290" s="939"/>
      <c r="EZ290" s="886"/>
    </row>
    <row r="291" spans="31:156" hidden="1">
      <c r="AE291" s="70"/>
      <c r="AF291" s="70"/>
      <c r="AG291" s="70"/>
      <c r="AH291" s="70"/>
      <c r="AI291" s="70"/>
      <c r="AJ291" s="70"/>
      <c r="AK291" s="69"/>
      <c r="AL291" s="69"/>
      <c r="AM291" s="69"/>
      <c r="AN291" s="69"/>
      <c r="AO291" s="69"/>
      <c r="CJ291" s="197"/>
      <c r="CK291" s="197"/>
      <c r="CL291" s="197"/>
      <c r="CM291" s="213"/>
      <c r="CN291" s="213"/>
      <c r="CO291" s="197"/>
      <c r="CP291" s="197"/>
      <c r="CQ291" s="197"/>
      <c r="CR291" s="197"/>
      <c r="CS291" s="197"/>
      <c r="CT291" s="197"/>
      <c r="CU291" s="197"/>
      <c r="CV291" s="197"/>
      <c r="CW291" s="197"/>
      <c r="CX291" s="959"/>
      <c r="CY291" s="959"/>
      <c r="CZ291" s="959"/>
      <c r="DA291" s="959"/>
      <c r="DB291" s="959"/>
      <c r="DC291" s="891">
        <v>2131</v>
      </c>
      <c r="DD291" s="891" t="s">
        <v>4013</v>
      </c>
      <c r="DE291" s="891" t="s">
        <v>427</v>
      </c>
      <c r="DF291" s="891">
        <v>3</v>
      </c>
      <c r="DG291" s="959"/>
      <c r="DH291" s="959"/>
      <c r="ER291" s="905">
        <v>2660</v>
      </c>
      <c r="ES291" s="906" t="s">
        <v>45</v>
      </c>
      <c r="ET291" s="2686">
        <v>9</v>
      </c>
      <c r="EV291" s="985"/>
      <c r="EW291" s="985"/>
      <c r="EX291" s="387"/>
      <c r="EY291" s="939"/>
      <c r="EZ291" s="886"/>
    </row>
    <row r="292" spans="31:156" hidden="1">
      <c r="AE292" s="70"/>
      <c r="AF292" s="70"/>
      <c r="AG292" s="70"/>
      <c r="AH292" s="70"/>
      <c r="AI292" s="70"/>
      <c r="AJ292" s="70"/>
      <c r="AK292" s="69"/>
      <c r="AL292" s="69"/>
      <c r="AM292" s="69"/>
      <c r="AN292" s="69"/>
      <c r="AO292" s="69"/>
      <c r="CJ292" s="197"/>
      <c r="CK292" s="197"/>
      <c r="CL292" s="197"/>
      <c r="CM292" s="213"/>
      <c r="CN292" s="213"/>
      <c r="CO292" s="197"/>
      <c r="CP292" s="197"/>
      <c r="CQ292" s="197"/>
      <c r="CR292" s="197"/>
      <c r="CS292" s="197"/>
      <c r="CT292" s="197"/>
      <c r="CU292" s="197"/>
      <c r="CV292" s="197"/>
      <c r="CW292" s="197"/>
      <c r="CX292" s="959"/>
      <c r="CY292" s="959"/>
      <c r="CZ292" s="959"/>
      <c r="DA292" s="959"/>
      <c r="DB292" s="959"/>
      <c r="DC292" s="891">
        <v>2132</v>
      </c>
      <c r="DD292" s="891" t="s">
        <v>4014</v>
      </c>
      <c r="DE292" s="891" t="s">
        <v>428</v>
      </c>
      <c r="DF292" s="891">
        <v>3</v>
      </c>
      <c r="DG292" s="959"/>
      <c r="DH292" s="959"/>
      <c r="ER292" s="905">
        <v>2668</v>
      </c>
      <c r="ES292" s="906" t="s">
        <v>2354</v>
      </c>
      <c r="ET292" s="2686">
        <v>9</v>
      </c>
      <c r="EV292" s="985"/>
      <c r="EW292" s="985"/>
      <c r="EX292" s="387"/>
      <c r="EY292" s="939"/>
      <c r="EZ292" s="886"/>
    </row>
    <row r="293" spans="31:156" hidden="1">
      <c r="AE293" s="43"/>
      <c r="AF293" s="43"/>
      <c r="AG293" s="63"/>
      <c r="AH293" s="45"/>
      <c r="AI293" s="45"/>
      <c r="AJ293" s="45"/>
      <c r="AK293" s="8"/>
      <c r="AL293" s="8"/>
      <c r="AM293" s="8"/>
      <c r="AN293" s="8"/>
      <c r="AO293" s="8"/>
      <c r="CJ293" s="197"/>
      <c r="CK293" s="197"/>
      <c r="CL293" s="197"/>
      <c r="CM293" s="213"/>
      <c r="CN293" s="213"/>
      <c r="CO293" s="197"/>
      <c r="CP293" s="197"/>
      <c r="CQ293" s="197"/>
      <c r="CR293" s="197"/>
      <c r="CS293" s="197"/>
      <c r="CT293" s="197"/>
      <c r="CU293" s="197"/>
      <c r="CV293" s="197"/>
      <c r="CW293" s="197"/>
      <c r="CX293" s="959"/>
      <c r="CY293" s="959"/>
      <c r="CZ293" s="959"/>
      <c r="DA293" s="959"/>
      <c r="DB293" s="959"/>
      <c r="DC293" s="891">
        <v>2133</v>
      </c>
      <c r="DD293" s="891" t="s">
        <v>4015</v>
      </c>
      <c r="DE293" s="891" t="s">
        <v>423</v>
      </c>
      <c r="DF293" s="891">
        <v>5</v>
      </c>
      <c r="DG293" s="959"/>
      <c r="DH293" s="959"/>
      <c r="ER293" s="905">
        <v>2669</v>
      </c>
      <c r="ES293" s="906" t="s">
        <v>2355</v>
      </c>
      <c r="ET293" s="2686">
        <v>9</v>
      </c>
      <c r="EV293" s="985"/>
      <c r="EW293" s="985"/>
      <c r="EX293" s="387"/>
      <c r="EY293" s="939"/>
      <c r="EZ293" s="886"/>
    </row>
    <row r="294" spans="31:156" hidden="1">
      <c r="AE294" s="46"/>
      <c r="AF294" s="46"/>
      <c r="AG294" s="46"/>
      <c r="AH294" s="46"/>
      <c r="AI294" s="46"/>
      <c r="AJ294" s="46"/>
      <c r="AK294" s="46"/>
      <c r="AL294" s="46"/>
      <c r="AM294" s="46"/>
      <c r="AN294" s="46"/>
      <c r="AO294" s="46"/>
      <c r="CJ294" s="197"/>
      <c r="CK294" s="197"/>
      <c r="CL294" s="197"/>
      <c r="CM294" s="213"/>
      <c r="CN294" s="213"/>
      <c r="CO294" s="197"/>
      <c r="CP294" s="197"/>
      <c r="CQ294" s="197"/>
      <c r="CR294" s="197"/>
      <c r="CS294" s="197"/>
      <c r="CT294" s="197"/>
      <c r="CU294" s="197"/>
      <c r="CV294" s="197"/>
      <c r="CW294" s="197"/>
      <c r="CX294" s="959"/>
      <c r="CY294" s="959"/>
      <c r="CZ294" s="959"/>
      <c r="DA294" s="959"/>
      <c r="DB294" s="959"/>
      <c r="DC294" s="891">
        <v>2134</v>
      </c>
      <c r="DD294" s="891" t="s">
        <v>4016</v>
      </c>
      <c r="DE294" s="891" t="s">
        <v>420</v>
      </c>
      <c r="DF294" s="891">
        <v>5</v>
      </c>
      <c r="DG294" s="959"/>
      <c r="DH294" s="959"/>
      <c r="ER294" s="905">
        <v>2671</v>
      </c>
      <c r="ES294" s="906" t="s">
        <v>2356</v>
      </c>
      <c r="ET294" s="2686">
        <v>9</v>
      </c>
      <c r="EV294" s="985"/>
      <c r="EW294" s="985"/>
      <c r="EX294" s="387"/>
      <c r="EY294" s="939"/>
      <c r="EZ294" s="886"/>
    </row>
    <row r="295" spans="31:156" hidden="1">
      <c r="AE295" s="8"/>
      <c r="AF295" s="8"/>
      <c r="AG295" s="8"/>
      <c r="AH295" s="8"/>
      <c r="AI295" s="8"/>
      <c r="AJ295" s="8"/>
      <c r="AK295" s="8"/>
      <c r="AL295" s="8"/>
      <c r="AM295" s="8"/>
      <c r="AN295" s="8"/>
      <c r="AO295" s="8"/>
      <c r="CJ295" s="197"/>
      <c r="CK295" s="197"/>
      <c r="CL295" s="197"/>
      <c r="CM295" s="213"/>
      <c r="CN295" s="213"/>
      <c r="CO295" s="197"/>
      <c r="CP295" s="197"/>
      <c r="CQ295" s="197"/>
      <c r="CR295" s="197"/>
      <c r="CS295" s="197"/>
      <c r="CT295" s="197"/>
      <c r="CU295" s="197"/>
      <c r="CV295" s="197"/>
      <c r="CW295" s="197"/>
      <c r="CX295" s="959"/>
      <c r="CY295" s="959"/>
      <c r="CZ295" s="959"/>
      <c r="DA295" s="959"/>
      <c r="DB295" s="959"/>
      <c r="DC295" s="891">
        <v>2135</v>
      </c>
      <c r="DD295" s="891" t="s">
        <v>4017</v>
      </c>
      <c r="DE295" s="891" t="s">
        <v>419</v>
      </c>
      <c r="DF295" s="891">
        <v>3</v>
      </c>
      <c r="DG295" s="959"/>
      <c r="DH295" s="959"/>
      <c r="ER295" s="905">
        <v>2672</v>
      </c>
      <c r="ES295" s="906" t="s">
        <v>2357</v>
      </c>
      <c r="ET295" s="2686">
        <v>9</v>
      </c>
      <c r="EV295" s="985"/>
      <c r="EW295" s="985"/>
      <c r="EX295" s="387"/>
      <c r="EY295" s="939"/>
      <c r="EZ295" s="886"/>
    </row>
    <row r="296" spans="31:156" hidden="1">
      <c r="AE296" s="8"/>
      <c r="AF296" s="8"/>
      <c r="AG296" s="8"/>
      <c r="AH296" s="8"/>
      <c r="AI296" s="8"/>
      <c r="AJ296" s="8"/>
      <c r="AK296" s="8"/>
      <c r="AL296" s="8"/>
      <c r="AM296" s="8"/>
      <c r="AN296" s="8"/>
      <c r="AO296" s="8"/>
      <c r="CJ296" s="197"/>
      <c r="CK296" s="197"/>
      <c r="CL296" s="197"/>
      <c r="CM296" s="213"/>
      <c r="CN296" s="213"/>
      <c r="CO296" s="197"/>
      <c r="CP296" s="197"/>
      <c r="CQ296" s="197"/>
      <c r="CR296" s="197"/>
      <c r="CS296" s="197"/>
      <c r="CT296" s="197"/>
      <c r="CU296" s="197"/>
      <c r="CV296" s="197"/>
      <c r="CW296" s="197"/>
      <c r="CX296" s="959"/>
      <c r="CY296" s="959"/>
      <c r="CZ296" s="959"/>
      <c r="DA296" s="959"/>
      <c r="DB296" s="959"/>
      <c r="DC296" s="891">
        <v>2141</v>
      </c>
      <c r="DD296" s="891" t="s">
        <v>4018</v>
      </c>
      <c r="DE296" s="891" t="s">
        <v>406</v>
      </c>
      <c r="DF296" s="891">
        <v>3</v>
      </c>
      <c r="DG296" s="959"/>
      <c r="DH296" s="959"/>
      <c r="ER296" s="905">
        <v>2673</v>
      </c>
      <c r="ES296" s="906" t="s">
        <v>46</v>
      </c>
      <c r="ET296" s="2686">
        <v>9</v>
      </c>
      <c r="EV296" s="985"/>
      <c r="EW296" s="985"/>
      <c r="EX296" s="387"/>
      <c r="EY296" s="939"/>
      <c r="EZ296" s="886"/>
    </row>
    <row r="297" spans="31:156" hidden="1">
      <c r="AE297" s="47"/>
      <c r="AF297" s="47"/>
      <c r="AG297" s="47"/>
      <c r="AH297" s="47"/>
      <c r="AI297" s="47"/>
      <c r="AJ297" s="47"/>
      <c r="AK297" s="47"/>
      <c r="AL297" s="47"/>
      <c r="AM297" s="47"/>
      <c r="AN297" s="47"/>
      <c r="AO297" s="47"/>
      <c r="CJ297" s="197"/>
      <c r="CK297" s="197"/>
      <c r="CL297" s="197"/>
      <c r="CM297" s="213"/>
      <c r="CN297" s="213"/>
      <c r="CO297" s="197"/>
      <c r="CP297" s="197"/>
      <c r="CQ297" s="197"/>
      <c r="CR297" s="197"/>
      <c r="CS297" s="197"/>
      <c r="CT297" s="197"/>
      <c r="CU297" s="197"/>
      <c r="CV297" s="197"/>
      <c r="CW297" s="197"/>
      <c r="CX297" s="959"/>
      <c r="CY297" s="959"/>
      <c r="CZ297" s="959"/>
      <c r="DA297" s="959"/>
      <c r="DB297" s="959"/>
      <c r="DC297" s="891">
        <v>2142</v>
      </c>
      <c r="DD297" s="891" t="s">
        <v>4019</v>
      </c>
      <c r="DE297" s="891" t="s">
        <v>412</v>
      </c>
      <c r="DF297" s="891">
        <v>3</v>
      </c>
      <c r="DG297" s="959"/>
      <c r="DH297" s="959"/>
      <c r="ER297" s="905">
        <v>2675</v>
      </c>
      <c r="ES297" s="906" t="s">
        <v>47</v>
      </c>
      <c r="ET297" s="2686">
        <v>9</v>
      </c>
      <c r="EV297" s="985"/>
      <c r="EW297" s="985"/>
      <c r="EX297" s="387"/>
      <c r="EY297" s="939"/>
      <c r="EZ297" s="886"/>
    </row>
    <row r="298" spans="31:156" hidden="1">
      <c r="AE298" s="47"/>
      <c r="AF298" s="47"/>
      <c r="AG298" s="47"/>
      <c r="AH298" s="47"/>
      <c r="AI298" s="47"/>
      <c r="AJ298" s="47"/>
      <c r="AK298" s="47"/>
      <c r="AL298" s="47"/>
      <c r="AM298" s="47"/>
      <c r="AN298" s="47"/>
      <c r="AO298" s="47"/>
      <c r="CJ298" s="197"/>
      <c r="CK298" s="197"/>
      <c r="CL298" s="197"/>
      <c r="CM298" s="213"/>
      <c r="CN298" s="213"/>
      <c r="CO298" s="197"/>
      <c r="CP298" s="197"/>
      <c r="CQ298" s="197"/>
      <c r="CR298" s="197"/>
      <c r="CS298" s="197"/>
      <c r="CT298" s="197"/>
      <c r="CU298" s="197"/>
      <c r="CV298" s="197"/>
      <c r="CW298" s="197"/>
      <c r="CX298" s="959"/>
      <c r="CY298" s="959"/>
      <c r="CZ298" s="959"/>
      <c r="DA298" s="959"/>
      <c r="DB298" s="959"/>
      <c r="DC298" s="891">
        <v>2143</v>
      </c>
      <c r="DD298" s="891" t="s">
        <v>4020</v>
      </c>
      <c r="DE298" s="891" t="s">
        <v>2808</v>
      </c>
      <c r="DF298" s="891">
        <v>3</v>
      </c>
      <c r="DG298" s="959"/>
      <c r="DH298" s="959"/>
      <c r="ER298" s="905">
        <v>2675</v>
      </c>
      <c r="ES298" s="906" t="s">
        <v>48</v>
      </c>
      <c r="ET298" s="2686">
        <v>9</v>
      </c>
      <c r="EV298" s="985"/>
      <c r="EW298" s="985"/>
      <c r="EX298" s="387"/>
      <c r="EY298" s="939"/>
      <c r="EZ298" s="886"/>
    </row>
    <row r="299" spans="31:156" hidden="1">
      <c r="AE299" s="47"/>
      <c r="AF299" s="47"/>
      <c r="AG299" s="47"/>
      <c r="AH299" s="47"/>
      <c r="AI299" s="47"/>
      <c r="AJ299" s="47"/>
      <c r="AK299" s="47"/>
      <c r="AL299" s="47"/>
      <c r="AM299" s="47"/>
      <c r="AN299" s="47"/>
      <c r="AO299" s="47"/>
      <c r="CJ299" s="197"/>
      <c r="CK299" s="197"/>
      <c r="CL299" s="197"/>
      <c r="CM299" s="213"/>
      <c r="CN299" s="213"/>
      <c r="CO299" s="197"/>
      <c r="CP299" s="197"/>
      <c r="CQ299" s="197"/>
      <c r="CR299" s="197"/>
      <c r="CS299" s="197"/>
      <c r="CT299" s="197"/>
      <c r="CU299" s="197"/>
      <c r="CV299" s="197"/>
      <c r="CW299" s="197"/>
      <c r="CX299" s="959"/>
      <c r="CY299" s="959"/>
      <c r="CZ299" s="959"/>
      <c r="DA299" s="959"/>
      <c r="DB299" s="959"/>
      <c r="DC299" s="891">
        <v>2144</v>
      </c>
      <c r="DD299" s="891" t="s">
        <v>4021</v>
      </c>
      <c r="DE299" s="891" t="s">
        <v>432</v>
      </c>
      <c r="DF299" s="891">
        <v>2</v>
      </c>
      <c r="DG299" s="959"/>
      <c r="DH299" s="959"/>
      <c r="ER299" s="905">
        <v>2676</v>
      </c>
      <c r="ES299" s="906" t="s">
        <v>2360</v>
      </c>
      <c r="ET299" s="2686">
        <v>9</v>
      </c>
      <c r="EV299" s="985"/>
      <c r="EW299" s="985"/>
      <c r="EX299" s="387"/>
      <c r="EY299" s="939"/>
      <c r="EZ299" s="886"/>
    </row>
    <row r="300" spans="31:156" hidden="1">
      <c r="AE300" s="47"/>
      <c r="AF300" s="47"/>
      <c r="AG300" s="47"/>
      <c r="AH300" s="47"/>
      <c r="AI300" s="47"/>
      <c r="AJ300" s="47"/>
      <c r="AK300" s="47"/>
      <c r="AL300" s="47"/>
      <c r="AM300" s="47"/>
      <c r="AN300" s="47"/>
      <c r="AO300" s="47"/>
      <c r="CJ300" s="197"/>
      <c r="CK300" s="197"/>
      <c r="CL300" s="197"/>
      <c r="CM300" s="213"/>
      <c r="CN300" s="213"/>
      <c r="CO300" s="197"/>
      <c r="CP300" s="197"/>
      <c r="CQ300" s="197"/>
      <c r="CR300" s="197"/>
      <c r="CS300" s="197"/>
      <c r="CT300" s="197"/>
      <c r="CU300" s="197"/>
      <c r="CV300" s="197"/>
      <c r="CW300" s="197"/>
      <c r="CX300" s="959"/>
      <c r="CY300" s="959"/>
      <c r="CZ300" s="959"/>
      <c r="DA300" s="959"/>
      <c r="DB300" s="959"/>
      <c r="DC300" s="891">
        <v>2145</v>
      </c>
      <c r="DD300" s="891" t="s">
        <v>4022</v>
      </c>
      <c r="DE300" s="891" t="s">
        <v>412</v>
      </c>
      <c r="DF300" s="891">
        <v>2</v>
      </c>
      <c r="DG300" s="959"/>
      <c r="DH300" s="959"/>
      <c r="ER300" s="905">
        <v>2677</v>
      </c>
      <c r="ES300" s="906" t="s">
        <v>2361</v>
      </c>
      <c r="ET300" s="2686">
        <v>9</v>
      </c>
      <c r="EV300" s="985"/>
      <c r="EW300" s="985"/>
      <c r="EX300" s="387"/>
      <c r="EY300" s="939"/>
      <c r="EZ300" s="886"/>
    </row>
    <row r="301" spans="31:156" hidden="1">
      <c r="AE301" s="47"/>
      <c r="AF301" s="47"/>
      <c r="AG301" s="47"/>
      <c r="AH301" s="47"/>
      <c r="AI301" s="47"/>
      <c r="AJ301" s="47"/>
      <c r="AK301" s="47"/>
      <c r="AL301" s="47"/>
      <c r="AM301" s="47"/>
      <c r="AN301" s="47"/>
      <c r="AO301" s="47"/>
      <c r="CJ301" s="197"/>
      <c r="CK301" s="197"/>
      <c r="CL301" s="197"/>
      <c r="CM301" s="213"/>
      <c r="CN301" s="213"/>
      <c r="CO301" s="197"/>
      <c r="CP301" s="197"/>
      <c r="CQ301" s="197"/>
      <c r="CR301" s="197"/>
      <c r="CS301" s="197"/>
      <c r="CT301" s="197"/>
      <c r="CU301" s="197"/>
      <c r="CV301" s="197"/>
      <c r="CW301" s="197"/>
      <c r="CX301" s="959"/>
      <c r="CY301" s="959"/>
      <c r="CZ301" s="959"/>
      <c r="DA301" s="959"/>
      <c r="DB301" s="959"/>
      <c r="DC301" s="891">
        <v>2146</v>
      </c>
      <c r="DD301" s="891" t="s">
        <v>4023</v>
      </c>
      <c r="DE301" s="891" t="s">
        <v>406</v>
      </c>
      <c r="DF301" s="891">
        <v>1</v>
      </c>
      <c r="DG301" s="959"/>
      <c r="DH301" s="959"/>
      <c r="ER301" s="905">
        <v>2678</v>
      </c>
      <c r="ES301" s="906" t="s">
        <v>2362</v>
      </c>
      <c r="ET301" s="2686">
        <v>9</v>
      </c>
      <c r="EV301" s="985"/>
      <c r="EW301" s="985"/>
      <c r="EX301" s="387"/>
      <c r="EY301" s="939"/>
      <c r="EZ301" s="886"/>
    </row>
    <row r="302" spans="31:156" hidden="1">
      <c r="AE302" s="5"/>
      <c r="AF302" s="5"/>
      <c r="AG302" s="5"/>
      <c r="AH302" s="5"/>
      <c r="AI302" s="5"/>
      <c r="AJ302" s="5"/>
      <c r="AK302" s="5"/>
      <c r="AL302" s="5"/>
      <c r="AM302" s="5"/>
      <c r="AN302" s="5"/>
      <c r="AO302" s="5"/>
      <c r="CJ302" s="197"/>
      <c r="CK302" s="197"/>
      <c r="CL302" s="197"/>
      <c r="CM302" s="213"/>
      <c r="CN302" s="213"/>
      <c r="CO302" s="197"/>
      <c r="CP302" s="197"/>
      <c r="CQ302" s="197"/>
      <c r="CR302" s="197"/>
      <c r="CS302" s="197"/>
      <c r="CT302" s="197"/>
      <c r="CU302" s="197"/>
      <c r="CV302" s="197"/>
      <c r="CW302" s="197"/>
      <c r="CX302" s="959"/>
      <c r="CY302" s="959"/>
      <c r="CZ302" s="959"/>
      <c r="DA302" s="959"/>
      <c r="DB302" s="959"/>
      <c r="DC302" s="891">
        <v>2151</v>
      </c>
      <c r="DD302" s="891" t="s">
        <v>4024</v>
      </c>
      <c r="DE302" s="891" t="s">
        <v>428</v>
      </c>
      <c r="DF302" s="891">
        <v>2</v>
      </c>
      <c r="DG302" s="959"/>
      <c r="DH302" s="959"/>
      <c r="ER302" s="905">
        <v>2681</v>
      </c>
      <c r="ES302" s="906" t="s">
        <v>2363</v>
      </c>
      <c r="ET302" s="2686">
        <v>6</v>
      </c>
      <c r="EV302" s="985"/>
      <c r="EW302" s="985"/>
      <c r="EX302" s="387"/>
      <c r="EY302" s="939"/>
      <c r="EZ302" s="886"/>
    </row>
    <row r="303" spans="31:156" hidden="1">
      <c r="CJ303" s="197"/>
      <c r="CK303" s="197"/>
      <c r="CL303" s="197"/>
      <c r="CM303" s="213"/>
      <c r="CN303" s="213"/>
      <c r="CO303" s="197"/>
      <c r="CP303" s="197"/>
      <c r="CQ303" s="197"/>
      <c r="CR303" s="197"/>
      <c r="CS303" s="197"/>
      <c r="CT303" s="197"/>
      <c r="CU303" s="197"/>
      <c r="CV303" s="197"/>
      <c r="CW303" s="197"/>
      <c r="CX303" s="959"/>
      <c r="CY303" s="959"/>
      <c r="CZ303" s="959"/>
      <c r="DA303" s="959"/>
      <c r="DB303" s="959"/>
      <c r="DC303" s="891">
        <v>2161</v>
      </c>
      <c r="DD303" s="891" t="s">
        <v>4025</v>
      </c>
      <c r="DE303" s="891" t="s">
        <v>402</v>
      </c>
      <c r="DF303" s="891">
        <v>3</v>
      </c>
      <c r="DG303" s="959"/>
      <c r="DH303" s="959"/>
      <c r="ER303" s="905">
        <v>2682</v>
      </c>
      <c r="ES303" s="906" t="s">
        <v>2364</v>
      </c>
      <c r="ET303" s="2686">
        <v>6</v>
      </c>
      <c r="EV303" s="985"/>
      <c r="EW303" s="985"/>
      <c r="EX303" s="387"/>
      <c r="EY303" s="939"/>
      <c r="EZ303" s="886"/>
    </row>
    <row r="304" spans="31:156" hidden="1">
      <c r="CJ304" s="197"/>
      <c r="CK304" s="197"/>
      <c r="CL304" s="197"/>
      <c r="CM304" s="213"/>
      <c r="CN304" s="213"/>
      <c r="CO304" s="197"/>
      <c r="CP304" s="197"/>
      <c r="CQ304" s="197"/>
      <c r="CR304" s="197"/>
      <c r="CS304" s="197"/>
      <c r="CT304" s="197"/>
      <c r="CU304" s="197"/>
      <c r="CV304" s="197"/>
      <c r="CW304" s="197"/>
      <c r="CX304" s="959"/>
      <c r="CY304" s="959"/>
      <c r="CZ304" s="959"/>
      <c r="DA304" s="959"/>
      <c r="DB304" s="959"/>
      <c r="DC304" s="891">
        <v>2162</v>
      </c>
      <c r="DD304" s="891" t="s">
        <v>4026</v>
      </c>
      <c r="DE304" s="891" t="s">
        <v>402</v>
      </c>
      <c r="DF304" s="891">
        <v>5</v>
      </c>
      <c r="DG304" s="959"/>
      <c r="DH304" s="959"/>
      <c r="ER304" s="905">
        <v>2683</v>
      </c>
      <c r="ES304" s="906" t="s">
        <v>2365</v>
      </c>
      <c r="ET304" s="2686">
        <v>6</v>
      </c>
      <c r="EV304" s="985"/>
      <c r="EW304" s="985"/>
      <c r="EX304" s="387"/>
      <c r="EY304" s="939"/>
      <c r="EZ304" s="886"/>
    </row>
    <row r="305" spans="88:156" hidden="1">
      <c r="CJ305" s="197"/>
      <c r="CK305" s="197"/>
      <c r="CL305" s="197"/>
      <c r="CM305" s="213"/>
      <c r="CN305" s="213"/>
      <c r="CO305" s="197"/>
      <c r="CP305" s="197"/>
      <c r="CQ305" s="197"/>
      <c r="CR305" s="197"/>
      <c r="CS305" s="197"/>
      <c r="CT305" s="197"/>
      <c r="CU305" s="197"/>
      <c r="CV305" s="197"/>
      <c r="CW305" s="197"/>
      <c r="CX305" s="959"/>
      <c r="CY305" s="959"/>
      <c r="CZ305" s="959"/>
      <c r="DA305" s="959"/>
      <c r="DB305" s="959"/>
      <c r="DC305" s="891">
        <v>2163</v>
      </c>
      <c r="DD305" s="891" t="s">
        <v>4027</v>
      </c>
      <c r="DE305" s="891" t="s">
        <v>402</v>
      </c>
      <c r="DF305" s="891">
        <v>5</v>
      </c>
      <c r="DG305" s="959"/>
      <c r="DH305" s="959"/>
      <c r="ER305" s="905">
        <v>2685</v>
      </c>
      <c r="ES305" s="906" t="s">
        <v>2366</v>
      </c>
      <c r="ET305" s="2686">
        <v>9</v>
      </c>
      <c r="EV305" s="985"/>
      <c r="EW305" s="985"/>
      <c r="EX305" s="387"/>
      <c r="EY305" s="939"/>
      <c r="EZ305" s="886"/>
    </row>
    <row r="306" spans="88:156" hidden="1">
      <c r="CJ306" s="197"/>
      <c r="CK306" s="197"/>
      <c r="CL306" s="197"/>
      <c r="CM306" s="213"/>
      <c r="CN306" s="213"/>
      <c r="CO306" s="197"/>
      <c r="CP306" s="197"/>
      <c r="CQ306" s="197"/>
      <c r="CR306" s="197"/>
      <c r="CS306" s="197"/>
      <c r="CT306" s="197"/>
      <c r="CU306" s="197"/>
      <c r="CV306" s="197"/>
      <c r="CW306" s="197"/>
      <c r="CX306" s="959"/>
      <c r="CY306" s="959"/>
      <c r="CZ306" s="959"/>
      <c r="DA306" s="959"/>
      <c r="DB306" s="959"/>
      <c r="DC306" s="891">
        <v>2164</v>
      </c>
      <c r="DD306" s="891" t="s">
        <v>4028</v>
      </c>
      <c r="DE306" s="891" t="s">
        <v>434</v>
      </c>
      <c r="DF306" s="891">
        <v>5</v>
      </c>
      <c r="DG306" s="959"/>
      <c r="DH306" s="959"/>
      <c r="ER306" s="905">
        <v>2686</v>
      </c>
      <c r="ES306" s="906" t="s">
        <v>2367</v>
      </c>
      <c r="ET306" s="2686">
        <v>9</v>
      </c>
      <c r="EV306" s="985"/>
      <c r="EW306" s="985"/>
      <c r="EX306" s="387"/>
      <c r="EY306" s="939"/>
      <c r="EZ306" s="886"/>
    </row>
    <row r="307" spans="88:156" hidden="1">
      <c r="CJ307" s="197"/>
      <c r="CK307" s="197"/>
      <c r="CL307" s="197"/>
      <c r="CM307" s="213"/>
      <c r="CN307" s="213"/>
      <c r="CO307" s="197"/>
      <c r="CP307" s="197"/>
      <c r="CQ307" s="197"/>
      <c r="CR307" s="197"/>
      <c r="CS307" s="197"/>
      <c r="CT307" s="197"/>
      <c r="CU307" s="197"/>
      <c r="CV307" s="197"/>
      <c r="CW307" s="197"/>
      <c r="CX307" s="959"/>
      <c r="CY307" s="959"/>
      <c r="CZ307" s="959"/>
      <c r="DA307" s="959"/>
      <c r="DB307" s="959"/>
      <c r="DC307" s="891">
        <v>2165</v>
      </c>
      <c r="DD307" s="891" t="s">
        <v>4029</v>
      </c>
      <c r="DE307" s="891" t="s">
        <v>406</v>
      </c>
      <c r="DF307" s="891">
        <v>5</v>
      </c>
      <c r="DG307" s="959"/>
      <c r="DH307" s="959"/>
      <c r="ER307" s="905">
        <v>2687</v>
      </c>
      <c r="ES307" s="906" t="s">
        <v>2368</v>
      </c>
      <c r="ET307" s="2686">
        <v>9</v>
      </c>
      <c r="EV307" s="985"/>
      <c r="EW307" s="985"/>
      <c r="EX307" s="387"/>
      <c r="EY307" s="939"/>
      <c r="EZ307" s="886"/>
    </row>
    <row r="308" spans="88:156" hidden="1">
      <c r="CJ308" s="197"/>
      <c r="CK308" s="197"/>
      <c r="CL308" s="197"/>
      <c r="CM308" s="213"/>
      <c r="CN308" s="213"/>
      <c r="CO308" s="197"/>
      <c r="CP308" s="197"/>
      <c r="CQ308" s="197"/>
      <c r="CR308" s="197"/>
      <c r="CS308" s="197"/>
      <c r="CT308" s="197"/>
      <c r="CU308" s="197"/>
      <c r="CV308" s="197"/>
      <c r="CW308" s="197"/>
      <c r="CX308" s="959"/>
      <c r="CY308" s="959"/>
      <c r="CZ308" s="959"/>
      <c r="DA308" s="959"/>
      <c r="DB308" s="959"/>
      <c r="DC308" s="891">
        <v>2166</v>
      </c>
      <c r="DD308" s="891" t="s">
        <v>4030</v>
      </c>
      <c r="DE308" s="891" t="s">
        <v>406</v>
      </c>
      <c r="DF308" s="891">
        <v>5</v>
      </c>
      <c r="DG308" s="959"/>
      <c r="DH308" s="959"/>
      <c r="ER308" s="905">
        <v>2688</v>
      </c>
      <c r="ES308" s="906" t="s">
        <v>2369</v>
      </c>
      <c r="ET308" s="2686">
        <v>9</v>
      </c>
      <c r="EV308" s="985"/>
      <c r="EW308" s="985"/>
      <c r="EX308" s="387"/>
      <c r="EY308" s="939"/>
      <c r="EZ308" s="886"/>
    </row>
    <row r="309" spans="88:156" hidden="1">
      <c r="CJ309" s="197"/>
      <c r="CK309" s="197"/>
      <c r="CL309" s="197"/>
      <c r="CM309" s="213"/>
      <c r="CN309" s="213"/>
      <c r="CO309" s="197"/>
      <c r="CP309" s="197"/>
      <c r="CQ309" s="197"/>
      <c r="CR309" s="197"/>
      <c r="CS309" s="197"/>
      <c r="CT309" s="197"/>
      <c r="CU309" s="197"/>
      <c r="CV309" s="197"/>
      <c r="CW309" s="197"/>
      <c r="CX309" s="959"/>
      <c r="CY309" s="959"/>
      <c r="CZ309" s="959"/>
      <c r="DA309" s="959"/>
      <c r="DB309" s="959"/>
      <c r="DC309" s="891">
        <v>2167</v>
      </c>
      <c r="DD309" s="891" t="s">
        <v>4031</v>
      </c>
      <c r="DE309" s="891" t="s">
        <v>406</v>
      </c>
      <c r="DF309" s="891">
        <v>3</v>
      </c>
      <c r="DG309" s="959"/>
      <c r="DH309" s="959"/>
      <c r="ER309" s="905">
        <v>2691</v>
      </c>
      <c r="ES309" s="906" t="s">
        <v>2370</v>
      </c>
      <c r="ET309" s="2686">
        <v>9</v>
      </c>
      <c r="EV309" s="985"/>
      <c r="EW309" s="985"/>
      <c r="EX309" s="387"/>
      <c r="EY309" s="939"/>
      <c r="EZ309" s="886"/>
    </row>
    <row r="310" spans="88:156" hidden="1">
      <c r="CJ310" s="197"/>
      <c r="CK310" s="197"/>
      <c r="CL310" s="197"/>
      <c r="CM310" s="213"/>
      <c r="CN310" s="213"/>
      <c r="CO310" s="197"/>
      <c r="CP310" s="197"/>
      <c r="CQ310" s="197"/>
      <c r="CR310" s="197"/>
      <c r="CS310" s="197"/>
      <c r="CT310" s="197"/>
      <c r="CU310" s="197"/>
      <c r="CV310" s="197"/>
      <c r="CW310" s="197"/>
      <c r="CX310" s="959"/>
      <c r="CY310" s="959"/>
      <c r="CZ310" s="959"/>
      <c r="DA310" s="959"/>
      <c r="DB310" s="959"/>
      <c r="DC310" s="891">
        <v>2170</v>
      </c>
      <c r="DD310" s="891" t="s">
        <v>4032</v>
      </c>
      <c r="DE310" s="891" t="s">
        <v>417</v>
      </c>
      <c r="DF310" s="891">
        <v>5</v>
      </c>
      <c r="DG310" s="959"/>
      <c r="DH310" s="959"/>
      <c r="ER310" s="905">
        <v>2692</v>
      </c>
      <c r="ES310" s="906" t="s">
        <v>2371</v>
      </c>
      <c r="ET310" s="2686">
        <v>9</v>
      </c>
      <c r="EV310" s="985"/>
      <c r="EW310" s="985"/>
      <c r="EX310" s="387"/>
      <c r="EY310" s="939"/>
      <c r="EZ310" s="886"/>
    </row>
    <row r="311" spans="88:156" hidden="1">
      <c r="CJ311" s="197"/>
      <c r="CK311" s="197"/>
      <c r="CL311" s="197"/>
      <c r="CM311" s="213"/>
      <c r="CN311" s="213"/>
      <c r="CO311" s="197"/>
      <c r="CP311" s="197"/>
      <c r="CQ311" s="197"/>
      <c r="CR311" s="197"/>
      <c r="CS311" s="197"/>
      <c r="CT311" s="197"/>
      <c r="CU311" s="197"/>
      <c r="CV311" s="197"/>
      <c r="CW311" s="197"/>
      <c r="CX311" s="959"/>
      <c r="CY311" s="959"/>
      <c r="CZ311" s="959"/>
      <c r="DA311" s="959"/>
      <c r="DB311" s="959"/>
      <c r="DC311" s="891">
        <v>2173</v>
      </c>
      <c r="DD311" s="891" t="s">
        <v>4033</v>
      </c>
      <c r="DE311" s="891" t="s">
        <v>423</v>
      </c>
      <c r="DF311" s="891">
        <v>5</v>
      </c>
      <c r="DG311" s="959"/>
      <c r="DH311" s="959"/>
      <c r="ER311" s="905">
        <v>2693</v>
      </c>
      <c r="ES311" s="906" t="s">
        <v>2372</v>
      </c>
      <c r="ET311" s="2686">
        <v>9</v>
      </c>
      <c r="EV311" s="985"/>
      <c r="EW311" s="985"/>
      <c r="EX311" s="387"/>
      <c r="EY311" s="939"/>
      <c r="EZ311" s="886"/>
    </row>
    <row r="312" spans="88:156" hidden="1">
      <c r="CJ312" s="197"/>
      <c r="CK312" s="197"/>
      <c r="CL312" s="197"/>
      <c r="CM312" s="213"/>
      <c r="CN312" s="213"/>
      <c r="CO312" s="197"/>
      <c r="CP312" s="197"/>
      <c r="CQ312" s="197"/>
      <c r="CR312" s="197"/>
      <c r="CS312" s="197"/>
      <c r="CT312" s="197"/>
      <c r="CU312" s="197"/>
      <c r="CV312" s="197"/>
      <c r="CW312" s="197"/>
      <c r="CX312" s="959"/>
      <c r="CY312" s="959"/>
      <c r="CZ312" s="959"/>
      <c r="DA312" s="959"/>
      <c r="DB312" s="959"/>
      <c r="DC312" s="891">
        <v>2174</v>
      </c>
      <c r="DD312" s="891" t="s">
        <v>4034</v>
      </c>
      <c r="DE312" s="891" t="s">
        <v>423</v>
      </c>
      <c r="DF312" s="891">
        <v>5</v>
      </c>
      <c r="DG312" s="959"/>
      <c r="DH312" s="959"/>
      <c r="ER312" s="905">
        <v>2694</v>
      </c>
      <c r="ES312" s="906" t="s">
        <v>49</v>
      </c>
      <c r="ET312" s="2686">
        <v>9</v>
      </c>
      <c r="EV312" s="985"/>
      <c r="EW312" s="985"/>
      <c r="EX312" s="387"/>
      <c r="EY312" s="939"/>
      <c r="EZ312" s="886"/>
    </row>
    <row r="313" spans="88:156" hidden="1">
      <c r="CJ313" s="197"/>
      <c r="CK313" s="197"/>
      <c r="CL313" s="197"/>
      <c r="CM313" s="213"/>
      <c r="CN313" s="213"/>
      <c r="CO313" s="197"/>
      <c r="CP313" s="197"/>
      <c r="CQ313" s="197"/>
      <c r="CR313" s="197"/>
      <c r="CS313" s="197"/>
      <c r="CT313" s="197"/>
      <c r="CU313" s="197"/>
      <c r="CV313" s="197"/>
      <c r="CW313" s="197"/>
      <c r="CX313" s="959"/>
      <c r="CY313" s="959"/>
      <c r="CZ313" s="959"/>
      <c r="DA313" s="959"/>
      <c r="DB313" s="959"/>
      <c r="DC313" s="891">
        <v>2175</v>
      </c>
      <c r="DD313" s="891" t="s">
        <v>4035</v>
      </c>
      <c r="DE313" s="891" t="s">
        <v>423</v>
      </c>
      <c r="DF313" s="891">
        <v>5</v>
      </c>
      <c r="DG313" s="959"/>
      <c r="DH313" s="959"/>
      <c r="ER313" s="905">
        <v>2694</v>
      </c>
      <c r="ES313" s="906" t="s">
        <v>50</v>
      </c>
      <c r="ET313" s="2686">
        <v>9</v>
      </c>
      <c r="EV313" s="985"/>
      <c r="EW313" s="985"/>
      <c r="EX313" s="387"/>
      <c r="EY313" s="939"/>
      <c r="EZ313" s="886"/>
    </row>
    <row r="314" spans="88:156" hidden="1">
      <c r="CJ314" s="197"/>
      <c r="CK314" s="197"/>
      <c r="CL314" s="197"/>
      <c r="CM314" s="213"/>
      <c r="CN314" s="213"/>
      <c r="CO314" s="197"/>
      <c r="CP314" s="197"/>
      <c r="CQ314" s="197"/>
      <c r="CR314" s="197"/>
      <c r="CS314" s="197"/>
      <c r="CT314" s="197"/>
      <c r="CU314" s="197"/>
      <c r="CV314" s="197"/>
      <c r="CW314" s="197"/>
      <c r="CX314" s="959"/>
      <c r="CY314" s="959"/>
      <c r="CZ314" s="959"/>
      <c r="DA314" s="959"/>
      <c r="DB314" s="959"/>
      <c r="DC314" s="891">
        <v>2176</v>
      </c>
      <c r="DD314" s="891" t="s">
        <v>4036</v>
      </c>
      <c r="DE314" s="891" t="s">
        <v>423</v>
      </c>
      <c r="DF314" s="891">
        <v>5</v>
      </c>
      <c r="DG314" s="959"/>
      <c r="DH314" s="959"/>
      <c r="ER314" s="905">
        <v>2694</v>
      </c>
      <c r="ES314" s="906" t="s">
        <v>51</v>
      </c>
      <c r="ET314" s="2686">
        <v>9</v>
      </c>
      <c r="EV314" s="985"/>
      <c r="EW314" s="985"/>
      <c r="EX314" s="387"/>
      <c r="EY314" s="939"/>
      <c r="EZ314" s="886"/>
    </row>
    <row r="315" spans="88:156" hidden="1">
      <c r="CJ315" s="197"/>
      <c r="CK315" s="197"/>
      <c r="CL315" s="197"/>
      <c r="CM315" s="213"/>
      <c r="CN315" s="213"/>
      <c r="CO315" s="197"/>
      <c r="CP315" s="197"/>
      <c r="CQ315" s="197"/>
      <c r="CR315" s="197"/>
      <c r="CS315" s="197"/>
      <c r="CT315" s="197"/>
      <c r="CU315" s="197"/>
      <c r="CV315" s="197"/>
      <c r="CW315" s="197"/>
      <c r="CX315" s="959"/>
      <c r="CY315" s="959"/>
      <c r="CZ315" s="959"/>
      <c r="DA315" s="959"/>
      <c r="DB315" s="959"/>
      <c r="DC315" s="891">
        <v>2177</v>
      </c>
      <c r="DD315" s="891" t="s">
        <v>4037</v>
      </c>
      <c r="DE315" s="891" t="s">
        <v>432</v>
      </c>
      <c r="DF315" s="891">
        <v>5</v>
      </c>
      <c r="DG315" s="959"/>
      <c r="DH315" s="959"/>
      <c r="ER315" s="905">
        <v>2696</v>
      </c>
      <c r="ES315" s="906" t="s">
        <v>2917</v>
      </c>
      <c r="ET315" s="2686">
        <v>9</v>
      </c>
      <c r="EV315" s="985"/>
      <c r="EW315" s="985"/>
      <c r="EX315" s="387"/>
      <c r="EY315" s="939"/>
      <c r="EZ315" s="886"/>
    </row>
    <row r="316" spans="88:156" hidden="1">
      <c r="CJ316" s="197"/>
      <c r="CK316" s="197"/>
      <c r="CL316" s="197"/>
      <c r="CM316" s="213"/>
      <c r="CN316" s="213"/>
      <c r="CO316" s="197"/>
      <c r="CP316" s="197"/>
      <c r="CQ316" s="197"/>
      <c r="CR316" s="197"/>
      <c r="CS316" s="197"/>
      <c r="CT316" s="197"/>
      <c r="CU316" s="197"/>
      <c r="CV316" s="197"/>
      <c r="CW316" s="197"/>
      <c r="CX316" s="959"/>
      <c r="CY316" s="959"/>
      <c r="CZ316" s="959"/>
      <c r="DA316" s="959"/>
      <c r="DB316" s="959"/>
      <c r="DC316" s="891">
        <v>2181</v>
      </c>
      <c r="DD316" s="891" t="s">
        <v>4038</v>
      </c>
      <c r="DE316" s="891" t="s">
        <v>2808</v>
      </c>
      <c r="DF316" s="891">
        <v>5</v>
      </c>
      <c r="DG316" s="959"/>
      <c r="DH316" s="959"/>
      <c r="ER316" s="905">
        <v>2697</v>
      </c>
      <c r="ES316" s="906" t="s">
        <v>52</v>
      </c>
      <c r="ET316" s="2686">
        <v>9</v>
      </c>
      <c r="EV316" s="985"/>
      <c r="EW316" s="985"/>
      <c r="EX316" s="387"/>
      <c r="EY316" s="939"/>
      <c r="EZ316" s="886"/>
    </row>
    <row r="317" spans="88:156" hidden="1">
      <c r="CJ317" s="197"/>
      <c r="CK317" s="197"/>
      <c r="CL317" s="197"/>
      <c r="CM317" s="213"/>
      <c r="CN317" s="213"/>
      <c r="CO317" s="197"/>
      <c r="CP317" s="197"/>
      <c r="CQ317" s="197"/>
      <c r="CR317" s="197"/>
      <c r="CS317" s="197"/>
      <c r="CT317" s="197"/>
      <c r="CU317" s="197"/>
      <c r="CV317" s="197"/>
      <c r="CW317" s="197"/>
      <c r="CX317" s="959"/>
      <c r="CY317" s="959"/>
      <c r="CZ317" s="959"/>
      <c r="DA317" s="959"/>
      <c r="DB317" s="959"/>
      <c r="DC317" s="891">
        <v>2182</v>
      </c>
      <c r="DD317" s="891" t="s">
        <v>4039</v>
      </c>
      <c r="DE317" s="891" t="s">
        <v>419</v>
      </c>
      <c r="DF317" s="891">
        <v>3</v>
      </c>
      <c r="DG317" s="959"/>
      <c r="DH317" s="959"/>
      <c r="ER317" s="905">
        <v>2698</v>
      </c>
      <c r="ES317" s="906" t="s">
        <v>2919</v>
      </c>
      <c r="ET317" s="2686">
        <v>9</v>
      </c>
      <c r="EV317" s="985"/>
      <c r="EW317" s="985"/>
      <c r="EX317" s="387"/>
      <c r="EY317" s="939"/>
      <c r="EZ317" s="886"/>
    </row>
    <row r="318" spans="88:156" hidden="1">
      <c r="CJ318" s="197"/>
      <c r="CK318" s="197"/>
      <c r="CL318" s="197"/>
      <c r="CM318" s="213"/>
      <c r="CN318" s="213"/>
      <c r="CO318" s="197"/>
      <c r="CP318" s="197"/>
      <c r="CQ318" s="197"/>
      <c r="CR318" s="197"/>
      <c r="CS318" s="197"/>
      <c r="CT318" s="197"/>
      <c r="CU318" s="197"/>
      <c r="CV318" s="197"/>
      <c r="CW318" s="197"/>
      <c r="CX318" s="959"/>
      <c r="CY318" s="959"/>
      <c r="CZ318" s="959"/>
      <c r="DA318" s="959"/>
      <c r="DB318" s="959"/>
      <c r="DC318" s="891">
        <v>2183</v>
      </c>
      <c r="DD318" s="891" t="s">
        <v>4040</v>
      </c>
      <c r="DE318" s="891" t="s">
        <v>420</v>
      </c>
      <c r="DF318" s="891">
        <v>5</v>
      </c>
      <c r="DG318" s="959"/>
      <c r="DH318" s="959"/>
      <c r="ER318" s="905">
        <v>2699</v>
      </c>
      <c r="ES318" s="906" t="s">
        <v>2920</v>
      </c>
      <c r="ET318" s="2686">
        <v>9</v>
      </c>
      <c r="EV318" s="985"/>
      <c r="EW318" s="985"/>
      <c r="EX318" s="387"/>
      <c r="EY318" s="939"/>
      <c r="EZ318" s="886"/>
    </row>
    <row r="319" spans="88:156" hidden="1">
      <c r="CJ319" s="197"/>
      <c r="CK319" s="197"/>
      <c r="CL319" s="197"/>
      <c r="CM319" s="213"/>
      <c r="CN319" s="213"/>
      <c r="CO319" s="197"/>
      <c r="CP319" s="197"/>
      <c r="CQ319" s="197"/>
      <c r="CR319" s="197"/>
      <c r="CS319" s="197"/>
      <c r="CT319" s="197"/>
      <c r="CU319" s="197"/>
      <c r="CV319" s="197"/>
      <c r="CW319" s="197"/>
      <c r="CX319" s="959"/>
      <c r="CY319" s="959"/>
      <c r="CZ319" s="959"/>
      <c r="DA319" s="959"/>
      <c r="DB319" s="959"/>
      <c r="DC319" s="891">
        <v>2184</v>
      </c>
      <c r="DD319" s="891" t="s">
        <v>4041</v>
      </c>
      <c r="DE319" s="891" t="s">
        <v>406</v>
      </c>
      <c r="DF319" s="891">
        <v>5</v>
      </c>
      <c r="DG319" s="959"/>
      <c r="DH319" s="959"/>
      <c r="ER319" s="905">
        <v>2700</v>
      </c>
      <c r="ES319" s="906" t="s">
        <v>2921</v>
      </c>
      <c r="ET319" s="2686">
        <v>9</v>
      </c>
      <c r="EV319" s="985"/>
      <c r="EW319" s="985"/>
      <c r="EX319" s="387"/>
      <c r="EY319" s="939"/>
      <c r="EZ319" s="886"/>
    </row>
    <row r="320" spans="88:156" hidden="1">
      <c r="CJ320" s="197"/>
      <c r="CK320" s="197"/>
      <c r="CL320" s="197"/>
      <c r="CM320" s="213"/>
      <c r="CN320" s="213"/>
      <c r="CO320" s="197"/>
      <c r="CP320" s="197"/>
      <c r="CQ320" s="197"/>
      <c r="CR320" s="197"/>
      <c r="CS320" s="197"/>
      <c r="CT320" s="197"/>
      <c r="CU320" s="197"/>
      <c r="CV320" s="197"/>
      <c r="CW320" s="197"/>
      <c r="CX320" s="959"/>
      <c r="CY320" s="959"/>
      <c r="CZ320" s="959"/>
      <c r="DA320" s="959"/>
      <c r="DB320" s="959"/>
      <c r="DC320" s="891">
        <v>2185</v>
      </c>
      <c r="DD320" s="891" t="s">
        <v>4042</v>
      </c>
      <c r="DE320" s="891" t="s">
        <v>412</v>
      </c>
      <c r="DF320" s="891">
        <v>5</v>
      </c>
      <c r="DG320" s="959"/>
      <c r="DH320" s="959"/>
      <c r="ER320" s="905">
        <v>2711</v>
      </c>
      <c r="ES320" s="906" t="s">
        <v>2922</v>
      </c>
      <c r="ET320" s="2686">
        <v>9</v>
      </c>
      <c r="EV320" s="985"/>
      <c r="EW320" s="985"/>
      <c r="EX320" s="387"/>
      <c r="EY320" s="939"/>
      <c r="EZ320" s="886"/>
    </row>
    <row r="321" spans="31:156" hidden="1">
      <c r="CJ321" s="197"/>
      <c r="CK321" s="197"/>
      <c r="CL321" s="197"/>
      <c r="CM321" s="213"/>
      <c r="CN321" s="213"/>
      <c r="CO321" s="197"/>
      <c r="CP321" s="197"/>
      <c r="CQ321" s="197"/>
      <c r="CR321" s="197"/>
      <c r="CS321" s="197"/>
      <c r="CT321" s="197"/>
      <c r="CU321" s="197"/>
      <c r="CV321" s="197"/>
      <c r="CW321" s="197"/>
      <c r="CX321" s="959"/>
      <c r="CY321" s="959"/>
      <c r="CZ321" s="959"/>
      <c r="DA321" s="959"/>
      <c r="DB321" s="959"/>
      <c r="DC321" s="891">
        <v>2191</v>
      </c>
      <c r="DD321" s="891" t="s">
        <v>4043</v>
      </c>
      <c r="DE321" s="891" t="s">
        <v>435</v>
      </c>
      <c r="DF321" s="891">
        <v>3</v>
      </c>
      <c r="DG321" s="959"/>
      <c r="DH321" s="959"/>
      <c r="ER321" s="905">
        <v>2712</v>
      </c>
      <c r="ES321" s="906" t="s">
        <v>2923</v>
      </c>
      <c r="ET321" s="2686">
        <v>9</v>
      </c>
      <c r="EV321" s="985"/>
      <c r="EW321" s="985"/>
      <c r="EX321" s="387"/>
      <c r="EY321" s="939"/>
      <c r="EZ321" s="886"/>
    </row>
    <row r="322" spans="31:156" hidden="1">
      <c r="CJ322" s="197"/>
      <c r="CK322" s="197"/>
      <c r="CL322" s="197"/>
      <c r="CM322" s="213"/>
      <c r="CN322" s="213"/>
      <c r="CO322" s="197"/>
      <c r="CP322" s="197"/>
      <c r="CQ322" s="197"/>
      <c r="CR322" s="197"/>
      <c r="CS322" s="197"/>
      <c r="CT322" s="197"/>
      <c r="CU322" s="197"/>
      <c r="CV322" s="197"/>
      <c r="CW322" s="197"/>
      <c r="CX322" s="959"/>
      <c r="CY322" s="959"/>
      <c r="CZ322" s="959"/>
      <c r="DA322" s="959"/>
      <c r="DB322" s="959"/>
      <c r="DC322" s="891">
        <v>2192</v>
      </c>
      <c r="DD322" s="891" t="s">
        <v>4044</v>
      </c>
      <c r="DE322" s="891" t="s">
        <v>435</v>
      </c>
      <c r="DF322" s="891">
        <v>5</v>
      </c>
      <c r="DG322" s="959"/>
      <c r="DH322" s="959"/>
      <c r="ER322" s="905">
        <v>2713</v>
      </c>
      <c r="ES322" s="906" t="s">
        <v>2924</v>
      </c>
      <c r="ET322" s="2686">
        <v>9</v>
      </c>
      <c r="EV322" s="985"/>
      <c r="EW322" s="985"/>
      <c r="EX322" s="387"/>
      <c r="EY322" s="939"/>
      <c r="EZ322" s="886"/>
    </row>
    <row r="323" spans="31:156" hidden="1">
      <c r="AE323" s="8"/>
      <c r="AF323" s="8"/>
      <c r="CJ323" s="197"/>
      <c r="CK323" s="197"/>
      <c r="CL323" s="197"/>
      <c r="CM323" s="213"/>
      <c r="CN323" s="213"/>
      <c r="CO323" s="197"/>
      <c r="CP323" s="197"/>
      <c r="CQ323" s="197"/>
      <c r="CR323" s="197"/>
      <c r="CS323" s="197"/>
      <c r="CT323" s="197"/>
      <c r="CU323" s="197"/>
      <c r="CV323" s="197"/>
      <c r="CW323" s="197"/>
      <c r="CX323" s="959"/>
      <c r="CY323" s="959"/>
      <c r="CZ323" s="959"/>
      <c r="DA323" s="959"/>
      <c r="DB323" s="959"/>
      <c r="DC323" s="891">
        <v>2193</v>
      </c>
      <c r="DD323" s="891" t="s">
        <v>4045</v>
      </c>
      <c r="DE323" s="891" t="s">
        <v>435</v>
      </c>
      <c r="DF323" s="891">
        <v>5</v>
      </c>
      <c r="DG323" s="959"/>
      <c r="DH323" s="959"/>
      <c r="ER323" s="905">
        <v>2721</v>
      </c>
      <c r="ES323" s="906" t="s">
        <v>2925</v>
      </c>
      <c r="ET323" s="2686">
        <v>9</v>
      </c>
      <c r="EU323" s="895">
        <v>1</v>
      </c>
      <c r="EV323" s="985"/>
      <c r="EW323" s="985"/>
      <c r="EX323" s="387"/>
      <c r="EY323" s="939"/>
      <c r="EZ323" s="886"/>
    </row>
    <row r="324" spans="31:156" hidden="1">
      <c r="AE324" s="8"/>
      <c r="AF324" s="8"/>
      <c r="CJ324" s="197"/>
      <c r="CK324" s="197"/>
      <c r="CL324" s="197"/>
      <c r="CM324" s="213"/>
      <c r="CN324" s="213"/>
      <c r="CO324" s="197"/>
      <c r="CP324" s="197"/>
      <c r="CQ324" s="197"/>
      <c r="CR324" s="197"/>
      <c r="CS324" s="197"/>
      <c r="CT324" s="197"/>
      <c r="CU324" s="197"/>
      <c r="CV324" s="197"/>
      <c r="CW324" s="197"/>
      <c r="CX324" s="959"/>
      <c r="CY324" s="959"/>
      <c r="CZ324" s="959"/>
      <c r="DA324" s="959"/>
      <c r="DB324" s="959"/>
      <c r="DC324" s="891">
        <v>2194</v>
      </c>
      <c r="DD324" s="891" t="s">
        <v>4046</v>
      </c>
      <c r="DE324" s="891" t="s">
        <v>423</v>
      </c>
      <c r="DF324" s="891">
        <v>5</v>
      </c>
      <c r="DG324" s="959"/>
      <c r="DH324" s="959"/>
      <c r="ER324" s="905">
        <v>2723</v>
      </c>
      <c r="ES324" s="906" t="s">
        <v>2926</v>
      </c>
      <c r="ET324" s="2686">
        <v>9</v>
      </c>
      <c r="EV324" s="985"/>
      <c r="EW324" s="985"/>
      <c r="EX324" s="387"/>
      <c r="EY324" s="939"/>
      <c r="EZ324" s="886"/>
    </row>
    <row r="325" spans="31:156" ht="38.25" hidden="1">
      <c r="AE325" s="18"/>
      <c r="AF325" s="18" t="s">
        <v>4887</v>
      </c>
      <c r="AG325" s="54" t="s">
        <v>4894</v>
      </c>
      <c r="AH325" s="54" t="s">
        <v>4895</v>
      </c>
      <c r="AI325" s="54"/>
      <c r="AJ325" s="54" t="s">
        <v>2445</v>
      </c>
      <c r="AK325" s="54" t="s">
        <v>2446</v>
      </c>
      <c r="AL325" s="868"/>
      <c r="CJ325" s="197"/>
      <c r="CK325" s="197"/>
      <c r="CL325" s="197"/>
      <c r="CM325" s="213"/>
      <c r="CN325" s="213"/>
      <c r="CO325" s="197"/>
      <c r="CP325" s="197"/>
      <c r="CQ325" s="197"/>
      <c r="CR325" s="197"/>
      <c r="CS325" s="197"/>
      <c r="CT325" s="197"/>
      <c r="CU325" s="197"/>
      <c r="CV325" s="197"/>
      <c r="CW325" s="197"/>
      <c r="CX325" s="959"/>
      <c r="CY325" s="959"/>
      <c r="CZ325" s="959"/>
      <c r="DA325" s="959"/>
      <c r="DB325" s="959"/>
      <c r="DC325" s="891">
        <v>2200</v>
      </c>
      <c r="DD325" s="891" t="s">
        <v>4047</v>
      </c>
      <c r="DE325" s="891" t="s">
        <v>427</v>
      </c>
      <c r="DF325" s="891">
        <v>6</v>
      </c>
      <c r="DG325" s="959"/>
      <c r="DH325" s="959"/>
      <c r="ER325" s="905">
        <v>2724</v>
      </c>
      <c r="ES325" s="906" t="s">
        <v>2927</v>
      </c>
      <c r="ET325" s="2686">
        <v>9</v>
      </c>
      <c r="EV325" s="985"/>
      <c r="EW325" s="985"/>
      <c r="EX325" s="387"/>
      <c r="EY325" s="939"/>
      <c r="EZ325" s="886"/>
    </row>
    <row r="326" spans="31:156" hidden="1">
      <c r="AE326" s="25" t="s">
        <v>1175</v>
      </c>
      <c r="AF326" s="25">
        <v>55710</v>
      </c>
      <c r="AG326" s="55">
        <v>44986</v>
      </c>
      <c r="AH326" s="55">
        <v>45666</v>
      </c>
      <c r="AI326" s="55"/>
      <c r="AJ326" s="55">
        <v>42654</v>
      </c>
      <c r="AK326" s="55">
        <v>37326</v>
      </c>
      <c r="AL326" s="869"/>
      <c r="CJ326" s="197"/>
      <c r="CK326" s="197"/>
      <c r="CL326" s="197"/>
      <c r="CM326" s="213"/>
      <c r="CN326" s="213"/>
      <c r="CO326" s="197"/>
      <c r="CP326" s="197"/>
      <c r="CQ326" s="197"/>
      <c r="CR326" s="197"/>
      <c r="CS326" s="197"/>
      <c r="CT326" s="197"/>
      <c r="CU326" s="197"/>
      <c r="CV326" s="197"/>
      <c r="CW326" s="197"/>
      <c r="CX326" s="959"/>
      <c r="CY326" s="959"/>
      <c r="CZ326" s="959"/>
      <c r="DA326" s="959"/>
      <c r="DB326" s="959"/>
      <c r="DC326" s="891">
        <v>2209</v>
      </c>
      <c r="DD326" s="891" t="s">
        <v>4048</v>
      </c>
      <c r="DE326" s="891" t="s">
        <v>2808</v>
      </c>
      <c r="DF326" s="891">
        <v>5</v>
      </c>
      <c r="DG326" s="959"/>
      <c r="DH326" s="959"/>
      <c r="ER326" s="905">
        <v>2730</v>
      </c>
      <c r="ES326" s="906" t="s">
        <v>2928</v>
      </c>
      <c r="ET326" s="2686">
        <v>9</v>
      </c>
      <c r="EV326" s="985"/>
      <c r="EW326" s="985"/>
      <c r="EX326" s="387"/>
      <c r="EY326" s="939"/>
      <c r="EZ326" s="886"/>
    </row>
    <row r="327" spans="31:156" hidden="1">
      <c r="AE327" s="25" t="s">
        <v>1176</v>
      </c>
      <c r="AF327" s="25">
        <v>63757</v>
      </c>
      <c r="AG327" s="55">
        <v>51484</v>
      </c>
      <c r="AH327" s="55">
        <v>52259</v>
      </c>
      <c r="AI327" s="55"/>
      <c r="AJ327" s="55">
        <v>48816</v>
      </c>
      <c r="AK327" s="55">
        <v>42718</v>
      </c>
      <c r="AL327" s="869"/>
      <c r="CJ327" s="197"/>
      <c r="CK327" s="197"/>
      <c r="CL327" s="197"/>
      <c r="CM327" s="213"/>
      <c r="CN327" s="213"/>
      <c r="CO327" s="197"/>
      <c r="CP327" s="197"/>
      <c r="CQ327" s="197"/>
      <c r="CR327" s="197"/>
      <c r="CS327" s="197"/>
      <c r="CT327" s="197"/>
      <c r="CU327" s="197"/>
      <c r="CV327" s="197"/>
      <c r="CW327" s="197"/>
      <c r="CX327" s="959"/>
      <c r="CY327" s="959"/>
      <c r="CZ327" s="959"/>
      <c r="DA327" s="959"/>
      <c r="DB327" s="959"/>
      <c r="DC327" s="891">
        <v>2211</v>
      </c>
      <c r="DD327" s="891" t="s">
        <v>4049</v>
      </c>
      <c r="DE327" s="891" t="s">
        <v>2808</v>
      </c>
      <c r="DF327" s="891">
        <v>5</v>
      </c>
      <c r="DG327" s="959"/>
      <c r="DH327" s="959"/>
      <c r="ER327" s="905">
        <v>2735</v>
      </c>
      <c r="ES327" s="906" t="s">
        <v>2929</v>
      </c>
      <c r="ET327" s="2686">
        <v>9</v>
      </c>
      <c r="EV327" s="985"/>
      <c r="EW327" s="985"/>
      <c r="EX327" s="387"/>
      <c r="EY327" s="939"/>
      <c r="EZ327" s="886"/>
    </row>
    <row r="328" spans="31:156" hidden="1">
      <c r="AE328" s="29" t="s">
        <v>1177</v>
      </c>
      <c r="AF328" s="53">
        <v>82497</v>
      </c>
      <c r="AG328" s="56">
        <v>66616</v>
      </c>
      <c r="AH328" s="56">
        <v>67623</v>
      </c>
      <c r="AI328" s="56"/>
      <c r="AJ328" s="56">
        <v>63163</v>
      </c>
      <c r="AK328" s="56">
        <v>55273</v>
      </c>
      <c r="AL328" s="297"/>
      <c r="CJ328" s="197"/>
      <c r="CK328" s="197"/>
      <c r="CL328" s="197"/>
      <c r="CM328" s="213"/>
      <c r="CN328" s="213"/>
      <c r="CO328" s="197"/>
      <c r="CP328" s="197"/>
      <c r="CQ328" s="197"/>
      <c r="CR328" s="197"/>
      <c r="CS328" s="197"/>
      <c r="CT328" s="197"/>
      <c r="CU328" s="197"/>
      <c r="CV328" s="197"/>
      <c r="CW328" s="197"/>
      <c r="CX328" s="959"/>
      <c r="CY328" s="959"/>
      <c r="CZ328" s="959"/>
      <c r="DA328" s="959"/>
      <c r="DB328" s="959"/>
      <c r="DC328" s="891">
        <v>2212</v>
      </c>
      <c r="DD328" s="891" t="s">
        <v>4050</v>
      </c>
      <c r="DE328" s="891" t="s">
        <v>2808</v>
      </c>
      <c r="DF328" s="891">
        <v>5</v>
      </c>
      <c r="DG328" s="959"/>
      <c r="DH328" s="959"/>
      <c r="ER328" s="905">
        <v>2736</v>
      </c>
      <c r="ES328" s="906" t="s">
        <v>2930</v>
      </c>
      <c r="ET328" s="2686">
        <v>9</v>
      </c>
      <c r="EV328" s="985"/>
      <c r="EW328" s="985"/>
      <c r="EX328" s="387"/>
      <c r="EY328" s="939"/>
      <c r="EZ328" s="886"/>
    </row>
    <row r="329" spans="31:156" hidden="1">
      <c r="AE329" s="29"/>
      <c r="AF329" s="53"/>
      <c r="AG329" s="56"/>
      <c r="AH329" s="56"/>
      <c r="AI329" s="56"/>
      <c r="AJ329" s="56"/>
      <c r="AK329" s="56"/>
      <c r="AL329" s="297"/>
      <c r="CJ329" s="197"/>
      <c r="CK329" s="197"/>
      <c r="CL329" s="197"/>
      <c r="CM329" s="213"/>
      <c r="CN329" s="213"/>
      <c r="CO329" s="197"/>
      <c r="CP329" s="197"/>
      <c r="CQ329" s="197"/>
      <c r="CR329" s="197"/>
      <c r="CS329" s="197"/>
      <c r="CT329" s="197"/>
      <c r="CU329" s="197"/>
      <c r="CV329" s="197"/>
      <c r="CW329" s="197"/>
      <c r="CX329" s="959"/>
      <c r="CY329" s="959"/>
      <c r="CZ329" s="959"/>
      <c r="DA329" s="959"/>
      <c r="DB329" s="959"/>
      <c r="DC329" s="891">
        <v>2213</v>
      </c>
      <c r="DD329" s="891" t="s">
        <v>4051</v>
      </c>
      <c r="DE329" s="891" t="s">
        <v>2808</v>
      </c>
      <c r="DF329" s="891">
        <v>6</v>
      </c>
      <c r="DG329" s="959"/>
      <c r="DH329" s="959"/>
      <c r="ER329" s="905">
        <v>2737</v>
      </c>
      <c r="ES329" s="906" t="s">
        <v>2931</v>
      </c>
      <c r="ET329" s="2686">
        <v>9</v>
      </c>
      <c r="EV329" s="985"/>
      <c r="EW329" s="985"/>
      <c r="EX329" s="387"/>
      <c r="EY329" s="939"/>
      <c r="EZ329" s="886"/>
    </row>
    <row r="330" spans="31:156" hidden="1">
      <c r="AE330" s="32" t="s">
        <v>1169</v>
      </c>
      <c r="AF330" s="36">
        <v>127072</v>
      </c>
      <c r="AG330" s="57">
        <v>83294</v>
      </c>
      <c r="AH330" s="57">
        <v>84556</v>
      </c>
      <c r="AI330" s="57"/>
      <c r="AJ330" s="57">
        <v>78977</v>
      </c>
      <c r="AK330" s="57">
        <v>69111</v>
      </c>
      <c r="AL330" s="68"/>
      <c r="CJ330" s="197"/>
      <c r="CK330" s="197"/>
      <c r="CL330" s="197"/>
      <c r="CM330" s="213"/>
      <c r="CN330" s="213"/>
      <c r="CO330" s="197"/>
      <c r="CP330" s="197"/>
      <c r="CQ330" s="197"/>
      <c r="CR330" s="197"/>
      <c r="CS330" s="197"/>
      <c r="CT330" s="197"/>
      <c r="CU330" s="197"/>
      <c r="CV330" s="197"/>
      <c r="CW330" s="197"/>
      <c r="CX330" s="959"/>
      <c r="CY330" s="959"/>
      <c r="CZ330" s="959"/>
      <c r="DA330" s="959"/>
      <c r="DB330" s="959"/>
      <c r="DC330" s="891">
        <v>2214</v>
      </c>
      <c r="DD330" s="891" t="s">
        <v>4052</v>
      </c>
      <c r="DE330" s="891" t="s">
        <v>410</v>
      </c>
      <c r="DF330" s="891">
        <v>6</v>
      </c>
      <c r="DG330" s="959"/>
      <c r="DH330" s="959"/>
      <c r="ER330" s="905">
        <v>2738</v>
      </c>
      <c r="ES330" s="906" t="s">
        <v>53</v>
      </c>
      <c r="ET330" s="2686">
        <v>9</v>
      </c>
      <c r="EV330" s="985"/>
      <c r="EW330" s="985"/>
      <c r="EX330" s="387"/>
      <c r="EY330" s="939"/>
      <c r="EZ330" s="886"/>
    </row>
    <row r="331" spans="31:156" hidden="1">
      <c r="AE331" s="32"/>
      <c r="AF331" s="36"/>
      <c r="AG331" s="57"/>
      <c r="AH331" s="57"/>
      <c r="AI331" s="57"/>
      <c r="AJ331" s="57"/>
      <c r="AK331" s="57"/>
      <c r="AL331" s="68"/>
      <c r="CJ331" s="197"/>
      <c r="CK331" s="197"/>
      <c r="CL331" s="197"/>
      <c r="CM331" s="213"/>
      <c r="CN331" s="213"/>
      <c r="CO331" s="197"/>
      <c r="CP331" s="197"/>
      <c r="CQ331" s="197"/>
      <c r="CR331" s="197"/>
      <c r="CS331" s="197"/>
      <c r="CT331" s="197"/>
      <c r="CU331" s="197"/>
      <c r="CV331" s="197"/>
      <c r="CW331" s="197"/>
      <c r="CX331" s="959"/>
      <c r="CY331" s="959"/>
      <c r="CZ331" s="959"/>
      <c r="DA331" s="959"/>
      <c r="DB331" s="959"/>
      <c r="DC331" s="891">
        <v>2215</v>
      </c>
      <c r="DD331" s="891" t="s">
        <v>4053</v>
      </c>
      <c r="DE331" s="891" t="s">
        <v>428</v>
      </c>
      <c r="DF331" s="891">
        <v>6</v>
      </c>
      <c r="DG331" s="959"/>
      <c r="DH331" s="959"/>
      <c r="ER331" s="905">
        <v>2740</v>
      </c>
      <c r="ES331" s="906" t="s">
        <v>2932</v>
      </c>
      <c r="ET331" s="2686">
        <v>9</v>
      </c>
      <c r="EV331" s="985"/>
      <c r="EW331" s="985"/>
      <c r="EX331" s="387"/>
      <c r="EY331" s="939"/>
      <c r="EZ331" s="886"/>
    </row>
    <row r="332" spans="31:156" hidden="1">
      <c r="AE332" s="25" t="s">
        <v>1170</v>
      </c>
      <c r="AF332" s="25">
        <v>164994</v>
      </c>
      <c r="AG332" s="55">
        <v>99264</v>
      </c>
      <c r="AH332" s="55">
        <v>100765</v>
      </c>
      <c r="AI332" s="55"/>
      <c r="AJ332" s="55">
        <v>94119</v>
      </c>
      <c r="AK332" s="55">
        <v>82361</v>
      </c>
      <c r="AL332" s="869"/>
      <c r="CJ332" s="197"/>
      <c r="CK332" s="197"/>
      <c r="CL332" s="197"/>
      <c r="CM332" s="213"/>
      <c r="CN332" s="213"/>
      <c r="CO332" s="197"/>
      <c r="CP332" s="197"/>
      <c r="CQ332" s="197"/>
      <c r="CR332" s="197"/>
      <c r="CS332" s="197"/>
      <c r="CT332" s="197"/>
      <c r="CU332" s="197"/>
      <c r="CV332" s="197"/>
      <c r="CW332" s="197"/>
      <c r="CX332" s="959"/>
      <c r="CY332" s="959"/>
      <c r="CZ332" s="959"/>
      <c r="DA332" s="959"/>
      <c r="DB332" s="959"/>
      <c r="DC332" s="891">
        <v>2216</v>
      </c>
      <c r="DD332" s="891" t="s">
        <v>4054</v>
      </c>
      <c r="DE332" s="891" t="s">
        <v>433</v>
      </c>
      <c r="DF332" s="891">
        <v>6</v>
      </c>
      <c r="DG332" s="959"/>
      <c r="DH332" s="959"/>
      <c r="ER332" s="905">
        <v>2745</v>
      </c>
      <c r="ES332" s="906" t="s">
        <v>54</v>
      </c>
      <c r="ET332" s="2686">
        <v>9</v>
      </c>
      <c r="EV332" s="985"/>
      <c r="EW332" s="985"/>
      <c r="EX332" s="387"/>
      <c r="EY332" s="939"/>
      <c r="EZ332" s="886"/>
    </row>
    <row r="333" spans="31:156" hidden="1">
      <c r="AE333" s="25" t="s">
        <v>1171</v>
      </c>
      <c r="AF333" s="25">
        <v>164994</v>
      </c>
      <c r="AG333" s="55">
        <v>103260</v>
      </c>
      <c r="AH333" s="55">
        <v>104823</v>
      </c>
      <c r="AI333" s="55"/>
      <c r="AJ333" s="55">
        <v>97907</v>
      </c>
      <c r="AK333" s="55">
        <v>85677</v>
      </c>
      <c r="AL333" s="869"/>
      <c r="CJ333" s="197"/>
      <c r="CK333" s="197"/>
      <c r="CL333" s="197"/>
      <c r="CM333" s="213"/>
      <c r="CN333" s="213"/>
      <c r="CO333" s="197"/>
      <c r="CP333" s="197"/>
      <c r="CQ333" s="197"/>
      <c r="CR333" s="197"/>
      <c r="CS333" s="197"/>
      <c r="CT333" s="197"/>
      <c r="CU333" s="197"/>
      <c r="CV333" s="197"/>
      <c r="CW333" s="197"/>
      <c r="CX333" s="959"/>
      <c r="CY333" s="959"/>
      <c r="CZ333" s="959"/>
      <c r="DA333" s="959"/>
      <c r="DB333" s="959"/>
      <c r="DC333" s="891">
        <v>2217</v>
      </c>
      <c r="DD333" s="891" t="s">
        <v>4055</v>
      </c>
      <c r="DE333" s="891" t="s">
        <v>427</v>
      </c>
      <c r="DF333" s="891">
        <v>5</v>
      </c>
      <c r="DG333" s="959"/>
      <c r="DH333" s="959"/>
      <c r="ER333" s="905">
        <v>2746</v>
      </c>
      <c r="ES333" s="906" t="s">
        <v>2934</v>
      </c>
      <c r="ET333" s="2686">
        <v>9</v>
      </c>
      <c r="EV333" s="985"/>
      <c r="EW333" s="985"/>
      <c r="EX333" s="387"/>
      <c r="EY333" s="939"/>
      <c r="EZ333" s="886"/>
    </row>
    <row r="334" spans="31:156" hidden="1">
      <c r="AE334" s="25"/>
      <c r="AF334" s="25"/>
      <c r="AG334" s="55"/>
      <c r="AH334" s="55"/>
      <c r="AI334" s="55"/>
      <c r="AJ334" s="55"/>
      <c r="AK334" s="55"/>
      <c r="AL334" s="869"/>
      <c r="CJ334" s="197"/>
      <c r="CK334" s="197"/>
      <c r="CL334" s="197"/>
      <c r="CM334" s="213"/>
      <c r="CN334" s="213"/>
      <c r="CO334" s="197"/>
      <c r="CP334" s="197"/>
      <c r="CQ334" s="197"/>
      <c r="CR334" s="197"/>
      <c r="CS334" s="197"/>
      <c r="CT334" s="197"/>
      <c r="CU334" s="197"/>
      <c r="CV334" s="197"/>
      <c r="CW334" s="197"/>
      <c r="CX334" s="959"/>
      <c r="CY334" s="959"/>
      <c r="CZ334" s="959"/>
      <c r="DA334" s="959"/>
      <c r="DB334" s="959"/>
      <c r="DC334" s="891">
        <v>2220</v>
      </c>
      <c r="DD334" s="891" t="s">
        <v>4056</v>
      </c>
      <c r="DE334" s="891" t="s">
        <v>432</v>
      </c>
      <c r="DF334" s="891">
        <v>5</v>
      </c>
      <c r="DG334" s="959"/>
      <c r="DH334" s="959"/>
      <c r="ER334" s="905">
        <v>2747</v>
      </c>
      <c r="ES334" s="906" t="s">
        <v>2935</v>
      </c>
      <c r="ET334" s="2686">
        <v>9</v>
      </c>
      <c r="EV334" s="985"/>
      <c r="EW334" s="985"/>
      <c r="EX334" s="387"/>
      <c r="EY334" s="939"/>
      <c r="EZ334" s="886"/>
    </row>
    <row r="335" spans="31:156" hidden="1">
      <c r="AE335" s="25" t="s">
        <v>1173</v>
      </c>
      <c r="AF335" s="25">
        <v>111757</v>
      </c>
      <c r="AG335" s="55">
        <v>93131</v>
      </c>
      <c r="AH335" s="55">
        <v>67715</v>
      </c>
      <c r="AI335" s="55"/>
      <c r="AJ335" s="55">
        <v>51105</v>
      </c>
      <c r="AK335" s="55">
        <v>67715</v>
      </c>
      <c r="AL335" s="869"/>
      <c r="CJ335" s="197"/>
      <c r="CK335" s="197"/>
      <c r="CL335" s="197"/>
      <c r="CM335" s="213"/>
      <c r="CN335" s="213"/>
      <c r="CO335" s="197"/>
      <c r="CP335" s="197"/>
      <c r="CQ335" s="197"/>
      <c r="CR335" s="197"/>
      <c r="CS335" s="197"/>
      <c r="CT335" s="197"/>
      <c r="CU335" s="197"/>
      <c r="CV335" s="197"/>
      <c r="CW335" s="197"/>
      <c r="CX335" s="959"/>
      <c r="CY335" s="959"/>
      <c r="CZ335" s="959"/>
      <c r="DA335" s="959"/>
      <c r="DB335" s="959"/>
      <c r="DC335" s="891">
        <v>2225</v>
      </c>
      <c r="DD335" s="891" t="s">
        <v>4057</v>
      </c>
      <c r="DE335" s="891" t="s">
        <v>432</v>
      </c>
      <c r="DF335" s="891">
        <v>5</v>
      </c>
      <c r="DG335" s="959"/>
      <c r="DH335" s="959"/>
      <c r="ER335" s="905">
        <v>2750</v>
      </c>
      <c r="ES335" s="906" t="s">
        <v>2936</v>
      </c>
      <c r="ET335" s="2686">
        <v>9</v>
      </c>
      <c r="EV335" s="985"/>
      <c r="EW335" s="985"/>
      <c r="EX335" s="387"/>
      <c r="EY335" s="939"/>
      <c r="EZ335" s="886"/>
    </row>
    <row r="336" spans="31:156" hidden="1">
      <c r="AE336" s="25"/>
      <c r="AF336" s="25"/>
      <c r="AG336" s="55"/>
      <c r="AH336" s="55"/>
      <c r="AI336" s="55"/>
      <c r="AJ336" s="55"/>
      <c r="AK336" s="55"/>
      <c r="AL336" s="869"/>
      <c r="CJ336" s="197"/>
      <c r="CK336" s="197"/>
      <c r="CL336" s="197"/>
      <c r="CM336" s="213"/>
      <c r="CN336" s="213"/>
      <c r="CO336" s="197"/>
      <c r="CP336" s="197"/>
      <c r="CQ336" s="197"/>
      <c r="CR336" s="197"/>
      <c r="CS336" s="197"/>
      <c r="CT336" s="197"/>
      <c r="CU336" s="197"/>
      <c r="CV336" s="197"/>
      <c r="CW336" s="197"/>
      <c r="CX336" s="959"/>
      <c r="CY336" s="959"/>
      <c r="CZ336" s="959"/>
      <c r="DA336" s="959"/>
      <c r="DB336" s="959"/>
      <c r="DC336" s="891">
        <v>2230</v>
      </c>
      <c r="DD336" s="891" t="s">
        <v>4058</v>
      </c>
      <c r="DE336" s="891" t="s">
        <v>419</v>
      </c>
      <c r="DF336" s="891">
        <v>5</v>
      </c>
      <c r="DG336" s="959"/>
      <c r="DH336" s="959"/>
      <c r="ER336" s="905">
        <v>2755</v>
      </c>
      <c r="ES336" s="906" t="s">
        <v>2937</v>
      </c>
      <c r="ET336" s="2686">
        <v>9</v>
      </c>
      <c r="EV336" s="985"/>
      <c r="EW336" s="985"/>
      <c r="EX336" s="387"/>
      <c r="EY336" s="939"/>
      <c r="EZ336" s="886"/>
    </row>
    <row r="337" spans="31:156" hidden="1">
      <c r="AE337" s="25"/>
      <c r="AF337" s="25"/>
      <c r="AG337" s="55"/>
      <c r="AH337" s="55"/>
      <c r="AI337" s="55"/>
      <c r="AJ337" s="55"/>
      <c r="AK337" s="55"/>
      <c r="AL337" s="869"/>
      <c r="CJ337" s="197"/>
      <c r="CK337" s="197"/>
      <c r="CL337" s="197"/>
      <c r="CM337" s="213"/>
      <c r="CN337" s="213"/>
      <c r="CO337" s="197"/>
      <c r="CP337" s="197"/>
      <c r="CQ337" s="197"/>
      <c r="CR337" s="197"/>
      <c r="CS337" s="197"/>
      <c r="CT337" s="197"/>
      <c r="CU337" s="197"/>
      <c r="CV337" s="197"/>
      <c r="CW337" s="197"/>
      <c r="CX337" s="959"/>
      <c r="CY337" s="959"/>
      <c r="CZ337" s="959"/>
      <c r="DA337" s="959"/>
      <c r="DB337" s="959"/>
      <c r="DC337" s="891">
        <v>2233</v>
      </c>
      <c r="DD337" s="891" t="s">
        <v>4059</v>
      </c>
      <c r="DE337" s="891" t="s">
        <v>419</v>
      </c>
      <c r="DF337" s="891">
        <v>3</v>
      </c>
      <c r="DG337" s="959"/>
      <c r="DH337" s="959"/>
      <c r="ER337" s="905">
        <v>2760</v>
      </c>
      <c r="ES337" s="906" t="s">
        <v>2938</v>
      </c>
      <c r="ET337" s="2686">
        <v>9</v>
      </c>
      <c r="EV337" s="985"/>
      <c r="EW337" s="985"/>
      <c r="EX337" s="387"/>
      <c r="EY337" s="939"/>
      <c r="EZ337" s="886"/>
    </row>
    <row r="338" spans="31:156" hidden="1">
      <c r="AE338" s="25" t="s">
        <v>1172</v>
      </c>
      <c r="AF338" s="25">
        <v>296393</v>
      </c>
      <c r="AG338" s="55">
        <v>283861</v>
      </c>
      <c r="AH338" s="55">
        <v>283861</v>
      </c>
      <c r="AI338" s="55"/>
      <c r="AJ338" s="55">
        <v>283861</v>
      </c>
      <c r="AK338" s="55">
        <v>283861</v>
      </c>
      <c r="AL338" s="869"/>
      <c r="CJ338" s="197"/>
      <c r="CK338" s="197"/>
      <c r="CL338" s="197"/>
      <c r="CM338" s="213"/>
      <c r="CN338" s="213"/>
      <c r="CO338" s="197"/>
      <c r="CP338" s="197"/>
      <c r="CQ338" s="197"/>
      <c r="CR338" s="197"/>
      <c r="CS338" s="197"/>
      <c r="CT338" s="197"/>
      <c r="CU338" s="197"/>
      <c r="CV338" s="197"/>
      <c r="CW338" s="197"/>
      <c r="CX338" s="959"/>
      <c r="CY338" s="959"/>
      <c r="CZ338" s="959"/>
      <c r="DA338" s="959"/>
      <c r="DB338" s="959"/>
      <c r="DC338" s="891">
        <v>2234</v>
      </c>
      <c r="DD338" s="891" t="s">
        <v>4060</v>
      </c>
      <c r="DE338" s="891" t="s">
        <v>432</v>
      </c>
      <c r="DF338" s="891">
        <v>3</v>
      </c>
      <c r="DG338" s="959"/>
      <c r="DH338" s="959"/>
      <c r="ER338" s="905">
        <v>2764</v>
      </c>
      <c r="ES338" s="906" t="s">
        <v>2939</v>
      </c>
      <c r="ET338" s="2686">
        <v>9</v>
      </c>
      <c r="EV338" s="985"/>
      <c r="EW338" s="985"/>
      <c r="EX338" s="387"/>
      <c r="EY338" s="939"/>
      <c r="EZ338" s="886"/>
    </row>
    <row r="339" spans="31:156" hidden="1">
      <c r="AE339" s="25"/>
      <c r="AF339" s="25"/>
      <c r="AG339" s="55"/>
      <c r="AH339" s="55"/>
      <c r="AI339" s="55"/>
      <c r="AJ339" s="55"/>
      <c r="AK339" s="55"/>
      <c r="AL339" s="869"/>
      <c r="CJ339" s="197"/>
      <c r="CK339" s="197"/>
      <c r="CL339" s="197"/>
      <c r="CM339" s="213"/>
      <c r="CN339" s="213"/>
      <c r="CO339" s="197"/>
      <c r="CP339" s="197"/>
      <c r="CQ339" s="197"/>
      <c r="CR339" s="197"/>
      <c r="CS339" s="197"/>
      <c r="CT339" s="197"/>
      <c r="CU339" s="197"/>
      <c r="CV339" s="197"/>
      <c r="CW339" s="197"/>
      <c r="CX339" s="959"/>
      <c r="CY339" s="959"/>
      <c r="CZ339" s="959"/>
      <c r="DA339" s="959"/>
      <c r="DB339" s="959"/>
      <c r="DC339" s="891">
        <v>2235</v>
      </c>
      <c r="DD339" s="891" t="s">
        <v>4061</v>
      </c>
      <c r="DE339" s="891" t="s">
        <v>2808</v>
      </c>
      <c r="DF339" s="891">
        <v>5</v>
      </c>
      <c r="DG339" s="959"/>
      <c r="DH339" s="959"/>
      <c r="ER339" s="905">
        <v>2765</v>
      </c>
      <c r="ES339" s="906" t="s">
        <v>2940</v>
      </c>
      <c r="ET339" s="2686">
        <v>9</v>
      </c>
      <c r="EV339" s="985"/>
      <c r="EW339" s="985"/>
      <c r="EX339" s="387"/>
      <c r="EY339" s="939"/>
      <c r="EZ339" s="886"/>
    </row>
    <row r="340" spans="31:156" hidden="1">
      <c r="AE340" s="32" t="s">
        <v>1174</v>
      </c>
      <c r="AF340" s="36">
        <v>505034</v>
      </c>
      <c r="AG340" s="57">
        <v>483679</v>
      </c>
      <c r="AH340" s="57">
        <v>483679</v>
      </c>
      <c r="AI340" s="57"/>
      <c r="AJ340" s="57">
        <v>483679</v>
      </c>
      <c r="AK340" s="57">
        <v>483679</v>
      </c>
      <c r="AL340" s="68"/>
      <c r="CJ340" s="197"/>
      <c r="CK340" s="197"/>
      <c r="CL340" s="197"/>
      <c r="CM340" s="213"/>
      <c r="CN340" s="213"/>
      <c r="CO340" s="197"/>
      <c r="CP340" s="197"/>
      <c r="CQ340" s="197"/>
      <c r="CR340" s="197"/>
      <c r="CS340" s="197"/>
      <c r="CT340" s="197"/>
      <c r="CU340" s="197"/>
      <c r="CV340" s="197"/>
      <c r="CW340" s="197"/>
      <c r="CX340" s="959"/>
      <c r="CY340" s="959"/>
      <c r="CZ340" s="959"/>
      <c r="DA340" s="959"/>
      <c r="DB340" s="959"/>
      <c r="DC340" s="891">
        <v>2241</v>
      </c>
      <c r="DD340" s="891" t="s">
        <v>4062</v>
      </c>
      <c r="DE340" s="891" t="s">
        <v>412</v>
      </c>
      <c r="DF340" s="891">
        <v>5</v>
      </c>
      <c r="DG340" s="959"/>
      <c r="DH340" s="959"/>
      <c r="ER340" s="905">
        <v>2766</v>
      </c>
      <c r="ES340" s="906" t="s">
        <v>2941</v>
      </c>
      <c r="ET340" s="2686">
        <v>9</v>
      </c>
      <c r="EV340" s="985"/>
      <c r="EW340" s="985"/>
      <c r="EX340" s="387"/>
      <c r="EY340" s="939"/>
      <c r="EZ340" s="886"/>
    </row>
    <row r="341" spans="31:156" hidden="1">
      <c r="AE341" s="67"/>
      <c r="AF341" s="63"/>
      <c r="AG341" s="68"/>
      <c r="AH341" s="68"/>
      <c r="AI341" s="68"/>
      <c r="AJ341" s="68"/>
      <c r="AK341" s="68"/>
      <c r="AL341" s="68"/>
      <c r="CJ341" s="197"/>
      <c r="CK341" s="197"/>
      <c r="CL341" s="197"/>
      <c r="CM341" s="213"/>
      <c r="CN341" s="213"/>
      <c r="CO341" s="197"/>
      <c r="CP341" s="197"/>
      <c r="CQ341" s="197"/>
      <c r="CR341" s="197"/>
      <c r="CS341" s="197"/>
      <c r="CT341" s="197"/>
      <c r="CU341" s="197"/>
      <c r="CV341" s="197"/>
      <c r="CW341" s="197"/>
      <c r="CX341" s="959"/>
      <c r="CY341" s="959"/>
      <c r="CZ341" s="959"/>
      <c r="DA341" s="959"/>
      <c r="DB341" s="959"/>
      <c r="DC341" s="891">
        <v>2242</v>
      </c>
      <c r="DD341" s="891" t="s">
        <v>4063</v>
      </c>
      <c r="DE341" s="891" t="s">
        <v>432</v>
      </c>
      <c r="DF341" s="891">
        <v>5</v>
      </c>
      <c r="DG341" s="959"/>
      <c r="DH341" s="959"/>
      <c r="ER341" s="905">
        <v>2767</v>
      </c>
      <c r="ES341" s="906" t="s">
        <v>2942</v>
      </c>
      <c r="ET341" s="2686">
        <v>9</v>
      </c>
      <c r="EV341" s="985"/>
      <c r="EW341" s="985"/>
      <c r="EX341" s="387"/>
      <c r="EY341" s="939"/>
      <c r="EZ341" s="886"/>
    </row>
    <row r="342" spans="31:156" hidden="1">
      <c r="AE342" s="8"/>
      <c r="AF342" s="8"/>
      <c r="CJ342" s="197"/>
      <c r="CK342" s="197"/>
      <c r="CL342" s="197"/>
      <c r="CM342" s="213"/>
      <c r="CN342" s="213"/>
      <c r="CO342" s="197"/>
      <c r="CP342" s="197"/>
      <c r="CQ342" s="197"/>
      <c r="CR342" s="197"/>
      <c r="CS342" s="197"/>
      <c r="CT342" s="197"/>
      <c r="CU342" s="197"/>
      <c r="CV342" s="197"/>
      <c r="CW342" s="197"/>
      <c r="CX342" s="959"/>
      <c r="CY342" s="959"/>
      <c r="CZ342" s="959"/>
      <c r="DA342" s="959"/>
      <c r="DB342" s="959"/>
      <c r="DC342" s="891">
        <v>2243</v>
      </c>
      <c r="DD342" s="891" t="s">
        <v>4064</v>
      </c>
      <c r="DE342" s="891" t="s">
        <v>423</v>
      </c>
      <c r="DF342" s="891">
        <v>5</v>
      </c>
      <c r="DG342" s="959"/>
      <c r="DH342" s="959"/>
      <c r="ER342" s="905">
        <v>2768</v>
      </c>
      <c r="ES342" s="906" t="s">
        <v>2943</v>
      </c>
      <c r="ET342" s="2686">
        <v>9</v>
      </c>
      <c r="EV342" s="985"/>
      <c r="EW342" s="985"/>
      <c r="EX342" s="387"/>
      <c r="EY342" s="939"/>
      <c r="EZ342" s="886"/>
    </row>
    <row r="343" spans="31:156" hidden="1">
      <c r="AE343" s="8"/>
      <c r="AF343" s="8"/>
      <c r="CJ343" s="197"/>
      <c r="CK343" s="197"/>
      <c r="CL343" s="197"/>
      <c r="CM343" s="213"/>
      <c r="CN343" s="213"/>
      <c r="CO343" s="197"/>
      <c r="CP343" s="197"/>
      <c r="CQ343" s="197"/>
      <c r="CR343" s="197"/>
      <c r="CS343" s="197"/>
      <c r="CT343" s="197"/>
      <c r="CU343" s="197"/>
      <c r="CV343" s="197"/>
      <c r="CW343" s="197"/>
      <c r="CX343" s="959"/>
      <c r="CY343" s="959"/>
      <c r="CZ343" s="959"/>
      <c r="DA343" s="959"/>
      <c r="DB343" s="959"/>
      <c r="DC343" s="891">
        <v>2244</v>
      </c>
      <c r="DD343" s="891" t="s">
        <v>4065</v>
      </c>
      <c r="DE343" s="891" t="s">
        <v>434</v>
      </c>
      <c r="DF343" s="891">
        <v>5</v>
      </c>
      <c r="DG343" s="959"/>
      <c r="DH343" s="959"/>
      <c r="ER343" s="905">
        <v>2769</v>
      </c>
      <c r="ES343" s="906" t="s">
        <v>2944</v>
      </c>
      <c r="ET343" s="2686">
        <v>9</v>
      </c>
      <c r="EV343" s="985"/>
      <c r="EW343" s="985"/>
      <c r="EX343" s="387"/>
      <c r="EY343" s="939"/>
      <c r="EZ343" s="886"/>
    </row>
    <row r="344" spans="31:156" hidden="1">
      <c r="AE344" s="8"/>
      <c r="AF344" s="8"/>
      <c r="CJ344" s="197"/>
      <c r="CK344" s="197"/>
      <c r="CL344" s="197"/>
      <c r="CM344" s="213"/>
      <c r="CN344" s="213"/>
      <c r="CO344" s="197"/>
      <c r="CP344" s="197"/>
      <c r="CQ344" s="197"/>
      <c r="CR344" s="197"/>
      <c r="CS344" s="197"/>
      <c r="CT344" s="197"/>
      <c r="CU344" s="197"/>
      <c r="CV344" s="197"/>
      <c r="CW344" s="197"/>
      <c r="CX344" s="959"/>
      <c r="CY344" s="959"/>
      <c r="CZ344" s="959"/>
      <c r="DA344" s="959"/>
      <c r="DB344" s="959"/>
      <c r="DC344" s="891">
        <v>2251</v>
      </c>
      <c r="DD344" s="891" t="s">
        <v>4066</v>
      </c>
      <c r="DE344" s="891" t="s">
        <v>421</v>
      </c>
      <c r="DF344" s="891">
        <v>5</v>
      </c>
      <c r="DG344" s="959"/>
      <c r="DH344" s="959"/>
      <c r="ER344" s="905">
        <v>2800</v>
      </c>
      <c r="ES344" s="906" t="s">
        <v>2945</v>
      </c>
      <c r="ET344" s="2686">
        <v>7</v>
      </c>
      <c r="EV344" s="985"/>
      <c r="EW344" s="985"/>
      <c r="EX344" s="387"/>
      <c r="EY344" s="939"/>
      <c r="EZ344" s="886"/>
    </row>
    <row r="345" spans="31:156" hidden="1">
      <c r="CJ345" s="197"/>
      <c r="CK345" s="197"/>
      <c r="CL345" s="197"/>
      <c r="CM345" s="213"/>
      <c r="CN345" s="213"/>
      <c r="CO345" s="197"/>
      <c r="CP345" s="197"/>
      <c r="CQ345" s="197"/>
      <c r="CR345" s="197"/>
      <c r="CS345" s="197"/>
      <c r="CT345" s="197"/>
      <c r="CU345" s="197"/>
      <c r="CV345" s="197"/>
      <c r="CW345" s="197"/>
      <c r="CX345" s="959"/>
      <c r="CY345" s="959"/>
      <c r="CZ345" s="959"/>
      <c r="DA345" s="959"/>
      <c r="DB345" s="959"/>
      <c r="DC345" s="891">
        <v>2252</v>
      </c>
      <c r="DD345" s="891" t="s">
        <v>4067</v>
      </c>
      <c r="DE345" s="891" t="s">
        <v>419</v>
      </c>
      <c r="DF345" s="891">
        <v>6</v>
      </c>
      <c r="DG345" s="959"/>
      <c r="DH345" s="959"/>
      <c r="ER345" s="905">
        <v>2821</v>
      </c>
      <c r="ES345" s="906" t="s">
        <v>2946</v>
      </c>
      <c r="ET345" s="2686">
        <v>6</v>
      </c>
      <c r="EV345" s="985"/>
      <c r="EW345" s="985"/>
      <c r="EX345" s="387"/>
      <c r="EY345" s="939"/>
      <c r="EZ345" s="886"/>
    </row>
    <row r="346" spans="31:156" hidden="1">
      <c r="CJ346" s="197"/>
      <c r="CK346" s="197"/>
      <c r="CL346" s="197"/>
      <c r="CM346" s="213"/>
      <c r="CN346" s="213"/>
      <c r="CO346" s="197"/>
      <c r="CP346" s="197"/>
      <c r="CQ346" s="197"/>
      <c r="CR346" s="197"/>
      <c r="CS346" s="197"/>
      <c r="CT346" s="197"/>
      <c r="CU346" s="197"/>
      <c r="CV346" s="197"/>
      <c r="CW346" s="197"/>
      <c r="CX346" s="959"/>
      <c r="CY346" s="959"/>
      <c r="CZ346" s="959"/>
      <c r="DA346" s="959"/>
      <c r="DB346" s="959"/>
      <c r="DC346" s="891">
        <v>2253</v>
      </c>
      <c r="DD346" s="891" t="s">
        <v>4068</v>
      </c>
      <c r="DE346" s="891" t="s">
        <v>412</v>
      </c>
      <c r="DF346" s="891">
        <v>6</v>
      </c>
      <c r="DG346" s="959"/>
      <c r="DH346" s="959"/>
      <c r="ER346" s="905">
        <v>2822</v>
      </c>
      <c r="ES346" s="906" t="s">
        <v>2947</v>
      </c>
      <c r="ET346" s="2686">
        <v>6</v>
      </c>
      <c r="EV346" s="985"/>
      <c r="EW346" s="985"/>
      <c r="EX346" s="387"/>
      <c r="EY346" s="939"/>
      <c r="EZ346" s="886"/>
    </row>
    <row r="347" spans="31:156" hidden="1">
      <c r="CJ347" s="197"/>
      <c r="CK347" s="197"/>
      <c r="CL347" s="197"/>
      <c r="CM347" s="213"/>
      <c r="CN347" s="213"/>
      <c r="CO347" s="197"/>
      <c r="CP347" s="197"/>
      <c r="CQ347" s="197"/>
      <c r="CR347" s="197"/>
      <c r="CS347" s="197"/>
      <c r="CT347" s="197"/>
      <c r="CU347" s="197"/>
      <c r="CV347" s="197"/>
      <c r="CW347" s="197"/>
      <c r="CX347" s="959"/>
      <c r="CY347" s="959"/>
      <c r="CZ347" s="959"/>
      <c r="DA347" s="959"/>
      <c r="DB347" s="959"/>
      <c r="DC347" s="891">
        <v>2254</v>
      </c>
      <c r="DD347" s="891" t="s">
        <v>4069</v>
      </c>
      <c r="DE347" s="891" t="s">
        <v>433</v>
      </c>
      <c r="DF347" s="891">
        <v>6</v>
      </c>
      <c r="DG347" s="959"/>
      <c r="DH347" s="959"/>
      <c r="ER347" s="905">
        <v>2823</v>
      </c>
      <c r="ES347" s="906" t="s">
        <v>2948</v>
      </c>
      <c r="ET347" s="2686">
        <v>9</v>
      </c>
      <c r="EV347" s="985"/>
      <c r="EW347" s="985"/>
      <c r="EX347" s="387"/>
      <c r="EY347" s="939"/>
      <c r="EZ347" s="886"/>
    </row>
    <row r="348" spans="31:156" hidden="1">
      <c r="CJ348" s="197"/>
      <c r="CK348" s="197"/>
      <c r="CL348" s="197"/>
      <c r="CM348" s="213"/>
      <c r="CN348" s="213"/>
      <c r="CO348" s="197"/>
      <c r="CP348" s="197"/>
      <c r="CQ348" s="197"/>
      <c r="CR348" s="197"/>
      <c r="CS348" s="197"/>
      <c r="CT348" s="197"/>
      <c r="CU348" s="197"/>
      <c r="CV348" s="197"/>
      <c r="CW348" s="197"/>
      <c r="CX348" s="959"/>
      <c r="CY348" s="959"/>
      <c r="CZ348" s="959"/>
      <c r="DA348" s="959"/>
      <c r="DB348" s="959"/>
      <c r="DC348" s="891">
        <v>2255</v>
      </c>
      <c r="DD348" s="891" t="s">
        <v>436</v>
      </c>
      <c r="DE348" s="891" t="s">
        <v>433</v>
      </c>
      <c r="DF348" s="891">
        <v>6</v>
      </c>
      <c r="DG348" s="959"/>
      <c r="DH348" s="959"/>
      <c r="ER348" s="905">
        <v>2824</v>
      </c>
      <c r="ES348" s="906" t="s">
        <v>2949</v>
      </c>
      <c r="ET348" s="2686">
        <v>9</v>
      </c>
      <c r="EV348" s="985"/>
      <c r="EW348" s="985"/>
      <c r="EX348" s="387"/>
      <c r="EY348" s="939"/>
      <c r="EZ348" s="886"/>
    </row>
    <row r="349" spans="31:156" hidden="1">
      <c r="CJ349" s="197"/>
      <c r="CK349" s="197"/>
      <c r="CL349" s="197"/>
      <c r="CM349" s="213"/>
      <c r="CN349" s="213"/>
      <c r="CO349" s="197"/>
      <c r="CP349" s="197"/>
      <c r="CQ349" s="197"/>
      <c r="CR349" s="197"/>
      <c r="CS349" s="197"/>
      <c r="CT349" s="197"/>
      <c r="CU349" s="197"/>
      <c r="CV349" s="197"/>
      <c r="CW349" s="197"/>
      <c r="CX349" s="959"/>
      <c r="CY349" s="959"/>
      <c r="CZ349" s="959"/>
      <c r="DA349" s="959"/>
      <c r="DB349" s="959"/>
      <c r="DC349" s="891">
        <v>2300</v>
      </c>
      <c r="DD349" s="891" t="s">
        <v>437</v>
      </c>
      <c r="DE349" s="891" t="s">
        <v>433</v>
      </c>
      <c r="DF349" s="891">
        <v>5</v>
      </c>
      <c r="DG349" s="959"/>
      <c r="DH349" s="959"/>
      <c r="ER349" s="905">
        <v>2831</v>
      </c>
      <c r="ES349" s="906" t="s">
        <v>2950</v>
      </c>
      <c r="ET349" s="2686">
        <v>6</v>
      </c>
      <c r="EV349" s="985"/>
      <c r="EW349" s="985"/>
      <c r="EX349" s="387"/>
      <c r="EY349" s="939"/>
      <c r="EZ349" s="886"/>
    </row>
    <row r="350" spans="31:156" hidden="1">
      <c r="CJ350" s="197"/>
      <c r="CK350" s="197"/>
      <c r="CL350" s="197"/>
      <c r="CM350" s="213"/>
      <c r="CN350" s="213"/>
      <c r="CO350" s="197"/>
      <c r="CP350" s="197"/>
      <c r="CQ350" s="197"/>
      <c r="CR350" s="197"/>
      <c r="CS350" s="197"/>
      <c r="CT350" s="197"/>
      <c r="CU350" s="197"/>
      <c r="CV350" s="197"/>
      <c r="CW350" s="197"/>
      <c r="CX350" s="959"/>
      <c r="CY350" s="959"/>
      <c r="CZ350" s="959"/>
      <c r="DA350" s="959"/>
      <c r="DB350" s="959"/>
      <c r="DC350" s="891">
        <v>2309</v>
      </c>
      <c r="DD350" s="891" t="s">
        <v>438</v>
      </c>
      <c r="DE350" s="891" t="s">
        <v>433</v>
      </c>
      <c r="DF350" s="891">
        <v>5</v>
      </c>
      <c r="DG350" s="959"/>
      <c r="DH350" s="959"/>
      <c r="ER350" s="905">
        <v>2832</v>
      </c>
      <c r="ES350" s="906" t="s">
        <v>2951</v>
      </c>
      <c r="ET350" s="2686">
        <v>6</v>
      </c>
      <c r="EV350" s="985"/>
      <c r="EW350" s="985"/>
      <c r="EX350" s="387"/>
      <c r="EY350" s="939"/>
      <c r="EZ350" s="886"/>
    </row>
    <row r="351" spans="31:156" hidden="1">
      <c r="CJ351" s="197"/>
      <c r="CK351" s="197"/>
      <c r="CL351" s="197"/>
      <c r="CM351" s="213"/>
      <c r="CN351" s="213"/>
      <c r="CO351" s="197"/>
      <c r="CP351" s="197"/>
      <c r="CQ351" s="197"/>
      <c r="CR351" s="197"/>
      <c r="CS351" s="197"/>
      <c r="CT351" s="197"/>
      <c r="CU351" s="197"/>
      <c r="CV351" s="197"/>
      <c r="CW351" s="197"/>
      <c r="CX351" s="959"/>
      <c r="CY351" s="959"/>
      <c r="CZ351" s="959"/>
      <c r="DA351" s="959"/>
      <c r="DB351" s="959"/>
      <c r="DC351" s="891">
        <v>2310</v>
      </c>
      <c r="DD351" s="891" t="s">
        <v>439</v>
      </c>
      <c r="DE351" s="891" t="s">
        <v>433</v>
      </c>
      <c r="DF351" s="891">
        <v>2</v>
      </c>
      <c r="DG351" s="959"/>
      <c r="DH351" s="959"/>
      <c r="ER351" s="905">
        <v>2833</v>
      </c>
      <c r="ES351" s="906" t="s">
        <v>2952</v>
      </c>
      <c r="ET351" s="2686">
        <v>6</v>
      </c>
      <c r="EV351" s="985"/>
      <c r="EW351" s="985"/>
      <c r="EX351" s="387"/>
      <c r="EY351" s="939"/>
      <c r="EZ351" s="886"/>
    </row>
    <row r="352" spans="31:156" hidden="1">
      <c r="CJ352" s="197"/>
      <c r="CK352" s="197"/>
      <c r="CL352" s="197"/>
      <c r="CM352" s="213"/>
      <c r="CN352" s="213"/>
      <c r="CO352" s="197"/>
      <c r="CP352" s="197"/>
      <c r="CQ352" s="197"/>
      <c r="CR352" s="197"/>
      <c r="CS352" s="197"/>
      <c r="CT352" s="197"/>
      <c r="CU352" s="197"/>
      <c r="CV352" s="197"/>
      <c r="CW352" s="197"/>
      <c r="CX352" s="959"/>
      <c r="CY352" s="959"/>
      <c r="CZ352" s="959"/>
      <c r="DA352" s="959"/>
      <c r="DB352" s="959"/>
      <c r="DC352" s="891">
        <v>2314</v>
      </c>
      <c r="DD352" s="891" t="s">
        <v>440</v>
      </c>
      <c r="DE352" s="891" t="s">
        <v>433</v>
      </c>
      <c r="DF352" s="891">
        <v>2</v>
      </c>
      <c r="DG352" s="959"/>
      <c r="DH352" s="959"/>
      <c r="ER352" s="905">
        <v>2834</v>
      </c>
      <c r="ES352" s="906" t="s">
        <v>305</v>
      </c>
      <c r="ET352" s="2686">
        <v>6</v>
      </c>
      <c r="EV352" s="985"/>
      <c r="EW352" s="985"/>
      <c r="EX352" s="387"/>
      <c r="EY352" s="939"/>
      <c r="EZ352" s="886"/>
    </row>
    <row r="353" spans="88:156" hidden="1">
      <c r="CJ353" s="197"/>
      <c r="CK353" s="197"/>
      <c r="CL353" s="197"/>
      <c r="CM353" s="213"/>
      <c r="CN353" s="213"/>
      <c r="CO353" s="197"/>
      <c r="CP353" s="197"/>
      <c r="CQ353" s="197"/>
      <c r="CR353" s="197"/>
      <c r="CS353" s="197"/>
      <c r="CT353" s="197"/>
      <c r="CU353" s="197"/>
      <c r="CV353" s="197"/>
      <c r="CW353" s="197"/>
      <c r="CX353" s="959"/>
      <c r="CY353" s="959"/>
      <c r="CZ353" s="959"/>
      <c r="DA353" s="959"/>
      <c r="DB353" s="959"/>
      <c r="DC353" s="891">
        <v>2315</v>
      </c>
      <c r="DD353" s="891" t="s">
        <v>441</v>
      </c>
      <c r="DE353" s="891" t="s">
        <v>433</v>
      </c>
      <c r="DF353" s="891">
        <v>2</v>
      </c>
      <c r="DG353" s="959"/>
      <c r="DH353" s="959"/>
      <c r="ER353" s="905">
        <v>2835</v>
      </c>
      <c r="ES353" s="906" t="s">
        <v>306</v>
      </c>
      <c r="ET353" s="2686">
        <v>9</v>
      </c>
      <c r="EV353" s="985"/>
      <c r="EW353" s="985"/>
      <c r="EX353" s="387"/>
      <c r="EY353" s="939"/>
      <c r="EZ353" s="886"/>
    </row>
    <row r="354" spans="88:156" hidden="1">
      <c r="CJ354" s="197"/>
      <c r="CK354" s="197"/>
      <c r="CL354" s="197"/>
      <c r="CM354" s="213"/>
      <c r="CN354" s="213"/>
      <c r="CO354" s="197"/>
      <c r="CP354" s="197"/>
      <c r="CQ354" s="197"/>
      <c r="CR354" s="197"/>
      <c r="CS354" s="197"/>
      <c r="CT354" s="197"/>
      <c r="CU354" s="197"/>
      <c r="CV354" s="197"/>
      <c r="CW354" s="197"/>
      <c r="CX354" s="959"/>
      <c r="CY354" s="959"/>
      <c r="CZ354" s="959"/>
      <c r="DA354" s="959"/>
      <c r="DB354" s="959"/>
      <c r="DC354" s="891">
        <v>2316</v>
      </c>
      <c r="DD354" s="891" t="s">
        <v>442</v>
      </c>
      <c r="DE354" s="891" t="s">
        <v>433</v>
      </c>
      <c r="DF354" s="891">
        <v>3</v>
      </c>
      <c r="DG354" s="959"/>
      <c r="DH354" s="959"/>
      <c r="ER354" s="905">
        <v>2836</v>
      </c>
      <c r="ES354" s="906" t="s">
        <v>2955</v>
      </c>
      <c r="ET354" s="2686">
        <v>6</v>
      </c>
      <c r="EV354" s="985"/>
      <c r="EW354" s="985"/>
      <c r="EX354" s="387"/>
      <c r="EY354" s="939"/>
      <c r="EZ354" s="886"/>
    </row>
    <row r="355" spans="88:156" hidden="1">
      <c r="CJ355" s="197"/>
      <c r="CK355" s="197"/>
      <c r="CL355" s="197"/>
      <c r="CM355" s="213"/>
      <c r="CN355" s="213"/>
      <c r="CO355" s="197"/>
      <c r="CP355" s="197"/>
      <c r="CQ355" s="197"/>
      <c r="CR355" s="197"/>
      <c r="CS355" s="197"/>
      <c r="CT355" s="197"/>
      <c r="CU355" s="197"/>
      <c r="CV355" s="197"/>
      <c r="CW355" s="197"/>
      <c r="CX355" s="959"/>
      <c r="CY355" s="959"/>
      <c r="CZ355" s="959"/>
      <c r="DA355" s="959"/>
      <c r="DB355" s="959"/>
      <c r="DC355" s="891">
        <v>2317</v>
      </c>
      <c r="DD355" s="891" t="s">
        <v>443</v>
      </c>
      <c r="DE355" s="891" t="s">
        <v>433</v>
      </c>
      <c r="DF355" s="891">
        <v>5</v>
      </c>
      <c r="DG355" s="959"/>
      <c r="DH355" s="959"/>
      <c r="ER355" s="905">
        <v>2837</v>
      </c>
      <c r="ES355" s="906" t="s">
        <v>2956</v>
      </c>
      <c r="ET355" s="2686">
        <v>6</v>
      </c>
      <c r="EV355" s="985"/>
      <c r="EW355" s="985"/>
      <c r="EX355" s="387"/>
      <c r="EY355" s="939"/>
      <c r="EZ355" s="886"/>
    </row>
    <row r="356" spans="88:156" hidden="1">
      <c r="CJ356" s="197"/>
      <c r="CK356" s="197"/>
      <c r="CL356" s="197"/>
      <c r="CM356" s="213"/>
      <c r="CN356" s="213"/>
      <c r="CO356" s="197"/>
      <c r="CP356" s="197"/>
      <c r="CQ356" s="197"/>
      <c r="CR356" s="197"/>
      <c r="CS356" s="197"/>
      <c r="CT356" s="197"/>
      <c r="CU356" s="197"/>
      <c r="CV356" s="197"/>
      <c r="CW356" s="197"/>
      <c r="CX356" s="959"/>
      <c r="CY356" s="959"/>
      <c r="CZ356" s="959"/>
      <c r="DA356" s="959"/>
      <c r="DB356" s="959"/>
      <c r="DC356" s="891">
        <v>2318</v>
      </c>
      <c r="DD356" s="891" t="s">
        <v>444</v>
      </c>
      <c r="DE356" s="891" t="s">
        <v>433</v>
      </c>
      <c r="DF356" s="891">
        <v>3</v>
      </c>
      <c r="DG356" s="959"/>
      <c r="DH356" s="959"/>
      <c r="ER356" s="905">
        <v>2840</v>
      </c>
      <c r="ES356" s="906" t="s">
        <v>2957</v>
      </c>
      <c r="ET356" s="2686">
        <v>9</v>
      </c>
      <c r="EV356" s="985"/>
      <c r="EW356" s="985"/>
      <c r="EX356" s="387"/>
      <c r="EY356" s="939"/>
      <c r="EZ356" s="886"/>
    </row>
    <row r="357" spans="88:156" hidden="1">
      <c r="CJ357" s="197"/>
      <c r="CK357" s="197"/>
      <c r="CL357" s="197"/>
      <c r="CM357" s="213"/>
      <c r="CN357" s="213"/>
      <c r="CO357" s="197"/>
      <c r="CP357" s="197"/>
      <c r="CQ357" s="197"/>
      <c r="CR357" s="197"/>
      <c r="CS357" s="197"/>
      <c r="CT357" s="197"/>
      <c r="CU357" s="197"/>
      <c r="CV357" s="197"/>
      <c r="CW357" s="197"/>
      <c r="CX357" s="959"/>
      <c r="CY357" s="959"/>
      <c r="CZ357" s="959"/>
      <c r="DA357" s="959"/>
      <c r="DB357" s="959"/>
      <c r="DC357" s="891">
        <v>2319</v>
      </c>
      <c r="DD357" s="891" t="s">
        <v>445</v>
      </c>
      <c r="DE357" s="891" t="s">
        <v>433</v>
      </c>
      <c r="DF357" s="891">
        <v>3</v>
      </c>
      <c r="DG357" s="959"/>
      <c r="DH357" s="959"/>
      <c r="ER357" s="905">
        <v>2851</v>
      </c>
      <c r="ES357" s="906" t="s">
        <v>2958</v>
      </c>
      <c r="ET357" s="2686">
        <v>9</v>
      </c>
      <c r="EV357" s="985"/>
      <c r="EW357" s="985"/>
      <c r="EX357" s="387"/>
      <c r="EY357" s="939"/>
      <c r="EZ357" s="886"/>
    </row>
    <row r="358" spans="88:156" hidden="1">
      <c r="CJ358" s="197"/>
      <c r="CK358" s="197"/>
      <c r="CL358" s="197"/>
      <c r="CM358" s="213"/>
      <c r="CN358" s="213"/>
      <c r="CO358" s="197"/>
      <c r="CP358" s="197"/>
      <c r="CQ358" s="197"/>
      <c r="CR358" s="197"/>
      <c r="CS358" s="197"/>
      <c r="CT358" s="197"/>
      <c r="CU358" s="197"/>
      <c r="CV358" s="197"/>
      <c r="CW358" s="197"/>
      <c r="CX358" s="959"/>
      <c r="CY358" s="959"/>
      <c r="CZ358" s="959"/>
      <c r="DA358" s="959"/>
      <c r="DB358" s="959"/>
      <c r="DC358" s="891">
        <v>2321</v>
      </c>
      <c r="DD358" s="891" t="s">
        <v>446</v>
      </c>
      <c r="DE358" s="891" t="s">
        <v>433</v>
      </c>
      <c r="DF358" s="891">
        <v>6</v>
      </c>
      <c r="DG358" s="959"/>
      <c r="DH358" s="959"/>
      <c r="ER358" s="905">
        <v>2852</v>
      </c>
      <c r="ES358" s="906" t="s">
        <v>2959</v>
      </c>
      <c r="ET358" s="2686">
        <v>9</v>
      </c>
      <c r="EV358" s="985"/>
      <c r="EW358" s="985"/>
      <c r="EX358" s="387"/>
      <c r="EY358" s="939"/>
      <c r="EZ358" s="886"/>
    </row>
    <row r="359" spans="88:156" hidden="1">
      <c r="CJ359" s="197"/>
      <c r="CK359" s="197"/>
      <c r="CL359" s="197"/>
      <c r="CM359" s="213"/>
      <c r="CN359" s="213"/>
      <c r="CO359" s="197"/>
      <c r="CP359" s="197"/>
      <c r="CQ359" s="197"/>
      <c r="CR359" s="197"/>
      <c r="CS359" s="197"/>
      <c r="CT359" s="197"/>
      <c r="CU359" s="197"/>
      <c r="CV359" s="197"/>
      <c r="CW359" s="197"/>
      <c r="CX359" s="959"/>
      <c r="CY359" s="959"/>
      <c r="CZ359" s="959"/>
      <c r="DA359" s="959"/>
      <c r="DB359" s="959"/>
      <c r="DC359" s="891">
        <v>2322</v>
      </c>
      <c r="DD359" s="891" t="s">
        <v>447</v>
      </c>
      <c r="DE359" s="891" t="s">
        <v>410</v>
      </c>
      <c r="DF359" s="891">
        <v>6</v>
      </c>
      <c r="DG359" s="959"/>
      <c r="DH359" s="959"/>
      <c r="ER359" s="905">
        <v>2853</v>
      </c>
      <c r="ES359" s="906" t="s">
        <v>2960</v>
      </c>
      <c r="ET359" s="2686">
        <v>9</v>
      </c>
      <c r="EV359" s="985"/>
      <c r="EW359" s="985"/>
      <c r="EX359" s="387"/>
      <c r="EY359" s="939"/>
      <c r="EZ359" s="886"/>
    </row>
    <row r="360" spans="88:156" hidden="1">
      <c r="CJ360" s="197"/>
      <c r="CK360" s="197"/>
      <c r="CL360" s="197"/>
      <c r="CM360" s="213"/>
      <c r="CN360" s="213"/>
      <c r="CO360" s="197"/>
      <c r="CP360" s="197"/>
      <c r="CQ360" s="197"/>
      <c r="CR360" s="197"/>
      <c r="CS360" s="197"/>
      <c r="CT360" s="197"/>
      <c r="CU360" s="197"/>
      <c r="CV360" s="197"/>
      <c r="CW360" s="197"/>
      <c r="CX360" s="959"/>
      <c r="CY360" s="959"/>
      <c r="CZ360" s="959"/>
      <c r="DA360" s="959"/>
      <c r="DB360" s="959"/>
      <c r="DC360" s="891">
        <v>2330</v>
      </c>
      <c r="DD360" s="891" t="s">
        <v>448</v>
      </c>
      <c r="DE360" s="891" t="s">
        <v>410</v>
      </c>
      <c r="DF360" s="891">
        <v>5</v>
      </c>
      <c r="DG360" s="959"/>
      <c r="DH360" s="959"/>
      <c r="ER360" s="905">
        <v>2854</v>
      </c>
      <c r="ES360" s="906" t="s">
        <v>2961</v>
      </c>
      <c r="ET360" s="2686">
        <v>9</v>
      </c>
      <c r="EV360" s="985"/>
      <c r="EW360" s="985"/>
      <c r="EX360" s="387"/>
      <c r="EY360" s="939"/>
      <c r="EZ360" s="886"/>
    </row>
    <row r="361" spans="88:156" hidden="1">
      <c r="CJ361" s="197"/>
      <c r="CK361" s="197"/>
      <c r="CL361" s="197"/>
      <c r="CM361" s="213"/>
      <c r="CN361" s="213"/>
      <c r="CO361" s="197"/>
      <c r="CP361" s="197"/>
      <c r="CQ361" s="197"/>
      <c r="CR361" s="197"/>
      <c r="CS361" s="197"/>
      <c r="CT361" s="197"/>
      <c r="CU361" s="197"/>
      <c r="CV361" s="197"/>
      <c r="CW361" s="197"/>
      <c r="CX361" s="959"/>
      <c r="CY361" s="959"/>
      <c r="CZ361" s="959"/>
      <c r="DA361" s="959"/>
      <c r="DB361" s="959"/>
      <c r="DC361" s="891">
        <v>2335</v>
      </c>
      <c r="DD361" s="891" t="s">
        <v>449</v>
      </c>
      <c r="DE361" s="891" t="s">
        <v>423</v>
      </c>
      <c r="DF361" s="891">
        <v>3</v>
      </c>
      <c r="DG361" s="959"/>
      <c r="DH361" s="959"/>
      <c r="ER361" s="905">
        <v>2855</v>
      </c>
      <c r="ES361" s="906" t="s">
        <v>2962</v>
      </c>
      <c r="ET361" s="2686">
        <v>9</v>
      </c>
      <c r="EV361" s="985"/>
      <c r="EW361" s="985"/>
      <c r="EX361" s="387"/>
      <c r="EY361" s="939"/>
      <c r="EZ361" s="886"/>
    </row>
    <row r="362" spans="88:156" hidden="1">
      <c r="CJ362" s="197"/>
      <c r="CK362" s="197"/>
      <c r="CL362" s="197"/>
      <c r="CM362" s="213"/>
      <c r="CN362" s="213"/>
      <c r="CO362" s="197"/>
      <c r="CP362" s="197"/>
      <c r="CQ362" s="197"/>
      <c r="CR362" s="197"/>
      <c r="CS362" s="197"/>
      <c r="CT362" s="197"/>
      <c r="CU362" s="197"/>
      <c r="CV362" s="197"/>
      <c r="CW362" s="197"/>
      <c r="CX362" s="959"/>
      <c r="CY362" s="959"/>
      <c r="CZ362" s="959"/>
      <c r="DA362" s="959"/>
      <c r="DB362" s="959"/>
      <c r="DC362" s="891">
        <v>2336</v>
      </c>
      <c r="DD362" s="891" t="s">
        <v>450</v>
      </c>
      <c r="DE362" s="891" t="s">
        <v>435</v>
      </c>
      <c r="DF362" s="891">
        <v>5</v>
      </c>
      <c r="DG362" s="959"/>
      <c r="DH362" s="959"/>
      <c r="ER362" s="905">
        <v>2856</v>
      </c>
      <c r="ES362" s="906" t="s">
        <v>307</v>
      </c>
      <c r="ET362" s="2686">
        <v>9</v>
      </c>
      <c r="EV362" s="985"/>
      <c r="EW362" s="985"/>
      <c r="EX362" s="387"/>
      <c r="EY362" s="939"/>
      <c r="EZ362" s="886"/>
    </row>
    <row r="363" spans="88:156" hidden="1">
      <c r="CJ363" s="197"/>
      <c r="CK363" s="197"/>
      <c r="CL363" s="197"/>
      <c r="CM363" s="213"/>
      <c r="CN363" s="213"/>
      <c r="CO363" s="197"/>
      <c r="CP363" s="197"/>
      <c r="CQ363" s="197"/>
      <c r="CR363" s="197"/>
      <c r="CS363" s="197"/>
      <c r="CT363" s="197"/>
      <c r="CU363" s="197"/>
      <c r="CV363" s="197"/>
      <c r="CW363" s="197"/>
      <c r="CX363" s="959"/>
      <c r="CY363" s="959"/>
      <c r="CZ363" s="959"/>
      <c r="DA363" s="959"/>
      <c r="DB363" s="959"/>
      <c r="DC363" s="891">
        <v>2337</v>
      </c>
      <c r="DD363" s="891" t="s">
        <v>451</v>
      </c>
      <c r="DE363" s="891" t="s">
        <v>417</v>
      </c>
      <c r="DF363" s="891">
        <v>3</v>
      </c>
      <c r="DG363" s="959"/>
      <c r="DH363" s="959"/>
      <c r="ER363" s="905">
        <v>2858</v>
      </c>
      <c r="ES363" s="906" t="s">
        <v>2964</v>
      </c>
      <c r="ET363" s="2686">
        <v>9</v>
      </c>
      <c r="EV363" s="985"/>
      <c r="EW363" s="985"/>
      <c r="EX363" s="387"/>
      <c r="EY363" s="939"/>
      <c r="EZ363" s="886"/>
    </row>
    <row r="364" spans="88:156" hidden="1">
      <c r="CJ364" s="197"/>
      <c r="CK364" s="197"/>
      <c r="CL364" s="197"/>
      <c r="CM364" s="213"/>
      <c r="CN364" s="213"/>
      <c r="CO364" s="197"/>
      <c r="CP364" s="197"/>
      <c r="CQ364" s="197"/>
      <c r="CR364" s="197"/>
      <c r="CS364" s="197"/>
      <c r="CT364" s="197"/>
      <c r="CU364" s="197"/>
      <c r="CV364" s="197"/>
      <c r="CW364" s="197"/>
      <c r="CX364" s="959"/>
      <c r="CY364" s="959"/>
      <c r="CZ364" s="959"/>
      <c r="DA364" s="959"/>
      <c r="DB364" s="959"/>
      <c r="DC364" s="891">
        <v>2338</v>
      </c>
      <c r="DD364" s="891" t="s">
        <v>452</v>
      </c>
      <c r="DE364" s="891" t="s">
        <v>423</v>
      </c>
      <c r="DF364" s="891">
        <v>5</v>
      </c>
      <c r="DG364" s="959"/>
      <c r="DH364" s="959"/>
      <c r="ER364" s="905">
        <v>2859</v>
      </c>
      <c r="ES364" s="906" t="s">
        <v>2965</v>
      </c>
      <c r="ET364" s="2686">
        <v>9</v>
      </c>
      <c r="EV364" s="985"/>
      <c r="EW364" s="985"/>
      <c r="EX364" s="387"/>
      <c r="EY364" s="939"/>
      <c r="EZ364" s="886"/>
    </row>
    <row r="365" spans="88:156" hidden="1">
      <c r="CJ365" s="197"/>
      <c r="CK365" s="197"/>
      <c r="CL365" s="197"/>
      <c r="CM365" s="213"/>
      <c r="CN365" s="213"/>
      <c r="CO365" s="197"/>
      <c r="CP365" s="197"/>
      <c r="CQ365" s="197"/>
      <c r="CR365" s="197"/>
      <c r="CS365" s="197"/>
      <c r="CT365" s="197"/>
      <c r="CU365" s="197"/>
      <c r="CV365" s="197"/>
      <c r="CW365" s="197"/>
      <c r="CX365" s="959"/>
      <c r="CY365" s="959"/>
      <c r="CZ365" s="959"/>
      <c r="DA365" s="959"/>
      <c r="DB365" s="959"/>
      <c r="DC365" s="891">
        <v>2339</v>
      </c>
      <c r="DD365" s="891" t="s">
        <v>453</v>
      </c>
      <c r="DE365" s="891" t="s">
        <v>432</v>
      </c>
      <c r="DF365" s="891">
        <v>5</v>
      </c>
      <c r="DG365" s="959"/>
      <c r="DH365" s="959"/>
      <c r="ER365" s="905">
        <v>2861</v>
      </c>
      <c r="ES365" s="906" t="s">
        <v>2966</v>
      </c>
      <c r="ET365" s="2686">
        <v>9</v>
      </c>
      <c r="EV365" s="985"/>
      <c r="EW365" s="985"/>
      <c r="EX365" s="387"/>
      <c r="EY365" s="939"/>
      <c r="EZ365" s="886"/>
    </row>
    <row r="366" spans="88:156" hidden="1">
      <c r="CJ366" s="197"/>
      <c r="CK366" s="197"/>
      <c r="CL366" s="197"/>
      <c r="CM366" s="213"/>
      <c r="CN366" s="213"/>
      <c r="CO366" s="197"/>
      <c r="CP366" s="197"/>
      <c r="CQ366" s="197"/>
      <c r="CR366" s="197"/>
      <c r="CS366" s="197"/>
      <c r="CT366" s="197"/>
      <c r="CU366" s="197"/>
      <c r="CV366" s="197"/>
      <c r="CW366" s="197"/>
      <c r="CX366" s="959"/>
      <c r="CY366" s="959"/>
      <c r="CZ366" s="959"/>
      <c r="DA366" s="959"/>
      <c r="DB366" s="959"/>
      <c r="DC366" s="891">
        <v>2340</v>
      </c>
      <c r="DD366" s="891" t="s">
        <v>454</v>
      </c>
      <c r="DE366" s="891" t="s">
        <v>433</v>
      </c>
      <c r="DF366" s="891">
        <v>5</v>
      </c>
      <c r="DG366" s="959"/>
      <c r="DH366" s="959"/>
      <c r="ER366" s="905">
        <v>2862</v>
      </c>
      <c r="ES366" s="906" t="s">
        <v>2967</v>
      </c>
      <c r="ET366" s="2686">
        <v>9</v>
      </c>
      <c r="EV366" s="985"/>
      <c r="EW366" s="985"/>
      <c r="EX366" s="387"/>
      <c r="EY366" s="939"/>
      <c r="EZ366" s="886"/>
    </row>
    <row r="367" spans="88:156" hidden="1">
      <c r="CJ367" s="197"/>
      <c r="CK367" s="197"/>
      <c r="CL367" s="197"/>
      <c r="CM367" s="213"/>
      <c r="CN367" s="213"/>
      <c r="CO367" s="197"/>
      <c r="CP367" s="197"/>
      <c r="CQ367" s="197"/>
      <c r="CR367" s="197"/>
      <c r="CS367" s="197"/>
      <c r="CT367" s="197"/>
      <c r="CU367" s="197"/>
      <c r="CV367" s="197"/>
      <c r="CW367" s="197"/>
      <c r="CX367" s="959"/>
      <c r="CY367" s="959"/>
      <c r="CZ367" s="959"/>
      <c r="DA367" s="959"/>
      <c r="DB367" s="959"/>
      <c r="DC367" s="891">
        <v>2344</v>
      </c>
      <c r="DD367" s="891" t="s">
        <v>455</v>
      </c>
      <c r="DE367" s="891" t="s">
        <v>402</v>
      </c>
      <c r="DF367" s="891">
        <v>6</v>
      </c>
      <c r="DG367" s="959"/>
      <c r="DH367" s="959"/>
      <c r="ER367" s="905">
        <v>2870</v>
      </c>
      <c r="ES367" s="906" t="s">
        <v>2968</v>
      </c>
      <c r="ET367" s="2686">
        <v>9</v>
      </c>
      <c r="EV367" s="985"/>
      <c r="EW367" s="985"/>
      <c r="EX367" s="387"/>
      <c r="EY367" s="939"/>
      <c r="EZ367" s="886"/>
    </row>
    <row r="368" spans="88:156" hidden="1">
      <c r="CJ368" s="197"/>
      <c r="CK368" s="197"/>
      <c r="CL368" s="197"/>
      <c r="CM368" s="213"/>
      <c r="CN368" s="213"/>
      <c r="CO368" s="197"/>
      <c r="CP368" s="197"/>
      <c r="CQ368" s="197"/>
      <c r="CR368" s="197"/>
      <c r="CS368" s="197"/>
      <c r="CT368" s="197"/>
      <c r="CU368" s="197"/>
      <c r="CV368" s="197"/>
      <c r="CW368" s="197"/>
      <c r="CX368" s="959"/>
      <c r="CY368" s="959"/>
      <c r="CZ368" s="959"/>
      <c r="DA368" s="959"/>
      <c r="DB368" s="959"/>
      <c r="DC368" s="891">
        <v>2345</v>
      </c>
      <c r="DD368" s="891" t="s">
        <v>456</v>
      </c>
      <c r="DE368" s="891" t="s">
        <v>432</v>
      </c>
      <c r="DF368" s="891">
        <v>6</v>
      </c>
      <c r="DG368" s="959"/>
      <c r="DH368" s="959"/>
      <c r="ER368" s="905">
        <v>2879</v>
      </c>
      <c r="ES368" s="906" t="s">
        <v>308</v>
      </c>
      <c r="ET368" s="2686">
        <v>9</v>
      </c>
      <c r="EV368" s="985"/>
      <c r="EW368" s="985"/>
      <c r="EX368" s="387"/>
      <c r="EY368" s="939"/>
      <c r="EZ368" s="886"/>
    </row>
    <row r="369" spans="88:156" hidden="1">
      <c r="CJ369" s="197"/>
      <c r="CK369" s="197"/>
      <c r="CL369" s="197"/>
      <c r="CM369" s="213"/>
      <c r="CN369" s="213"/>
      <c r="CO369" s="197"/>
      <c r="CP369" s="197"/>
      <c r="CQ369" s="197"/>
      <c r="CR369" s="197"/>
      <c r="CS369" s="197"/>
      <c r="CT369" s="197"/>
      <c r="CU369" s="197"/>
      <c r="CV369" s="197"/>
      <c r="CW369" s="197"/>
      <c r="CX369" s="959"/>
      <c r="CY369" s="959"/>
      <c r="CZ369" s="959"/>
      <c r="DA369" s="959"/>
      <c r="DB369" s="959"/>
      <c r="DC369" s="891">
        <v>2347</v>
      </c>
      <c r="DD369" s="891" t="s">
        <v>457</v>
      </c>
      <c r="DE369" s="891" t="s">
        <v>406</v>
      </c>
      <c r="DF369" s="891">
        <v>6</v>
      </c>
      <c r="DG369" s="959"/>
      <c r="DH369" s="959"/>
      <c r="ER369" s="905">
        <v>2881</v>
      </c>
      <c r="ES369" s="906" t="s">
        <v>2970</v>
      </c>
      <c r="ET369" s="2686">
        <v>9</v>
      </c>
      <c r="EV369" s="985"/>
      <c r="EW369" s="985"/>
      <c r="EX369" s="387"/>
      <c r="EY369" s="939"/>
      <c r="EZ369" s="886"/>
    </row>
    <row r="370" spans="88:156" hidden="1">
      <c r="CJ370" s="197"/>
      <c r="CK370" s="197"/>
      <c r="CL370" s="197"/>
      <c r="CM370" s="213"/>
      <c r="CN370" s="213"/>
      <c r="CO370" s="197"/>
      <c r="CP370" s="197"/>
      <c r="CQ370" s="197"/>
      <c r="CR370" s="197"/>
      <c r="CS370" s="197"/>
      <c r="CT370" s="197"/>
      <c r="CU370" s="197"/>
      <c r="CV370" s="197"/>
      <c r="CW370" s="197"/>
      <c r="CX370" s="959"/>
      <c r="CY370" s="959"/>
      <c r="CZ370" s="959"/>
      <c r="DA370" s="959"/>
      <c r="DB370" s="959"/>
      <c r="DC370" s="891">
        <v>2351</v>
      </c>
      <c r="DD370" s="891" t="s">
        <v>458</v>
      </c>
      <c r="DE370" s="891" t="s">
        <v>428</v>
      </c>
      <c r="DF370" s="891">
        <v>3</v>
      </c>
      <c r="DG370" s="959"/>
      <c r="DH370" s="959"/>
      <c r="ER370" s="905">
        <v>2882</v>
      </c>
      <c r="ES370" s="906" t="s">
        <v>2971</v>
      </c>
      <c r="ET370" s="2686">
        <v>9</v>
      </c>
      <c r="EV370" s="985"/>
      <c r="EW370" s="985"/>
      <c r="EX370" s="387"/>
      <c r="EY370" s="939"/>
      <c r="EZ370" s="886"/>
    </row>
    <row r="371" spans="88:156" hidden="1">
      <c r="CJ371" s="197"/>
      <c r="CK371" s="197"/>
      <c r="CL371" s="197"/>
      <c r="CM371" s="213"/>
      <c r="CN371" s="213"/>
      <c r="CO371" s="197"/>
      <c r="CP371" s="197"/>
      <c r="CQ371" s="197"/>
      <c r="CR371" s="197"/>
      <c r="CS371" s="197"/>
      <c r="CT371" s="197"/>
      <c r="CU371" s="197"/>
      <c r="CV371" s="197"/>
      <c r="CW371" s="197"/>
      <c r="CX371" s="959"/>
      <c r="CY371" s="959"/>
      <c r="CZ371" s="959"/>
      <c r="DA371" s="959"/>
      <c r="DB371" s="959"/>
      <c r="DC371" s="891">
        <v>2360</v>
      </c>
      <c r="DD371" s="891" t="s">
        <v>459</v>
      </c>
      <c r="DE371" s="891" t="s">
        <v>418</v>
      </c>
      <c r="DF371" s="891">
        <v>3</v>
      </c>
      <c r="DG371" s="959"/>
      <c r="DH371" s="959"/>
      <c r="ER371" s="905">
        <v>2883</v>
      </c>
      <c r="ES371" s="906" t="s">
        <v>2972</v>
      </c>
      <c r="ET371" s="2686">
        <v>9</v>
      </c>
      <c r="EV371" s="985"/>
      <c r="EW371" s="985"/>
      <c r="EX371" s="387"/>
      <c r="EY371" s="939"/>
      <c r="EZ371" s="886"/>
    </row>
    <row r="372" spans="88:156" hidden="1">
      <c r="CJ372" s="197"/>
      <c r="CK372" s="197"/>
      <c r="CL372" s="197"/>
      <c r="CM372" s="213"/>
      <c r="CN372" s="213"/>
      <c r="CO372" s="197"/>
      <c r="CP372" s="197"/>
      <c r="CQ372" s="197"/>
      <c r="CR372" s="197"/>
      <c r="CS372" s="197"/>
      <c r="CT372" s="197"/>
      <c r="CU372" s="197"/>
      <c r="CV372" s="197"/>
      <c r="CW372" s="197"/>
      <c r="CX372" s="959"/>
      <c r="CY372" s="959"/>
      <c r="CZ372" s="959"/>
      <c r="DA372" s="959"/>
      <c r="DB372" s="959"/>
      <c r="DC372" s="891">
        <v>2363</v>
      </c>
      <c r="DD372" s="891" t="s">
        <v>460</v>
      </c>
      <c r="DE372" s="891" t="s">
        <v>2808</v>
      </c>
      <c r="DF372" s="891">
        <v>5</v>
      </c>
      <c r="DG372" s="959"/>
      <c r="DH372" s="959"/>
      <c r="ER372" s="905">
        <v>2884</v>
      </c>
      <c r="ES372" s="906" t="s">
        <v>2973</v>
      </c>
      <c r="ET372" s="2686">
        <v>9</v>
      </c>
      <c r="EV372" s="985"/>
      <c r="EW372" s="985"/>
      <c r="EX372" s="387"/>
      <c r="EY372" s="939"/>
      <c r="EZ372" s="886"/>
    </row>
    <row r="373" spans="88:156" hidden="1">
      <c r="CJ373" s="197"/>
      <c r="CK373" s="197"/>
      <c r="CL373" s="197"/>
      <c r="CM373" s="213"/>
      <c r="CN373" s="213"/>
      <c r="CO373" s="197"/>
      <c r="CP373" s="197"/>
      <c r="CQ373" s="197"/>
      <c r="CR373" s="197"/>
      <c r="CS373" s="197"/>
      <c r="CT373" s="197"/>
      <c r="CU373" s="197"/>
      <c r="CV373" s="197"/>
      <c r="CW373" s="197"/>
      <c r="CX373" s="959"/>
      <c r="CY373" s="959"/>
      <c r="CZ373" s="959"/>
      <c r="DA373" s="959"/>
      <c r="DB373" s="959"/>
      <c r="DC373" s="891">
        <v>2364</v>
      </c>
      <c r="DD373" s="891" t="s">
        <v>461</v>
      </c>
      <c r="DE373" s="891" t="s">
        <v>421</v>
      </c>
      <c r="DF373" s="891">
        <v>5</v>
      </c>
      <c r="DG373" s="959"/>
      <c r="DH373" s="959"/>
      <c r="ER373" s="905">
        <v>2885</v>
      </c>
      <c r="ES373" s="906" t="s">
        <v>2974</v>
      </c>
      <c r="ET373" s="2686">
        <v>9</v>
      </c>
      <c r="EV373" s="985"/>
      <c r="EW373" s="985"/>
      <c r="EX373" s="387"/>
      <c r="EY373" s="939"/>
      <c r="EZ373" s="886"/>
    </row>
    <row r="374" spans="88:156" hidden="1">
      <c r="CJ374" s="197"/>
      <c r="CK374" s="197"/>
      <c r="CL374" s="197"/>
      <c r="CM374" s="213"/>
      <c r="CN374" s="213"/>
      <c r="CO374" s="197"/>
      <c r="CP374" s="197"/>
      <c r="CQ374" s="197"/>
      <c r="CR374" s="197"/>
      <c r="CS374" s="197"/>
      <c r="CT374" s="197"/>
      <c r="CU374" s="197"/>
      <c r="CV374" s="197"/>
      <c r="CW374" s="197"/>
      <c r="CX374" s="959"/>
      <c r="CY374" s="959"/>
      <c r="CZ374" s="959"/>
      <c r="DA374" s="959"/>
      <c r="DB374" s="959"/>
      <c r="DC374" s="891">
        <v>2365</v>
      </c>
      <c r="DD374" s="891" t="s">
        <v>462</v>
      </c>
      <c r="DE374" s="891" t="s">
        <v>2808</v>
      </c>
      <c r="DF374" s="891">
        <v>5</v>
      </c>
      <c r="DG374" s="959"/>
      <c r="DH374" s="959"/>
      <c r="ER374" s="905">
        <v>2886</v>
      </c>
      <c r="ES374" s="906" t="s">
        <v>2975</v>
      </c>
      <c r="ET374" s="2686">
        <v>9</v>
      </c>
      <c r="EV374" s="985"/>
      <c r="EW374" s="985"/>
      <c r="EX374" s="387"/>
      <c r="EY374" s="939"/>
      <c r="EZ374" s="886"/>
    </row>
    <row r="375" spans="88:156" hidden="1">
      <c r="CJ375" s="197"/>
      <c r="CK375" s="197"/>
      <c r="CL375" s="197"/>
      <c r="CM375" s="213"/>
      <c r="CN375" s="213"/>
      <c r="CO375" s="197"/>
      <c r="CP375" s="197"/>
      <c r="CQ375" s="197"/>
      <c r="CR375" s="197"/>
      <c r="CS375" s="197"/>
      <c r="CT375" s="197"/>
      <c r="CU375" s="197"/>
      <c r="CV375" s="197"/>
      <c r="CW375" s="197"/>
      <c r="CX375" s="959"/>
      <c r="CY375" s="959"/>
      <c r="CZ375" s="959"/>
      <c r="DA375" s="959"/>
      <c r="DB375" s="959"/>
      <c r="DC375" s="891">
        <v>2366</v>
      </c>
      <c r="DD375" s="891" t="s">
        <v>463</v>
      </c>
      <c r="DE375" s="891" t="s">
        <v>428</v>
      </c>
      <c r="DF375" s="891">
        <v>5</v>
      </c>
      <c r="DG375" s="959"/>
      <c r="DH375" s="959"/>
      <c r="ER375" s="905">
        <v>2887</v>
      </c>
      <c r="ES375" s="906" t="s">
        <v>2976</v>
      </c>
      <c r="ET375" s="2686">
        <v>9</v>
      </c>
      <c r="EV375" s="985"/>
      <c r="EW375" s="985"/>
      <c r="EX375" s="387"/>
      <c r="EY375" s="939"/>
      <c r="EZ375" s="886"/>
    </row>
    <row r="376" spans="88:156" hidden="1">
      <c r="CJ376" s="197"/>
      <c r="CK376" s="197"/>
      <c r="CL376" s="197"/>
      <c r="CM376" s="213"/>
      <c r="CN376" s="213"/>
      <c r="CO376" s="197"/>
      <c r="CP376" s="197"/>
      <c r="CQ376" s="197"/>
      <c r="CR376" s="197"/>
      <c r="CS376" s="197"/>
      <c r="CT376" s="197"/>
      <c r="CU376" s="197"/>
      <c r="CV376" s="197"/>
      <c r="CW376" s="197"/>
      <c r="CX376" s="959"/>
      <c r="CY376" s="959"/>
      <c r="CZ376" s="959"/>
      <c r="DA376" s="959"/>
      <c r="DB376" s="959"/>
      <c r="DC376" s="891">
        <v>2367</v>
      </c>
      <c r="DD376" s="891" t="s">
        <v>464</v>
      </c>
      <c r="DE376" s="891" t="s">
        <v>428</v>
      </c>
      <c r="DF376" s="891">
        <v>6</v>
      </c>
      <c r="DG376" s="959"/>
      <c r="DH376" s="959"/>
      <c r="ER376" s="905">
        <v>2888</v>
      </c>
      <c r="ES376" s="906" t="s">
        <v>2977</v>
      </c>
      <c r="ET376" s="2686">
        <v>9</v>
      </c>
      <c r="EV376" s="985"/>
      <c r="EW376" s="985"/>
      <c r="EX376" s="387"/>
      <c r="EY376" s="939"/>
      <c r="EZ376" s="886"/>
    </row>
    <row r="377" spans="88:156" hidden="1">
      <c r="CJ377" s="197"/>
      <c r="CK377" s="197"/>
      <c r="CL377" s="197"/>
      <c r="CM377" s="213"/>
      <c r="CN377" s="213"/>
      <c r="CO377" s="197"/>
      <c r="CP377" s="197"/>
      <c r="CQ377" s="197"/>
      <c r="CR377" s="197"/>
      <c r="CS377" s="197"/>
      <c r="CT377" s="197"/>
      <c r="CU377" s="197"/>
      <c r="CV377" s="197"/>
      <c r="CW377" s="197"/>
      <c r="CX377" s="959"/>
      <c r="CY377" s="959"/>
      <c r="CZ377" s="959"/>
      <c r="DA377" s="959"/>
      <c r="DB377" s="959"/>
      <c r="DC377" s="891">
        <v>2370</v>
      </c>
      <c r="DD377" s="891" t="s">
        <v>465</v>
      </c>
      <c r="DE377" s="891" t="s">
        <v>434</v>
      </c>
      <c r="DF377" s="891">
        <v>6</v>
      </c>
      <c r="DG377" s="959"/>
      <c r="DH377" s="959"/>
      <c r="ER377" s="905">
        <v>2889</v>
      </c>
      <c r="ES377" s="906" t="s">
        <v>2978</v>
      </c>
      <c r="ET377" s="2686">
        <v>9</v>
      </c>
      <c r="EV377" s="985"/>
      <c r="EW377" s="985"/>
      <c r="EX377" s="387"/>
      <c r="EY377" s="939"/>
      <c r="EZ377" s="886"/>
    </row>
    <row r="378" spans="88:156" hidden="1">
      <c r="CJ378" s="197"/>
      <c r="CK378" s="197"/>
      <c r="CL378" s="197"/>
      <c r="CM378" s="213"/>
      <c r="CN378" s="213"/>
      <c r="CO378" s="197"/>
      <c r="CP378" s="197"/>
      <c r="CQ378" s="197"/>
      <c r="CR378" s="197"/>
      <c r="CS378" s="197"/>
      <c r="CT378" s="197"/>
      <c r="CU378" s="197"/>
      <c r="CV378" s="197"/>
      <c r="CW378" s="197"/>
      <c r="CX378" s="959"/>
      <c r="CY378" s="959"/>
      <c r="CZ378" s="959"/>
      <c r="DA378" s="959"/>
      <c r="DB378" s="959"/>
      <c r="DC378" s="891">
        <v>2371</v>
      </c>
      <c r="DD378" s="891" t="s">
        <v>466</v>
      </c>
      <c r="DE378" s="891" t="s">
        <v>404</v>
      </c>
      <c r="DF378" s="891">
        <v>6</v>
      </c>
      <c r="DG378" s="959"/>
      <c r="DH378" s="959"/>
      <c r="ER378" s="905">
        <v>2890</v>
      </c>
      <c r="ES378" s="906" t="s">
        <v>2979</v>
      </c>
      <c r="ET378" s="2686">
        <v>9</v>
      </c>
      <c r="EV378" s="985"/>
      <c r="EW378" s="985"/>
      <c r="EX378" s="387"/>
      <c r="EY378" s="939"/>
      <c r="EZ378" s="886"/>
    </row>
    <row r="379" spans="88:156" hidden="1">
      <c r="CJ379" s="197"/>
      <c r="CK379" s="197"/>
      <c r="CL379" s="197"/>
      <c r="CM379" s="213"/>
      <c r="CN379" s="213"/>
      <c r="CO379" s="197"/>
      <c r="CP379" s="197"/>
      <c r="CQ379" s="197"/>
      <c r="CR379" s="197"/>
      <c r="CS379" s="197"/>
      <c r="CT379" s="197"/>
      <c r="CU379" s="197"/>
      <c r="CV379" s="197"/>
      <c r="CW379" s="197"/>
      <c r="CX379" s="959"/>
      <c r="CY379" s="959"/>
      <c r="CZ379" s="959"/>
      <c r="DA379" s="959"/>
      <c r="DB379" s="959"/>
      <c r="DC379" s="891">
        <v>2373</v>
      </c>
      <c r="DD379" s="891" t="s">
        <v>465</v>
      </c>
      <c r="DE379" s="891" t="s">
        <v>406</v>
      </c>
      <c r="DF379" s="891">
        <v>6</v>
      </c>
      <c r="DG379" s="959"/>
      <c r="DH379" s="959"/>
      <c r="ER379" s="905">
        <v>2896</v>
      </c>
      <c r="ES379" s="906" t="s">
        <v>2980</v>
      </c>
      <c r="ET379" s="2686">
        <v>6</v>
      </c>
      <c r="EV379" s="985"/>
      <c r="EW379" s="985"/>
      <c r="EX379" s="387"/>
      <c r="EY379" s="939"/>
      <c r="EZ379" s="886"/>
    </row>
    <row r="380" spans="88:156" hidden="1">
      <c r="CJ380" s="197"/>
      <c r="CK380" s="197"/>
      <c r="CL380" s="197"/>
      <c r="CM380" s="213"/>
      <c r="CN380" s="213"/>
      <c r="CO380" s="197"/>
      <c r="CP380" s="197"/>
      <c r="CQ380" s="197"/>
      <c r="CR380" s="197"/>
      <c r="CS380" s="197"/>
      <c r="CT380" s="197"/>
      <c r="CU380" s="197"/>
      <c r="CV380" s="197"/>
      <c r="CW380" s="197"/>
      <c r="CX380" s="959"/>
      <c r="CY380" s="959"/>
      <c r="CZ380" s="959"/>
      <c r="DA380" s="959"/>
      <c r="DB380" s="959"/>
      <c r="DC380" s="891">
        <v>2375</v>
      </c>
      <c r="DD380" s="891" t="s">
        <v>467</v>
      </c>
      <c r="DE380" s="891" t="s">
        <v>412</v>
      </c>
      <c r="DF380" s="891">
        <v>6</v>
      </c>
      <c r="DG380" s="959"/>
      <c r="DH380" s="959"/>
      <c r="ER380" s="905">
        <v>2897</v>
      </c>
      <c r="ES380" s="906" t="s">
        <v>2981</v>
      </c>
      <c r="ET380" s="2686">
        <v>6</v>
      </c>
      <c r="EV380" s="985"/>
      <c r="EW380" s="985"/>
      <c r="EX380" s="387"/>
      <c r="EY380" s="939"/>
      <c r="EZ380" s="886"/>
    </row>
    <row r="381" spans="88:156" hidden="1">
      <c r="CJ381" s="197"/>
      <c r="CK381" s="197"/>
      <c r="CL381" s="197"/>
      <c r="CM381" s="213"/>
      <c r="CN381" s="213"/>
      <c r="CO381" s="197"/>
      <c r="CP381" s="197"/>
      <c r="CQ381" s="197"/>
      <c r="CR381" s="197"/>
      <c r="CS381" s="197"/>
      <c r="CT381" s="197"/>
      <c r="CU381" s="197"/>
      <c r="CV381" s="197"/>
      <c r="CW381" s="197"/>
      <c r="CX381" s="959"/>
      <c r="CY381" s="959"/>
      <c r="CZ381" s="959"/>
      <c r="DA381" s="959"/>
      <c r="DB381" s="959"/>
      <c r="DC381" s="891">
        <v>2376</v>
      </c>
      <c r="DD381" s="891" t="s">
        <v>468</v>
      </c>
      <c r="DE381" s="891" t="s">
        <v>412</v>
      </c>
      <c r="DF381" s="891">
        <v>6</v>
      </c>
      <c r="DG381" s="959"/>
      <c r="DH381" s="959"/>
      <c r="ER381" s="905">
        <v>2898</v>
      </c>
      <c r="ES381" s="906" t="s">
        <v>2982</v>
      </c>
      <c r="ET381" s="2686">
        <v>9</v>
      </c>
      <c r="EV381" s="985"/>
      <c r="EW381" s="985"/>
      <c r="EX381" s="387"/>
      <c r="EY381" s="939"/>
      <c r="EZ381" s="886"/>
    </row>
    <row r="382" spans="88:156" hidden="1">
      <c r="CJ382" s="197"/>
      <c r="CK382" s="197"/>
      <c r="CL382" s="197"/>
      <c r="CM382" s="213"/>
      <c r="CN382" s="213"/>
      <c r="CO382" s="197"/>
      <c r="CP382" s="197"/>
      <c r="CQ382" s="197"/>
      <c r="CR382" s="197"/>
      <c r="CS382" s="197"/>
      <c r="CT382" s="197"/>
      <c r="CU382" s="197"/>
      <c r="CV382" s="197"/>
      <c r="CW382" s="197"/>
      <c r="CX382" s="959"/>
      <c r="CY382" s="959"/>
      <c r="CZ382" s="959"/>
      <c r="DA382" s="959"/>
      <c r="DB382" s="959"/>
      <c r="DC382" s="891">
        <v>2377</v>
      </c>
      <c r="DD382" s="891" t="s">
        <v>469</v>
      </c>
      <c r="DE382" s="891" t="s">
        <v>434</v>
      </c>
      <c r="DF382" s="891">
        <v>6</v>
      </c>
      <c r="DG382" s="959"/>
      <c r="DH382" s="959"/>
      <c r="ER382" s="905">
        <v>2899</v>
      </c>
      <c r="ES382" s="906" t="s">
        <v>2983</v>
      </c>
      <c r="ET382" s="2686">
        <v>9</v>
      </c>
      <c r="EV382" s="985"/>
      <c r="EW382" s="985"/>
      <c r="EX382" s="387"/>
      <c r="EY382" s="939"/>
      <c r="EZ382" s="886"/>
    </row>
    <row r="383" spans="88:156" hidden="1">
      <c r="CJ383" s="197"/>
      <c r="CK383" s="197"/>
      <c r="CL383" s="197"/>
      <c r="CM383" s="213"/>
      <c r="CN383" s="213"/>
      <c r="CO383" s="197"/>
      <c r="CP383" s="197"/>
      <c r="CQ383" s="197"/>
      <c r="CR383" s="197"/>
      <c r="CS383" s="197"/>
      <c r="CT383" s="197"/>
      <c r="CU383" s="197"/>
      <c r="CV383" s="197"/>
      <c r="CW383" s="197"/>
      <c r="CX383" s="959"/>
      <c r="CY383" s="959"/>
      <c r="CZ383" s="959"/>
      <c r="DA383" s="959"/>
      <c r="DB383" s="959"/>
      <c r="DC383" s="891">
        <v>2378</v>
      </c>
      <c r="DD383" s="891" t="s">
        <v>470</v>
      </c>
      <c r="DE383" s="891" t="s">
        <v>434</v>
      </c>
      <c r="DF383" s="891">
        <v>6</v>
      </c>
      <c r="DG383" s="959"/>
      <c r="DH383" s="959"/>
      <c r="ER383" s="905">
        <v>2900</v>
      </c>
      <c r="ES383" s="906" t="s">
        <v>2984</v>
      </c>
      <c r="ET383" s="2686">
        <v>9</v>
      </c>
      <c r="EV383" s="985"/>
      <c r="EW383" s="985"/>
      <c r="EX383" s="387"/>
      <c r="EY383" s="939"/>
      <c r="EZ383" s="886"/>
    </row>
    <row r="384" spans="88:156" hidden="1">
      <c r="CJ384" s="197"/>
      <c r="CK384" s="197"/>
      <c r="CL384" s="197"/>
      <c r="CM384" s="213"/>
      <c r="CN384" s="213"/>
      <c r="CO384" s="197"/>
      <c r="CP384" s="197"/>
      <c r="CQ384" s="197"/>
      <c r="CR384" s="197"/>
      <c r="CS384" s="197"/>
      <c r="CT384" s="197"/>
      <c r="CU384" s="197"/>
      <c r="CV384" s="197"/>
      <c r="CW384" s="197"/>
      <c r="CX384" s="959"/>
      <c r="CY384" s="959"/>
      <c r="CZ384" s="959"/>
      <c r="DA384" s="959"/>
      <c r="DB384" s="959"/>
      <c r="DC384" s="891">
        <v>2381</v>
      </c>
      <c r="DD384" s="891" t="s">
        <v>471</v>
      </c>
      <c r="DE384" s="891" t="s">
        <v>434</v>
      </c>
      <c r="DF384" s="891">
        <v>6</v>
      </c>
      <c r="DG384" s="959"/>
      <c r="DH384" s="959"/>
      <c r="ER384" s="905">
        <v>2903</v>
      </c>
      <c r="ES384" s="906" t="s">
        <v>309</v>
      </c>
      <c r="ET384" s="2686">
        <v>9</v>
      </c>
      <c r="EV384" s="985"/>
      <c r="EW384" s="985"/>
      <c r="EX384" s="387"/>
      <c r="EY384" s="939"/>
      <c r="EZ384" s="886"/>
    </row>
    <row r="385" spans="88:156" hidden="1">
      <c r="CJ385" s="197"/>
      <c r="CK385" s="197"/>
      <c r="CL385" s="197"/>
      <c r="CM385" s="213"/>
      <c r="CN385" s="213"/>
      <c r="CO385" s="197"/>
      <c r="CP385" s="197"/>
      <c r="CQ385" s="197"/>
      <c r="CR385" s="197"/>
      <c r="CS385" s="197"/>
      <c r="CT385" s="197"/>
      <c r="CU385" s="197"/>
      <c r="CV385" s="197"/>
      <c r="CW385" s="197"/>
      <c r="CX385" s="959"/>
      <c r="CY385" s="959"/>
      <c r="CZ385" s="959"/>
      <c r="DA385" s="959"/>
      <c r="DB385" s="959"/>
      <c r="DC385" s="891">
        <v>2400</v>
      </c>
      <c r="DD385" s="891" t="s">
        <v>472</v>
      </c>
      <c r="DE385" s="891" t="s">
        <v>419</v>
      </c>
      <c r="DF385" s="891">
        <v>6</v>
      </c>
      <c r="DG385" s="959"/>
      <c r="DH385" s="959"/>
      <c r="ER385" s="905">
        <v>2911</v>
      </c>
      <c r="ES385" s="906" t="s">
        <v>2986</v>
      </c>
      <c r="ET385" s="2686">
        <v>9</v>
      </c>
      <c r="EV385" s="985"/>
      <c r="EW385" s="985"/>
      <c r="EX385" s="387"/>
      <c r="EY385" s="939"/>
      <c r="EZ385" s="886"/>
    </row>
    <row r="386" spans="88:156" hidden="1">
      <c r="CJ386" s="197"/>
      <c r="CK386" s="197"/>
      <c r="CL386" s="197"/>
      <c r="CM386" s="213"/>
      <c r="CN386" s="213"/>
      <c r="CO386" s="197"/>
      <c r="CP386" s="197"/>
      <c r="CQ386" s="197"/>
      <c r="CR386" s="197"/>
      <c r="CS386" s="197"/>
      <c r="CT386" s="197"/>
      <c r="CU386" s="197"/>
      <c r="CV386" s="197"/>
      <c r="CW386" s="197"/>
      <c r="CX386" s="959"/>
      <c r="CY386" s="959"/>
      <c r="CZ386" s="959"/>
      <c r="DA386" s="959"/>
      <c r="DB386" s="959"/>
      <c r="DC386" s="891">
        <v>2407</v>
      </c>
      <c r="DD386" s="891" t="s">
        <v>473</v>
      </c>
      <c r="DE386" s="891" t="s">
        <v>419</v>
      </c>
      <c r="DF386" s="891">
        <v>6</v>
      </c>
      <c r="DG386" s="959"/>
      <c r="DH386" s="959"/>
      <c r="ER386" s="905">
        <v>2921</v>
      </c>
      <c r="ES386" s="906" t="s">
        <v>310</v>
      </c>
      <c r="ET386" s="2686">
        <v>9</v>
      </c>
      <c r="EV386" s="985"/>
      <c r="EW386" s="985"/>
      <c r="EX386" s="387"/>
      <c r="EY386" s="939"/>
      <c r="EZ386" s="886"/>
    </row>
    <row r="387" spans="88:156" hidden="1">
      <c r="CJ387" s="197"/>
      <c r="CK387" s="197"/>
      <c r="CL387" s="197"/>
      <c r="CM387" s="213"/>
      <c r="CN387" s="213"/>
      <c r="CO387" s="197"/>
      <c r="CP387" s="197"/>
      <c r="CQ387" s="197"/>
      <c r="CR387" s="197"/>
      <c r="CS387" s="197"/>
      <c r="CT387" s="197"/>
      <c r="CU387" s="197"/>
      <c r="CV387" s="197"/>
      <c r="CW387" s="197"/>
      <c r="CX387" s="959"/>
      <c r="CY387" s="959"/>
      <c r="CZ387" s="959"/>
      <c r="DA387" s="959"/>
      <c r="DB387" s="959"/>
      <c r="DC387" s="891">
        <v>2421</v>
      </c>
      <c r="DD387" s="891" t="s">
        <v>474</v>
      </c>
      <c r="DE387" s="891" t="s">
        <v>2808</v>
      </c>
      <c r="DF387" s="891">
        <v>6</v>
      </c>
      <c r="DG387" s="959"/>
      <c r="DH387" s="959"/>
      <c r="ER387" s="905">
        <v>2931</v>
      </c>
      <c r="ES387" s="906" t="s">
        <v>311</v>
      </c>
      <c r="ET387" s="2686">
        <v>9</v>
      </c>
      <c r="EV387" s="985"/>
      <c r="EW387" s="985"/>
      <c r="EX387" s="387"/>
      <c r="EY387" s="939"/>
      <c r="EZ387" s="886"/>
    </row>
    <row r="388" spans="88:156" hidden="1">
      <c r="CJ388" s="197"/>
      <c r="CK388" s="197"/>
      <c r="CL388" s="197"/>
      <c r="CM388" s="213"/>
      <c r="CN388" s="213"/>
      <c r="CO388" s="197"/>
      <c r="CP388" s="197"/>
      <c r="CQ388" s="197"/>
      <c r="CR388" s="197"/>
      <c r="CS388" s="197"/>
      <c r="CT388" s="197"/>
      <c r="CU388" s="197"/>
      <c r="CV388" s="197"/>
      <c r="CW388" s="197"/>
      <c r="CX388" s="959"/>
      <c r="CY388" s="959"/>
      <c r="CZ388" s="959"/>
      <c r="DA388" s="959"/>
      <c r="DB388" s="959"/>
      <c r="DC388" s="891">
        <v>2422</v>
      </c>
      <c r="DD388" s="891" t="s">
        <v>475</v>
      </c>
      <c r="DE388" s="891" t="s">
        <v>406</v>
      </c>
      <c r="DF388" s="891">
        <v>6</v>
      </c>
      <c r="DG388" s="959"/>
      <c r="DH388" s="959"/>
      <c r="ER388" s="905">
        <v>2941</v>
      </c>
      <c r="ES388" s="906" t="s">
        <v>2989</v>
      </c>
      <c r="ET388" s="2686">
        <v>9</v>
      </c>
      <c r="EV388" s="985"/>
      <c r="EW388" s="985"/>
      <c r="EX388" s="387"/>
      <c r="EY388" s="939"/>
      <c r="EZ388" s="886"/>
    </row>
    <row r="389" spans="88:156" hidden="1">
      <c r="CJ389" s="197"/>
      <c r="CK389" s="197"/>
      <c r="CL389" s="197"/>
      <c r="CM389" s="213"/>
      <c r="CN389" s="213"/>
      <c r="CO389" s="197"/>
      <c r="CP389" s="197"/>
      <c r="CQ389" s="197"/>
      <c r="CR389" s="197"/>
      <c r="CS389" s="197"/>
      <c r="CT389" s="197"/>
      <c r="CU389" s="197"/>
      <c r="CV389" s="197"/>
      <c r="CW389" s="197"/>
      <c r="CX389" s="959"/>
      <c r="CY389" s="959"/>
      <c r="CZ389" s="959"/>
      <c r="DA389" s="959"/>
      <c r="DB389" s="959"/>
      <c r="DC389" s="891">
        <v>2423</v>
      </c>
      <c r="DD389" s="891" t="s">
        <v>476</v>
      </c>
      <c r="DE389" s="891" t="s">
        <v>428</v>
      </c>
      <c r="DF389" s="891">
        <v>6</v>
      </c>
      <c r="DG389" s="959"/>
      <c r="DH389" s="959"/>
      <c r="ER389" s="905">
        <v>2942</v>
      </c>
      <c r="ES389" s="906" t="s">
        <v>2990</v>
      </c>
      <c r="ET389" s="2686">
        <v>9</v>
      </c>
      <c r="EV389" s="985"/>
      <c r="EW389" s="985"/>
      <c r="EX389" s="387"/>
      <c r="EY389" s="939"/>
      <c r="EZ389" s="886"/>
    </row>
    <row r="390" spans="88:156" hidden="1">
      <c r="CJ390" s="197"/>
      <c r="CK390" s="197"/>
      <c r="CL390" s="197"/>
      <c r="CM390" s="213"/>
      <c r="CN390" s="213"/>
      <c r="CO390" s="197"/>
      <c r="CP390" s="197"/>
      <c r="CQ390" s="197"/>
      <c r="CR390" s="197"/>
      <c r="CS390" s="197"/>
      <c r="CT390" s="197"/>
      <c r="CU390" s="197"/>
      <c r="CV390" s="197"/>
      <c r="CW390" s="197"/>
      <c r="CX390" s="959"/>
      <c r="CY390" s="959"/>
      <c r="CZ390" s="959"/>
      <c r="DA390" s="959"/>
      <c r="DB390" s="959"/>
      <c r="DC390" s="891">
        <v>2424</v>
      </c>
      <c r="DD390" s="891" t="s">
        <v>477</v>
      </c>
      <c r="DE390" s="891" t="s">
        <v>418</v>
      </c>
      <c r="DF390" s="891">
        <v>6</v>
      </c>
      <c r="DG390" s="959"/>
      <c r="DH390" s="959"/>
      <c r="ER390" s="905">
        <v>2943</v>
      </c>
      <c r="ES390" s="906" t="s">
        <v>2991</v>
      </c>
      <c r="ET390" s="2686">
        <v>9</v>
      </c>
      <c r="EV390" s="985"/>
      <c r="EW390" s="985"/>
      <c r="EX390" s="387"/>
      <c r="EY390" s="939"/>
      <c r="EZ390" s="886"/>
    </row>
    <row r="391" spans="88:156" hidden="1">
      <c r="CJ391" s="197"/>
      <c r="CK391" s="197"/>
      <c r="CL391" s="197"/>
      <c r="CM391" s="213"/>
      <c r="CN391" s="213"/>
      <c r="CO391" s="197"/>
      <c r="CP391" s="197"/>
      <c r="CQ391" s="197"/>
      <c r="CR391" s="197"/>
      <c r="CS391" s="197"/>
      <c r="CT391" s="197"/>
      <c r="CU391" s="197"/>
      <c r="CV391" s="197"/>
      <c r="CW391" s="197"/>
      <c r="CX391" s="959"/>
      <c r="CY391" s="959"/>
      <c r="CZ391" s="959"/>
      <c r="DA391" s="959"/>
      <c r="DB391" s="959"/>
      <c r="DC391" s="891">
        <v>2425</v>
      </c>
      <c r="DD391" s="891" t="s">
        <v>478</v>
      </c>
      <c r="DE391" s="891" t="s">
        <v>412</v>
      </c>
      <c r="DF391" s="891">
        <v>6</v>
      </c>
      <c r="DG391" s="959"/>
      <c r="DH391" s="959"/>
      <c r="ER391" s="905">
        <v>2944</v>
      </c>
      <c r="ES391" s="906" t="s">
        <v>2992</v>
      </c>
      <c r="ET391" s="2686">
        <v>9</v>
      </c>
      <c r="EV391" s="985"/>
      <c r="EW391" s="985"/>
      <c r="EX391" s="387"/>
      <c r="EY391" s="939"/>
      <c r="EZ391" s="886"/>
    </row>
    <row r="392" spans="88:156" hidden="1">
      <c r="CJ392" s="197"/>
      <c r="CK392" s="197"/>
      <c r="CL392" s="197"/>
      <c r="CM392" s="213"/>
      <c r="CN392" s="213"/>
      <c r="CO392" s="197"/>
      <c r="CP392" s="197"/>
      <c r="CQ392" s="197"/>
      <c r="CR392" s="197"/>
      <c r="CS392" s="197"/>
      <c r="CT392" s="197"/>
      <c r="CU392" s="197"/>
      <c r="CV392" s="197"/>
      <c r="CW392" s="197"/>
      <c r="CX392" s="959"/>
      <c r="CY392" s="959"/>
      <c r="CZ392" s="959"/>
      <c r="DA392" s="959"/>
      <c r="DB392" s="959"/>
      <c r="DC392" s="891">
        <v>2426</v>
      </c>
      <c r="DD392" s="891" t="s">
        <v>3025</v>
      </c>
      <c r="DE392" s="891" t="s">
        <v>423</v>
      </c>
      <c r="DF392" s="891">
        <v>6</v>
      </c>
      <c r="DG392" s="959"/>
      <c r="DH392" s="959"/>
      <c r="ER392" s="905">
        <v>2945</v>
      </c>
      <c r="ES392" s="906" t="s">
        <v>2993</v>
      </c>
      <c r="ET392" s="2686">
        <v>9</v>
      </c>
      <c r="EV392" s="985"/>
      <c r="EW392" s="985"/>
      <c r="EX392" s="387"/>
      <c r="EY392" s="939"/>
      <c r="EZ392" s="886"/>
    </row>
    <row r="393" spans="88:156" hidden="1">
      <c r="CJ393" s="197"/>
      <c r="CK393" s="197"/>
      <c r="CL393" s="197"/>
      <c r="CM393" s="213"/>
      <c r="CN393" s="213"/>
      <c r="CO393" s="197"/>
      <c r="CP393" s="197"/>
      <c r="CQ393" s="197"/>
      <c r="CR393" s="197"/>
      <c r="CS393" s="197"/>
      <c r="CT393" s="197"/>
      <c r="CU393" s="197"/>
      <c r="CV393" s="197"/>
      <c r="CW393" s="197"/>
      <c r="CX393" s="959"/>
      <c r="CY393" s="959"/>
      <c r="CZ393" s="959"/>
      <c r="DA393" s="959"/>
      <c r="DB393" s="959"/>
      <c r="DC393" s="891">
        <v>2427</v>
      </c>
      <c r="DD393" s="891" t="s">
        <v>3026</v>
      </c>
      <c r="DE393" s="891" t="s">
        <v>406</v>
      </c>
      <c r="DF393" s="891">
        <v>6</v>
      </c>
      <c r="DG393" s="959"/>
      <c r="DH393" s="959"/>
      <c r="ER393" s="905">
        <v>2946</v>
      </c>
      <c r="ES393" s="906" t="s">
        <v>2994</v>
      </c>
      <c r="ET393" s="2686">
        <v>9</v>
      </c>
      <c r="EV393" s="985"/>
      <c r="EW393" s="985"/>
      <c r="EX393" s="387"/>
      <c r="EY393" s="939"/>
      <c r="EZ393" s="886"/>
    </row>
    <row r="394" spans="88:156" hidden="1">
      <c r="CJ394" s="197"/>
      <c r="CK394" s="197"/>
      <c r="CL394" s="197"/>
      <c r="CM394" s="213"/>
      <c r="CN394" s="213"/>
      <c r="CO394" s="197"/>
      <c r="CP394" s="197"/>
      <c r="CQ394" s="197"/>
      <c r="CR394" s="197"/>
      <c r="CS394" s="197"/>
      <c r="CT394" s="197"/>
      <c r="CU394" s="197"/>
      <c r="CV394" s="197"/>
      <c r="CW394" s="197"/>
      <c r="CX394" s="959"/>
      <c r="CY394" s="959"/>
      <c r="CZ394" s="959"/>
      <c r="DA394" s="959"/>
      <c r="DB394" s="959"/>
      <c r="DC394" s="891">
        <v>2428</v>
      </c>
      <c r="DD394" s="891" t="s">
        <v>3027</v>
      </c>
      <c r="DE394" s="891" t="s">
        <v>428</v>
      </c>
      <c r="DF394" s="891">
        <v>6</v>
      </c>
      <c r="DG394" s="959"/>
      <c r="DH394" s="959"/>
      <c r="ER394" s="905">
        <v>2947</v>
      </c>
      <c r="ES394" s="906" t="s">
        <v>2995</v>
      </c>
      <c r="ET394" s="2686">
        <v>9</v>
      </c>
      <c r="EV394" s="985"/>
      <c r="EW394" s="985"/>
      <c r="EX394" s="387"/>
      <c r="EY394" s="939"/>
      <c r="EZ394" s="886"/>
    </row>
    <row r="395" spans="88:156" hidden="1">
      <c r="CJ395" s="197"/>
      <c r="CK395" s="197"/>
      <c r="CL395" s="197"/>
      <c r="CM395" s="213"/>
      <c r="CN395" s="213"/>
      <c r="CO395" s="197"/>
      <c r="CP395" s="197"/>
      <c r="CQ395" s="197"/>
      <c r="CR395" s="197"/>
      <c r="CS395" s="197"/>
      <c r="CT395" s="197"/>
      <c r="CU395" s="197"/>
      <c r="CV395" s="197"/>
      <c r="CW395" s="197"/>
      <c r="CX395" s="959"/>
      <c r="CY395" s="959"/>
      <c r="CZ395" s="959"/>
      <c r="DA395" s="959"/>
      <c r="DB395" s="959"/>
      <c r="DC395" s="891">
        <v>2431</v>
      </c>
      <c r="DD395" s="891" t="s">
        <v>3028</v>
      </c>
      <c r="DE395" s="891" t="s">
        <v>410</v>
      </c>
      <c r="DF395" s="891">
        <v>6</v>
      </c>
      <c r="DG395" s="959"/>
      <c r="DH395" s="959"/>
      <c r="ER395" s="905">
        <v>2948</v>
      </c>
      <c r="ES395" s="906" t="s">
        <v>2996</v>
      </c>
      <c r="ET395" s="2686">
        <v>9</v>
      </c>
      <c r="EV395" s="985"/>
      <c r="EW395" s="985"/>
      <c r="EX395" s="387"/>
      <c r="EY395" s="939"/>
      <c r="EZ395" s="886"/>
    </row>
    <row r="396" spans="88:156" hidden="1">
      <c r="CJ396" s="197"/>
      <c r="CK396" s="197"/>
      <c r="CL396" s="197"/>
      <c r="CM396" s="213"/>
      <c r="CN396" s="213"/>
      <c r="CO396" s="197"/>
      <c r="CP396" s="197"/>
      <c r="CQ396" s="197"/>
      <c r="CR396" s="197"/>
      <c r="CS396" s="197"/>
      <c r="CT396" s="197"/>
      <c r="CU396" s="197"/>
      <c r="CV396" s="197"/>
      <c r="CW396" s="197"/>
      <c r="CX396" s="959"/>
      <c r="CY396" s="959"/>
      <c r="CZ396" s="959"/>
      <c r="DA396" s="959"/>
      <c r="DB396" s="959"/>
      <c r="DC396" s="891">
        <v>2432</v>
      </c>
      <c r="DD396" s="891" t="s">
        <v>3029</v>
      </c>
      <c r="DE396" s="891" t="s">
        <v>404</v>
      </c>
      <c r="DF396" s="891">
        <v>6</v>
      </c>
      <c r="DG396" s="959"/>
      <c r="DH396" s="959"/>
      <c r="ER396" s="905">
        <v>2949</v>
      </c>
      <c r="ES396" s="906" t="s">
        <v>2997</v>
      </c>
      <c r="ET396" s="2686">
        <v>9</v>
      </c>
      <c r="EV396" s="985"/>
      <c r="EW396" s="985"/>
      <c r="EX396" s="387"/>
      <c r="EY396" s="939"/>
      <c r="EZ396" s="886"/>
    </row>
    <row r="397" spans="88:156" hidden="1">
      <c r="CJ397" s="197"/>
      <c r="CK397" s="197"/>
      <c r="CL397" s="197"/>
      <c r="CM397" s="213"/>
      <c r="CN397" s="213"/>
      <c r="CO397" s="197"/>
      <c r="CP397" s="197"/>
      <c r="CQ397" s="197"/>
      <c r="CR397" s="197"/>
      <c r="CS397" s="197"/>
      <c r="CT397" s="197"/>
      <c r="CU397" s="197"/>
      <c r="CV397" s="197"/>
      <c r="CW397" s="197"/>
      <c r="CX397" s="959"/>
      <c r="CY397" s="959"/>
      <c r="CZ397" s="959"/>
      <c r="DA397" s="959"/>
      <c r="DB397" s="959"/>
      <c r="DC397" s="891">
        <v>2433</v>
      </c>
      <c r="DD397" s="891" t="s">
        <v>3030</v>
      </c>
      <c r="DE397" s="891" t="s">
        <v>402</v>
      </c>
      <c r="DF397" s="891">
        <v>6</v>
      </c>
      <c r="DG397" s="959"/>
      <c r="DH397" s="959"/>
      <c r="ER397" s="905">
        <v>3000</v>
      </c>
      <c r="ES397" s="906" t="s">
        <v>312</v>
      </c>
      <c r="ET397" s="2686">
        <v>9</v>
      </c>
      <c r="EV397" s="985"/>
      <c r="EW397" s="985"/>
      <c r="EX397" s="387"/>
      <c r="EY397" s="939"/>
      <c r="EZ397" s="886"/>
    </row>
    <row r="398" spans="88:156" hidden="1">
      <c r="CJ398" s="197"/>
      <c r="CK398" s="197"/>
      <c r="CL398" s="197"/>
      <c r="CM398" s="213"/>
      <c r="CN398" s="213"/>
      <c r="CO398" s="197"/>
      <c r="CP398" s="197"/>
      <c r="CQ398" s="197"/>
      <c r="CR398" s="197"/>
      <c r="CS398" s="197"/>
      <c r="CT398" s="197"/>
      <c r="CU398" s="197"/>
      <c r="CV398" s="197"/>
      <c r="CW398" s="197"/>
      <c r="CX398" s="959"/>
      <c r="CY398" s="959"/>
      <c r="CZ398" s="959"/>
      <c r="DA398" s="959"/>
      <c r="DB398" s="959"/>
      <c r="DC398" s="891">
        <v>2434</v>
      </c>
      <c r="DD398" s="891" t="s">
        <v>3031</v>
      </c>
      <c r="DE398" s="891" t="s">
        <v>428</v>
      </c>
      <c r="DF398" s="891">
        <v>6</v>
      </c>
      <c r="DG398" s="959"/>
      <c r="DH398" s="959"/>
      <c r="ER398" s="905">
        <v>3009</v>
      </c>
      <c r="ES398" s="906" t="s">
        <v>2999</v>
      </c>
      <c r="ET398" s="2686">
        <v>9</v>
      </c>
      <c r="EV398" s="985"/>
      <c r="EW398" s="985"/>
      <c r="EX398" s="387"/>
      <c r="EY398" s="939"/>
      <c r="EZ398" s="886"/>
    </row>
    <row r="399" spans="88:156" hidden="1">
      <c r="CJ399" s="197"/>
      <c r="CK399" s="197"/>
      <c r="CL399" s="197"/>
      <c r="CM399" s="213"/>
      <c r="CN399" s="213"/>
      <c r="CO399" s="197"/>
      <c r="CP399" s="197"/>
      <c r="CQ399" s="197"/>
      <c r="CR399" s="197"/>
      <c r="CS399" s="197"/>
      <c r="CT399" s="197"/>
      <c r="CU399" s="197"/>
      <c r="CV399" s="197"/>
      <c r="CW399" s="197"/>
      <c r="CX399" s="959"/>
      <c r="CY399" s="959"/>
      <c r="CZ399" s="959"/>
      <c r="DA399" s="959"/>
      <c r="DB399" s="959"/>
      <c r="DC399" s="891">
        <v>2435</v>
      </c>
      <c r="DD399" s="891" t="s">
        <v>3032</v>
      </c>
      <c r="DE399" s="891" t="s">
        <v>406</v>
      </c>
      <c r="DF399" s="891">
        <v>6</v>
      </c>
      <c r="DG399" s="959"/>
      <c r="DH399" s="959"/>
      <c r="ER399" s="905">
        <v>3011</v>
      </c>
      <c r="ES399" s="906" t="s">
        <v>3000</v>
      </c>
      <c r="ET399" s="2686">
        <v>9</v>
      </c>
      <c r="EV399" s="985"/>
      <c r="EW399" s="985"/>
      <c r="EX399" s="387"/>
      <c r="EY399" s="939"/>
      <c r="EZ399" s="886"/>
    </row>
    <row r="400" spans="88:156" hidden="1">
      <c r="CJ400" s="197"/>
      <c r="CK400" s="197"/>
      <c r="CL400" s="197"/>
      <c r="CM400" s="213"/>
      <c r="CN400" s="213"/>
      <c r="CO400" s="197"/>
      <c r="CP400" s="197"/>
      <c r="CQ400" s="197"/>
      <c r="CR400" s="197"/>
      <c r="CS400" s="197"/>
      <c r="CT400" s="197"/>
      <c r="CU400" s="197"/>
      <c r="CV400" s="197"/>
      <c r="CW400" s="197"/>
      <c r="CX400" s="959"/>
      <c r="CY400" s="959"/>
      <c r="CZ400" s="959"/>
      <c r="DA400" s="959"/>
      <c r="DB400" s="959"/>
      <c r="DC400" s="891">
        <v>2440</v>
      </c>
      <c r="DD400" s="891" t="s">
        <v>3033</v>
      </c>
      <c r="DE400" s="891" t="s">
        <v>417</v>
      </c>
      <c r="DF400" s="891">
        <v>5</v>
      </c>
      <c r="DG400" s="959"/>
      <c r="DH400" s="959"/>
      <c r="ER400" s="905">
        <v>3012</v>
      </c>
      <c r="ES400" s="906" t="s">
        <v>3001</v>
      </c>
      <c r="ET400" s="2686">
        <v>9</v>
      </c>
      <c r="EV400" s="985"/>
      <c r="EW400" s="985"/>
      <c r="EX400" s="387"/>
      <c r="EY400" s="939"/>
      <c r="EZ400" s="886"/>
    </row>
    <row r="401" spans="36:156" hidden="1">
      <c r="AJ401" s="251"/>
      <c r="CJ401" s="197"/>
      <c r="CK401" s="197"/>
      <c r="CL401" s="197"/>
      <c r="CM401" s="213"/>
      <c r="CN401" s="213"/>
      <c r="CO401" s="197"/>
      <c r="CP401" s="197"/>
      <c r="CQ401" s="197"/>
      <c r="CR401" s="197"/>
      <c r="CS401" s="197"/>
      <c r="CT401" s="197"/>
      <c r="CU401" s="197"/>
      <c r="CV401" s="197"/>
      <c r="CW401" s="197"/>
      <c r="CX401" s="959"/>
      <c r="CY401" s="959"/>
      <c r="CZ401" s="959"/>
      <c r="DA401" s="959"/>
      <c r="DB401" s="959"/>
      <c r="DC401" s="891">
        <v>2451</v>
      </c>
      <c r="DD401" s="891" t="s">
        <v>3034</v>
      </c>
      <c r="DE401" s="891" t="s">
        <v>432</v>
      </c>
      <c r="DF401" s="891">
        <v>5</v>
      </c>
      <c r="DG401" s="959"/>
      <c r="DH401" s="959"/>
      <c r="ER401" s="905">
        <v>3013</v>
      </c>
      <c r="ES401" s="906" t="s">
        <v>3002</v>
      </c>
      <c r="ET401" s="2686">
        <v>9</v>
      </c>
      <c r="EV401" s="985"/>
      <c r="EW401" s="985"/>
      <c r="EX401" s="387"/>
      <c r="EY401" s="939"/>
      <c r="EZ401" s="886"/>
    </row>
    <row r="402" spans="36:156" hidden="1">
      <c r="AJ402" s="1331"/>
      <c r="CJ402" s="197"/>
      <c r="CK402" s="197"/>
      <c r="CL402" s="197"/>
      <c r="CM402" s="213"/>
      <c r="CN402" s="213"/>
      <c r="CO402" s="197"/>
      <c r="CP402" s="197"/>
      <c r="CQ402" s="197"/>
      <c r="CR402" s="197"/>
      <c r="CS402" s="197"/>
      <c r="CT402" s="197"/>
      <c r="CU402" s="197"/>
      <c r="CV402" s="197"/>
      <c r="CW402" s="197"/>
      <c r="CX402" s="959"/>
      <c r="CY402" s="959"/>
      <c r="CZ402" s="959"/>
      <c r="DA402" s="959"/>
      <c r="DB402" s="959"/>
      <c r="DC402" s="891">
        <v>2453</v>
      </c>
      <c r="DD402" s="891" t="s">
        <v>3035</v>
      </c>
      <c r="DE402" s="891" t="s">
        <v>417</v>
      </c>
      <c r="DF402" s="891">
        <v>5</v>
      </c>
      <c r="DG402" s="959"/>
      <c r="DH402" s="959"/>
      <c r="ER402" s="905">
        <v>3014</v>
      </c>
      <c r="ES402" s="906" t="s">
        <v>1702</v>
      </c>
      <c r="ET402" s="2686">
        <v>9</v>
      </c>
      <c r="EV402" s="985"/>
      <c r="EW402" s="985"/>
      <c r="EX402" s="387"/>
      <c r="EY402" s="939"/>
      <c r="EZ402" s="886"/>
    </row>
    <row r="403" spans="36:156" hidden="1">
      <c r="AM403" s="423"/>
      <c r="CJ403" s="197"/>
      <c r="CK403" s="197"/>
      <c r="CL403" s="197"/>
      <c r="CM403" s="213"/>
      <c r="CN403" s="213"/>
      <c r="CO403" s="197"/>
      <c r="CP403" s="197"/>
      <c r="CQ403" s="197"/>
      <c r="CR403" s="197"/>
      <c r="CS403" s="197"/>
      <c r="CT403" s="197"/>
      <c r="CU403" s="197"/>
      <c r="CV403" s="197"/>
      <c r="CW403" s="197"/>
      <c r="CX403" s="959"/>
      <c r="CY403" s="959"/>
      <c r="CZ403" s="959"/>
      <c r="DA403" s="959"/>
      <c r="DB403" s="959"/>
      <c r="DC403" s="891">
        <v>2454</v>
      </c>
      <c r="DD403" s="891" t="s">
        <v>3036</v>
      </c>
      <c r="DE403" s="891" t="s">
        <v>2807</v>
      </c>
      <c r="DF403" s="891">
        <v>5</v>
      </c>
      <c r="DG403" s="959"/>
      <c r="DH403" s="959"/>
      <c r="ER403" s="905">
        <v>3015</v>
      </c>
      <c r="ES403" s="906" t="s">
        <v>1703</v>
      </c>
      <c r="ET403" s="2686">
        <v>9</v>
      </c>
      <c r="EV403" s="985"/>
      <c r="EW403" s="985"/>
      <c r="EX403" s="387"/>
      <c r="EY403" s="939"/>
      <c r="EZ403" s="886"/>
    </row>
    <row r="404" spans="36:156" hidden="1">
      <c r="AK404" s="422"/>
      <c r="AL404" s="422"/>
      <c r="CJ404" s="197"/>
      <c r="CK404" s="197"/>
      <c r="CL404" s="197"/>
      <c r="CM404" s="213"/>
      <c r="CN404" s="213"/>
      <c r="CO404" s="197"/>
      <c r="CP404" s="197"/>
      <c r="CQ404" s="197"/>
      <c r="CR404" s="197"/>
      <c r="CS404" s="197"/>
      <c r="CT404" s="197"/>
      <c r="CU404" s="197"/>
      <c r="CV404" s="197"/>
      <c r="CW404" s="197"/>
      <c r="CX404" s="959"/>
      <c r="CY404" s="959"/>
      <c r="CZ404" s="959"/>
      <c r="DA404" s="959"/>
      <c r="DB404" s="959"/>
      <c r="DC404" s="891">
        <v>2455</v>
      </c>
      <c r="DD404" s="891" t="s">
        <v>3037</v>
      </c>
      <c r="DE404" s="891" t="s">
        <v>2807</v>
      </c>
      <c r="DF404" s="891">
        <v>5</v>
      </c>
      <c r="DG404" s="959"/>
      <c r="DH404" s="959"/>
      <c r="ER404" s="905">
        <v>3016</v>
      </c>
      <c r="ES404" s="906" t="s">
        <v>1704</v>
      </c>
      <c r="ET404" s="2686">
        <v>9</v>
      </c>
      <c r="EV404" s="985"/>
      <c r="EW404" s="985"/>
      <c r="EX404" s="387"/>
      <c r="EY404" s="939"/>
      <c r="EZ404" s="886"/>
    </row>
    <row r="405" spans="36:156" hidden="1">
      <c r="AK405" s="422"/>
      <c r="AL405" s="422"/>
      <c r="AM405" s="251"/>
      <c r="CJ405" s="197"/>
      <c r="CK405" s="197"/>
      <c r="CL405" s="197"/>
      <c r="CM405" s="213"/>
      <c r="CN405" s="213"/>
      <c r="CO405" s="197"/>
      <c r="CP405" s="197"/>
      <c r="CQ405" s="197"/>
      <c r="CR405" s="197"/>
      <c r="CS405" s="197"/>
      <c r="CT405" s="197"/>
      <c r="CU405" s="197"/>
      <c r="CV405" s="197"/>
      <c r="CW405" s="197"/>
      <c r="CX405" s="959"/>
      <c r="CY405" s="959"/>
      <c r="CZ405" s="959"/>
      <c r="DA405" s="959"/>
      <c r="DB405" s="959"/>
      <c r="DC405" s="891">
        <v>2456</v>
      </c>
      <c r="DD405" s="891" t="s">
        <v>3037</v>
      </c>
      <c r="DE405" s="891" t="s">
        <v>406</v>
      </c>
      <c r="DF405" s="891">
        <v>5</v>
      </c>
      <c r="DG405" s="959"/>
      <c r="DH405" s="959"/>
      <c r="ER405" s="905">
        <v>3021</v>
      </c>
      <c r="ES405" s="906" t="s">
        <v>313</v>
      </c>
      <c r="ET405" s="2686">
        <v>9</v>
      </c>
      <c r="EV405" s="985"/>
      <c r="EW405" s="985"/>
      <c r="EX405" s="387"/>
      <c r="EY405" s="939"/>
      <c r="EZ405" s="886"/>
    </row>
    <row r="406" spans="36:156" hidden="1">
      <c r="AK406" s="422"/>
      <c r="AL406" s="422"/>
      <c r="AM406" s="251"/>
      <c r="CJ406" s="197"/>
      <c r="CK406" s="197"/>
      <c r="CL406" s="197"/>
      <c r="CM406" s="213"/>
      <c r="CN406" s="213"/>
      <c r="CO406" s="197"/>
      <c r="CP406" s="197"/>
      <c r="CQ406" s="197"/>
      <c r="CR406" s="197"/>
      <c r="CS406" s="197"/>
      <c r="CT406" s="197"/>
      <c r="CU406" s="197"/>
      <c r="CV406" s="197"/>
      <c r="CW406" s="197"/>
      <c r="CX406" s="959"/>
      <c r="CY406" s="959"/>
      <c r="CZ406" s="959"/>
      <c r="DA406" s="959"/>
      <c r="DB406" s="959"/>
      <c r="DC406" s="891">
        <v>2457</v>
      </c>
      <c r="DD406" s="891" t="s">
        <v>3038</v>
      </c>
      <c r="DE406" s="891" t="s">
        <v>402</v>
      </c>
      <c r="DF406" s="891">
        <v>6</v>
      </c>
      <c r="DG406" s="959"/>
      <c r="DH406" s="959"/>
      <c r="ER406" s="905">
        <v>3022</v>
      </c>
      <c r="ES406" s="906" t="s">
        <v>314</v>
      </c>
      <c r="ET406" s="2686">
        <v>9</v>
      </c>
      <c r="EV406" s="985"/>
      <c r="EW406" s="985"/>
      <c r="EX406" s="387"/>
      <c r="EY406" s="939"/>
      <c r="EZ406" s="886"/>
    </row>
    <row r="407" spans="36:156" hidden="1">
      <c r="AJ407" s="1331"/>
      <c r="AK407" s="1332"/>
      <c r="AL407" s="422"/>
      <c r="AM407" s="251"/>
      <c r="CJ407" s="197"/>
      <c r="CK407" s="197"/>
      <c r="CL407" s="197"/>
      <c r="CM407" s="213"/>
      <c r="CN407" s="213"/>
      <c r="CO407" s="197"/>
      <c r="CP407" s="197"/>
      <c r="CQ407" s="197"/>
      <c r="CR407" s="197"/>
      <c r="CS407" s="197"/>
      <c r="CT407" s="197"/>
      <c r="CU407" s="197"/>
      <c r="CV407" s="197"/>
      <c r="CW407" s="197"/>
      <c r="CX407" s="959"/>
      <c r="CY407" s="959"/>
      <c r="CZ407" s="959"/>
      <c r="DA407" s="959"/>
      <c r="DB407" s="959"/>
      <c r="DC407" s="891">
        <v>2458</v>
      </c>
      <c r="DD407" s="891" t="s">
        <v>3039</v>
      </c>
      <c r="DE407" s="891" t="s">
        <v>402</v>
      </c>
      <c r="DF407" s="891">
        <v>6</v>
      </c>
      <c r="DG407" s="959"/>
      <c r="DH407" s="959"/>
      <c r="ER407" s="905">
        <v>3023</v>
      </c>
      <c r="ES407" s="906" t="s">
        <v>1706</v>
      </c>
      <c r="ET407" s="2686">
        <v>9</v>
      </c>
      <c r="EV407" s="985"/>
      <c r="EW407" s="985"/>
      <c r="EX407" s="387"/>
      <c r="EY407" s="939"/>
      <c r="EZ407" s="886"/>
    </row>
    <row r="408" spans="36:156" hidden="1">
      <c r="AK408" s="422"/>
      <c r="AL408" s="422"/>
      <c r="AM408" s="251"/>
      <c r="CJ408" s="197"/>
      <c r="CK408" s="197"/>
      <c r="CL408" s="197"/>
      <c r="CM408" s="213"/>
      <c r="CN408" s="213"/>
      <c r="CO408" s="197"/>
      <c r="CP408" s="197"/>
      <c r="CQ408" s="197"/>
      <c r="CR408" s="197"/>
      <c r="CS408" s="197"/>
      <c r="CT408" s="197"/>
      <c r="CU408" s="197"/>
      <c r="CV408" s="197"/>
      <c r="CW408" s="197"/>
      <c r="CX408" s="959"/>
      <c r="CY408" s="959"/>
      <c r="CZ408" s="959"/>
      <c r="DA408" s="959"/>
      <c r="DB408" s="959"/>
      <c r="DC408" s="891">
        <v>2459</v>
      </c>
      <c r="DD408" s="891" t="s">
        <v>3040</v>
      </c>
      <c r="DE408" s="891" t="s">
        <v>434</v>
      </c>
      <c r="DF408" s="891">
        <v>6</v>
      </c>
      <c r="DG408" s="959"/>
      <c r="DH408" s="959"/>
      <c r="ER408" s="905">
        <v>3024</v>
      </c>
      <c r="ES408" s="906" t="s">
        <v>315</v>
      </c>
      <c r="ET408" s="2686">
        <v>9</v>
      </c>
      <c r="EV408" s="985"/>
      <c r="EW408" s="985"/>
      <c r="EX408" s="387"/>
      <c r="EY408" s="939"/>
      <c r="EZ408" s="886"/>
    </row>
    <row r="409" spans="36:156" hidden="1">
      <c r="AK409" s="422"/>
      <c r="AL409" s="422"/>
      <c r="CJ409" s="197"/>
      <c r="CK409" s="197"/>
      <c r="CL409" s="197"/>
      <c r="CM409" s="213"/>
      <c r="CN409" s="213"/>
      <c r="CO409" s="197"/>
      <c r="CP409" s="197"/>
      <c r="CQ409" s="197"/>
      <c r="CR409" s="197"/>
      <c r="CS409" s="197"/>
      <c r="CT409" s="197"/>
      <c r="CU409" s="197"/>
      <c r="CV409" s="197"/>
      <c r="CW409" s="197"/>
      <c r="CX409" s="959"/>
      <c r="CY409" s="959"/>
      <c r="CZ409" s="959"/>
      <c r="DA409" s="959"/>
      <c r="DB409" s="959"/>
      <c r="DC409" s="891">
        <v>2461</v>
      </c>
      <c r="DD409" s="891" t="s">
        <v>3041</v>
      </c>
      <c r="DE409" s="891" t="s">
        <v>434</v>
      </c>
      <c r="DF409" s="891">
        <v>3</v>
      </c>
      <c r="DG409" s="959"/>
      <c r="DH409" s="959"/>
      <c r="ER409" s="905">
        <v>3031</v>
      </c>
      <c r="ES409" s="906" t="s">
        <v>971</v>
      </c>
      <c r="ET409" s="2686">
        <v>9</v>
      </c>
      <c r="EV409" s="985"/>
      <c r="EW409" s="985"/>
      <c r="EX409" s="387"/>
      <c r="EY409" s="939"/>
      <c r="EZ409" s="886"/>
    </row>
    <row r="410" spans="36:156" hidden="1">
      <c r="AK410" s="422"/>
      <c r="AL410" s="422"/>
      <c r="CJ410" s="197"/>
      <c r="CK410" s="197"/>
      <c r="CL410" s="197"/>
      <c r="CM410" s="213"/>
      <c r="CN410" s="213"/>
      <c r="CO410" s="197"/>
      <c r="CP410" s="197"/>
      <c r="CQ410" s="197"/>
      <c r="CR410" s="197"/>
      <c r="CS410" s="197"/>
      <c r="CT410" s="197"/>
      <c r="CU410" s="197"/>
      <c r="CV410" s="197"/>
      <c r="CW410" s="197"/>
      <c r="CX410" s="959"/>
      <c r="CY410" s="959"/>
      <c r="CZ410" s="959"/>
      <c r="DA410" s="959"/>
      <c r="DB410" s="959"/>
      <c r="DC410" s="891">
        <v>2462</v>
      </c>
      <c r="DD410" s="891" t="s">
        <v>3042</v>
      </c>
      <c r="DE410" s="891" t="s">
        <v>434</v>
      </c>
      <c r="DF410" s="891">
        <v>5</v>
      </c>
      <c r="DG410" s="959"/>
      <c r="DH410" s="959"/>
      <c r="ER410" s="905">
        <v>3032</v>
      </c>
      <c r="ES410" s="906" t="s">
        <v>972</v>
      </c>
      <c r="ET410" s="2686">
        <v>9</v>
      </c>
      <c r="EV410" s="985"/>
      <c r="EW410" s="985"/>
      <c r="EX410" s="387"/>
      <c r="EY410" s="939"/>
      <c r="EZ410" s="886"/>
    </row>
    <row r="411" spans="36:156" hidden="1">
      <c r="AK411" s="422"/>
      <c r="AL411" s="422"/>
      <c r="CJ411" s="197"/>
      <c r="CK411" s="197"/>
      <c r="CL411" s="197"/>
      <c r="CM411" s="213"/>
      <c r="CN411" s="213"/>
      <c r="CO411" s="197"/>
      <c r="CP411" s="197"/>
      <c r="CQ411" s="197"/>
      <c r="CR411" s="197"/>
      <c r="CS411" s="197"/>
      <c r="CT411" s="197"/>
      <c r="CU411" s="197"/>
      <c r="CV411" s="197"/>
      <c r="CW411" s="197"/>
      <c r="CX411" s="959"/>
      <c r="CY411" s="959"/>
      <c r="CZ411" s="959"/>
      <c r="DA411" s="959"/>
      <c r="DB411" s="959"/>
      <c r="DC411" s="891">
        <v>2463</v>
      </c>
      <c r="DD411" s="891" t="s">
        <v>3043</v>
      </c>
      <c r="DE411" s="891" t="s">
        <v>434</v>
      </c>
      <c r="DF411" s="891">
        <v>3</v>
      </c>
      <c r="DG411" s="959"/>
      <c r="DH411" s="959"/>
      <c r="ER411" s="905">
        <v>3033</v>
      </c>
      <c r="ES411" s="906" t="s">
        <v>973</v>
      </c>
      <c r="ET411" s="2686">
        <v>9</v>
      </c>
      <c r="EV411" s="985"/>
      <c r="EW411" s="985"/>
      <c r="EX411" s="387"/>
      <c r="EY411" s="939"/>
      <c r="EZ411" s="886"/>
    </row>
    <row r="412" spans="36:156" hidden="1">
      <c r="AK412" s="422"/>
      <c r="AL412" s="422"/>
      <c r="CJ412" s="197"/>
      <c r="CK412" s="197"/>
      <c r="CL412" s="197"/>
      <c r="CM412" s="213"/>
      <c r="CN412" s="213"/>
      <c r="CO412" s="197"/>
      <c r="CP412" s="197"/>
      <c r="CQ412" s="197"/>
      <c r="CR412" s="197"/>
      <c r="CS412" s="197"/>
      <c r="CT412" s="197"/>
      <c r="CU412" s="197"/>
      <c r="CV412" s="197"/>
      <c r="CW412" s="197"/>
      <c r="CX412" s="959"/>
      <c r="CY412" s="959"/>
      <c r="CZ412" s="959"/>
      <c r="DA412" s="959"/>
      <c r="DB412" s="959"/>
      <c r="DC412" s="891">
        <v>2464</v>
      </c>
      <c r="DD412" s="891" t="s">
        <v>3044</v>
      </c>
      <c r="DE412" s="891" t="s">
        <v>433</v>
      </c>
      <c r="DF412" s="891">
        <v>3</v>
      </c>
      <c r="DG412" s="959"/>
      <c r="DH412" s="959"/>
      <c r="ER412" s="905">
        <v>3034</v>
      </c>
      <c r="ES412" s="906" t="s">
        <v>316</v>
      </c>
      <c r="ET412" s="2686">
        <v>9</v>
      </c>
      <c r="EV412" s="985"/>
      <c r="EW412" s="985"/>
      <c r="EX412" s="387"/>
      <c r="EY412" s="939"/>
      <c r="EZ412" s="886"/>
    </row>
    <row r="413" spans="36:156" hidden="1">
      <c r="AK413" s="422"/>
      <c r="AL413" s="422"/>
      <c r="CJ413" s="197"/>
      <c r="CK413" s="197"/>
      <c r="CL413" s="197"/>
      <c r="CM413" s="213"/>
      <c r="CN413" s="213"/>
      <c r="CO413" s="197"/>
      <c r="CP413" s="197"/>
      <c r="CQ413" s="197"/>
      <c r="CR413" s="197"/>
      <c r="CS413" s="197"/>
      <c r="CT413" s="197"/>
      <c r="CU413" s="197"/>
      <c r="CV413" s="197"/>
      <c r="CW413" s="197"/>
      <c r="CX413" s="959"/>
      <c r="CY413" s="959"/>
      <c r="CZ413" s="959"/>
      <c r="DA413" s="959"/>
      <c r="DB413" s="959"/>
      <c r="DC413" s="891">
        <v>2465</v>
      </c>
      <c r="DD413" s="891" t="s">
        <v>3045</v>
      </c>
      <c r="DE413" s="891" t="s">
        <v>435</v>
      </c>
      <c r="DF413" s="891">
        <v>5</v>
      </c>
      <c r="DG413" s="959"/>
      <c r="DH413" s="959"/>
      <c r="ER413" s="905">
        <v>3035</v>
      </c>
      <c r="ES413" s="906" t="s">
        <v>975</v>
      </c>
      <c r="ET413" s="2686">
        <v>9</v>
      </c>
      <c r="EV413" s="985"/>
      <c r="EW413" s="985"/>
      <c r="EX413" s="387"/>
      <c r="EY413" s="939"/>
      <c r="EZ413" s="886"/>
    </row>
    <row r="414" spans="36:156" hidden="1">
      <c r="AK414" s="422"/>
      <c r="AL414" s="422"/>
      <c r="CJ414" s="197"/>
      <c r="CK414" s="197"/>
      <c r="CL414" s="197"/>
      <c r="CM414" s="213"/>
      <c r="CN414" s="213"/>
      <c r="CO414" s="197"/>
      <c r="CP414" s="197"/>
      <c r="CQ414" s="197"/>
      <c r="CR414" s="197"/>
      <c r="CS414" s="197"/>
      <c r="CT414" s="197"/>
      <c r="CU414" s="197"/>
      <c r="CV414" s="197"/>
      <c r="CW414" s="197"/>
      <c r="CX414" s="959"/>
      <c r="CY414" s="959"/>
      <c r="CZ414" s="959"/>
      <c r="DA414" s="959"/>
      <c r="DB414" s="959"/>
      <c r="DC414" s="891">
        <v>2471</v>
      </c>
      <c r="DD414" s="891" t="s">
        <v>3046</v>
      </c>
      <c r="DE414" s="891" t="s">
        <v>406</v>
      </c>
      <c r="DF414" s="891">
        <v>3</v>
      </c>
      <c r="DG414" s="959"/>
      <c r="DH414" s="959"/>
      <c r="ER414" s="905">
        <v>3036</v>
      </c>
      <c r="ES414" s="906" t="s">
        <v>976</v>
      </c>
      <c r="ET414" s="2686">
        <v>9</v>
      </c>
      <c r="EV414" s="985"/>
      <c r="EW414" s="985"/>
      <c r="EX414" s="387"/>
      <c r="EY414" s="939"/>
      <c r="EZ414" s="886"/>
    </row>
    <row r="415" spans="36:156" hidden="1">
      <c r="AK415" s="422"/>
      <c r="AL415" s="422"/>
      <c r="CJ415" s="197"/>
      <c r="CK415" s="197"/>
      <c r="CL415" s="197"/>
      <c r="CM415" s="213"/>
      <c r="CN415" s="213"/>
      <c r="CO415" s="197"/>
      <c r="CP415" s="197"/>
      <c r="CQ415" s="197"/>
      <c r="CR415" s="197"/>
      <c r="CS415" s="197"/>
      <c r="CT415" s="197"/>
      <c r="CU415" s="197"/>
      <c r="CV415" s="197"/>
      <c r="CW415" s="197"/>
      <c r="CX415" s="959"/>
      <c r="CY415" s="959"/>
      <c r="CZ415" s="959"/>
      <c r="DA415" s="959"/>
      <c r="DB415" s="959"/>
      <c r="DC415" s="891">
        <v>2472</v>
      </c>
      <c r="DD415" s="891" t="s">
        <v>3047</v>
      </c>
      <c r="DE415" s="891" t="s">
        <v>428</v>
      </c>
      <c r="DF415" s="891">
        <v>3</v>
      </c>
      <c r="DG415" s="959"/>
      <c r="DH415" s="959"/>
      <c r="ER415" s="905">
        <v>3041</v>
      </c>
      <c r="ES415" s="906" t="s">
        <v>977</v>
      </c>
      <c r="ET415" s="2686">
        <v>9</v>
      </c>
      <c r="EV415" s="985"/>
      <c r="EW415" s="985"/>
      <c r="EX415" s="387"/>
      <c r="EY415" s="939"/>
      <c r="EZ415" s="886"/>
    </row>
    <row r="416" spans="36:156" hidden="1">
      <c r="AK416" s="422"/>
      <c r="AL416" s="422"/>
      <c r="CJ416" s="197"/>
      <c r="CK416" s="197"/>
      <c r="CL416" s="197"/>
      <c r="CM416" s="213"/>
      <c r="CN416" s="213"/>
      <c r="CO416" s="197"/>
      <c r="CP416" s="197"/>
      <c r="CQ416" s="197"/>
      <c r="CR416" s="197"/>
      <c r="CS416" s="197"/>
      <c r="CT416" s="197"/>
      <c r="CU416" s="197"/>
      <c r="CV416" s="197"/>
      <c r="CW416" s="197"/>
      <c r="CX416" s="959"/>
      <c r="CY416" s="959"/>
      <c r="CZ416" s="959"/>
      <c r="DA416" s="959"/>
      <c r="DB416" s="959"/>
      <c r="DC416" s="891">
        <v>2473</v>
      </c>
      <c r="DD416" s="891" t="s">
        <v>1578</v>
      </c>
      <c r="DE416" s="891" t="s">
        <v>406</v>
      </c>
      <c r="DF416" s="891">
        <v>3</v>
      </c>
      <c r="DG416" s="959"/>
      <c r="DH416" s="959"/>
      <c r="ER416" s="905">
        <v>3042</v>
      </c>
      <c r="ES416" s="906" t="s">
        <v>978</v>
      </c>
      <c r="ET416" s="2686">
        <v>9</v>
      </c>
      <c r="EV416" s="985"/>
      <c r="EW416" s="985"/>
      <c r="EX416" s="387"/>
      <c r="EY416" s="939"/>
      <c r="EZ416" s="886"/>
    </row>
    <row r="417" spans="36:156" hidden="1">
      <c r="AK417" s="422"/>
      <c r="AL417" s="422"/>
      <c r="CJ417" s="197"/>
      <c r="CK417" s="197"/>
      <c r="CL417" s="197"/>
      <c r="CM417" s="213"/>
      <c r="CN417" s="213"/>
      <c r="CO417" s="197"/>
      <c r="CP417" s="197"/>
      <c r="CQ417" s="197"/>
      <c r="CR417" s="197"/>
      <c r="CS417" s="197"/>
      <c r="CT417" s="197"/>
      <c r="CU417" s="197"/>
      <c r="CV417" s="197"/>
      <c r="CW417" s="197"/>
      <c r="CX417" s="959"/>
      <c r="CY417" s="959"/>
      <c r="CZ417" s="959"/>
      <c r="DA417" s="959"/>
      <c r="DB417" s="959"/>
      <c r="DC417" s="891">
        <v>2475</v>
      </c>
      <c r="DD417" s="891" t="s">
        <v>1579</v>
      </c>
      <c r="DE417" s="891" t="s">
        <v>406</v>
      </c>
      <c r="DF417" s="891">
        <v>5</v>
      </c>
      <c r="DG417" s="959"/>
      <c r="DH417" s="959"/>
      <c r="ER417" s="905">
        <v>3043</v>
      </c>
      <c r="ES417" s="906" t="s">
        <v>979</v>
      </c>
      <c r="ET417" s="2686">
        <v>9</v>
      </c>
      <c r="EV417" s="985"/>
      <c r="EW417" s="985"/>
      <c r="EX417" s="387"/>
      <c r="EY417" s="939"/>
      <c r="EZ417" s="886"/>
    </row>
    <row r="418" spans="36:156" hidden="1">
      <c r="AK418" s="422"/>
      <c r="AL418" s="422"/>
      <c r="CJ418" s="197"/>
      <c r="CK418" s="197"/>
      <c r="CL418" s="197"/>
      <c r="CM418" s="213"/>
      <c r="CN418" s="213"/>
      <c r="CO418" s="197"/>
      <c r="CP418" s="197"/>
      <c r="CQ418" s="197"/>
      <c r="CR418" s="197"/>
      <c r="CS418" s="197"/>
      <c r="CT418" s="197"/>
      <c r="CU418" s="197"/>
      <c r="CV418" s="197"/>
      <c r="CW418" s="197"/>
      <c r="CX418" s="959"/>
      <c r="CY418" s="959"/>
      <c r="CZ418" s="959"/>
      <c r="DA418" s="959"/>
      <c r="DB418" s="959"/>
      <c r="DC418" s="891">
        <v>2476</v>
      </c>
      <c r="DD418" s="891" t="s">
        <v>1580</v>
      </c>
      <c r="DE418" s="891" t="s">
        <v>421</v>
      </c>
      <c r="DF418" s="891">
        <v>3</v>
      </c>
      <c r="DG418" s="959"/>
      <c r="DH418" s="959"/>
      <c r="ER418" s="905">
        <v>3044</v>
      </c>
      <c r="ES418" s="906" t="s">
        <v>980</v>
      </c>
      <c r="ET418" s="2686">
        <v>9</v>
      </c>
      <c r="EV418" s="985"/>
      <c r="EW418" s="985"/>
      <c r="EX418" s="387"/>
      <c r="EY418" s="939"/>
      <c r="EZ418" s="886"/>
    </row>
    <row r="419" spans="36:156" hidden="1">
      <c r="AK419" s="422"/>
      <c r="AL419" s="422"/>
      <c r="CJ419" s="197"/>
      <c r="CK419" s="197"/>
      <c r="CL419" s="197"/>
      <c r="CM419" s="213"/>
      <c r="CN419" s="213"/>
      <c r="CO419" s="197"/>
      <c r="CP419" s="197"/>
      <c r="CQ419" s="197"/>
      <c r="CR419" s="197"/>
      <c r="CS419" s="197"/>
      <c r="CT419" s="197"/>
      <c r="CU419" s="197"/>
      <c r="CV419" s="197"/>
      <c r="CW419" s="197"/>
      <c r="CX419" s="959"/>
      <c r="CY419" s="959"/>
      <c r="CZ419" s="959"/>
      <c r="DA419" s="959"/>
      <c r="DB419" s="959"/>
      <c r="DC419" s="891">
        <v>2477</v>
      </c>
      <c r="DD419" s="891" t="s">
        <v>1581</v>
      </c>
      <c r="DE419" s="891" t="s">
        <v>432</v>
      </c>
      <c r="DF419" s="891">
        <v>3</v>
      </c>
      <c r="DG419" s="959"/>
      <c r="DH419" s="959"/>
      <c r="ER419" s="905">
        <v>3045</v>
      </c>
      <c r="ES419" s="906" t="s">
        <v>981</v>
      </c>
      <c r="ET419" s="2686">
        <v>9</v>
      </c>
      <c r="EV419" s="985"/>
      <c r="EW419" s="985"/>
      <c r="EX419" s="387"/>
      <c r="EY419" s="939"/>
      <c r="EZ419" s="886"/>
    </row>
    <row r="420" spans="36:156" hidden="1">
      <c r="AK420" s="422"/>
      <c r="AL420" s="422"/>
      <c r="CJ420" s="197"/>
      <c r="CK420" s="197"/>
      <c r="CL420" s="197"/>
      <c r="CM420" s="213"/>
      <c r="CN420" s="213"/>
      <c r="CO420" s="197"/>
      <c r="CP420" s="197"/>
      <c r="CQ420" s="197"/>
      <c r="CR420" s="197"/>
      <c r="CS420" s="197"/>
      <c r="CT420" s="197"/>
      <c r="CU420" s="197"/>
      <c r="CV420" s="197"/>
      <c r="CW420" s="197"/>
      <c r="CX420" s="959"/>
      <c r="CY420" s="959"/>
      <c r="CZ420" s="959"/>
      <c r="DA420" s="959"/>
      <c r="DB420" s="959"/>
      <c r="DC420" s="891">
        <v>2481</v>
      </c>
      <c r="DD420" s="891" t="s">
        <v>1582</v>
      </c>
      <c r="DE420" s="891" t="s">
        <v>410</v>
      </c>
      <c r="DF420" s="891">
        <v>5</v>
      </c>
      <c r="DG420" s="959"/>
      <c r="DH420" s="959"/>
      <c r="ER420" s="905">
        <v>3046</v>
      </c>
      <c r="ES420" s="906" t="s">
        <v>982</v>
      </c>
      <c r="ET420" s="2686">
        <v>9</v>
      </c>
      <c r="EV420" s="985"/>
      <c r="EW420" s="985"/>
      <c r="EX420" s="387"/>
      <c r="EY420" s="939"/>
      <c r="EZ420" s="886"/>
    </row>
    <row r="421" spans="36:156" hidden="1">
      <c r="AK421" s="422"/>
      <c r="AL421" s="422"/>
      <c r="CJ421" s="197"/>
      <c r="CK421" s="197"/>
      <c r="CL421" s="197"/>
      <c r="CM421" s="213"/>
      <c r="CN421" s="213"/>
      <c r="CO421" s="197"/>
      <c r="CP421" s="197"/>
      <c r="CQ421" s="197"/>
      <c r="CR421" s="197"/>
      <c r="CS421" s="197"/>
      <c r="CT421" s="197"/>
      <c r="CU421" s="197"/>
      <c r="CV421" s="197"/>
      <c r="CW421" s="197"/>
      <c r="CX421" s="959"/>
      <c r="CY421" s="959"/>
      <c r="CZ421" s="959"/>
      <c r="DA421" s="959"/>
      <c r="DB421" s="959"/>
      <c r="DC421" s="891">
        <v>2482</v>
      </c>
      <c r="DD421" s="891" t="s">
        <v>1583</v>
      </c>
      <c r="DE421" s="891" t="s">
        <v>427</v>
      </c>
      <c r="DF421" s="891">
        <v>5</v>
      </c>
      <c r="DG421" s="959"/>
      <c r="DH421" s="959"/>
      <c r="ER421" s="905">
        <v>3047</v>
      </c>
      <c r="ES421" s="906" t="s">
        <v>983</v>
      </c>
      <c r="ET421" s="2686">
        <v>9</v>
      </c>
      <c r="EV421" s="985"/>
      <c r="EW421" s="985"/>
      <c r="EX421" s="387"/>
      <c r="EY421" s="939"/>
      <c r="EZ421" s="886"/>
    </row>
    <row r="422" spans="36:156" hidden="1">
      <c r="AK422" s="422"/>
      <c r="AL422" s="422"/>
      <c r="CJ422" s="197"/>
      <c r="CK422" s="197"/>
      <c r="CL422" s="197"/>
      <c r="CM422" s="213"/>
      <c r="CN422" s="213"/>
      <c r="CO422" s="197"/>
      <c r="CP422" s="197"/>
      <c r="CQ422" s="197"/>
      <c r="CR422" s="197"/>
      <c r="CS422" s="197"/>
      <c r="CT422" s="197"/>
      <c r="CU422" s="197"/>
      <c r="CV422" s="197"/>
      <c r="CW422" s="197"/>
      <c r="CX422" s="959"/>
      <c r="CY422" s="959"/>
      <c r="CZ422" s="959"/>
      <c r="DA422" s="959"/>
      <c r="DB422" s="959"/>
      <c r="DC422" s="891">
        <v>2483</v>
      </c>
      <c r="DD422" s="891" t="s">
        <v>1584</v>
      </c>
      <c r="DE422" s="891" t="s">
        <v>432</v>
      </c>
      <c r="DF422" s="891">
        <v>6</v>
      </c>
      <c r="DG422" s="959"/>
      <c r="DH422" s="959"/>
      <c r="ER422" s="905">
        <v>3051</v>
      </c>
      <c r="ES422" s="906" t="s">
        <v>985</v>
      </c>
      <c r="ET422" s="2686">
        <v>9</v>
      </c>
      <c r="EV422" s="985"/>
      <c r="EW422" s="985"/>
      <c r="EX422" s="387"/>
      <c r="EY422" s="939"/>
      <c r="EZ422" s="886"/>
    </row>
    <row r="423" spans="36:156" hidden="1">
      <c r="AJ423" s="1331"/>
      <c r="AK423" s="1332"/>
      <c r="AL423" s="422"/>
      <c r="CJ423" s="197"/>
      <c r="CK423" s="197"/>
      <c r="CL423" s="197"/>
      <c r="CM423" s="213"/>
      <c r="CN423" s="213"/>
      <c r="CO423" s="197"/>
      <c r="CP423" s="197"/>
      <c r="CQ423" s="197"/>
      <c r="CR423" s="197"/>
      <c r="CS423" s="197"/>
      <c r="CT423" s="197"/>
      <c r="CU423" s="197"/>
      <c r="CV423" s="197"/>
      <c r="CW423" s="197"/>
      <c r="CX423" s="959"/>
      <c r="CY423" s="959"/>
      <c r="CZ423" s="959"/>
      <c r="DA423" s="959"/>
      <c r="DB423" s="959"/>
      <c r="DC423" s="891">
        <v>2484</v>
      </c>
      <c r="DD423" s="891" t="s">
        <v>1585</v>
      </c>
      <c r="DE423" s="891" t="s">
        <v>434</v>
      </c>
      <c r="DF423" s="891">
        <v>6</v>
      </c>
      <c r="DG423" s="959"/>
      <c r="DH423" s="959"/>
      <c r="ER423" s="905">
        <v>3052</v>
      </c>
      <c r="ES423" s="906" t="s">
        <v>986</v>
      </c>
      <c r="ET423" s="2686">
        <v>9</v>
      </c>
      <c r="EV423" s="985"/>
      <c r="EW423" s="985"/>
      <c r="EX423" s="387"/>
      <c r="EY423" s="939"/>
      <c r="EZ423" s="886"/>
    </row>
    <row r="424" spans="36:156" hidden="1">
      <c r="AK424" s="422"/>
      <c r="AL424" s="422"/>
      <c r="CJ424" s="197"/>
      <c r="CK424" s="197"/>
      <c r="CL424" s="197"/>
      <c r="CM424" s="213"/>
      <c r="CN424" s="213"/>
      <c r="CO424" s="197"/>
      <c r="CP424" s="197"/>
      <c r="CQ424" s="197"/>
      <c r="CR424" s="197"/>
      <c r="CS424" s="197"/>
      <c r="CT424" s="197"/>
      <c r="CU424" s="197"/>
      <c r="CV424" s="197"/>
      <c r="CW424" s="197"/>
      <c r="CX424" s="959"/>
      <c r="CY424" s="959"/>
      <c r="CZ424" s="959"/>
      <c r="DA424" s="959"/>
      <c r="DB424" s="959"/>
      <c r="DC424" s="891">
        <v>2485</v>
      </c>
      <c r="DD424" s="891" t="s">
        <v>1586</v>
      </c>
      <c r="DE424" s="891" t="s">
        <v>406</v>
      </c>
      <c r="DF424" s="891">
        <v>5</v>
      </c>
      <c r="DG424" s="959"/>
      <c r="DH424" s="959"/>
      <c r="ER424" s="905">
        <v>3053</v>
      </c>
      <c r="ES424" s="906" t="s">
        <v>317</v>
      </c>
      <c r="ET424" s="2686">
        <v>9</v>
      </c>
      <c r="EV424" s="985"/>
      <c r="EW424" s="985"/>
      <c r="EX424" s="387"/>
      <c r="EY424" s="939"/>
      <c r="EZ424" s="886"/>
    </row>
    <row r="425" spans="36:156" hidden="1">
      <c r="AK425" s="422"/>
      <c r="AL425" s="422"/>
      <c r="CJ425" s="197"/>
      <c r="CK425" s="197"/>
      <c r="CL425" s="197"/>
      <c r="CM425" s="213"/>
      <c r="CN425" s="213"/>
      <c r="CO425" s="197"/>
      <c r="CP425" s="197"/>
      <c r="CQ425" s="197"/>
      <c r="CR425" s="197"/>
      <c r="CS425" s="197"/>
      <c r="CT425" s="197"/>
      <c r="CU425" s="197"/>
      <c r="CV425" s="197"/>
      <c r="CW425" s="197"/>
      <c r="CX425" s="959"/>
      <c r="CY425" s="959"/>
      <c r="CZ425" s="959"/>
      <c r="DA425" s="959"/>
      <c r="DB425" s="959"/>
      <c r="DC425" s="891">
        <v>2490</v>
      </c>
      <c r="DD425" s="891" t="s">
        <v>1587</v>
      </c>
      <c r="DE425" s="891" t="s">
        <v>402</v>
      </c>
      <c r="DF425" s="891">
        <v>6</v>
      </c>
      <c r="DG425" s="959"/>
      <c r="DH425" s="959"/>
      <c r="ER425" s="905">
        <v>3053</v>
      </c>
      <c r="ES425" s="906" t="s">
        <v>318</v>
      </c>
      <c r="ET425" s="2686">
        <v>9</v>
      </c>
      <c r="EV425" s="985"/>
      <c r="EW425" s="985"/>
      <c r="EX425" s="387"/>
      <c r="EY425" s="939"/>
      <c r="EZ425" s="886"/>
    </row>
    <row r="426" spans="36:156" hidden="1">
      <c r="AK426" s="422"/>
      <c r="AL426" s="422"/>
      <c r="CJ426" s="197"/>
      <c r="CK426" s="197"/>
      <c r="CL426" s="197"/>
      <c r="CM426" s="213"/>
      <c r="CN426" s="213"/>
      <c r="CO426" s="197"/>
      <c r="CP426" s="197"/>
      <c r="CQ426" s="197"/>
      <c r="CR426" s="197"/>
      <c r="CS426" s="197"/>
      <c r="CT426" s="197"/>
      <c r="CU426" s="197"/>
      <c r="CV426" s="197"/>
      <c r="CW426" s="197"/>
      <c r="CX426" s="959"/>
      <c r="CY426" s="959"/>
      <c r="CZ426" s="959"/>
      <c r="DA426" s="959"/>
      <c r="DB426" s="959"/>
      <c r="DC426" s="891">
        <v>2500</v>
      </c>
      <c r="DD426" s="891" t="s">
        <v>1588</v>
      </c>
      <c r="DE426" s="891" t="s">
        <v>402</v>
      </c>
      <c r="DF426" s="891">
        <v>5</v>
      </c>
      <c r="DG426" s="959"/>
      <c r="DH426" s="959"/>
      <c r="ER426" s="905">
        <v>3060</v>
      </c>
      <c r="ES426" s="906" t="s">
        <v>988</v>
      </c>
      <c r="ET426" s="2686">
        <v>9</v>
      </c>
      <c r="EV426" s="985"/>
      <c r="EW426" s="985"/>
      <c r="EX426" s="387"/>
      <c r="EY426" s="939"/>
      <c r="EZ426" s="886"/>
    </row>
    <row r="427" spans="36:156" hidden="1">
      <c r="AJ427" s="1331"/>
      <c r="AK427" s="1332"/>
      <c r="AL427" s="422"/>
      <c r="CJ427" s="197"/>
      <c r="CK427" s="197"/>
      <c r="CL427" s="197"/>
      <c r="CM427" s="213"/>
      <c r="CN427" s="213"/>
      <c r="CO427" s="197"/>
      <c r="CP427" s="197"/>
      <c r="CQ427" s="197"/>
      <c r="CR427" s="197"/>
      <c r="CS427" s="197"/>
      <c r="CT427" s="197"/>
      <c r="CU427" s="197"/>
      <c r="CV427" s="197"/>
      <c r="CW427" s="197"/>
      <c r="CX427" s="959"/>
      <c r="CY427" s="959"/>
      <c r="CZ427" s="959"/>
      <c r="DA427" s="959"/>
      <c r="DB427" s="959"/>
      <c r="DC427" s="891">
        <v>2508</v>
      </c>
      <c r="DD427" s="891" t="s">
        <v>1589</v>
      </c>
      <c r="DE427" s="891" t="s">
        <v>406</v>
      </c>
      <c r="DF427" s="891">
        <v>3</v>
      </c>
      <c r="DG427" s="959"/>
      <c r="DH427" s="959"/>
      <c r="ER427" s="905">
        <v>3063</v>
      </c>
      <c r="ES427" s="906" t="s">
        <v>989</v>
      </c>
      <c r="ET427" s="2686">
        <v>9</v>
      </c>
      <c r="EV427" s="985"/>
      <c r="EW427" s="985"/>
      <c r="EX427" s="387"/>
      <c r="EY427" s="939"/>
      <c r="EZ427" s="886"/>
    </row>
    <row r="428" spans="36:156" hidden="1">
      <c r="AJ428" s="1331"/>
      <c r="AK428" s="1332"/>
      <c r="AL428" s="422"/>
      <c r="CJ428" s="197"/>
      <c r="CK428" s="197"/>
      <c r="CL428" s="197"/>
      <c r="CM428" s="213"/>
      <c r="CN428" s="213"/>
      <c r="CO428" s="197"/>
      <c r="CP428" s="197"/>
      <c r="CQ428" s="197"/>
      <c r="CR428" s="197"/>
      <c r="CS428" s="197"/>
      <c r="CT428" s="197"/>
      <c r="CU428" s="197"/>
      <c r="CV428" s="197"/>
      <c r="CW428" s="197"/>
      <c r="CX428" s="959"/>
      <c r="CY428" s="959"/>
      <c r="CZ428" s="959"/>
      <c r="DA428" s="959"/>
      <c r="DB428" s="959"/>
      <c r="DC428" s="891">
        <v>2510</v>
      </c>
      <c r="DD428" s="891" t="s">
        <v>1590</v>
      </c>
      <c r="DE428" s="891" t="s">
        <v>417</v>
      </c>
      <c r="DF428" s="891">
        <v>3</v>
      </c>
      <c r="DG428" s="959"/>
      <c r="DH428" s="959"/>
      <c r="ER428" s="905">
        <v>3064</v>
      </c>
      <c r="ES428" s="906" t="s">
        <v>990</v>
      </c>
      <c r="ET428" s="2686">
        <v>9</v>
      </c>
      <c r="EV428" s="985"/>
      <c r="EW428" s="985"/>
      <c r="EX428" s="387"/>
      <c r="EY428" s="939"/>
      <c r="EZ428" s="886"/>
    </row>
    <row r="429" spans="36:156" hidden="1">
      <c r="CJ429" s="197"/>
      <c r="CK429" s="197"/>
      <c r="CL429" s="197"/>
      <c r="CM429" s="213"/>
      <c r="CN429" s="213"/>
      <c r="CO429" s="197"/>
      <c r="CP429" s="197"/>
      <c r="CQ429" s="197"/>
      <c r="CR429" s="197"/>
      <c r="CS429" s="197"/>
      <c r="CT429" s="197"/>
      <c r="CU429" s="197"/>
      <c r="CV429" s="197"/>
      <c r="CW429" s="197"/>
      <c r="CX429" s="959"/>
      <c r="CY429" s="959"/>
      <c r="CZ429" s="959"/>
      <c r="DA429" s="959"/>
      <c r="DB429" s="959"/>
      <c r="DC429" s="891">
        <v>2517</v>
      </c>
      <c r="DD429" s="891" t="s">
        <v>1591</v>
      </c>
      <c r="DE429" s="891" t="s">
        <v>410</v>
      </c>
      <c r="DF429" s="891">
        <v>3</v>
      </c>
      <c r="DG429" s="959"/>
      <c r="DH429" s="959"/>
      <c r="ER429" s="905">
        <v>3065</v>
      </c>
      <c r="ES429" s="906" t="s">
        <v>319</v>
      </c>
      <c r="ET429" s="2686">
        <v>9</v>
      </c>
      <c r="EV429" s="985"/>
      <c r="EW429" s="985"/>
      <c r="EX429" s="387"/>
      <c r="EY429" s="939"/>
      <c r="EZ429" s="886"/>
    </row>
    <row r="430" spans="36:156" ht="31.5" hidden="1">
      <c r="AK430" s="414" t="s">
        <v>3154</v>
      </c>
      <c r="AL430" s="414"/>
      <c r="CJ430" s="197"/>
      <c r="CK430" s="197"/>
      <c r="CL430" s="197"/>
      <c r="CM430" s="213"/>
      <c r="CN430" s="213"/>
      <c r="CO430" s="197"/>
      <c r="CP430" s="197"/>
      <c r="CQ430" s="197"/>
      <c r="CR430" s="197"/>
      <c r="CS430" s="197"/>
      <c r="CT430" s="197"/>
      <c r="CU430" s="197"/>
      <c r="CV430" s="197"/>
      <c r="CW430" s="197"/>
      <c r="CX430" s="959"/>
      <c r="CY430" s="959"/>
      <c r="CZ430" s="959"/>
      <c r="DA430" s="959"/>
      <c r="DB430" s="959"/>
      <c r="DC430" s="891">
        <v>2518</v>
      </c>
      <c r="DD430" s="891" t="s">
        <v>2285</v>
      </c>
      <c r="DE430" s="891" t="s">
        <v>419</v>
      </c>
      <c r="DF430" s="891">
        <v>3</v>
      </c>
      <c r="DG430" s="959"/>
      <c r="DH430" s="959"/>
      <c r="ER430" s="905">
        <v>3066</v>
      </c>
      <c r="ES430" s="906" t="s">
        <v>320</v>
      </c>
      <c r="ET430" s="2686">
        <v>9</v>
      </c>
      <c r="EV430" s="985"/>
      <c r="EW430" s="985"/>
      <c r="EX430" s="387"/>
      <c r="EY430" s="939"/>
      <c r="EZ430" s="886"/>
    </row>
    <row r="431" spans="36:156" hidden="1">
      <c r="AK431" s="415"/>
      <c r="AL431" s="415"/>
      <c r="CJ431" s="197"/>
      <c r="CK431" s="197"/>
      <c r="CL431" s="197"/>
      <c r="CM431" s="213"/>
      <c r="CN431" s="213"/>
      <c r="CO431" s="197"/>
      <c r="CP431" s="197"/>
      <c r="CQ431" s="197"/>
      <c r="CR431" s="197"/>
      <c r="CS431" s="197"/>
      <c r="CT431" s="197"/>
      <c r="CU431" s="197"/>
      <c r="CV431" s="197"/>
      <c r="CW431" s="197"/>
      <c r="CX431" s="959"/>
      <c r="CY431" s="959"/>
      <c r="CZ431" s="959"/>
      <c r="DA431" s="959"/>
      <c r="DB431" s="959"/>
      <c r="DC431" s="891">
        <v>2519</v>
      </c>
      <c r="DD431" s="891" t="s">
        <v>2286</v>
      </c>
      <c r="DE431" s="891" t="s">
        <v>423</v>
      </c>
      <c r="DF431" s="891">
        <v>3</v>
      </c>
      <c r="DG431" s="959"/>
      <c r="DH431" s="959"/>
      <c r="ER431" s="905">
        <v>3066</v>
      </c>
      <c r="ES431" s="906" t="s">
        <v>321</v>
      </c>
      <c r="ET431" s="2686">
        <v>9</v>
      </c>
      <c r="EV431" s="985"/>
      <c r="EW431" s="985"/>
      <c r="EX431" s="387"/>
      <c r="EY431" s="939"/>
      <c r="EZ431" s="886"/>
    </row>
    <row r="432" spans="36:156" hidden="1">
      <c r="AK432" s="414" t="s">
        <v>3155</v>
      </c>
      <c r="AL432" s="414"/>
      <c r="CJ432" s="197"/>
      <c r="CK432" s="197"/>
      <c r="CL432" s="197"/>
      <c r="CM432" s="213"/>
      <c r="CN432" s="213"/>
      <c r="CO432" s="197"/>
      <c r="CP432" s="197"/>
      <c r="CQ432" s="197"/>
      <c r="CR432" s="197"/>
      <c r="CS432" s="197"/>
      <c r="CT432" s="197"/>
      <c r="CU432" s="197"/>
      <c r="CV432" s="197"/>
      <c r="CW432" s="197"/>
      <c r="CX432" s="959"/>
      <c r="CY432" s="959"/>
      <c r="CZ432" s="959"/>
      <c r="DA432" s="959"/>
      <c r="DB432" s="959"/>
      <c r="DC432" s="891">
        <v>2521</v>
      </c>
      <c r="DD432" s="891" t="s">
        <v>2287</v>
      </c>
      <c r="DE432" s="891" t="s">
        <v>412</v>
      </c>
      <c r="DF432" s="891">
        <v>3</v>
      </c>
      <c r="DG432" s="959"/>
      <c r="DH432" s="959"/>
      <c r="ER432" s="905">
        <v>3066</v>
      </c>
      <c r="ES432" s="906" t="s">
        <v>322</v>
      </c>
      <c r="ET432" s="2686">
        <v>9</v>
      </c>
      <c r="EV432" s="985"/>
      <c r="EW432" s="985"/>
      <c r="EX432" s="387"/>
      <c r="EY432" s="939"/>
      <c r="EZ432" s="886"/>
    </row>
    <row r="433" spans="37:156" hidden="1">
      <c r="AK433" s="416"/>
      <c r="AL433" s="416"/>
      <c r="AM433" s="415">
        <f>VLOOKUP(B52,ER3:EU3464,1)</f>
        <v>1000</v>
      </c>
      <c r="AU433" t="s">
        <v>1711</v>
      </c>
      <c r="CJ433" s="197"/>
      <c r="CK433" s="197"/>
      <c r="CL433" s="197"/>
      <c r="CM433" s="213"/>
      <c r="CN433" s="213"/>
      <c r="CO433" s="197"/>
      <c r="CP433" s="197"/>
      <c r="CQ433" s="197"/>
      <c r="CR433" s="197"/>
      <c r="CS433" s="197"/>
      <c r="CT433" s="197"/>
      <c r="CU433" s="197"/>
      <c r="CV433" s="197"/>
      <c r="CW433" s="197"/>
      <c r="CX433" s="959"/>
      <c r="CY433" s="959"/>
      <c r="CZ433" s="959"/>
      <c r="DA433" s="959"/>
      <c r="DB433" s="959"/>
      <c r="DC433" s="891">
        <v>2522</v>
      </c>
      <c r="DD433" s="891" t="s">
        <v>2288</v>
      </c>
      <c r="DE433" s="891" t="s">
        <v>412</v>
      </c>
      <c r="DF433" s="891">
        <v>3</v>
      </c>
      <c r="DG433" s="959"/>
      <c r="DH433" s="959"/>
      <c r="ER433" s="905">
        <v>3067</v>
      </c>
      <c r="ES433" s="906" t="s">
        <v>323</v>
      </c>
      <c r="ET433" s="2686">
        <v>9</v>
      </c>
      <c r="EV433" s="985"/>
      <c r="EW433" s="985"/>
      <c r="EX433" s="387"/>
      <c r="EY433" s="939"/>
      <c r="EZ433" s="886"/>
    </row>
    <row r="434" spans="37:156" hidden="1">
      <c r="AK434" s="414" t="s">
        <v>2405</v>
      </c>
      <c r="AL434" s="414"/>
      <c r="AM434" s="415"/>
      <c r="CJ434" s="197"/>
      <c r="CK434" s="197"/>
      <c r="CL434" s="197"/>
      <c r="CM434" s="213"/>
      <c r="CN434" s="213"/>
      <c r="CO434" s="197"/>
      <c r="CP434" s="197"/>
      <c r="CQ434" s="197"/>
      <c r="CR434" s="197"/>
      <c r="CS434" s="197"/>
      <c r="CT434" s="197"/>
      <c r="CU434" s="197"/>
      <c r="CV434" s="197"/>
      <c r="CW434" s="197"/>
      <c r="CX434" s="959"/>
      <c r="CY434" s="959"/>
      <c r="CZ434" s="959"/>
      <c r="DA434" s="959"/>
      <c r="DB434" s="959"/>
      <c r="DC434" s="891">
        <v>2523</v>
      </c>
      <c r="DD434" s="891" t="s">
        <v>2289</v>
      </c>
      <c r="DE434" s="891" t="s">
        <v>412</v>
      </c>
      <c r="DF434" s="891">
        <v>3</v>
      </c>
      <c r="DG434" s="959"/>
      <c r="DH434" s="959"/>
      <c r="ER434" s="905">
        <v>3067</v>
      </c>
      <c r="ES434" s="906" t="s">
        <v>324</v>
      </c>
      <c r="ET434" s="2686">
        <v>9</v>
      </c>
      <c r="EV434" s="985"/>
      <c r="EW434" s="985"/>
      <c r="EX434" s="387"/>
      <c r="EY434" s="939"/>
      <c r="EZ434" s="886"/>
    </row>
    <row r="435" spans="37:156" ht="31.5" hidden="1">
      <c r="AK435" s="414" t="s">
        <v>3156</v>
      </c>
      <c r="AL435" s="414"/>
      <c r="AM435" s="415" t="b">
        <f>IF(AND(AM433=B52,VLOOKUP(B52,ER3:EU3464,4)=1),TRUE,FALSE)</f>
        <v>0</v>
      </c>
      <c r="AU435" t="s">
        <v>1712</v>
      </c>
      <c r="CJ435" s="197"/>
      <c r="CK435" s="197"/>
      <c r="CL435" s="197"/>
      <c r="CM435" s="213"/>
      <c r="CN435" s="213"/>
      <c r="CO435" s="197"/>
      <c r="CP435" s="197"/>
      <c r="CQ435" s="197"/>
      <c r="CR435" s="197"/>
      <c r="CS435" s="197"/>
      <c r="CT435" s="197"/>
      <c r="CU435" s="197"/>
      <c r="CV435" s="197"/>
      <c r="CW435" s="197"/>
      <c r="CX435" s="959"/>
      <c r="CY435" s="959"/>
      <c r="CZ435" s="959"/>
      <c r="DA435" s="959"/>
      <c r="DB435" s="959"/>
      <c r="DC435" s="891">
        <v>2524</v>
      </c>
      <c r="DD435" s="891" t="s">
        <v>2290</v>
      </c>
      <c r="DE435" s="891" t="s">
        <v>412</v>
      </c>
      <c r="DF435" s="891">
        <v>3</v>
      </c>
      <c r="DG435" s="959"/>
      <c r="DH435" s="959"/>
      <c r="ER435" s="905">
        <v>3068</v>
      </c>
      <c r="ES435" s="906" t="s">
        <v>3337</v>
      </c>
      <c r="ET435" s="2686">
        <v>9</v>
      </c>
      <c r="EV435" s="985"/>
      <c r="EW435" s="985"/>
      <c r="EX435" s="387"/>
      <c r="EY435" s="939"/>
      <c r="EZ435" s="886"/>
    </row>
    <row r="436" spans="37:156" hidden="1">
      <c r="AM436" s="415"/>
      <c r="CJ436" s="197"/>
      <c r="CK436" s="197"/>
      <c r="CL436" s="197"/>
      <c r="CM436" s="213"/>
      <c r="CN436" s="213"/>
      <c r="CO436" s="197"/>
      <c r="CP436" s="197"/>
      <c r="CQ436" s="197"/>
      <c r="CR436" s="197"/>
      <c r="CS436" s="197"/>
      <c r="CT436" s="197"/>
      <c r="CU436" s="197"/>
      <c r="CV436" s="197"/>
      <c r="CW436" s="197"/>
      <c r="CX436" s="959"/>
      <c r="CY436" s="959"/>
      <c r="CZ436" s="959"/>
      <c r="DA436" s="959"/>
      <c r="DB436" s="959"/>
      <c r="DC436" s="891">
        <v>2525</v>
      </c>
      <c r="DD436" s="891" t="s">
        <v>2291</v>
      </c>
      <c r="DE436" s="891" t="s">
        <v>412</v>
      </c>
      <c r="DF436" s="891">
        <v>3</v>
      </c>
      <c r="DG436" s="959"/>
      <c r="DH436" s="959"/>
      <c r="ER436" s="905">
        <v>3069</v>
      </c>
      <c r="ES436" s="906" t="s">
        <v>3338</v>
      </c>
      <c r="ET436" s="2686">
        <v>9</v>
      </c>
      <c r="EV436" s="985"/>
      <c r="EW436" s="985"/>
      <c r="EX436" s="387"/>
      <c r="EY436" s="939"/>
      <c r="EZ436" s="886"/>
    </row>
    <row r="437" spans="37:156" hidden="1">
      <c r="AM437" s="415" t="b">
        <f>IF(AND(B52&gt;=999,B52&lt;=1999),TRUE,FALSE)</f>
        <v>1</v>
      </c>
      <c r="AU437" t="s">
        <v>1713</v>
      </c>
      <c r="CJ437" s="197"/>
      <c r="CK437" s="197"/>
      <c r="CL437" s="197"/>
      <c r="CM437" s="213"/>
      <c r="CN437" s="213"/>
      <c r="CO437" s="197"/>
      <c r="CP437" s="197"/>
      <c r="CQ437" s="197"/>
      <c r="CR437" s="197"/>
      <c r="CS437" s="197"/>
      <c r="CT437" s="197"/>
      <c r="CU437" s="197"/>
      <c r="CV437" s="197"/>
      <c r="CW437" s="197"/>
      <c r="CX437" s="959"/>
      <c r="CY437" s="959"/>
      <c r="CZ437" s="959"/>
      <c r="DA437" s="959"/>
      <c r="DB437" s="959"/>
      <c r="DC437" s="891">
        <v>2526</v>
      </c>
      <c r="DD437" s="891" t="s">
        <v>2292</v>
      </c>
      <c r="DE437" s="891" t="s">
        <v>412</v>
      </c>
      <c r="DF437" s="891">
        <v>3</v>
      </c>
      <c r="DG437" s="959"/>
      <c r="DH437" s="959"/>
      <c r="ER437" s="905">
        <v>3070</v>
      </c>
      <c r="ES437" s="906" t="s">
        <v>3340</v>
      </c>
      <c r="ET437" s="2686">
        <v>9</v>
      </c>
      <c r="EV437" s="985"/>
      <c r="EW437" s="985"/>
      <c r="EX437" s="387"/>
      <c r="EY437" s="939"/>
      <c r="EZ437" s="886"/>
    </row>
    <row r="438" spans="37:156" hidden="1">
      <c r="AM438" s="415">
        <f>IF(OR(AM437=TRUE,AM435=TRUE),1,2)</f>
        <v>1</v>
      </c>
      <c r="CJ438" s="197"/>
      <c r="CK438" s="197"/>
      <c r="CL438" s="197"/>
      <c r="CM438" s="213"/>
      <c r="CN438" s="213"/>
      <c r="CO438" s="197"/>
      <c r="CP438" s="197"/>
      <c r="CQ438" s="197"/>
      <c r="CR438" s="197"/>
      <c r="CS438" s="197"/>
      <c r="CT438" s="197"/>
      <c r="CU438" s="197"/>
      <c r="CV438" s="197"/>
      <c r="CW438" s="197"/>
      <c r="CX438" s="959"/>
      <c r="CY438" s="959"/>
      <c r="CZ438" s="959"/>
      <c r="DA438" s="959"/>
      <c r="DB438" s="959"/>
      <c r="DC438" s="891">
        <v>2527</v>
      </c>
      <c r="DD438" s="891" t="s">
        <v>2293</v>
      </c>
      <c r="DE438" s="891" t="s">
        <v>412</v>
      </c>
      <c r="DF438" s="891">
        <v>3</v>
      </c>
      <c r="DG438" s="959"/>
      <c r="DH438" s="959"/>
      <c r="ER438" s="905">
        <v>3071</v>
      </c>
      <c r="ES438" s="906" t="s">
        <v>3339</v>
      </c>
      <c r="ET438" s="2686">
        <v>9</v>
      </c>
      <c r="EV438" s="985"/>
      <c r="EW438" s="985"/>
      <c r="EX438" s="387"/>
      <c r="EY438" s="939"/>
      <c r="EZ438" s="886"/>
    </row>
    <row r="439" spans="37:156" hidden="1">
      <c r="AM439" t="s">
        <v>1709</v>
      </c>
      <c r="CJ439" s="197"/>
      <c r="CK439" s="197"/>
      <c r="CL439" s="197"/>
      <c r="CM439" s="213"/>
      <c r="CN439" s="213"/>
      <c r="CO439" s="197"/>
      <c r="CP439" s="197"/>
      <c r="CQ439" s="197"/>
      <c r="CR439" s="197"/>
      <c r="CS439" s="197"/>
      <c r="CT439" s="197"/>
      <c r="CU439" s="197"/>
      <c r="CV439" s="197"/>
      <c r="CW439" s="197"/>
      <c r="CX439" s="959"/>
      <c r="CY439" s="959"/>
      <c r="CZ439" s="959"/>
      <c r="DA439" s="959"/>
      <c r="DB439" s="959"/>
      <c r="DC439" s="891">
        <v>2528</v>
      </c>
      <c r="DD439" s="891" t="s">
        <v>2294</v>
      </c>
      <c r="DE439" s="891" t="s">
        <v>412</v>
      </c>
      <c r="DF439" s="891">
        <v>2</v>
      </c>
      <c r="DG439" s="959"/>
      <c r="DH439" s="959"/>
      <c r="ER439" s="905">
        <v>3073</v>
      </c>
      <c r="ES439" s="906" t="s">
        <v>3341</v>
      </c>
      <c r="ET439" s="2686">
        <v>9</v>
      </c>
      <c r="EV439" s="985"/>
      <c r="EW439" s="985"/>
      <c r="EX439" s="387"/>
      <c r="EY439" s="939"/>
      <c r="EZ439" s="886"/>
    </row>
    <row r="440" spans="37:156" hidden="1">
      <c r="AM440" t="s">
        <v>1710</v>
      </c>
      <c r="CJ440" s="197"/>
      <c r="CK440" s="197"/>
      <c r="CL440" s="197"/>
      <c r="CM440" s="213"/>
      <c r="CN440" s="213"/>
      <c r="CO440" s="197"/>
      <c r="CP440" s="197"/>
      <c r="CQ440" s="197"/>
      <c r="CR440" s="197"/>
      <c r="CS440" s="197"/>
      <c r="CT440" s="197"/>
      <c r="CU440" s="197"/>
      <c r="CV440" s="197"/>
      <c r="CW440" s="197"/>
      <c r="CX440" s="959"/>
      <c r="CY440" s="959"/>
      <c r="CZ440" s="959"/>
      <c r="DA440" s="959"/>
      <c r="DB440" s="959"/>
      <c r="DC440" s="891">
        <v>2529</v>
      </c>
      <c r="DD440" s="891" t="s">
        <v>2295</v>
      </c>
      <c r="DE440" s="891" t="s">
        <v>406</v>
      </c>
      <c r="DF440" s="891">
        <v>3</v>
      </c>
      <c r="DG440" s="959"/>
      <c r="DH440" s="959"/>
      <c r="ER440" s="905">
        <v>3074</v>
      </c>
      <c r="ES440" s="906" t="s">
        <v>3342</v>
      </c>
      <c r="ET440" s="2686">
        <v>9</v>
      </c>
      <c r="EV440" s="985"/>
      <c r="EW440" s="985"/>
      <c r="EX440" s="387"/>
      <c r="EY440" s="939"/>
      <c r="EZ440" s="886"/>
    </row>
    <row r="441" spans="37:156" hidden="1">
      <c r="CJ441" s="197"/>
      <c r="CK441" s="197"/>
      <c r="CL441" s="197"/>
      <c r="CM441" s="213"/>
      <c r="CN441" s="213"/>
      <c r="CO441" s="197"/>
      <c r="CP441" s="197"/>
      <c r="CQ441" s="197"/>
      <c r="CR441" s="197"/>
      <c r="CS441" s="197"/>
      <c r="CT441" s="197"/>
      <c r="CU441" s="197"/>
      <c r="CV441" s="197"/>
      <c r="CW441" s="197"/>
      <c r="CX441" s="959"/>
      <c r="CY441" s="959"/>
      <c r="CZ441" s="959"/>
      <c r="DA441" s="959"/>
      <c r="DB441" s="959"/>
      <c r="DC441" s="891">
        <v>2531</v>
      </c>
      <c r="DD441" s="891" t="s">
        <v>2296</v>
      </c>
      <c r="DE441" s="891" t="s">
        <v>406</v>
      </c>
      <c r="DF441" s="891">
        <v>5</v>
      </c>
      <c r="DG441" s="959"/>
      <c r="DH441" s="959"/>
      <c r="ER441" s="905">
        <v>3075</v>
      </c>
      <c r="ES441" s="906" t="s">
        <v>325</v>
      </c>
      <c r="ET441" s="2686">
        <v>9</v>
      </c>
      <c r="EV441" s="985"/>
      <c r="EW441" s="985"/>
      <c r="EX441" s="387"/>
      <c r="EY441" s="939"/>
      <c r="EZ441" s="886"/>
    </row>
    <row r="442" spans="37:156" hidden="1">
      <c r="CJ442" s="197"/>
      <c r="CK442" s="197"/>
      <c r="CL442" s="197"/>
      <c r="CM442" s="213"/>
      <c r="CN442" s="213"/>
      <c r="CO442" s="197"/>
      <c r="CP442" s="197"/>
      <c r="CQ442" s="197"/>
      <c r="CR442" s="197"/>
      <c r="CS442" s="197"/>
      <c r="CT442" s="197"/>
      <c r="CU442" s="197"/>
      <c r="CV442" s="197"/>
      <c r="CW442" s="197"/>
      <c r="CX442" s="959"/>
      <c r="CY442" s="959"/>
      <c r="CZ442" s="959"/>
      <c r="DA442" s="959"/>
      <c r="DB442" s="959"/>
      <c r="DC442" s="891">
        <v>2532</v>
      </c>
      <c r="DD442" s="891" t="s">
        <v>2297</v>
      </c>
      <c r="DE442" s="891" t="s">
        <v>406</v>
      </c>
      <c r="DF442" s="891">
        <v>3</v>
      </c>
      <c r="DG442" s="959"/>
      <c r="DH442" s="959"/>
      <c r="ER442" s="905">
        <v>3075</v>
      </c>
      <c r="ES442" s="906" t="s">
        <v>326</v>
      </c>
      <c r="ET442" s="2686">
        <v>9</v>
      </c>
      <c r="EV442" s="985"/>
      <c r="EW442" s="985"/>
      <c r="EX442" s="387"/>
      <c r="EY442" s="939"/>
      <c r="EZ442" s="886"/>
    </row>
    <row r="443" spans="37:156" hidden="1">
      <c r="CJ443" s="197"/>
      <c r="CK443" s="197"/>
      <c r="CL443" s="197"/>
      <c r="CM443" s="213"/>
      <c r="CN443" s="213"/>
      <c r="CO443" s="197"/>
      <c r="CP443" s="197"/>
      <c r="CQ443" s="197"/>
      <c r="CR443" s="197"/>
      <c r="CS443" s="197"/>
      <c r="CT443" s="197"/>
      <c r="CU443" s="197"/>
      <c r="CV443" s="197"/>
      <c r="CW443" s="197"/>
      <c r="CX443" s="959"/>
      <c r="CY443" s="959"/>
      <c r="CZ443" s="959"/>
      <c r="DA443" s="959"/>
      <c r="DB443" s="959"/>
      <c r="DC443" s="891">
        <v>2533</v>
      </c>
      <c r="DD443" s="891" t="s">
        <v>2298</v>
      </c>
      <c r="DE443" s="891" t="s">
        <v>435</v>
      </c>
      <c r="DF443" s="891">
        <v>5</v>
      </c>
      <c r="DG443" s="959"/>
      <c r="DH443" s="959"/>
      <c r="ER443" s="905">
        <v>3075</v>
      </c>
      <c r="ES443" s="906" t="s">
        <v>532</v>
      </c>
      <c r="ET443" s="2686">
        <v>9</v>
      </c>
      <c r="EV443" s="985"/>
      <c r="EW443" s="985"/>
      <c r="EX443" s="387"/>
      <c r="EY443" s="939"/>
      <c r="EZ443" s="886"/>
    </row>
    <row r="444" spans="37:156" hidden="1">
      <c r="CJ444" s="197"/>
      <c r="CK444" s="197"/>
      <c r="CL444" s="197"/>
      <c r="CM444" s="213"/>
      <c r="CN444" s="213"/>
      <c r="CO444" s="197"/>
      <c r="CP444" s="197"/>
      <c r="CQ444" s="197"/>
      <c r="CR444" s="197"/>
      <c r="CS444" s="197"/>
      <c r="CT444" s="197"/>
      <c r="CU444" s="197"/>
      <c r="CV444" s="197"/>
      <c r="CW444" s="197"/>
      <c r="CX444" s="959"/>
      <c r="CY444" s="959"/>
      <c r="CZ444" s="959"/>
      <c r="DA444" s="959"/>
      <c r="DB444" s="959"/>
      <c r="DC444" s="891">
        <v>2534</v>
      </c>
      <c r="DD444" s="891" t="s">
        <v>2299</v>
      </c>
      <c r="DE444" s="891" t="s">
        <v>417</v>
      </c>
      <c r="DF444" s="891">
        <v>5</v>
      </c>
      <c r="DG444" s="959"/>
      <c r="DH444" s="959"/>
      <c r="ER444" s="905">
        <v>3077</v>
      </c>
      <c r="ES444" s="906" t="s">
        <v>3344</v>
      </c>
      <c r="ET444" s="2686">
        <v>9</v>
      </c>
      <c r="EV444" s="985"/>
      <c r="EW444" s="985"/>
      <c r="EX444" s="387"/>
      <c r="EY444" s="939"/>
      <c r="EZ444" s="886"/>
    </row>
    <row r="445" spans="37:156" hidden="1">
      <c r="CJ445" s="197"/>
      <c r="CK445" s="197"/>
      <c r="CL445" s="197"/>
      <c r="CM445" s="213"/>
      <c r="CN445" s="213"/>
      <c r="CO445" s="197"/>
      <c r="CP445" s="197"/>
      <c r="CQ445" s="197"/>
      <c r="CR445" s="197"/>
      <c r="CS445" s="197"/>
      <c r="CT445" s="197"/>
      <c r="CU445" s="197"/>
      <c r="CV445" s="197"/>
      <c r="CW445" s="197"/>
      <c r="CX445" s="959"/>
      <c r="CY445" s="959"/>
      <c r="CZ445" s="959"/>
      <c r="DA445" s="959"/>
      <c r="DB445" s="959"/>
      <c r="DC445" s="891">
        <v>2535</v>
      </c>
      <c r="DD445" s="891" t="s">
        <v>2300</v>
      </c>
      <c r="DE445" s="891" t="s">
        <v>434</v>
      </c>
      <c r="DF445" s="891">
        <v>5</v>
      </c>
      <c r="DG445" s="959"/>
      <c r="DH445" s="959"/>
      <c r="ER445" s="905">
        <v>3078</v>
      </c>
      <c r="ES445" s="906" t="s">
        <v>3345</v>
      </c>
      <c r="ET445" s="2686">
        <v>9</v>
      </c>
      <c r="EV445" s="985"/>
      <c r="EW445" s="985"/>
      <c r="EX445" s="387"/>
      <c r="EY445" s="939"/>
      <c r="EZ445" s="886"/>
    </row>
    <row r="446" spans="37:156" hidden="1">
      <c r="CJ446" s="197"/>
      <c r="CK446" s="197"/>
      <c r="CL446" s="197"/>
      <c r="CM446" s="213"/>
      <c r="CN446" s="213"/>
      <c r="CO446" s="197"/>
      <c r="CP446" s="197"/>
      <c r="CQ446" s="197"/>
      <c r="CR446" s="197"/>
      <c r="CS446" s="197"/>
      <c r="CT446" s="197"/>
      <c r="CU446" s="197"/>
      <c r="CV446" s="197"/>
      <c r="CW446" s="197"/>
      <c r="CX446" s="959"/>
      <c r="CY446" s="959"/>
      <c r="CZ446" s="959"/>
      <c r="DA446" s="959"/>
      <c r="DB446" s="959"/>
      <c r="DC446" s="891">
        <v>2536</v>
      </c>
      <c r="DD446" s="891" t="s">
        <v>2301</v>
      </c>
      <c r="DE446" s="891" t="s">
        <v>432</v>
      </c>
      <c r="DF446" s="891">
        <v>6</v>
      </c>
      <c r="DG446" s="959"/>
      <c r="DH446" s="959"/>
      <c r="ER446" s="905">
        <v>3082</v>
      </c>
      <c r="ES446" s="906" t="s">
        <v>533</v>
      </c>
      <c r="ET446" s="2686">
        <v>9</v>
      </c>
      <c r="EV446" s="985"/>
      <c r="EW446" s="985"/>
      <c r="EX446" s="387"/>
      <c r="EY446" s="939"/>
      <c r="EZ446" s="886"/>
    </row>
    <row r="447" spans="37:156" hidden="1">
      <c r="CJ447" s="197"/>
      <c r="CK447" s="197"/>
      <c r="CL447" s="197"/>
      <c r="CM447" s="213"/>
      <c r="CN447" s="213"/>
      <c r="CO447" s="197"/>
      <c r="CP447" s="197"/>
      <c r="CQ447" s="197"/>
      <c r="CR447" s="197"/>
      <c r="CS447" s="197"/>
      <c r="CT447" s="197"/>
      <c r="CU447" s="197"/>
      <c r="CV447" s="197"/>
      <c r="CW447" s="197"/>
      <c r="CX447" s="959"/>
      <c r="CY447" s="959"/>
      <c r="CZ447" s="959"/>
      <c r="DA447" s="959"/>
      <c r="DB447" s="959"/>
      <c r="DC447" s="891">
        <v>2537</v>
      </c>
      <c r="DD447" s="891" t="s">
        <v>2302</v>
      </c>
      <c r="DE447" s="891" t="s">
        <v>420</v>
      </c>
      <c r="DF447" s="891">
        <v>5</v>
      </c>
      <c r="DG447" s="959"/>
      <c r="DH447" s="959"/>
      <c r="ER447" s="905">
        <v>3100</v>
      </c>
      <c r="ES447" s="906" t="s">
        <v>3346</v>
      </c>
      <c r="ET447" s="2686">
        <v>7</v>
      </c>
      <c r="EV447" s="985"/>
      <c r="EW447" s="985"/>
      <c r="EX447" s="387"/>
      <c r="EY447" s="939"/>
      <c r="EZ447" s="886"/>
    </row>
    <row r="448" spans="37:156" hidden="1">
      <c r="CJ448" s="197"/>
      <c r="CK448" s="197"/>
      <c r="CL448" s="197"/>
      <c r="CM448" s="213"/>
      <c r="CN448" s="213"/>
      <c r="CO448" s="197"/>
      <c r="CP448" s="197"/>
      <c r="CQ448" s="197"/>
      <c r="CR448" s="197"/>
      <c r="CS448" s="197"/>
      <c r="CT448" s="197"/>
      <c r="CU448" s="197"/>
      <c r="CV448" s="197"/>
      <c r="CW448" s="197"/>
      <c r="CX448" s="959"/>
      <c r="CY448" s="959"/>
      <c r="CZ448" s="959"/>
      <c r="DA448" s="959"/>
      <c r="DB448" s="959"/>
      <c r="DC448" s="891">
        <v>2541</v>
      </c>
      <c r="DD448" s="891" t="s">
        <v>2303</v>
      </c>
      <c r="DE448" s="891" t="s">
        <v>2808</v>
      </c>
      <c r="DF448" s="891">
        <v>6</v>
      </c>
      <c r="DG448" s="959"/>
      <c r="DH448" s="959"/>
      <c r="ER448" s="905">
        <v>3102</v>
      </c>
      <c r="ES448" s="906" t="s">
        <v>534</v>
      </c>
      <c r="ET448" s="2686">
        <v>7</v>
      </c>
      <c r="EV448" s="985"/>
      <c r="EW448" s="985"/>
      <c r="EX448" s="387"/>
      <c r="EY448" s="939"/>
      <c r="EZ448" s="886"/>
    </row>
    <row r="449" spans="88:156" hidden="1">
      <c r="CJ449" s="197"/>
      <c r="CK449" s="197"/>
      <c r="CL449" s="197"/>
      <c r="CM449" s="213"/>
      <c r="CN449" s="213"/>
      <c r="CO449" s="197"/>
      <c r="CP449" s="197"/>
      <c r="CQ449" s="197"/>
      <c r="CR449" s="197"/>
      <c r="CS449" s="197"/>
      <c r="CT449" s="197"/>
      <c r="CU449" s="197"/>
      <c r="CV449" s="197"/>
      <c r="CW449" s="197"/>
      <c r="CX449" s="959"/>
      <c r="CY449" s="959"/>
      <c r="CZ449" s="959"/>
      <c r="DA449" s="959"/>
      <c r="DB449" s="959"/>
      <c r="DC449" s="891">
        <v>2543</v>
      </c>
      <c r="DD449" s="891" t="s">
        <v>2304</v>
      </c>
      <c r="DE449" s="891" t="s">
        <v>410</v>
      </c>
      <c r="DF449" s="891">
        <v>6</v>
      </c>
      <c r="DG449" s="959"/>
      <c r="DH449" s="959"/>
      <c r="ER449" s="905">
        <v>3104</v>
      </c>
      <c r="ES449" s="906" t="s">
        <v>535</v>
      </c>
      <c r="ET449" s="2686">
        <v>7</v>
      </c>
      <c r="EV449" s="985"/>
      <c r="EW449" s="985"/>
      <c r="EX449" s="387"/>
      <c r="EY449" s="939"/>
      <c r="EZ449" s="886"/>
    </row>
    <row r="450" spans="88:156" hidden="1">
      <c r="CJ450" s="197"/>
      <c r="CK450" s="197"/>
      <c r="CL450" s="197"/>
      <c r="CM450" s="213"/>
      <c r="CN450" s="213"/>
      <c r="CO450" s="197"/>
      <c r="CP450" s="197"/>
      <c r="CQ450" s="197"/>
      <c r="CR450" s="197"/>
      <c r="CS450" s="197"/>
      <c r="CT450" s="197"/>
      <c r="CU450" s="197"/>
      <c r="CV450" s="197"/>
      <c r="CW450" s="197"/>
      <c r="CX450" s="959"/>
      <c r="CY450" s="959"/>
      <c r="CZ450" s="959"/>
      <c r="DA450" s="959"/>
      <c r="DB450" s="959"/>
      <c r="DC450" s="891">
        <v>2544</v>
      </c>
      <c r="DD450" s="891" t="s">
        <v>2305</v>
      </c>
      <c r="DE450" s="891" t="s">
        <v>406</v>
      </c>
      <c r="DF450" s="891">
        <v>6</v>
      </c>
      <c r="DG450" s="959"/>
      <c r="DH450" s="959"/>
      <c r="ER450" s="905">
        <v>3109</v>
      </c>
      <c r="ES450" s="906" t="s">
        <v>536</v>
      </c>
      <c r="ET450" s="2686">
        <v>7</v>
      </c>
      <c r="EV450" s="985"/>
      <c r="EW450" s="985"/>
      <c r="EX450" s="387"/>
      <c r="EY450" s="939"/>
      <c r="EZ450" s="886"/>
    </row>
    <row r="451" spans="88:156" hidden="1">
      <c r="CJ451" s="197"/>
      <c r="CK451" s="197"/>
      <c r="CL451" s="197"/>
      <c r="CM451" s="213"/>
      <c r="CN451" s="213"/>
      <c r="CO451" s="197"/>
      <c r="CP451" s="197"/>
      <c r="CQ451" s="197"/>
      <c r="CR451" s="197"/>
      <c r="CS451" s="197"/>
      <c r="CT451" s="197"/>
      <c r="CU451" s="197"/>
      <c r="CV451" s="197"/>
      <c r="CW451" s="197"/>
      <c r="CX451" s="959"/>
      <c r="CY451" s="959"/>
      <c r="CZ451" s="959"/>
      <c r="DA451" s="959"/>
      <c r="DB451" s="959"/>
      <c r="DC451" s="891">
        <v>2545</v>
      </c>
      <c r="DD451" s="891" t="s">
        <v>2306</v>
      </c>
      <c r="DE451" s="891" t="s">
        <v>412</v>
      </c>
      <c r="DF451" s="891">
        <v>6</v>
      </c>
      <c r="DG451" s="959"/>
      <c r="DH451" s="959"/>
      <c r="ER451" s="905">
        <v>3121</v>
      </c>
      <c r="ES451" s="906" t="s">
        <v>3349</v>
      </c>
      <c r="ET451" s="2686">
        <v>7</v>
      </c>
      <c r="EV451" s="985"/>
      <c r="EW451" s="985"/>
      <c r="EX451" s="387"/>
      <c r="EY451" s="939"/>
      <c r="EZ451" s="886"/>
    </row>
    <row r="452" spans="88:156" hidden="1">
      <c r="CJ452" s="197"/>
      <c r="CK452" s="197"/>
      <c r="CL452" s="197"/>
      <c r="CM452" s="213"/>
      <c r="CN452" s="213"/>
      <c r="CO452" s="197"/>
      <c r="CP452" s="197"/>
      <c r="CQ452" s="197"/>
      <c r="CR452" s="197"/>
      <c r="CS452" s="197"/>
      <c r="CT452" s="197"/>
      <c r="CU452" s="197"/>
      <c r="CV452" s="197"/>
      <c r="CW452" s="197"/>
      <c r="CX452" s="959"/>
      <c r="CY452" s="959"/>
      <c r="CZ452" s="959"/>
      <c r="DA452" s="959"/>
      <c r="DB452" s="959"/>
      <c r="DC452" s="891">
        <v>2600</v>
      </c>
      <c r="DD452" s="891" t="s">
        <v>2307</v>
      </c>
      <c r="DE452" s="891" t="s">
        <v>412</v>
      </c>
      <c r="DF452" s="891">
        <v>5</v>
      </c>
      <c r="DG452" s="959"/>
      <c r="DH452" s="959"/>
      <c r="ER452" s="905">
        <v>3123</v>
      </c>
      <c r="ES452" s="906" t="s">
        <v>3350</v>
      </c>
      <c r="ET452" s="2686">
        <v>9</v>
      </c>
      <c r="EV452" s="985"/>
      <c r="EW452" s="985"/>
      <c r="EX452" s="387"/>
      <c r="EY452" s="939"/>
      <c r="EZ452" s="886"/>
    </row>
    <row r="453" spans="88:156" hidden="1">
      <c r="CJ453" s="197"/>
      <c r="CK453" s="197"/>
      <c r="CL453" s="197"/>
      <c r="CM453" s="213"/>
      <c r="CN453" s="213"/>
      <c r="CO453" s="197"/>
      <c r="CP453" s="197"/>
      <c r="CQ453" s="197"/>
      <c r="CR453" s="197"/>
      <c r="CS453" s="197"/>
      <c r="CT453" s="197"/>
      <c r="CU453" s="197"/>
      <c r="CV453" s="197"/>
      <c r="CW453" s="197"/>
      <c r="CX453" s="959"/>
      <c r="CY453" s="959"/>
      <c r="CZ453" s="959"/>
      <c r="DA453" s="959"/>
      <c r="DB453" s="959"/>
      <c r="DC453" s="891">
        <v>2610</v>
      </c>
      <c r="DD453" s="891" t="s">
        <v>2308</v>
      </c>
      <c r="DE453" s="891" t="s">
        <v>412</v>
      </c>
      <c r="DF453" s="891">
        <v>6</v>
      </c>
      <c r="DG453" s="959"/>
      <c r="DH453" s="959"/>
      <c r="ER453" s="905">
        <v>3124</v>
      </c>
      <c r="ES453" s="906" t="s">
        <v>3351</v>
      </c>
      <c r="ET453" s="2686">
        <v>9</v>
      </c>
      <c r="EV453" s="985"/>
      <c r="EW453" s="985"/>
      <c r="EX453" s="387"/>
      <c r="EY453" s="939"/>
      <c r="EZ453" s="886"/>
    </row>
    <row r="454" spans="88:156" hidden="1">
      <c r="CJ454" s="197"/>
      <c r="CK454" s="197"/>
      <c r="CL454" s="197"/>
      <c r="CM454" s="213"/>
      <c r="CN454" s="213"/>
      <c r="CO454" s="197"/>
      <c r="CP454" s="197"/>
      <c r="CQ454" s="197"/>
      <c r="CR454" s="197"/>
      <c r="CS454" s="197"/>
      <c r="CT454" s="197"/>
      <c r="CU454" s="197"/>
      <c r="CV454" s="197"/>
      <c r="CW454" s="197"/>
      <c r="CX454" s="959"/>
      <c r="CY454" s="959"/>
      <c r="CZ454" s="959"/>
      <c r="DA454" s="959"/>
      <c r="DB454" s="959"/>
      <c r="DC454" s="891">
        <v>2611</v>
      </c>
      <c r="DD454" s="891" t="s">
        <v>2309</v>
      </c>
      <c r="DE454" s="891" t="s">
        <v>423</v>
      </c>
      <c r="DF454" s="891">
        <v>6</v>
      </c>
      <c r="DG454" s="959"/>
      <c r="DH454" s="959"/>
      <c r="ER454" s="905">
        <v>3125</v>
      </c>
      <c r="ES454" s="906" t="s">
        <v>3352</v>
      </c>
      <c r="ET454" s="2686">
        <v>9</v>
      </c>
      <c r="EV454" s="985"/>
      <c r="EW454" s="985"/>
      <c r="EX454" s="387"/>
      <c r="EY454" s="939"/>
      <c r="EZ454" s="886"/>
    </row>
    <row r="455" spans="88:156" hidden="1">
      <c r="CJ455" s="197"/>
      <c r="CK455" s="197"/>
      <c r="CL455" s="197"/>
      <c r="CM455" s="213"/>
      <c r="CN455" s="213"/>
      <c r="CO455" s="197"/>
      <c r="CP455" s="197"/>
      <c r="CQ455" s="197"/>
      <c r="CR455" s="197"/>
      <c r="CS455" s="197"/>
      <c r="CT455" s="197"/>
      <c r="CU455" s="197"/>
      <c r="CV455" s="197"/>
      <c r="CW455" s="197"/>
      <c r="CX455" s="959"/>
      <c r="CY455" s="959"/>
      <c r="CZ455" s="959"/>
      <c r="DA455" s="959"/>
      <c r="DB455" s="959"/>
      <c r="DC455" s="891">
        <v>2612</v>
      </c>
      <c r="DD455" s="891" t="s">
        <v>2310</v>
      </c>
      <c r="DE455" s="891" t="s">
        <v>423</v>
      </c>
      <c r="DF455" s="891">
        <v>6</v>
      </c>
      <c r="DG455" s="959"/>
      <c r="DH455" s="959"/>
      <c r="ER455" s="905">
        <v>3126</v>
      </c>
      <c r="ES455" s="906" t="s">
        <v>3353</v>
      </c>
      <c r="ET455" s="2686">
        <v>9</v>
      </c>
      <c r="EV455" s="985"/>
      <c r="EW455" s="985"/>
      <c r="EX455" s="387"/>
      <c r="EY455" s="939"/>
      <c r="EZ455" s="886"/>
    </row>
    <row r="456" spans="88:156" hidden="1">
      <c r="CJ456" s="197"/>
      <c r="CK456" s="197"/>
      <c r="CL456" s="197"/>
      <c r="CM456" s="213"/>
      <c r="CN456" s="213"/>
      <c r="CO456" s="197"/>
      <c r="CP456" s="197"/>
      <c r="CQ456" s="197"/>
      <c r="CR456" s="197"/>
      <c r="CS456" s="197"/>
      <c r="CT456" s="197"/>
      <c r="CU456" s="197"/>
      <c r="CV456" s="197"/>
      <c r="CW456" s="197"/>
      <c r="CX456" s="959"/>
      <c r="CY456" s="959"/>
      <c r="CZ456" s="959"/>
      <c r="DA456" s="959"/>
      <c r="DB456" s="959"/>
      <c r="DC456" s="891">
        <v>2613</v>
      </c>
      <c r="DD456" s="891" t="s">
        <v>2311</v>
      </c>
      <c r="DE456" s="891" t="s">
        <v>406</v>
      </c>
      <c r="DF456" s="891">
        <v>5</v>
      </c>
      <c r="DG456" s="959"/>
      <c r="DH456" s="959"/>
      <c r="ER456" s="905">
        <v>3127</v>
      </c>
      <c r="ES456" s="906" t="s">
        <v>3354</v>
      </c>
      <c r="ET456" s="2686">
        <v>9</v>
      </c>
      <c r="EV456" s="985"/>
      <c r="EW456" s="985"/>
      <c r="EX456" s="387"/>
      <c r="EY456" s="939"/>
      <c r="EZ456" s="886"/>
    </row>
    <row r="457" spans="88:156" hidden="1">
      <c r="CJ457" s="197"/>
      <c r="CK457" s="197"/>
      <c r="CL457" s="197"/>
      <c r="CM457" s="213"/>
      <c r="CN457" s="213"/>
      <c r="CO457" s="197"/>
      <c r="CP457" s="197"/>
      <c r="CQ457" s="197"/>
      <c r="CR457" s="197"/>
      <c r="CS457" s="197"/>
      <c r="CT457" s="197"/>
      <c r="CU457" s="197"/>
      <c r="CV457" s="197"/>
      <c r="CW457" s="197"/>
      <c r="CX457" s="959"/>
      <c r="CY457" s="959"/>
      <c r="CZ457" s="959"/>
      <c r="DA457" s="959"/>
      <c r="DB457" s="959"/>
      <c r="DC457" s="891">
        <v>2614</v>
      </c>
      <c r="DD457" s="891" t="s">
        <v>2312</v>
      </c>
      <c r="DE457" s="891" t="s">
        <v>432</v>
      </c>
      <c r="DF457" s="891">
        <v>6</v>
      </c>
      <c r="DG457" s="959"/>
      <c r="DH457" s="959"/>
      <c r="ER457" s="905">
        <v>3128</v>
      </c>
      <c r="ES457" s="906" t="s">
        <v>3294</v>
      </c>
      <c r="ET457" s="2686">
        <v>9</v>
      </c>
      <c r="EV457" s="985"/>
      <c r="EW457" s="985"/>
      <c r="EX457" s="387"/>
      <c r="EY457" s="939"/>
      <c r="EZ457" s="886"/>
    </row>
    <row r="458" spans="88:156" hidden="1">
      <c r="CJ458" s="197"/>
      <c r="CK458" s="197"/>
      <c r="CL458" s="197"/>
      <c r="CM458" s="213"/>
      <c r="CN458" s="213"/>
      <c r="CO458" s="197"/>
      <c r="CP458" s="197"/>
      <c r="CQ458" s="197"/>
      <c r="CR458" s="197"/>
      <c r="CS458" s="197"/>
      <c r="CT458" s="197"/>
      <c r="CU458" s="197"/>
      <c r="CV458" s="197"/>
      <c r="CW458" s="197"/>
      <c r="CX458" s="959"/>
      <c r="CY458" s="959"/>
      <c r="CZ458" s="959"/>
      <c r="DA458" s="959"/>
      <c r="DB458" s="959"/>
      <c r="DC458" s="891">
        <v>2615</v>
      </c>
      <c r="DD458" s="891" t="s">
        <v>2313</v>
      </c>
      <c r="DE458" s="891" t="s">
        <v>435</v>
      </c>
      <c r="DF458" s="891">
        <v>5</v>
      </c>
      <c r="DG458" s="959"/>
      <c r="DH458" s="959"/>
      <c r="ER458" s="905">
        <v>3129</v>
      </c>
      <c r="ES458" s="906" t="s">
        <v>537</v>
      </c>
      <c r="ET458" s="2686">
        <v>9</v>
      </c>
      <c r="EV458" s="985"/>
      <c r="EW458" s="985"/>
      <c r="EX458" s="387"/>
      <c r="EY458" s="939"/>
      <c r="EZ458" s="886"/>
    </row>
    <row r="459" spans="88:156" hidden="1">
      <c r="CJ459" s="197"/>
      <c r="CK459" s="197"/>
      <c r="CL459" s="197"/>
      <c r="CM459" s="213"/>
      <c r="CN459" s="213"/>
      <c r="CO459" s="197"/>
      <c r="CP459" s="197"/>
      <c r="CQ459" s="197"/>
      <c r="CR459" s="197"/>
      <c r="CS459" s="197"/>
      <c r="CT459" s="197"/>
      <c r="CU459" s="197"/>
      <c r="CV459" s="197"/>
      <c r="CW459" s="197"/>
      <c r="CX459" s="959"/>
      <c r="CY459" s="959"/>
      <c r="CZ459" s="959"/>
      <c r="DA459" s="959"/>
      <c r="DB459" s="959"/>
      <c r="DC459" s="891">
        <v>2616</v>
      </c>
      <c r="DD459" s="891" t="s">
        <v>2314</v>
      </c>
      <c r="DE459" s="891" t="s">
        <v>435</v>
      </c>
      <c r="DF459" s="891">
        <v>6</v>
      </c>
      <c r="DG459" s="959"/>
      <c r="DH459" s="959"/>
      <c r="ER459" s="905">
        <v>3129</v>
      </c>
      <c r="ES459" s="906" t="s">
        <v>2460</v>
      </c>
      <c r="ET459" s="2686">
        <v>9</v>
      </c>
      <c r="EV459" s="985"/>
      <c r="EW459" s="985"/>
      <c r="EX459" s="387"/>
      <c r="EY459" s="939"/>
      <c r="EZ459" s="886"/>
    </row>
    <row r="460" spans="88:156" hidden="1">
      <c r="CJ460" s="197"/>
      <c r="CK460" s="197"/>
      <c r="CL460" s="197"/>
      <c r="CM460" s="213"/>
      <c r="CN460" s="213"/>
      <c r="CO460" s="197"/>
      <c r="CP460" s="197"/>
      <c r="CQ460" s="197"/>
      <c r="CR460" s="197"/>
      <c r="CS460" s="197"/>
      <c r="CT460" s="197"/>
      <c r="CU460" s="197"/>
      <c r="CV460" s="197"/>
      <c r="CW460" s="197"/>
      <c r="CX460" s="959"/>
      <c r="CY460" s="959"/>
      <c r="CZ460" s="959"/>
      <c r="DA460" s="959"/>
      <c r="DB460" s="959"/>
      <c r="DC460" s="891">
        <v>2617</v>
      </c>
      <c r="DD460" s="891" t="s">
        <v>2315</v>
      </c>
      <c r="DE460" s="891" t="s">
        <v>435</v>
      </c>
      <c r="DF460" s="891">
        <v>6</v>
      </c>
      <c r="DG460" s="959"/>
      <c r="DH460" s="959"/>
      <c r="ER460" s="905">
        <v>3131</v>
      </c>
      <c r="ES460" s="906" t="s">
        <v>3296</v>
      </c>
      <c r="ET460" s="2686">
        <v>9</v>
      </c>
      <c r="EV460" s="985"/>
      <c r="EW460" s="985"/>
      <c r="EX460" s="387"/>
      <c r="EY460" s="939"/>
      <c r="EZ460" s="886"/>
    </row>
    <row r="461" spans="88:156" hidden="1">
      <c r="CJ461" s="197"/>
      <c r="CK461" s="197"/>
      <c r="CL461" s="197"/>
      <c r="CM461" s="213"/>
      <c r="CN461" s="213"/>
      <c r="CO461" s="197"/>
      <c r="CP461" s="197"/>
      <c r="CQ461" s="197"/>
      <c r="CR461" s="197"/>
      <c r="CS461" s="197"/>
      <c r="CT461" s="197"/>
      <c r="CU461" s="197"/>
      <c r="CV461" s="197"/>
      <c r="CW461" s="197"/>
      <c r="CX461" s="959"/>
      <c r="CY461" s="959"/>
      <c r="CZ461" s="959"/>
      <c r="DA461" s="959"/>
      <c r="DB461" s="959"/>
      <c r="DC461" s="891">
        <v>2618</v>
      </c>
      <c r="DD461" s="891" t="s">
        <v>2316</v>
      </c>
      <c r="DE461" s="891" t="s">
        <v>435</v>
      </c>
      <c r="DF461" s="891">
        <v>5</v>
      </c>
      <c r="DG461" s="959"/>
      <c r="DH461" s="959"/>
      <c r="ER461" s="905">
        <v>3132</v>
      </c>
      <c r="ES461" s="906" t="s">
        <v>3297</v>
      </c>
      <c r="ET461" s="2686">
        <v>9</v>
      </c>
      <c r="EV461" s="985"/>
      <c r="EW461" s="985"/>
      <c r="EX461" s="387"/>
      <c r="EY461" s="939"/>
      <c r="EZ461" s="886"/>
    </row>
    <row r="462" spans="88:156" hidden="1">
      <c r="CJ462" s="197"/>
      <c r="CK462" s="197"/>
      <c r="CL462" s="197"/>
      <c r="CM462" s="213"/>
      <c r="CN462" s="213"/>
      <c r="CO462" s="197"/>
      <c r="CP462" s="197"/>
      <c r="CQ462" s="197"/>
      <c r="CR462" s="197"/>
      <c r="CS462" s="197"/>
      <c r="CT462" s="197"/>
      <c r="CU462" s="197"/>
      <c r="CV462" s="197"/>
      <c r="CW462" s="197"/>
      <c r="CX462" s="959"/>
      <c r="CY462" s="959"/>
      <c r="CZ462" s="959"/>
      <c r="DA462" s="959"/>
      <c r="DB462" s="959"/>
      <c r="DC462" s="891">
        <v>2619</v>
      </c>
      <c r="DD462" s="891" t="s">
        <v>2317</v>
      </c>
      <c r="DE462" s="891" t="s">
        <v>435</v>
      </c>
      <c r="DF462" s="891">
        <v>5</v>
      </c>
      <c r="DG462" s="959"/>
      <c r="DH462" s="959"/>
      <c r="ER462" s="905">
        <v>3133</v>
      </c>
      <c r="ES462" s="906" t="s">
        <v>3298</v>
      </c>
      <c r="ET462" s="2686">
        <v>9</v>
      </c>
      <c r="EV462" s="985"/>
      <c r="EW462" s="985"/>
      <c r="EX462" s="387"/>
      <c r="EY462" s="939"/>
      <c r="EZ462" s="886"/>
    </row>
    <row r="463" spans="88:156" hidden="1">
      <c r="CJ463" s="197"/>
      <c r="CK463" s="197"/>
      <c r="CL463" s="197"/>
      <c r="CM463" s="213"/>
      <c r="CN463" s="213"/>
      <c r="CO463" s="197"/>
      <c r="CP463" s="197"/>
      <c r="CQ463" s="197"/>
      <c r="CR463" s="197"/>
      <c r="CS463" s="197"/>
      <c r="CT463" s="197"/>
      <c r="CU463" s="197"/>
      <c r="CV463" s="197"/>
      <c r="CW463" s="197"/>
      <c r="CX463" s="959"/>
      <c r="CY463" s="959"/>
      <c r="CZ463" s="959"/>
      <c r="DA463" s="959"/>
      <c r="DB463" s="959"/>
      <c r="DC463" s="891">
        <v>2621</v>
      </c>
      <c r="DD463" s="891" t="s">
        <v>2318</v>
      </c>
      <c r="DE463" s="891" t="s">
        <v>423</v>
      </c>
      <c r="DF463" s="891">
        <v>5</v>
      </c>
      <c r="DG463" s="959"/>
      <c r="DH463" s="959"/>
      <c r="ER463" s="905">
        <v>3134</v>
      </c>
      <c r="ES463" s="906" t="s">
        <v>3299</v>
      </c>
      <c r="ET463" s="2686">
        <v>9</v>
      </c>
      <c r="EV463" s="985"/>
      <c r="EW463" s="985"/>
      <c r="EX463" s="387"/>
      <c r="EY463" s="939"/>
      <c r="EZ463" s="886"/>
    </row>
    <row r="464" spans="88:156" hidden="1">
      <c r="CJ464" s="197"/>
      <c r="CK464" s="197"/>
      <c r="CL464" s="197"/>
      <c r="CM464" s="213"/>
      <c r="CN464" s="213"/>
      <c r="CO464" s="197"/>
      <c r="CP464" s="197"/>
      <c r="CQ464" s="197"/>
      <c r="CR464" s="197"/>
      <c r="CS464" s="197"/>
      <c r="CT464" s="197"/>
      <c r="CU464" s="197"/>
      <c r="CV464" s="197"/>
      <c r="CW464" s="197"/>
      <c r="CX464" s="959"/>
      <c r="CY464" s="959"/>
      <c r="CZ464" s="959"/>
      <c r="DA464" s="959"/>
      <c r="DB464" s="959"/>
      <c r="DC464" s="891">
        <v>2623</v>
      </c>
      <c r="DD464" s="891" t="s">
        <v>2319</v>
      </c>
      <c r="DE464" s="891" t="s">
        <v>431</v>
      </c>
      <c r="DF464" s="891">
        <v>5</v>
      </c>
      <c r="DG464" s="959"/>
      <c r="DH464" s="959"/>
      <c r="ER464" s="905">
        <v>3135</v>
      </c>
      <c r="ES464" s="906" t="s">
        <v>3300</v>
      </c>
      <c r="ET464" s="2686">
        <v>9</v>
      </c>
      <c r="EV464" s="985"/>
      <c r="EW464" s="985"/>
      <c r="EX464" s="387"/>
      <c r="EY464" s="939"/>
      <c r="EZ464" s="886"/>
    </row>
    <row r="465" spans="12:156" hidden="1">
      <c r="CJ465" s="197"/>
      <c r="CK465" s="197"/>
      <c r="CL465" s="197"/>
      <c r="CM465" s="213"/>
      <c r="CN465" s="213"/>
      <c r="CO465" s="197"/>
      <c r="CP465" s="197"/>
      <c r="CQ465" s="197"/>
      <c r="CR465" s="197"/>
      <c r="CS465" s="197"/>
      <c r="CT465" s="197"/>
      <c r="CU465" s="197"/>
      <c r="CV465" s="197"/>
      <c r="CW465" s="197"/>
      <c r="CX465" s="959"/>
      <c r="CY465" s="959"/>
      <c r="CZ465" s="959"/>
      <c r="DA465" s="959"/>
      <c r="DB465" s="959"/>
      <c r="DC465" s="891">
        <v>2624</v>
      </c>
      <c r="DD465" s="891" t="s">
        <v>2320</v>
      </c>
      <c r="DE465" s="891" t="s">
        <v>421</v>
      </c>
      <c r="DF465" s="891">
        <v>5</v>
      </c>
      <c r="DG465" s="959"/>
      <c r="DH465" s="959"/>
      <c r="ER465" s="905">
        <v>3136</v>
      </c>
      <c r="ES465" s="906" t="s">
        <v>3301</v>
      </c>
      <c r="ET465" s="2686">
        <v>9</v>
      </c>
      <c r="EV465" s="985"/>
      <c r="EW465" s="985"/>
      <c r="EX465" s="387"/>
      <c r="EY465" s="939"/>
      <c r="EZ465" s="886"/>
    </row>
    <row r="466" spans="12:156" hidden="1">
      <c r="CJ466" s="197"/>
      <c r="CK466" s="197"/>
      <c r="CL466" s="197"/>
      <c r="CM466" s="213"/>
      <c r="CN466" s="213"/>
      <c r="CO466" s="197"/>
      <c r="CP466" s="197"/>
      <c r="CQ466" s="197"/>
      <c r="CR466" s="197"/>
      <c r="CS466" s="197"/>
      <c r="CT466" s="197"/>
      <c r="CU466" s="197"/>
      <c r="CV466" s="197"/>
      <c r="CW466" s="197"/>
      <c r="CX466" s="959"/>
      <c r="CY466" s="959"/>
      <c r="CZ466" s="959"/>
      <c r="DA466" s="959"/>
      <c r="DB466" s="959"/>
      <c r="DC466" s="891">
        <v>2625</v>
      </c>
      <c r="DD466" s="891" t="s">
        <v>2321</v>
      </c>
      <c r="DE466" s="891" t="s">
        <v>406</v>
      </c>
      <c r="DF466" s="891">
        <v>5</v>
      </c>
      <c r="DG466" s="959"/>
      <c r="DH466" s="959"/>
      <c r="ER466" s="905">
        <v>3137</v>
      </c>
      <c r="ES466" s="906" t="s">
        <v>3302</v>
      </c>
      <c r="ET466" s="2686">
        <v>9</v>
      </c>
      <c r="EV466" s="985"/>
      <c r="EW466" s="985"/>
      <c r="EX466" s="387"/>
      <c r="EY466" s="939"/>
      <c r="EZ466" s="886"/>
    </row>
    <row r="467" spans="12:156" hidden="1">
      <c r="CJ467" s="197"/>
      <c r="CK467" s="197"/>
      <c r="CL467" s="197"/>
      <c r="CM467" s="213"/>
      <c r="CN467" s="213"/>
      <c r="CO467" s="197"/>
      <c r="CP467" s="197"/>
      <c r="CQ467" s="197"/>
      <c r="CR467" s="197"/>
      <c r="CS467" s="197"/>
      <c r="CT467" s="197"/>
      <c r="CU467" s="197"/>
      <c r="CV467" s="197"/>
      <c r="CW467" s="197"/>
      <c r="CX467" s="959"/>
      <c r="CY467" s="959"/>
      <c r="CZ467" s="959"/>
      <c r="DA467" s="959"/>
      <c r="DB467" s="959"/>
      <c r="DC467" s="891">
        <v>2626</v>
      </c>
      <c r="DD467" s="891" t="s">
        <v>2322</v>
      </c>
      <c r="DE467" s="891" t="s">
        <v>427</v>
      </c>
      <c r="DF467" s="891">
        <v>3</v>
      </c>
      <c r="DG467" s="959"/>
      <c r="DH467" s="959"/>
      <c r="ER467" s="905">
        <v>3138</v>
      </c>
      <c r="ES467" s="906" t="s">
        <v>3303</v>
      </c>
      <c r="ET467" s="2686">
        <v>9</v>
      </c>
      <c r="EV467" s="985"/>
      <c r="EW467" s="985"/>
      <c r="EX467" s="387"/>
      <c r="EY467" s="939"/>
      <c r="EZ467" s="886"/>
    </row>
    <row r="468" spans="12:156" hidden="1">
      <c r="CJ468" s="197"/>
      <c r="CK468" s="197"/>
      <c r="CL468" s="197"/>
      <c r="CM468" s="213"/>
      <c r="CN468" s="213"/>
      <c r="CO468" s="197"/>
      <c r="CP468" s="197"/>
      <c r="CQ468" s="197"/>
      <c r="CR468" s="197"/>
      <c r="CS468" s="197"/>
      <c r="CT468" s="197"/>
      <c r="CU468" s="197"/>
      <c r="CV468" s="197"/>
      <c r="CW468" s="197"/>
      <c r="CX468" s="959"/>
      <c r="CY468" s="959"/>
      <c r="CZ468" s="959"/>
      <c r="DA468" s="959"/>
      <c r="DB468" s="959"/>
      <c r="DC468" s="891">
        <v>2627</v>
      </c>
      <c r="DD468" s="891" t="s">
        <v>2323</v>
      </c>
      <c r="DE468" s="891" t="s">
        <v>432</v>
      </c>
      <c r="DF468" s="891">
        <v>3</v>
      </c>
      <c r="DG468" s="959"/>
      <c r="DH468" s="959"/>
      <c r="ER468" s="905">
        <v>3141</v>
      </c>
      <c r="ES468" s="906" t="s">
        <v>2461</v>
      </c>
      <c r="ET468" s="2686">
        <v>7</v>
      </c>
      <c r="EV468" s="985"/>
      <c r="EW468" s="985"/>
      <c r="EX468" s="387"/>
      <c r="EY468" s="939"/>
      <c r="EZ468" s="886"/>
    </row>
    <row r="469" spans="12:156" hidden="1">
      <c r="CJ469" s="197"/>
      <c r="CK469" s="197"/>
      <c r="CL469" s="197"/>
      <c r="CM469" s="213"/>
      <c r="CN469" s="213"/>
      <c r="CO469" s="197"/>
      <c r="CP469" s="197"/>
      <c r="CQ469" s="197"/>
      <c r="CR469" s="197"/>
      <c r="CS469" s="197"/>
      <c r="CT469" s="197"/>
      <c r="CU469" s="197"/>
      <c r="CV469" s="197"/>
      <c r="CW469" s="197"/>
      <c r="CX469" s="959"/>
      <c r="CY469" s="959"/>
      <c r="CZ469" s="959"/>
      <c r="DA469" s="959"/>
      <c r="DB469" s="959"/>
      <c r="DC469" s="891">
        <v>2628</v>
      </c>
      <c r="DD469" s="891" t="s">
        <v>2324</v>
      </c>
      <c r="DE469" s="891" t="s">
        <v>412</v>
      </c>
      <c r="DF469" s="891">
        <v>5</v>
      </c>
      <c r="DG469" s="959"/>
      <c r="DH469" s="959"/>
      <c r="ER469" s="905">
        <v>3142</v>
      </c>
      <c r="ES469" s="906" t="s">
        <v>3305</v>
      </c>
      <c r="ET469" s="2686">
        <v>9</v>
      </c>
      <c r="EV469" s="985"/>
      <c r="EW469" s="985"/>
      <c r="EX469" s="387"/>
      <c r="EY469" s="939"/>
      <c r="EZ469" s="886"/>
    </row>
    <row r="470" spans="12:156" ht="16.5" hidden="1" thickBot="1">
      <c r="CJ470" s="197"/>
      <c r="CK470" s="197"/>
      <c r="CL470" s="197"/>
      <c r="CM470" s="213"/>
      <c r="CN470" s="213"/>
      <c r="CO470" s="197"/>
      <c r="CP470" s="197"/>
      <c r="CQ470" s="197"/>
      <c r="CR470" s="197"/>
      <c r="CS470" s="197"/>
      <c r="CT470" s="197"/>
      <c r="CU470" s="197"/>
      <c r="CV470" s="197"/>
      <c r="CW470" s="197"/>
      <c r="CX470" s="959"/>
      <c r="CY470" s="959"/>
      <c r="CZ470" s="959"/>
      <c r="DA470" s="959"/>
      <c r="DB470" s="959"/>
      <c r="DC470" s="891">
        <v>2629</v>
      </c>
      <c r="DD470" s="891" t="s">
        <v>2325</v>
      </c>
      <c r="DE470" s="891" t="s">
        <v>412</v>
      </c>
      <c r="DF470" s="891">
        <v>5</v>
      </c>
      <c r="DG470" s="959"/>
      <c r="DH470" s="959"/>
      <c r="ER470" s="905">
        <v>3143</v>
      </c>
      <c r="ES470" s="906" t="s">
        <v>3306</v>
      </c>
      <c r="ET470" s="2686">
        <v>9</v>
      </c>
      <c r="EV470" s="985"/>
      <c r="EW470" s="985"/>
      <c r="EX470" s="387"/>
      <c r="EY470" s="939"/>
      <c r="EZ470" s="886"/>
    </row>
    <row r="471" spans="12:156" hidden="1">
      <c r="L471" s="1323"/>
      <c r="M471" s="1323"/>
      <c r="N471" s="1323"/>
      <c r="O471" s="3523" t="s">
        <v>3334</v>
      </c>
      <c r="P471" s="1324"/>
      <c r="Q471" s="467" t="s">
        <v>2153</v>
      </c>
      <c r="R471" s="1324"/>
      <c r="S471" s="1324"/>
      <c r="T471" s="1324"/>
      <c r="U471" s="1324"/>
      <c r="V471" s="1324"/>
      <c r="W471" s="1324"/>
      <c r="X471" s="1325"/>
      <c r="Y471" s="1325"/>
      <c r="Z471" s="1325"/>
      <c r="AA471" s="1325"/>
      <c r="AB471" s="1326" t="s">
        <v>2153</v>
      </c>
      <c r="AC471" s="1696">
        <f>Wáberer!B20</f>
        <v>130000</v>
      </c>
      <c r="CJ471" s="197"/>
      <c r="CK471" s="197"/>
      <c r="CL471" s="197"/>
      <c r="CM471" s="213"/>
      <c r="CN471" s="213"/>
      <c r="CO471" s="197"/>
      <c r="CP471" s="197"/>
      <c r="CQ471" s="197"/>
      <c r="CR471" s="197"/>
      <c r="CS471" s="197"/>
      <c r="CT471" s="197"/>
      <c r="CU471" s="197"/>
      <c r="CV471" s="197"/>
      <c r="CW471" s="197"/>
      <c r="CX471" s="959"/>
      <c r="CY471" s="959"/>
      <c r="CZ471" s="959"/>
      <c r="DA471" s="959"/>
      <c r="DB471" s="959"/>
      <c r="DC471" s="891">
        <v>2631</v>
      </c>
      <c r="DD471" s="891" t="s">
        <v>2326</v>
      </c>
      <c r="DE471" s="891" t="s">
        <v>412</v>
      </c>
      <c r="DF471" s="891">
        <v>5</v>
      </c>
      <c r="DG471" s="959"/>
      <c r="DH471" s="959"/>
      <c r="ER471" s="905">
        <v>3144</v>
      </c>
      <c r="ES471" s="905" t="s">
        <v>2462</v>
      </c>
      <c r="ET471" s="2686">
        <v>9</v>
      </c>
      <c r="EV471" s="985"/>
      <c r="EW471" s="985"/>
      <c r="EX471" s="387"/>
      <c r="EY471" s="939"/>
      <c r="EZ471" s="886"/>
    </row>
    <row r="472" spans="12:156" hidden="1">
      <c r="O472" s="3524"/>
      <c r="P472" s="296"/>
      <c r="Q472" s="1695" t="s">
        <v>2154</v>
      </c>
      <c r="R472" s="296"/>
      <c r="S472" s="296"/>
      <c r="T472" s="296"/>
      <c r="U472" s="296"/>
      <c r="V472" s="296"/>
      <c r="W472" s="296"/>
      <c r="X472" s="296"/>
      <c r="Y472" s="296"/>
      <c r="Z472" s="296"/>
      <c r="AA472" s="296"/>
      <c r="AB472" s="1327" t="e">
        <f>Wáberer!#REF!</f>
        <v>#REF!</v>
      </c>
      <c r="AC472" s="1697">
        <f>Wáberer!B21</f>
        <v>0</v>
      </c>
      <c r="CJ472" s="197"/>
      <c r="CK472" s="197"/>
      <c r="CL472" s="197"/>
      <c r="CM472" s="213"/>
      <c r="CN472" s="213"/>
      <c r="CO472" s="197"/>
      <c r="CP472" s="197"/>
      <c r="CQ472" s="197"/>
      <c r="CR472" s="197"/>
      <c r="CS472" s="197"/>
      <c r="CT472" s="197"/>
      <c r="CU472" s="197"/>
      <c r="CV472" s="197"/>
      <c r="CW472" s="197"/>
      <c r="CX472" s="959"/>
      <c r="CY472" s="959"/>
      <c r="CZ472" s="959"/>
      <c r="DA472" s="959"/>
      <c r="DB472" s="959"/>
      <c r="DC472" s="891">
        <v>2632</v>
      </c>
      <c r="DD472" s="891" t="s">
        <v>2327</v>
      </c>
      <c r="DE472" s="891" t="s">
        <v>412</v>
      </c>
      <c r="DF472" s="891">
        <v>6</v>
      </c>
      <c r="DG472" s="959"/>
      <c r="DH472" s="959"/>
      <c r="ER472" s="905">
        <v>3145</v>
      </c>
      <c r="ES472" s="906" t="s">
        <v>2463</v>
      </c>
      <c r="ET472" s="2686">
        <v>9</v>
      </c>
      <c r="EV472" s="985"/>
      <c r="EW472" s="985"/>
      <c r="EX472" s="387"/>
      <c r="EY472" s="939"/>
      <c r="EZ472" s="886"/>
    </row>
    <row r="473" spans="12:156" hidden="1">
      <c r="O473" s="3524"/>
      <c r="P473" s="296"/>
      <c r="Q473" s="467" t="s">
        <v>2155</v>
      </c>
      <c r="R473" s="296"/>
      <c r="S473" s="296"/>
      <c r="T473" s="296"/>
      <c r="U473" s="296"/>
      <c r="V473" s="296"/>
      <c r="W473" s="296"/>
      <c r="X473" s="296"/>
      <c r="Y473" s="296"/>
      <c r="Z473" s="296"/>
      <c r="AA473" s="296"/>
      <c r="AB473" s="1328" t="e">
        <f>Wáberer!#REF!</f>
        <v>#REF!</v>
      </c>
      <c r="AC473" s="1698">
        <f>Wáberer!B22</f>
        <v>0</v>
      </c>
      <c r="CJ473" s="197"/>
      <c r="CK473" s="197"/>
      <c r="CL473" s="197"/>
      <c r="CM473" s="213"/>
      <c r="CN473" s="213"/>
      <c r="CO473" s="197"/>
      <c r="CP473" s="197"/>
      <c r="CQ473" s="197"/>
      <c r="CR473" s="197"/>
      <c r="CS473" s="197"/>
      <c r="CT473" s="197"/>
      <c r="CU473" s="197"/>
      <c r="CV473" s="197"/>
      <c r="CW473" s="197"/>
      <c r="CX473" s="959"/>
      <c r="CY473" s="959"/>
      <c r="CZ473" s="959"/>
      <c r="DA473" s="959"/>
      <c r="DB473" s="959"/>
      <c r="DC473" s="891">
        <v>2633</v>
      </c>
      <c r="DD473" s="891" t="s">
        <v>2328</v>
      </c>
      <c r="DE473" s="891" t="s">
        <v>412</v>
      </c>
      <c r="DF473" s="891">
        <v>6</v>
      </c>
      <c r="DG473" s="959"/>
      <c r="DH473" s="959"/>
      <c r="ER473" s="905">
        <v>3146</v>
      </c>
      <c r="ES473" s="906" t="s">
        <v>2464</v>
      </c>
      <c r="ET473" s="2686">
        <v>9</v>
      </c>
      <c r="EV473" s="985"/>
      <c r="EW473" s="985"/>
      <c r="EX473" s="387"/>
      <c r="EY473" s="939"/>
      <c r="EZ473" s="886"/>
    </row>
    <row r="474" spans="12:156" hidden="1">
      <c r="O474" s="3524"/>
      <c r="P474" s="296"/>
      <c r="Q474" s="1695" t="s">
        <v>0</v>
      </c>
      <c r="R474" s="296"/>
      <c r="S474" s="296"/>
      <c r="T474" s="296"/>
      <c r="U474" s="296"/>
      <c r="V474" s="296"/>
      <c r="W474" s="296"/>
      <c r="X474" s="296"/>
      <c r="Y474" s="296"/>
      <c r="Z474" s="296"/>
      <c r="AA474" s="296"/>
      <c r="AB474" s="1327" t="e">
        <f>Wáberer!#REF!</f>
        <v>#REF!</v>
      </c>
      <c r="AC474" s="1697">
        <f>Wáberer!B23</f>
        <v>180450</v>
      </c>
      <c r="CJ474" s="197"/>
      <c r="CK474" s="197"/>
      <c r="CL474" s="197"/>
      <c r="CM474" s="213"/>
      <c r="CN474" s="213"/>
      <c r="CO474" s="197"/>
      <c r="CP474" s="197"/>
      <c r="CQ474" s="197"/>
      <c r="CR474" s="197"/>
      <c r="CS474" s="197"/>
      <c r="CT474" s="197"/>
      <c r="CU474" s="197"/>
      <c r="CV474" s="197"/>
      <c r="CW474" s="197"/>
      <c r="CX474" s="959"/>
      <c r="CY474" s="959"/>
      <c r="CZ474" s="959"/>
      <c r="DA474" s="959"/>
      <c r="DB474" s="959"/>
      <c r="DC474" s="891">
        <v>2634</v>
      </c>
      <c r="DD474" s="891" t="s">
        <v>2329</v>
      </c>
      <c r="DE474" s="891" t="s">
        <v>412</v>
      </c>
      <c r="DF474" s="891">
        <v>6</v>
      </c>
      <c r="DG474" s="959"/>
      <c r="DH474" s="959"/>
      <c r="ER474" s="905">
        <v>3147</v>
      </c>
      <c r="ES474" s="905" t="s">
        <v>2465</v>
      </c>
      <c r="ET474" s="2686">
        <v>9</v>
      </c>
      <c r="EV474" s="985"/>
      <c r="EW474" s="985"/>
      <c r="EX474" s="387"/>
      <c r="EY474" s="939"/>
      <c r="EZ474" s="886"/>
    </row>
    <row r="475" spans="12:156" hidden="1">
      <c r="O475" s="3524"/>
      <c r="P475" s="296"/>
      <c r="Q475" s="467" t="s">
        <v>4</v>
      </c>
      <c r="R475" s="296"/>
      <c r="S475" s="296"/>
      <c r="T475" s="296"/>
      <c r="U475" s="296"/>
      <c r="V475" s="296"/>
      <c r="W475" s="296"/>
      <c r="X475" s="296"/>
      <c r="Y475" s="296"/>
      <c r="Z475" s="296"/>
      <c r="AA475" s="296"/>
      <c r="AB475" s="1328" t="e">
        <f>Wáberer!#REF!</f>
        <v>#REF!</v>
      </c>
      <c r="AC475" s="1698">
        <f>Wáberer!B24</f>
        <v>0</v>
      </c>
      <c r="CJ475" s="197"/>
      <c r="CK475" s="197"/>
      <c r="CL475" s="197"/>
      <c r="CM475" s="213"/>
      <c r="CN475" s="213"/>
      <c r="CO475" s="197"/>
      <c r="CP475" s="197"/>
      <c r="CQ475" s="197"/>
      <c r="CR475" s="197"/>
      <c r="CS475" s="197"/>
      <c r="CT475" s="197"/>
      <c r="CU475" s="197"/>
      <c r="CV475" s="197"/>
      <c r="CW475" s="197"/>
      <c r="CX475" s="959"/>
      <c r="CY475" s="959"/>
      <c r="CZ475" s="959"/>
      <c r="DA475" s="959"/>
      <c r="DB475" s="959"/>
      <c r="DC475" s="891">
        <v>2635</v>
      </c>
      <c r="DD475" s="891" t="s">
        <v>2330</v>
      </c>
      <c r="DE475" s="891" t="s">
        <v>412</v>
      </c>
      <c r="DF475" s="891">
        <v>6</v>
      </c>
      <c r="DG475" s="959"/>
      <c r="DH475" s="959"/>
      <c r="ER475" s="905">
        <v>3151</v>
      </c>
      <c r="ES475" s="906" t="s">
        <v>2466</v>
      </c>
      <c r="ET475" s="2686">
        <v>9</v>
      </c>
      <c r="EV475" s="985"/>
      <c r="EW475" s="985"/>
      <c r="EX475" s="387"/>
      <c r="EY475" s="939"/>
      <c r="EZ475" s="886"/>
    </row>
    <row r="476" spans="12:156" hidden="1">
      <c r="O476" s="3524"/>
      <c r="P476" s="296"/>
      <c r="Q476" s="1695" t="s">
        <v>5</v>
      </c>
      <c r="R476" s="296"/>
      <c r="S476" s="296"/>
      <c r="T476" s="296"/>
      <c r="U476" s="296"/>
      <c r="V476" s="296"/>
      <c r="W476" s="296"/>
      <c r="X476" s="296"/>
      <c r="Y476" s="296"/>
      <c r="Z476" s="296"/>
      <c r="AA476" s="296"/>
      <c r="AB476" s="1327" t="e">
        <f>Wáberer!#REF!</f>
        <v>#REF!</v>
      </c>
      <c r="AC476" s="1697">
        <f>Wáberer!B25</f>
        <v>2600</v>
      </c>
      <c r="CJ476" s="197"/>
      <c r="CK476" s="197"/>
      <c r="CL476" s="197"/>
      <c r="CM476" s="213"/>
      <c r="CN476" s="213"/>
      <c r="CO476" s="197"/>
      <c r="CP476" s="197"/>
      <c r="CQ476" s="197"/>
      <c r="CR476" s="197"/>
      <c r="CS476" s="197"/>
      <c r="CT476" s="197"/>
      <c r="CU476" s="197"/>
      <c r="CV476" s="197"/>
      <c r="CW476" s="197"/>
      <c r="CX476" s="959"/>
      <c r="CY476" s="959"/>
      <c r="CZ476" s="959"/>
      <c r="DA476" s="959"/>
      <c r="DB476" s="959"/>
      <c r="DC476" s="891">
        <v>2636</v>
      </c>
      <c r="DD476" s="891" t="s">
        <v>2331</v>
      </c>
      <c r="DE476" s="891" t="s">
        <v>2808</v>
      </c>
      <c r="DF476" s="891">
        <v>6</v>
      </c>
      <c r="DG476" s="959"/>
      <c r="DH476" s="959"/>
      <c r="ER476" s="905">
        <v>3152</v>
      </c>
      <c r="ES476" s="906" t="s">
        <v>3357</v>
      </c>
      <c r="ET476" s="2686">
        <v>9</v>
      </c>
      <c r="EV476" s="985"/>
      <c r="EW476" s="985"/>
      <c r="EX476" s="387"/>
      <c r="EY476" s="939"/>
      <c r="EZ476" s="886"/>
    </row>
    <row r="477" spans="12:156" hidden="1">
      <c r="O477" s="3524"/>
      <c r="P477" s="296"/>
      <c r="Q477" s="467" t="s">
        <v>1</v>
      </c>
      <c r="R477" s="296"/>
      <c r="S477" s="296"/>
      <c r="T477" s="296"/>
      <c r="U477" s="296"/>
      <c r="V477" s="296"/>
      <c r="W477" s="296"/>
      <c r="X477" s="296"/>
      <c r="Y477" s="296"/>
      <c r="Z477" s="296"/>
      <c r="AA477" s="296"/>
      <c r="AB477" s="1328" t="e">
        <f>Wáberer!#REF!</f>
        <v>#REF!</v>
      </c>
      <c r="AC477" s="1698">
        <f>Wáberer!B26</f>
        <v>5200</v>
      </c>
      <c r="CJ477" s="197"/>
      <c r="CK477" s="197"/>
      <c r="CL477" s="197"/>
      <c r="CM477" s="213"/>
      <c r="CN477" s="213"/>
      <c r="CO477" s="197"/>
      <c r="CP477" s="197"/>
      <c r="CQ477" s="197"/>
      <c r="CR477" s="197"/>
      <c r="CS477" s="197"/>
      <c r="CT477" s="197"/>
      <c r="CU477" s="197"/>
      <c r="CV477" s="197"/>
      <c r="CW477" s="197"/>
      <c r="CX477" s="959"/>
      <c r="CY477" s="959"/>
      <c r="CZ477" s="959"/>
      <c r="DA477" s="959"/>
      <c r="DB477" s="959"/>
      <c r="DC477" s="891">
        <v>2637</v>
      </c>
      <c r="DD477" s="891" t="s">
        <v>2332</v>
      </c>
      <c r="DE477" s="891" t="s">
        <v>419</v>
      </c>
      <c r="DF477" s="891">
        <v>6</v>
      </c>
      <c r="DG477" s="959"/>
      <c r="DH477" s="959"/>
      <c r="ER477" s="905">
        <v>3153</v>
      </c>
      <c r="ES477" s="906" t="s">
        <v>3358</v>
      </c>
      <c r="ET477" s="2686">
        <v>9</v>
      </c>
      <c r="EV477" s="985"/>
      <c r="EW477" s="985"/>
      <c r="EX477" s="387"/>
      <c r="EY477" s="939"/>
      <c r="EZ477" s="886"/>
    </row>
    <row r="478" spans="12:156" hidden="1">
      <c r="O478" s="3524"/>
      <c r="P478" s="296"/>
      <c r="Q478" s="467" t="s">
        <v>2</v>
      </c>
      <c r="R478" s="296"/>
      <c r="S478" s="296"/>
      <c r="T478" s="296"/>
      <c r="U478" s="296"/>
      <c r="V478" s="296"/>
      <c r="W478" s="296"/>
      <c r="X478" s="296"/>
      <c r="Y478" s="296"/>
      <c r="Z478" s="296"/>
      <c r="AA478" s="296"/>
      <c r="AB478" s="1328" t="e">
        <f>Wáberer!#REF!</f>
        <v>#REF!</v>
      </c>
      <c r="AC478" s="1698">
        <f>Wáberer!B27</f>
        <v>0</v>
      </c>
      <c r="CJ478" s="197"/>
      <c r="CK478" s="197"/>
      <c r="CL478" s="197"/>
      <c r="CM478" s="213"/>
      <c r="CN478" s="213"/>
      <c r="CO478" s="197"/>
      <c r="CP478" s="197"/>
      <c r="CQ478" s="197"/>
      <c r="CR478" s="197"/>
      <c r="CS478" s="197"/>
      <c r="CT478" s="197"/>
      <c r="CU478" s="197"/>
      <c r="CV478" s="197"/>
      <c r="CW478" s="197"/>
      <c r="CX478" s="959"/>
      <c r="CY478" s="959"/>
      <c r="CZ478" s="959"/>
      <c r="DA478" s="959"/>
      <c r="DB478" s="959"/>
      <c r="DC478" s="891">
        <v>2638</v>
      </c>
      <c r="DD478" s="891" t="s">
        <v>2333</v>
      </c>
      <c r="DE478" s="891" t="s">
        <v>419</v>
      </c>
      <c r="DF478" s="891">
        <v>6</v>
      </c>
      <c r="DG478" s="959"/>
      <c r="DH478" s="959"/>
      <c r="ER478" s="905">
        <v>3154</v>
      </c>
      <c r="ES478" s="906" t="s">
        <v>3359</v>
      </c>
      <c r="ET478" s="2686">
        <v>9</v>
      </c>
      <c r="EV478" s="985"/>
      <c r="EW478" s="985"/>
      <c r="EX478" s="387"/>
      <c r="EY478" s="939"/>
      <c r="EZ478" s="886"/>
    </row>
    <row r="479" spans="12:156" ht="16.5" hidden="1" thickBot="1">
      <c r="O479" s="3525"/>
      <c r="P479" s="1329"/>
      <c r="Q479" s="467" t="s">
        <v>3</v>
      </c>
      <c r="R479" s="1329"/>
      <c r="S479" s="1329"/>
      <c r="T479" s="1329"/>
      <c r="U479" s="1329"/>
      <c r="V479" s="1329"/>
      <c r="W479" s="1329"/>
      <c r="X479" s="1329"/>
      <c r="Y479" s="1329"/>
      <c r="Z479" s="1329"/>
      <c r="AA479" s="1329"/>
      <c r="AB479" s="1330" t="e">
        <f>Wáberer!#REF!</f>
        <v>#REF!</v>
      </c>
      <c r="AC479" s="1699">
        <f>Wáberer!B28</f>
        <v>0</v>
      </c>
      <c r="CJ479" s="197"/>
      <c r="CK479" s="197"/>
      <c r="CL479" s="197"/>
      <c r="CM479" s="213"/>
      <c r="CN479" s="213"/>
      <c r="CO479" s="197"/>
      <c r="CP479" s="197"/>
      <c r="CQ479" s="197"/>
      <c r="CR479" s="197"/>
      <c r="CS479" s="197"/>
      <c r="CT479" s="197"/>
      <c r="CU479" s="197"/>
      <c r="CV479" s="197"/>
      <c r="CW479" s="197"/>
      <c r="CX479" s="959"/>
      <c r="CY479" s="959"/>
      <c r="CZ479" s="959"/>
      <c r="DA479" s="959"/>
      <c r="DB479" s="959"/>
      <c r="DC479" s="891">
        <v>2639</v>
      </c>
      <c r="DD479" s="891" t="s">
        <v>2334</v>
      </c>
      <c r="DE479" s="891" t="s">
        <v>406</v>
      </c>
      <c r="DF479" s="891">
        <v>6</v>
      </c>
      <c r="DG479" s="959"/>
      <c r="DH479" s="959"/>
      <c r="ER479" s="905">
        <v>3155</v>
      </c>
      <c r="ES479" s="906" t="s">
        <v>3360</v>
      </c>
      <c r="ET479" s="2686">
        <v>9</v>
      </c>
      <c r="EV479" s="985"/>
      <c r="EW479" s="985"/>
      <c r="EX479" s="387"/>
      <c r="EY479" s="939"/>
      <c r="EZ479" s="886"/>
    </row>
    <row r="480" spans="12:156" hidden="1">
      <c r="CJ480" s="197"/>
      <c r="CK480" s="197"/>
      <c r="CL480" s="197"/>
      <c r="CM480" s="213"/>
      <c r="CN480" s="213"/>
      <c r="CO480" s="197"/>
      <c r="CP480" s="197"/>
      <c r="CQ480" s="197"/>
      <c r="CR480" s="197"/>
      <c r="CS480" s="197"/>
      <c r="CT480" s="197"/>
      <c r="CU480" s="197"/>
      <c r="CV480" s="197"/>
      <c r="CW480" s="197"/>
      <c r="CX480" s="959"/>
      <c r="CY480" s="959"/>
      <c r="CZ480" s="959"/>
      <c r="DA480" s="959"/>
      <c r="DB480" s="959"/>
      <c r="DC480" s="891">
        <v>2640</v>
      </c>
      <c r="DD480" s="891" t="s">
        <v>2335</v>
      </c>
      <c r="DE480" s="891" t="s">
        <v>428</v>
      </c>
      <c r="DF480" s="891">
        <v>5</v>
      </c>
      <c r="DG480" s="959"/>
      <c r="DH480" s="959"/>
      <c r="ER480" s="905">
        <v>3161</v>
      </c>
      <c r="ES480" s="906" t="s">
        <v>3361</v>
      </c>
      <c r="ET480" s="2686">
        <v>9</v>
      </c>
      <c r="EV480" s="985"/>
      <c r="EW480" s="985"/>
      <c r="EX480" s="387"/>
      <c r="EY480" s="939"/>
      <c r="EZ480" s="886"/>
    </row>
    <row r="481" spans="88:156" hidden="1">
      <c r="CJ481" s="197"/>
      <c r="CK481" s="197"/>
      <c r="CL481" s="197"/>
      <c r="CM481" s="213"/>
      <c r="CN481" s="213"/>
      <c r="CO481" s="197"/>
      <c r="CP481" s="197"/>
      <c r="CQ481" s="197"/>
      <c r="CR481" s="197"/>
      <c r="CS481" s="197"/>
      <c r="CT481" s="197"/>
      <c r="CU481" s="197"/>
      <c r="CV481" s="197"/>
      <c r="CW481" s="197"/>
      <c r="CX481" s="959"/>
      <c r="CY481" s="959"/>
      <c r="CZ481" s="959"/>
      <c r="DA481" s="959"/>
      <c r="DB481" s="959"/>
      <c r="DC481" s="891">
        <v>2641</v>
      </c>
      <c r="DD481" s="891" t="s">
        <v>2336</v>
      </c>
      <c r="DE481" s="891" t="s">
        <v>406</v>
      </c>
      <c r="DF481" s="891">
        <v>6</v>
      </c>
      <c r="DG481" s="959"/>
      <c r="DH481" s="959"/>
      <c r="ER481" s="905">
        <v>3162</v>
      </c>
      <c r="ES481" s="906" t="s">
        <v>3362</v>
      </c>
      <c r="ET481" s="2686">
        <v>9</v>
      </c>
      <c r="EV481" s="985"/>
      <c r="EW481" s="985"/>
      <c r="EX481" s="387"/>
      <c r="EY481" s="939"/>
      <c r="EZ481" s="886"/>
    </row>
    <row r="482" spans="88:156" hidden="1">
      <c r="CJ482" s="197"/>
      <c r="CK482" s="197"/>
      <c r="CL482" s="197"/>
      <c r="CM482" s="213"/>
      <c r="CN482" s="213"/>
      <c r="CO482" s="197"/>
      <c r="CP482" s="197"/>
      <c r="CQ482" s="197"/>
      <c r="CR482" s="197"/>
      <c r="CS482" s="197"/>
      <c r="CT482" s="197"/>
      <c r="CU482" s="197"/>
      <c r="CV482" s="197"/>
      <c r="CW482" s="197"/>
      <c r="CX482" s="959"/>
      <c r="CY482" s="959"/>
      <c r="CZ482" s="959"/>
      <c r="DA482" s="959"/>
      <c r="DB482" s="959"/>
      <c r="DC482" s="891">
        <v>2642</v>
      </c>
      <c r="DD482" s="891" t="s">
        <v>2808</v>
      </c>
      <c r="DE482" s="891" t="s">
        <v>421</v>
      </c>
      <c r="DF482" s="891">
        <v>6</v>
      </c>
      <c r="DG482" s="959"/>
      <c r="DH482" s="959"/>
      <c r="ER482" s="905">
        <v>3163</v>
      </c>
      <c r="ES482" s="906" t="s">
        <v>612</v>
      </c>
      <c r="ET482" s="2686">
        <v>9</v>
      </c>
      <c r="EV482" s="985"/>
      <c r="EW482" s="985"/>
      <c r="EX482" s="387"/>
      <c r="EY482" s="939"/>
      <c r="EZ482" s="886"/>
    </row>
    <row r="483" spans="88:156" hidden="1">
      <c r="CJ483" s="197"/>
      <c r="CK483" s="197"/>
      <c r="CL483" s="197"/>
      <c r="CM483" s="213"/>
      <c r="CN483" s="213"/>
      <c r="CO483" s="197"/>
      <c r="CP483" s="197"/>
      <c r="CQ483" s="197"/>
      <c r="CR483" s="197"/>
      <c r="CS483" s="197"/>
      <c r="CT483" s="197"/>
      <c r="CU483" s="197"/>
      <c r="CV483" s="197"/>
      <c r="CW483" s="197"/>
      <c r="CX483" s="959"/>
      <c r="CY483" s="959"/>
      <c r="CZ483" s="959"/>
      <c r="DA483" s="959"/>
      <c r="DB483" s="959"/>
      <c r="DC483" s="891">
        <v>2643</v>
      </c>
      <c r="DD483" s="891" t="s">
        <v>2337</v>
      </c>
      <c r="DE483" s="891" t="s">
        <v>421</v>
      </c>
      <c r="DF483" s="891">
        <v>6</v>
      </c>
      <c r="DG483" s="959"/>
      <c r="DH483" s="959"/>
      <c r="ER483" s="905">
        <v>3163</v>
      </c>
      <c r="ES483" s="906" t="s">
        <v>613</v>
      </c>
      <c r="ET483" s="2686">
        <v>9</v>
      </c>
      <c r="EV483" s="985"/>
      <c r="EW483" s="985"/>
      <c r="EX483" s="387"/>
      <c r="EY483" s="939"/>
      <c r="EZ483" s="886"/>
    </row>
    <row r="484" spans="88:156" hidden="1">
      <c r="CJ484" s="197"/>
      <c r="CK484" s="197"/>
      <c r="CL484" s="197"/>
      <c r="CM484" s="213"/>
      <c r="CN484" s="213"/>
      <c r="CO484" s="197"/>
      <c r="CP484" s="197"/>
      <c r="CQ484" s="197"/>
      <c r="CR484" s="197"/>
      <c r="CS484" s="197"/>
      <c r="CT484" s="197"/>
      <c r="CU484" s="197"/>
      <c r="CV484" s="197"/>
      <c r="CW484" s="197"/>
      <c r="CX484" s="959"/>
      <c r="CY484" s="959"/>
      <c r="CZ484" s="959"/>
      <c r="DA484" s="959"/>
      <c r="DB484" s="959"/>
      <c r="DC484" s="891">
        <v>2644</v>
      </c>
      <c r="DD484" s="891" t="s">
        <v>2338</v>
      </c>
      <c r="DE484" s="891" t="s">
        <v>412</v>
      </c>
      <c r="DF484" s="891">
        <v>6</v>
      </c>
      <c r="DG484" s="959"/>
      <c r="DH484" s="959"/>
      <c r="ER484" s="905">
        <v>3165</v>
      </c>
      <c r="ES484" s="906" t="s">
        <v>3364</v>
      </c>
      <c r="ET484" s="2686">
        <v>9</v>
      </c>
      <c r="EV484" s="985"/>
      <c r="EW484" s="985"/>
      <c r="EX484" s="387"/>
      <c r="EY484" s="939"/>
      <c r="EZ484" s="886"/>
    </row>
    <row r="485" spans="88:156" hidden="1">
      <c r="CJ485" s="197"/>
      <c r="CK485" s="197"/>
      <c r="CL485" s="197"/>
      <c r="CM485" s="213"/>
      <c r="CN485" s="213"/>
      <c r="CO485" s="197"/>
      <c r="CP485" s="197"/>
      <c r="CQ485" s="197"/>
      <c r="CR485" s="197"/>
      <c r="CS485" s="197"/>
      <c r="CT485" s="197"/>
      <c r="CU485" s="197"/>
      <c r="CV485" s="197"/>
      <c r="CW485" s="197"/>
      <c r="CX485" s="959"/>
      <c r="CY485" s="959"/>
      <c r="CZ485" s="959"/>
      <c r="DA485" s="959"/>
      <c r="DB485" s="959"/>
      <c r="DC485" s="891">
        <v>2645</v>
      </c>
      <c r="DD485" s="891" t="s">
        <v>2339</v>
      </c>
      <c r="DE485" s="891" t="s">
        <v>421</v>
      </c>
      <c r="DF485" s="891">
        <v>6</v>
      </c>
      <c r="DG485" s="959"/>
      <c r="DH485" s="959"/>
      <c r="ER485" s="905">
        <v>3170</v>
      </c>
      <c r="ES485" s="906" t="s">
        <v>3365</v>
      </c>
      <c r="ET485" s="2686">
        <v>9</v>
      </c>
      <c r="EV485" s="985"/>
      <c r="EW485" s="985"/>
      <c r="EX485" s="387"/>
      <c r="EY485" s="939"/>
      <c r="EZ485" s="886"/>
    </row>
    <row r="486" spans="88:156" hidden="1">
      <c r="CJ486" s="197"/>
      <c r="CK486" s="197"/>
      <c r="CL486" s="197"/>
      <c r="CM486" s="213"/>
      <c r="CN486" s="213"/>
      <c r="CO486" s="197"/>
      <c r="CP486" s="197"/>
      <c r="CQ486" s="197"/>
      <c r="CR486" s="197"/>
      <c r="CS486" s="197"/>
      <c r="CT486" s="197"/>
      <c r="CU486" s="197"/>
      <c r="CV486" s="197"/>
      <c r="CW486" s="197"/>
      <c r="CX486" s="959"/>
      <c r="CY486" s="959"/>
      <c r="CZ486" s="959"/>
      <c r="DA486" s="959"/>
      <c r="DB486" s="959"/>
      <c r="DC486" s="891">
        <v>2646</v>
      </c>
      <c r="DD486" s="891" t="s">
        <v>2340</v>
      </c>
      <c r="DE486" s="891" t="s">
        <v>412</v>
      </c>
      <c r="DF486" s="891">
        <v>6</v>
      </c>
      <c r="DG486" s="959"/>
      <c r="DH486" s="959"/>
      <c r="ER486" s="905">
        <v>3175</v>
      </c>
      <c r="ES486" s="906" t="s">
        <v>3366</v>
      </c>
      <c r="ET486" s="2686">
        <v>9</v>
      </c>
      <c r="EV486" s="985"/>
      <c r="EW486" s="985"/>
      <c r="EX486" s="387"/>
      <c r="EY486" s="939"/>
      <c r="EZ486" s="886"/>
    </row>
    <row r="487" spans="88:156" hidden="1">
      <c r="CJ487" s="197"/>
      <c r="CK487" s="197"/>
      <c r="CL487" s="197"/>
      <c r="CM487" s="213"/>
      <c r="CN487" s="213"/>
      <c r="CO487" s="197"/>
      <c r="CP487" s="197"/>
      <c r="CQ487" s="197"/>
      <c r="CR487" s="197"/>
      <c r="CS487" s="197"/>
      <c r="CT487" s="197"/>
      <c r="CU487" s="197"/>
      <c r="CV487" s="197"/>
      <c r="CW487" s="197"/>
      <c r="CX487" s="959"/>
      <c r="CY487" s="959"/>
      <c r="CZ487" s="959"/>
      <c r="DA487" s="959"/>
      <c r="DB487" s="959"/>
      <c r="DC487" s="891">
        <v>2647</v>
      </c>
      <c r="DD487" s="891" t="s">
        <v>2341</v>
      </c>
      <c r="DE487" s="891" t="s">
        <v>432</v>
      </c>
      <c r="DF487" s="891">
        <v>6</v>
      </c>
      <c r="DG487" s="959"/>
      <c r="DH487" s="959"/>
      <c r="ER487" s="905">
        <v>3176</v>
      </c>
      <c r="ES487" s="906" t="s">
        <v>3367</v>
      </c>
      <c r="ET487" s="2686">
        <v>9</v>
      </c>
      <c r="EV487" s="985"/>
      <c r="EW487" s="985"/>
      <c r="EX487" s="387"/>
      <c r="EY487" s="939"/>
      <c r="EZ487" s="886"/>
    </row>
    <row r="488" spans="88:156" hidden="1">
      <c r="CJ488" s="197"/>
      <c r="CK488" s="197"/>
      <c r="CL488" s="197"/>
      <c r="CM488" s="213"/>
      <c r="CN488" s="213"/>
      <c r="CO488" s="197"/>
      <c r="CP488" s="197"/>
      <c r="CQ488" s="197"/>
      <c r="CR488" s="197"/>
      <c r="CS488" s="197"/>
      <c r="CT488" s="197"/>
      <c r="CU488" s="197"/>
      <c r="CV488" s="197"/>
      <c r="CW488" s="197"/>
      <c r="CX488" s="959"/>
      <c r="CY488" s="959"/>
      <c r="CZ488" s="959"/>
      <c r="DA488" s="959"/>
      <c r="DB488" s="959"/>
      <c r="DC488" s="891">
        <v>2648</v>
      </c>
      <c r="DD488" s="891" t="s">
        <v>2342</v>
      </c>
      <c r="DE488" s="891" t="s">
        <v>432</v>
      </c>
      <c r="DF488" s="891">
        <v>6</v>
      </c>
      <c r="DG488" s="959"/>
      <c r="DH488" s="959"/>
      <c r="ER488" s="905">
        <v>3177</v>
      </c>
      <c r="ES488" s="906" t="s">
        <v>3368</v>
      </c>
      <c r="ET488" s="2686">
        <v>9</v>
      </c>
      <c r="EV488" s="985"/>
      <c r="EW488" s="985"/>
      <c r="EX488" s="387"/>
      <c r="EY488" s="939"/>
      <c r="EZ488" s="886"/>
    </row>
    <row r="489" spans="88:156" hidden="1">
      <c r="CJ489" s="197"/>
      <c r="CK489" s="197"/>
      <c r="CL489" s="197"/>
      <c r="CM489" s="213"/>
      <c r="CN489" s="213"/>
      <c r="CO489" s="197"/>
      <c r="CP489" s="197"/>
      <c r="CQ489" s="197"/>
      <c r="CR489" s="197"/>
      <c r="CS489" s="197"/>
      <c r="CT489" s="197"/>
      <c r="CU489" s="197"/>
      <c r="CV489" s="197"/>
      <c r="CW489" s="197"/>
      <c r="CX489" s="959"/>
      <c r="CY489" s="959"/>
      <c r="CZ489" s="959"/>
      <c r="DA489" s="959"/>
      <c r="DB489" s="959"/>
      <c r="DC489" s="891">
        <v>2649</v>
      </c>
      <c r="DD489" s="891" t="s">
        <v>2343</v>
      </c>
      <c r="DE489" s="891" t="s">
        <v>421</v>
      </c>
      <c r="DF489" s="891">
        <v>6</v>
      </c>
      <c r="DG489" s="959"/>
      <c r="DH489" s="959"/>
      <c r="ER489" s="905">
        <v>3178</v>
      </c>
      <c r="ES489" s="906" t="s">
        <v>3369</v>
      </c>
      <c r="ET489" s="2686">
        <v>9</v>
      </c>
      <c r="EV489" s="985"/>
      <c r="EW489" s="985"/>
      <c r="EX489" s="387"/>
      <c r="EY489" s="939"/>
      <c r="EZ489" s="886"/>
    </row>
    <row r="490" spans="88:156" hidden="1">
      <c r="CJ490" s="197"/>
      <c r="CK490" s="197"/>
      <c r="CL490" s="197"/>
      <c r="CM490" s="213"/>
      <c r="CN490" s="213"/>
      <c r="CO490" s="197"/>
      <c r="CP490" s="197"/>
      <c r="CQ490" s="197"/>
      <c r="CR490" s="197"/>
      <c r="CS490" s="197"/>
      <c r="CT490" s="197"/>
      <c r="CU490" s="197"/>
      <c r="CV490" s="197"/>
      <c r="CW490" s="197"/>
      <c r="CX490" s="959"/>
      <c r="CY490" s="959"/>
      <c r="CZ490" s="959"/>
      <c r="DA490" s="959"/>
      <c r="DB490" s="959"/>
      <c r="DC490" s="891">
        <v>2651</v>
      </c>
      <c r="DD490" s="891" t="s">
        <v>2344</v>
      </c>
      <c r="DE490" s="891" t="s">
        <v>421</v>
      </c>
      <c r="DF490" s="891">
        <v>6</v>
      </c>
      <c r="DG490" s="959"/>
      <c r="DH490" s="959"/>
      <c r="ER490" s="905">
        <v>3179</v>
      </c>
      <c r="ES490" s="906" t="s">
        <v>3370</v>
      </c>
      <c r="ET490" s="2686">
        <v>9</v>
      </c>
      <c r="EV490" s="985"/>
      <c r="EW490" s="985"/>
      <c r="EX490" s="387"/>
      <c r="EY490" s="939"/>
      <c r="EZ490" s="886"/>
    </row>
    <row r="491" spans="88:156" hidden="1">
      <c r="CJ491" s="197"/>
      <c r="CK491" s="197"/>
      <c r="CL491" s="197"/>
      <c r="CM491" s="213"/>
      <c r="CN491" s="213"/>
      <c r="CO491" s="197"/>
      <c r="CP491" s="197"/>
      <c r="CQ491" s="197"/>
      <c r="CR491" s="197"/>
      <c r="CS491" s="197"/>
      <c r="CT491" s="197"/>
      <c r="CU491" s="197"/>
      <c r="CV491" s="197"/>
      <c r="CW491" s="197"/>
      <c r="CX491" s="959"/>
      <c r="CY491" s="959"/>
      <c r="CZ491" s="959"/>
      <c r="DA491" s="959"/>
      <c r="DB491" s="959"/>
      <c r="DC491" s="891">
        <v>2652</v>
      </c>
      <c r="DD491" s="891" t="s">
        <v>2345</v>
      </c>
      <c r="DE491" s="891" t="s">
        <v>423</v>
      </c>
      <c r="DF491" s="891">
        <v>6</v>
      </c>
      <c r="DG491" s="959"/>
      <c r="DH491" s="959"/>
      <c r="ER491" s="905">
        <v>3181</v>
      </c>
      <c r="ES491" s="906" t="s">
        <v>3371</v>
      </c>
      <c r="ET491" s="2686">
        <v>9</v>
      </c>
      <c r="EV491" s="985"/>
      <c r="EW491" s="985"/>
      <c r="EX491" s="387"/>
      <c r="EY491" s="939"/>
      <c r="EZ491" s="886"/>
    </row>
    <row r="492" spans="88:156" hidden="1">
      <c r="CJ492" s="197"/>
      <c r="CK492" s="197"/>
      <c r="CL492" s="197"/>
      <c r="CM492" s="213"/>
      <c r="CN492" s="213"/>
      <c r="CO492" s="197"/>
      <c r="CP492" s="197"/>
      <c r="CQ492" s="197"/>
      <c r="CR492" s="197"/>
      <c r="CS492" s="197"/>
      <c r="CT492" s="197"/>
      <c r="CU492" s="197"/>
      <c r="CV492" s="197"/>
      <c r="CW492" s="197"/>
      <c r="CX492" s="959"/>
      <c r="CY492" s="959"/>
      <c r="CZ492" s="959"/>
      <c r="DA492" s="959"/>
      <c r="DB492" s="959"/>
      <c r="DC492" s="891">
        <v>2653</v>
      </c>
      <c r="DD492" s="891" t="s">
        <v>2346</v>
      </c>
      <c r="DE492" s="891" t="s">
        <v>428</v>
      </c>
      <c r="DF492" s="891">
        <v>6</v>
      </c>
      <c r="DG492" s="959"/>
      <c r="DH492" s="959"/>
      <c r="ER492" s="905">
        <v>3182</v>
      </c>
      <c r="ES492" s="906" t="s">
        <v>3372</v>
      </c>
      <c r="ET492" s="2686">
        <v>9</v>
      </c>
      <c r="EV492" s="985"/>
      <c r="EW492" s="985"/>
      <c r="EX492" s="387"/>
      <c r="EY492" s="939"/>
      <c r="EZ492" s="886"/>
    </row>
    <row r="493" spans="88:156" hidden="1">
      <c r="CJ493" s="197"/>
      <c r="CK493" s="197"/>
      <c r="CL493" s="197"/>
      <c r="CM493" s="213"/>
      <c r="CN493" s="213"/>
      <c r="CO493" s="197"/>
      <c r="CP493" s="197"/>
      <c r="CQ493" s="197"/>
      <c r="CR493" s="197"/>
      <c r="CS493" s="197"/>
      <c r="CT493" s="197"/>
      <c r="CU493" s="197"/>
      <c r="CV493" s="197"/>
      <c r="CW493" s="197"/>
      <c r="CX493" s="959"/>
      <c r="CY493" s="959"/>
      <c r="CZ493" s="959"/>
      <c r="DA493" s="959"/>
      <c r="DB493" s="959"/>
      <c r="DC493" s="891">
        <v>2654</v>
      </c>
      <c r="DD493" s="891" t="s">
        <v>2347</v>
      </c>
      <c r="DE493" s="891" t="s">
        <v>435</v>
      </c>
      <c r="DF493" s="891">
        <v>6</v>
      </c>
      <c r="DG493" s="959"/>
      <c r="DH493" s="959"/>
      <c r="ER493" s="905">
        <v>3183</v>
      </c>
      <c r="ES493" s="906" t="s">
        <v>3373</v>
      </c>
      <c r="ET493" s="2686">
        <v>9</v>
      </c>
      <c r="EV493" s="985"/>
      <c r="EW493" s="985"/>
      <c r="EX493" s="387"/>
      <c r="EY493" s="939"/>
      <c r="EZ493" s="886"/>
    </row>
    <row r="494" spans="88:156" hidden="1">
      <c r="CJ494" s="197"/>
      <c r="CK494" s="197"/>
      <c r="CL494" s="197"/>
      <c r="CM494" s="213"/>
      <c r="CN494" s="213"/>
      <c r="CO494" s="197"/>
      <c r="CP494" s="197"/>
      <c r="CQ494" s="197"/>
      <c r="CR494" s="197"/>
      <c r="CS494" s="197"/>
      <c r="CT494" s="197"/>
      <c r="CU494" s="197"/>
      <c r="CV494" s="197"/>
      <c r="CW494" s="197"/>
      <c r="CX494" s="959"/>
      <c r="CY494" s="959"/>
      <c r="CZ494" s="959"/>
      <c r="DA494" s="959"/>
      <c r="DB494" s="959"/>
      <c r="DC494" s="891">
        <v>2655</v>
      </c>
      <c r="DD494" s="891" t="s">
        <v>2348</v>
      </c>
      <c r="DE494" s="891" t="s">
        <v>417</v>
      </c>
      <c r="DF494" s="891">
        <v>6</v>
      </c>
      <c r="DG494" s="959"/>
      <c r="DH494" s="959"/>
      <c r="ER494" s="905">
        <v>3184</v>
      </c>
      <c r="ES494" s="906" t="s">
        <v>3374</v>
      </c>
      <c r="ET494" s="2686">
        <v>9</v>
      </c>
      <c r="EV494" s="985"/>
      <c r="EW494" s="985"/>
      <c r="EX494" s="387"/>
      <c r="EY494" s="939"/>
      <c r="EZ494" s="886"/>
    </row>
    <row r="495" spans="88:156" hidden="1">
      <c r="CJ495" s="197"/>
      <c r="CK495" s="197"/>
      <c r="CL495" s="197"/>
      <c r="CM495" s="213"/>
      <c r="CN495" s="213"/>
      <c r="CO495" s="197"/>
      <c r="CP495" s="197"/>
      <c r="CQ495" s="197"/>
      <c r="CR495" s="197"/>
      <c r="CS495" s="197"/>
      <c r="CT495" s="197"/>
      <c r="CU495" s="197"/>
      <c r="CV495" s="197"/>
      <c r="CW495" s="197"/>
      <c r="CX495" s="959"/>
      <c r="CY495" s="959"/>
      <c r="CZ495" s="959"/>
      <c r="DA495" s="959"/>
      <c r="DB495" s="959"/>
      <c r="DC495" s="891">
        <v>2656</v>
      </c>
      <c r="DD495" s="891" t="s">
        <v>2349</v>
      </c>
      <c r="DE495" s="891" t="s">
        <v>417</v>
      </c>
      <c r="DF495" s="891">
        <v>6</v>
      </c>
      <c r="DG495" s="959"/>
      <c r="DH495" s="959"/>
      <c r="ER495" s="905">
        <v>3185</v>
      </c>
      <c r="ES495" s="906" t="s">
        <v>3529</v>
      </c>
      <c r="ET495" s="2686">
        <v>9</v>
      </c>
      <c r="EV495" s="985"/>
      <c r="EW495" s="985"/>
      <c r="EX495" s="387"/>
      <c r="EY495" s="939"/>
      <c r="EZ495" s="886"/>
    </row>
    <row r="496" spans="88:156" hidden="1">
      <c r="CJ496" s="197"/>
      <c r="CK496" s="197"/>
      <c r="CL496" s="197"/>
      <c r="CM496" s="213"/>
      <c r="CN496" s="213"/>
      <c r="CO496" s="197"/>
      <c r="CP496" s="197"/>
      <c r="CQ496" s="197"/>
      <c r="CR496" s="197"/>
      <c r="CS496" s="197"/>
      <c r="CT496" s="197"/>
      <c r="CU496" s="197"/>
      <c r="CV496" s="197"/>
      <c r="CW496" s="197"/>
      <c r="CX496" s="959"/>
      <c r="CY496" s="959"/>
      <c r="CZ496" s="959"/>
      <c r="DA496" s="959"/>
      <c r="DB496" s="959"/>
      <c r="DC496" s="891">
        <v>2657</v>
      </c>
      <c r="DD496" s="891" t="s">
        <v>2350</v>
      </c>
      <c r="DE496" s="891" t="s">
        <v>432</v>
      </c>
      <c r="DF496" s="891">
        <v>6</v>
      </c>
      <c r="DG496" s="959"/>
      <c r="DH496" s="959"/>
      <c r="ER496" s="905">
        <v>3186</v>
      </c>
      <c r="ES496" s="906" t="s">
        <v>3530</v>
      </c>
      <c r="ET496" s="2686">
        <v>9</v>
      </c>
      <c r="EV496" s="985"/>
      <c r="EW496" s="985"/>
      <c r="EX496" s="387"/>
      <c r="EY496" s="939"/>
      <c r="EZ496" s="886"/>
    </row>
    <row r="497" spans="88:156" hidden="1">
      <c r="CJ497" s="197"/>
      <c r="CK497" s="197"/>
      <c r="CL497" s="197"/>
      <c r="CM497" s="213"/>
      <c r="CN497" s="213"/>
      <c r="CO497" s="197"/>
      <c r="CP497" s="197"/>
      <c r="CQ497" s="197"/>
      <c r="CR497" s="197"/>
      <c r="CS497" s="197"/>
      <c r="CT497" s="197"/>
      <c r="CU497" s="197"/>
      <c r="CV497" s="197"/>
      <c r="CW497" s="197"/>
      <c r="CX497" s="959"/>
      <c r="CY497" s="959"/>
      <c r="CZ497" s="959"/>
      <c r="DA497" s="959"/>
      <c r="DB497" s="959"/>
      <c r="DC497" s="891">
        <v>2658</v>
      </c>
      <c r="DD497" s="891" t="s">
        <v>2351</v>
      </c>
      <c r="DE497" s="891" t="s">
        <v>417</v>
      </c>
      <c r="DF497" s="891">
        <v>6</v>
      </c>
      <c r="DG497" s="959"/>
      <c r="DH497" s="959"/>
      <c r="ER497" s="905">
        <v>3187</v>
      </c>
      <c r="ES497" s="906" t="s">
        <v>3531</v>
      </c>
      <c r="ET497" s="2686">
        <v>9</v>
      </c>
      <c r="EV497" s="985"/>
      <c r="EW497" s="985"/>
      <c r="EX497" s="387"/>
      <c r="EY497" s="939"/>
      <c r="EZ497" s="886"/>
    </row>
    <row r="498" spans="88:156" hidden="1">
      <c r="CJ498" s="197"/>
      <c r="CK498" s="197"/>
      <c r="CL498" s="197"/>
      <c r="CM498" s="213"/>
      <c r="CN498" s="213"/>
      <c r="CO498" s="197"/>
      <c r="CP498" s="197"/>
      <c r="CQ498" s="197"/>
      <c r="CR498" s="197"/>
      <c r="CS498" s="197"/>
      <c r="CT498" s="197"/>
      <c r="CU498" s="197"/>
      <c r="CV498" s="197"/>
      <c r="CW498" s="197"/>
      <c r="CX498" s="959"/>
      <c r="CY498" s="959"/>
      <c r="CZ498" s="959"/>
      <c r="DA498" s="959"/>
      <c r="DB498" s="959"/>
      <c r="DC498" s="891">
        <v>2659</v>
      </c>
      <c r="DD498" s="891" t="s">
        <v>2352</v>
      </c>
      <c r="DE498" s="891" t="s">
        <v>423</v>
      </c>
      <c r="DF498" s="891">
        <v>6</v>
      </c>
      <c r="DG498" s="959"/>
      <c r="DH498" s="959"/>
      <c r="ER498" s="905">
        <v>3188</v>
      </c>
      <c r="ES498" s="906" t="s">
        <v>3532</v>
      </c>
      <c r="ET498" s="2686">
        <v>9</v>
      </c>
      <c r="EV498" s="985"/>
      <c r="EW498" s="985"/>
      <c r="EX498" s="387"/>
      <c r="EY498" s="939"/>
      <c r="EZ498" s="886"/>
    </row>
    <row r="499" spans="88:156" hidden="1">
      <c r="CJ499" s="197"/>
      <c r="CK499" s="197"/>
      <c r="CL499" s="197"/>
      <c r="CM499" s="213"/>
      <c r="CN499" s="213"/>
      <c r="CO499" s="197"/>
      <c r="CP499" s="197"/>
      <c r="CQ499" s="197"/>
      <c r="CR499" s="197"/>
      <c r="CS499" s="197"/>
      <c r="CT499" s="197"/>
      <c r="CU499" s="197"/>
      <c r="CV499" s="197"/>
      <c r="CW499" s="197"/>
      <c r="CX499" s="959"/>
      <c r="CY499" s="959"/>
      <c r="CZ499" s="959"/>
      <c r="DA499" s="959"/>
      <c r="DB499" s="959"/>
      <c r="DC499" s="891">
        <v>2660</v>
      </c>
      <c r="DD499" s="891" t="s">
        <v>2353</v>
      </c>
      <c r="DE499" s="891" t="s">
        <v>433</v>
      </c>
      <c r="DF499" s="891">
        <v>6</v>
      </c>
      <c r="DG499" s="959"/>
      <c r="DH499" s="959"/>
      <c r="ER499" s="905">
        <v>3200</v>
      </c>
      <c r="ES499" s="906" t="s">
        <v>3533</v>
      </c>
      <c r="ET499" s="2686">
        <v>7</v>
      </c>
      <c r="EV499" s="985"/>
      <c r="EW499" s="985"/>
      <c r="EX499" s="387"/>
      <c r="EY499" s="939"/>
      <c r="EZ499" s="886"/>
    </row>
    <row r="500" spans="88:156" hidden="1">
      <c r="CJ500" s="197"/>
      <c r="CK500" s="197"/>
      <c r="CL500" s="197"/>
      <c r="CM500" s="213"/>
      <c r="CN500" s="213"/>
      <c r="CO500" s="197"/>
      <c r="CP500" s="197"/>
      <c r="CQ500" s="197"/>
      <c r="CR500" s="197"/>
      <c r="CS500" s="197"/>
      <c r="CT500" s="197"/>
      <c r="CU500" s="197"/>
      <c r="CV500" s="197"/>
      <c r="CW500" s="197"/>
      <c r="CX500" s="959"/>
      <c r="CY500" s="959"/>
      <c r="CZ500" s="959"/>
      <c r="DA500" s="959"/>
      <c r="DB500" s="959"/>
      <c r="DC500" s="891">
        <v>2668</v>
      </c>
      <c r="DD500" s="891" t="s">
        <v>2354</v>
      </c>
      <c r="DE500" s="891" t="s">
        <v>421</v>
      </c>
      <c r="DF500" s="891">
        <v>6</v>
      </c>
      <c r="DG500" s="959"/>
      <c r="DH500" s="959"/>
      <c r="ER500" s="905">
        <v>3211</v>
      </c>
      <c r="ES500" s="906" t="s">
        <v>3534</v>
      </c>
      <c r="ET500" s="2686">
        <v>9</v>
      </c>
      <c r="EV500" s="985"/>
      <c r="EW500" s="985"/>
      <c r="EX500" s="387"/>
      <c r="EY500" s="939"/>
      <c r="EZ500" s="886"/>
    </row>
    <row r="501" spans="88:156" hidden="1">
      <c r="CJ501" s="197"/>
      <c r="CK501" s="197"/>
      <c r="CL501" s="197"/>
      <c r="CM501" s="213"/>
      <c r="CN501" s="213"/>
      <c r="CO501" s="197"/>
      <c r="CP501" s="197"/>
      <c r="CQ501" s="197"/>
      <c r="CR501" s="197"/>
      <c r="CS501" s="197"/>
      <c r="CT501" s="197"/>
      <c r="CU501" s="197"/>
      <c r="CV501" s="197"/>
      <c r="CW501" s="197"/>
      <c r="CX501" s="959"/>
      <c r="CY501" s="959"/>
      <c r="CZ501" s="959"/>
      <c r="DA501" s="959"/>
      <c r="DB501" s="959"/>
      <c r="DC501" s="891">
        <v>2669</v>
      </c>
      <c r="DD501" s="891" t="s">
        <v>2355</v>
      </c>
      <c r="DE501" s="891" t="s">
        <v>432</v>
      </c>
      <c r="DF501" s="891">
        <v>6</v>
      </c>
      <c r="DG501" s="959"/>
      <c r="DH501" s="959"/>
      <c r="ER501" s="970">
        <v>3212</v>
      </c>
      <c r="ES501" s="906" t="s">
        <v>3535</v>
      </c>
      <c r="ET501" s="2686">
        <v>9</v>
      </c>
      <c r="EV501" s="985"/>
      <c r="EW501" s="985"/>
      <c r="EX501" s="387"/>
      <c r="EY501" s="939"/>
      <c r="EZ501" s="886"/>
    </row>
    <row r="502" spans="88:156" hidden="1">
      <c r="CJ502" s="197"/>
      <c r="CK502" s="197"/>
      <c r="CL502" s="197"/>
      <c r="CM502" s="213"/>
      <c r="CN502" s="213"/>
      <c r="CO502" s="197"/>
      <c r="CP502" s="197"/>
      <c r="CQ502" s="197"/>
      <c r="CR502" s="197"/>
      <c r="CS502" s="197"/>
      <c r="CT502" s="197"/>
      <c r="CU502" s="197"/>
      <c r="CV502" s="197"/>
      <c r="CW502" s="197"/>
      <c r="CX502" s="959"/>
      <c r="CY502" s="959"/>
      <c r="CZ502" s="959"/>
      <c r="DA502" s="959"/>
      <c r="DB502" s="959"/>
      <c r="DC502" s="891">
        <v>2671</v>
      </c>
      <c r="DD502" s="891" t="s">
        <v>2356</v>
      </c>
      <c r="DE502" s="891" t="s">
        <v>432</v>
      </c>
      <c r="DF502" s="891">
        <v>6</v>
      </c>
      <c r="DG502" s="959"/>
      <c r="DH502" s="959"/>
      <c r="ER502" s="905">
        <v>3213</v>
      </c>
      <c r="ES502" s="906" t="s">
        <v>3536</v>
      </c>
      <c r="ET502" s="2686">
        <v>9</v>
      </c>
      <c r="EV502" s="985"/>
      <c r="EW502" s="985"/>
      <c r="EX502" s="387"/>
      <c r="EY502" s="939"/>
      <c r="EZ502" s="886"/>
    </row>
    <row r="503" spans="88:156" hidden="1">
      <c r="CJ503" s="197"/>
      <c r="CK503" s="197"/>
      <c r="CL503" s="197"/>
      <c r="CM503" s="213"/>
      <c r="CN503" s="213"/>
      <c r="CO503" s="197"/>
      <c r="CP503" s="197"/>
      <c r="CQ503" s="197"/>
      <c r="CR503" s="197"/>
      <c r="CS503" s="197"/>
      <c r="CT503" s="197"/>
      <c r="CU503" s="197"/>
      <c r="CV503" s="197"/>
      <c r="CW503" s="197"/>
      <c r="CX503" s="959"/>
      <c r="CY503" s="959"/>
      <c r="CZ503" s="959"/>
      <c r="DA503" s="959"/>
      <c r="DB503" s="959"/>
      <c r="DC503" s="891">
        <v>2672</v>
      </c>
      <c r="DD503" s="891" t="s">
        <v>2357</v>
      </c>
      <c r="DE503" s="891" t="s">
        <v>2807</v>
      </c>
      <c r="DF503" s="891">
        <v>6</v>
      </c>
      <c r="DG503" s="959"/>
      <c r="DH503" s="959"/>
      <c r="ER503" s="905">
        <v>3214</v>
      </c>
      <c r="ES503" s="906" t="s">
        <v>3537</v>
      </c>
      <c r="ET503" s="2686">
        <v>9</v>
      </c>
      <c r="EV503" s="985"/>
      <c r="EW503" s="985"/>
      <c r="EX503" s="387"/>
      <c r="EY503" s="939"/>
      <c r="EZ503" s="886"/>
    </row>
    <row r="504" spans="88:156" hidden="1">
      <c r="CJ504" s="197"/>
      <c r="CK504" s="197"/>
      <c r="CL504" s="197"/>
      <c r="CM504" s="213"/>
      <c r="CN504" s="213"/>
      <c r="CO504" s="197"/>
      <c r="CP504" s="197"/>
      <c r="CQ504" s="197"/>
      <c r="CR504" s="197"/>
      <c r="CS504" s="197"/>
      <c r="CT504" s="197"/>
      <c r="CU504" s="197"/>
      <c r="CV504" s="197"/>
      <c r="CW504" s="197"/>
      <c r="CX504" s="959"/>
      <c r="CY504" s="959"/>
      <c r="CZ504" s="959"/>
      <c r="DA504" s="959"/>
      <c r="DB504" s="959"/>
      <c r="DC504" s="891">
        <v>2673</v>
      </c>
      <c r="DD504" s="891" t="s">
        <v>2358</v>
      </c>
      <c r="DE504" s="891" t="s">
        <v>2807</v>
      </c>
      <c r="DF504" s="891">
        <v>6</v>
      </c>
      <c r="DG504" s="959"/>
      <c r="DH504" s="959"/>
      <c r="ER504" s="970">
        <v>3221</v>
      </c>
      <c r="ES504" s="905" t="s">
        <v>614</v>
      </c>
      <c r="ET504" s="2686">
        <v>7</v>
      </c>
      <c r="EV504" s="985"/>
      <c r="EW504" s="985"/>
      <c r="EX504" s="387"/>
      <c r="EY504" s="939"/>
      <c r="EZ504" s="886"/>
    </row>
    <row r="505" spans="88:156" hidden="1">
      <c r="CJ505" s="197"/>
      <c r="CK505" s="197"/>
      <c r="CL505" s="197"/>
      <c r="CM505" s="213"/>
      <c r="CN505" s="213"/>
      <c r="CO505" s="197"/>
      <c r="CP505" s="197"/>
      <c r="CQ505" s="197"/>
      <c r="CR505" s="197"/>
      <c r="CS505" s="197"/>
      <c r="CT505" s="197"/>
      <c r="CU505" s="197"/>
      <c r="CV505" s="197"/>
      <c r="CW505" s="197"/>
      <c r="CX505" s="959"/>
      <c r="CY505" s="959"/>
      <c r="CZ505" s="959"/>
      <c r="DA505" s="959"/>
      <c r="DB505" s="959"/>
      <c r="DC505" s="891">
        <v>2675</v>
      </c>
      <c r="DD505" s="891" t="s">
        <v>2359</v>
      </c>
      <c r="DE505" s="891" t="s">
        <v>2807</v>
      </c>
      <c r="DF505" s="891">
        <v>6</v>
      </c>
      <c r="DG505" s="959"/>
      <c r="DH505" s="959"/>
      <c r="ER505" s="905">
        <v>3231</v>
      </c>
      <c r="ES505" s="906" t="s">
        <v>615</v>
      </c>
      <c r="ET505" s="2686">
        <v>9</v>
      </c>
      <c r="EV505" s="985"/>
      <c r="EW505" s="985"/>
      <c r="EX505" s="387"/>
      <c r="EY505" s="939"/>
      <c r="EZ505" s="886"/>
    </row>
    <row r="506" spans="88:156" hidden="1">
      <c r="CJ506" s="197"/>
      <c r="CK506" s="197"/>
      <c r="CL506" s="197"/>
      <c r="CM506" s="213"/>
      <c r="CN506" s="213"/>
      <c r="CO506" s="197"/>
      <c r="CP506" s="197"/>
      <c r="CQ506" s="197"/>
      <c r="CR506" s="197"/>
      <c r="CS506" s="197"/>
      <c r="CT506" s="197"/>
      <c r="CU506" s="197"/>
      <c r="CV506" s="197"/>
      <c r="CW506" s="197"/>
      <c r="CX506" s="959"/>
      <c r="CY506" s="959"/>
      <c r="CZ506" s="959"/>
      <c r="DA506" s="959"/>
      <c r="DB506" s="959"/>
      <c r="DC506" s="891">
        <v>2676</v>
      </c>
      <c r="DD506" s="891" t="s">
        <v>2360</v>
      </c>
      <c r="DE506" s="891" t="s">
        <v>2807</v>
      </c>
      <c r="DF506" s="891">
        <v>6</v>
      </c>
      <c r="DG506" s="959"/>
      <c r="DH506" s="959"/>
      <c r="ER506" s="970">
        <v>3232</v>
      </c>
      <c r="ES506" s="905" t="s">
        <v>616</v>
      </c>
      <c r="ET506" s="2686">
        <v>7</v>
      </c>
      <c r="EV506" s="985"/>
      <c r="EW506" s="985"/>
      <c r="EX506" s="387"/>
      <c r="EY506" s="939"/>
      <c r="EZ506" s="886"/>
    </row>
    <row r="507" spans="88:156" hidden="1">
      <c r="CJ507" s="197"/>
      <c r="CK507" s="197"/>
      <c r="CL507" s="197"/>
      <c r="CM507" s="213"/>
      <c r="CN507" s="213"/>
      <c r="CO507" s="197"/>
      <c r="CP507" s="197"/>
      <c r="CQ507" s="197"/>
      <c r="CR507" s="197"/>
      <c r="CS507" s="197"/>
      <c r="CT507" s="197"/>
      <c r="CU507" s="197"/>
      <c r="CV507" s="197"/>
      <c r="CW507" s="197"/>
      <c r="CX507" s="959"/>
      <c r="CY507" s="959"/>
      <c r="CZ507" s="959"/>
      <c r="DA507" s="959"/>
      <c r="DB507" s="959"/>
      <c r="DC507" s="891">
        <v>2677</v>
      </c>
      <c r="DD507" s="891" t="s">
        <v>2361</v>
      </c>
      <c r="DE507" s="891" t="s">
        <v>2807</v>
      </c>
      <c r="DF507" s="891">
        <v>6</v>
      </c>
      <c r="DG507" s="959"/>
      <c r="DH507" s="959"/>
      <c r="ER507" s="970">
        <v>3233</v>
      </c>
      <c r="ES507" s="905" t="s">
        <v>617</v>
      </c>
      <c r="ET507" s="2686">
        <v>7</v>
      </c>
      <c r="EV507" s="985"/>
      <c r="EW507" s="985"/>
      <c r="EX507" s="387"/>
      <c r="EY507" s="939"/>
      <c r="EZ507" s="886"/>
    </row>
    <row r="508" spans="88:156" hidden="1">
      <c r="CJ508" s="197"/>
      <c r="CK508" s="197"/>
      <c r="CL508" s="197"/>
      <c r="CM508" s="213"/>
      <c r="CN508" s="213"/>
      <c r="CO508" s="197"/>
      <c r="CP508" s="197"/>
      <c r="CQ508" s="197"/>
      <c r="CR508" s="197"/>
      <c r="CS508" s="197"/>
      <c r="CT508" s="197"/>
      <c r="CU508" s="197"/>
      <c r="CV508" s="197"/>
      <c r="CW508" s="197"/>
      <c r="CX508" s="959"/>
      <c r="CY508" s="959"/>
      <c r="CZ508" s="959"/>
      <c r="DA508" s="959"/>
      <c r="DB508" s="959"/>
      <c r="DC508" s="891">
        <v>2678</v>
      </c>
      <c r="DD508" s="891" t="s">
        <v>2362</v>
      </c>
      <c r="DE508" s="891" t="s">
        <v>2807</v>
      </c>
      <c r="DF508" s="891">
        <v>6</v>
      </c>
      <c r="DG508" s="959"/>
      <c r="DH508" s="959"/>
      <c r="ER508" s="905">
        <v>3234</v>
      </c>
      <c r="ES508" s="905" t="s">
        <v>618</v>
      </c>
      <c r="ET508" s="2686">
        <v>9</v>
      </c>
      <c r="EV508" s="985"/>
      <c r="EW508" s="985"/>
      <c r="EX508" s="387"/>
      <c r="EY508" s="939"/>
      <c r="EZ508" s="886"/>
    </row>
    <row r="509" spans="88:156" hidden="1">
      <c r="CJ509" s="197"/>
      <c r="CK509" s="197"/>
      <c r="CL509" s="197"/>
      <c r="CM509" s="213"/>
      <c r="CN509" s="213"/>
      <c r="CO509" s="197"/>
      <c r="CP509" s="197"/>
      <c r="CQ509" s="197"/>
      <c r="CR509" s="197"/>
      <c r="CS509" s="197"/>
      <c r="CT509" s="197"/>
      <c r="CU509" s="197"/>
      <c r="CV509" s="197"/>
      <c r="CW509" s="197"/>
      <c r="CX509" s="959"/>
      <c r="CY509" s="959"/>
      <c r="CZ509" s="959"/>
      <c r="DA509" s="959"/>
      <c r="DB509" s="959"/>
      <c r="DC509" s="891">
        <v>2681</v>
      </c>
      <c r="DD509" s="891" t="s">
        <v>2363</v>
      </c>
      <c r="DE509" s="891" t="s">
        <v>2807</v>
      </c>
      <c r="DF509" s="891">
        <v>3</v>
      </c>
      <c r="DG509" s="959"/>
      <c r="DH509" s="959"/>
      <c r="ER509" s="905">
        <v>3235</v>
      </c>
      <c r="ES509" s="906" t="s">
        <v>619</v>
      </c>
      <c r="ET509" s="2686">
        <v>9</v>
      </c>
      <c r="EV509" s="985"/>
      <c r="EW509" s="985"/>
      <c r="EX509" s="387"/>
      <c r="EY509" s="939"/>
      <c r="EZ509" s="886"/>
    </row>
    <row r="510" spans="88:156" hidden="1">
      <c r="CJ510" s="197"/>
      <c r="CK510" s="197"/>
      <c r="CL510" s="197"/>
      <c r="CM510" s="213"/>
      <c r="CN510" s="213"/>
      <c r="CO510" s="197"/>
      <c r="CP510" s="197"/>
      <c r="CQ510" s="197"/>
      <c r="CR510" s="197"/>
      <c r="CS510" s="197"/>
      <c r="CT510" s="197"/>
      <c r="CU510" s="197"/>
      <c r="CV510" s="197"/>
      <c r="CW510" s="197"/>
      <c r="CX510" s="959"/>
      <c r="CY510" s="959"/>
      <c r="CZ510" s="959"/>
      <c r="DA510" s="959"/>
      <c r="DB510" s="959"/>
      <c r="DC510" s="891">
        <v>2682</v>
      </c>
      <c r="DD510" s="891" t="s">
        <v>2364</v>
      </c>
      <c r="DE510" s="891" t="s">
        <v>2807</v>
      </c>
      <c r="DF510" s="891">
        <v>5</v>
      </c>
      <c r="DG510" s="959"/>
      <c r="DH510" s="959"/>
      <c r="ER510" s="905">
        <v>3240</v>
      </c>
      <c r="ES510" s="906" t="s">
        <v>1000</v>
      </c>
      <c r="ET510" s="2686">
        <v>9</v>
      </c>
      <c r="EV510" s="985"/>
      <c r="EW510" s="985"/>
      <c r="EX510" s="387"/>
      <c r="EY510" s="939"/>
      <c r="EZ510" s="886"/>
    </row>
    <row r="511" spans="88:156" ht="16.5" thickTop="1">
      <c r="CJ511" s="197"/>
      <c r="CK511" s="197"/>
      <c r="CL511" s="197"/>
      <c r="CM511" s="213"/>
      <c r="CN511" s="213"/>
      <c r="CO511" s="197"/>
      <c r="CP511" s="197"/>
      <c r="CQ511" s="197"/>
      <c r="CR511" s="197"/>
      <c r="CS511" s="197"/>
      <c r="CT511" s="197"/>
      <c r="CU511" s="197"/>
      <c r="CV511" s="197"/>
      <c r="CW511" s="197"/>
      <c r="CX511" s="959"/>
      <c r="CY511" s="959"/>
      <c r="CZ511" s="959"/>
      <c r="DA511" s="959"/>
      <c r="DB511" s="959"/>
      <c r="DC511" s="891">
        <v>2683</v>
      </c>
      <c r="DD511" s="891" t="s">
        <v>2365</v>
      </c>
      <c r="DE511" s="891" t="s">
        <v>2807</v>
      </c>
      <c r="DF511" s="891">
        <v>6</v>
      </c>
      <c r="DG511" s="959"/>
      <c r="DH511" s="959"/>
      <c r="ER511" s="905">
        <v>3242</v>
      </c>
      <c r="ES511" s="906" t="s">
        <v>1001</v>
      </c>
      <c r="ET511" s="2686">
        <v>9</v>
      </c>
      <c r="EV511" s="985"/>
      <c r="EW511" s="985"/>
      <c r="EX511" s="387"/>
      <c r="EY511" s="939"/>
      <c r="EZ511" s="886"/>
    </row>
    <row r="512" spans="88:156">
      <c r="CJ512" s="197"/>
      <c r="CK512" s="197"/>
      <c r="CL512" s="197"/>
      <c r="CM512" s="213"/>
      <c r="CN512" s="213"/>
      <c r="CO512" s="197"/>
      <c r="CP512" s="197"/>
      <c r="CQ512" s="197"/>
      <c r="CR512" s="197"/>
      <c r="CS512" s="197"/>
      <c r="CT512" s="197"/>
      <c r="CU512" s="197"/>
      <c r="CV512" s="197"/>
      <c r="CW512" s="197"/>
      <c r="CX512" s="959"/>
      <c r="CY512" s="959"/>
      <c r="CZ512" s="959"/>
      <c r="DA512" s="959"/>
      <c r="DB512" s="959"/>
      <c r="DC512" s="891">
        <v>2685</v>
      </c>
      <c r="DD512" s="891" t="s">
        <v>2366</v>
      </c>
      <c r="DE512" s="891" t="s">
        <v>401</v>
      </c>
      <c r="DF512" s="891">
        <v>5</v>
      </c>
      <c r="DG512" s="959"/>
      <c r="DH512" s="959"/>
      <c r="ER512" s="905">
        <v>3243</v>
      </c>
      <c r="ES512" s="906" t="s">
        <v>1002</v>
      </c>
      <c r="ET512" s="2686">
        <v>9</v>
      </c>
      <c r="EV512" s="985"/>
      <c r="EW512" s="985"/>
      <c r="EX512" s="387"/>
      <c r="EY512" s="939"/>
      <c r="EZ512" s="886"/>
    </row>
    <row r="513" spans="88:156">
      <c r="CJ513" s="197"/>
      <c r="CK513" s="197"/>
      <c r="CL513" s="197"/>
      <c r="CM513" s="213"/>
      <c r="CN513" s="213"/>
      <c r="CO513" s="197"/>
      <c r="CP513" s="197"/>
      <c r="CQ513" s="197"/>
      <c r="CR513" s="197"/>
      <c r="CS513" s="197"/>
      <c r="CT513" s="197"/>
      <c r="CU513" s="197"/>
      <c r="CV513" s="197"/>
      <c r="CW513" s="197"/>
      <c r="CX513" s="959"/>
      <c r="CY513" s="959"/>
      <c r="CZ513" s="959"/>
      <c r="DA513" s="959"/>
      <c r="DB513" s="959"/>
      <c r="DC513" s="891">
        <v>2686</v>
      </c>
      <c r="DD513" s="891" t="s">
        <v>2367</v>
      </c>
      <c r="DE513" s="891" t="s">
        <v>401</v>
      </c>
      <c r="DF513" s="891">
        <v>6</v>
      </c>
      <c r="DG513" s="959"/>
      <c r="DH513" s="959"/>
      <c r="ER513" s="905">
        <v>3244</v>
      </c>
      <c r="ES513" s="905" t="s">
        <v>620</v>
      </c>
      <c r="ET513" s="2686">
        <v>9</v>
      </c>
      <c r="EV513" s="985"/>
      <c r="EW513" s="985"/>
      <c r="EX513" s="387"/>
      <c r="EY513" s="939"/>
      <c r="EZ513" s="886"/>
    </row>
    <row r="514" spans="88:156">
      <c r="CJ514" s="197"/>
      <c r="CK514" s="197"/>
      <c r="CL514" s="197"/>
      <c r="CM514" s="213"/>
      <c r="CN514" s="213"/>
      <c r="CO514" s="197"/>
      <c r="CP514" s="197"/>
      <c r="CQ514" s="197"/>
      <c r="CR514" s="197"/>
      <c r="CS514" s="197"/>
      <c r="CT514" s="197"/>
      <c r="CU514" s="197"/>
      <c r="CV514" s="197"/>
      <c r="CW514" s="197"/>
      <c r="CX514" s="959"/>
      <c r="CY514" s="959"/>
      <c r="CZ514" s="959"/>
      <c r="DA514" s="959"/>
      <c r="DB514" s="959"/>
      <c r="DC514" s="891">
        <v>2687</v>
      </c>
      <c r="DD514" s="891" t="s">
        <v>2368</v>
      </c>
      <c r="DE514" s="891" t="s">
        <v>401</v>
      </c>
      <c r="DF514" s="891">
        <v>6</v>
      </c>
      <c r="DG514" s="959"/>
      <c r="DH514" s="959"/>
      <c r="ER514" s="905">
        <v>3245</v>
      </c>
      <c r="ES514" s="906" t="s">
        <v>1004</v>
      </c>
      <c r="ET514" s="2686">
        <v>9</v>
      </c>
      <c r="EV514" s="985"/>
      <c r="EW514" s="985"/>
      <c r="EX514" s="387"/>
      <c r="EY514" s="939"/>
      <c r="EZ514" s="886"/>
    </row>
    <row r="515" spans="88:156">
      <c r="CJ515" s="197"/>
      <c r="CK515" s="197"/>
      <c r="CL515" s="197"/>
      <c r="CM515" s="213"/>
      <c r="CN515" s="213"/>
      <c r="CO515" s="197"/>
      <c r="CP515" s="197"/>
      <c r="CQ515" s="197"/>
      <c r="CR515" s="197"/>
      <c r="CS515" s="197"/>
      <c r="CT515" s="197"/>
      <c r="CU515" s="197"/>
      <c r="CV515" s="197"/>
      <c r="CW515" s="197"/>
      <c r="CX515" s="959"/>
      <c r="CY515" s="959"/>
      <c r="CZ515" s="959"/>
      <c r="DA515" s="959"/>
      <c r="DB515" s="959"/>
      <c r="DC515" s="891">
        <v>2688</v>
      </c>
      <c r="DD515" s="891" t="s">
        <v>2369</v>
      </c>
      <c r="DE515" s="891" t="s">
        <v>401</v>
      </c>
      <c r="DF515" s="891">
        <v>6</v>
      </c>
      <c r="DG515" s="959"/>
      <c r="DH515" s="959"/>
      <c r="ER515" s="905">
        <v>3246</v>
      </c>
      <c r="ES515" s="906" t="s">
        <v>1005</v>
      </c>
      <c r="ET515" s="2686">
        <v>9</v>
      </c>
      <c r="EV515" s="985"/>
      <c r="EW515" s="985"/>
      <c r="EX515" s="387"/>
      <c r="EY515" s="939"/>
      <c r="EZ515" s="886"/>
    </row>
    <row r="516" spans="88:156">
      <c r="CJ516" s="197"/>
      <c r="CK516" s="197"/>
      <c r="CL516" s="197"/>
      <c r="CM516" s="213"/>
      <c r="CN516" s="213"/>
      <c r="CO516" s="197"/>
      <c r="CP516" s="197"/>
      <c r="CQ516" s="197"/>
      <c r="CR516" s="197"/>
      <c r="CS516" s="197"/>
      <c r="CT516" s="197"/>
      <c r="CU516" s="197"/>
      <c r="CV516" s="197"/>
      <c r="CW516" s="197"/>
      <c r="CX516" s="959"/>
      <c r="CY516" s="959"/>
      <c r="CZ516" s="959"/>
      <c r="DA516" s="959"/>
      <c r="DB516" s="959"/>
      <c r="DC516" s="891">
        <v>2691</v>
      </c>
      <c r="DD516" s="891" t="s">
        <v>2370</v>
      </c>
      <c r="DE516" s="891" t="s">
        <v>401</v>
      </c>
      <c r="DF516" s="891">
        <v>5</v>
      </c>
      <c r="DG516" s="959"/>
      <c r="DH516" s="959"/>
      <c r="ER516" s="905">
        <v>3247</v>
      </c>
      <c r="ES516" s="906" t="s">
        <v>1006</v>
      </c>
      <c r="ET516" s="2686">
        <v>9</v>
      </c>
      <c r="EV516" s="985"/>
      <c r="EW516" s="985"/>
      <c r="EX516" s="387"/>
      <c r="EY516" s="939"/>
      <c r="EZ516" s="886"/>
    </row>
    <row r="517" spans="88:156">
      <c r="CJ517" s="197"/>
      <c r="CK517" s="197"/>
      <c r="CL517" s="197"/>
      <c r="CM517" s="213"/>
      <c r="CN517" s="213"/>
      <c r="CO517" s="197"/>
      <c r="CP517" s="197"/>
      <c r="CQ517" s="197"/>
      <c r="CR517" s="197"/>
      <c r="CS517" s="197"/>
      <c r="CT517" s="197"/>
      <c r="CU517" s="197"/>
      <c r="CV517" s="197"/>
      <c r="CW517" s="197"/>
      <c r="CX517" s="959"/>
      <c r="CY517" s="959"/>
      <c r="CZ517" s="959"/>
      <c r="DA517" s="959"/>
      <c r="DB517" s="959"/>
      <c r="DC517" s="891">
        <v>2692</v>
      </c>
      <c r="DD517" s="891" t="s">
        <v>2371</v>
      </c>
      <c r="DE517" s="891" t="s">
        <v>401</v>
      </c>
      <c r="DF517" s="891">
        <v>6</v>
      </c>
      <c r="DG517" s="959"/>
      <c r="DH517" s="959"/>
      <c r="ER517" s="905">
        <v>3248</v>
      </c>
      <c r="ES517" s="906" t="s">
        <v>1007</v>
      </c>
      <c r="ET517" s="2686">
        <v>9</v>
      </c>
      <c r="EV517" s="985"/>
      <c r="EW517" s="985"/>
      <c r="EX517" s="387"/>
      <c r="EY517" s="939"/>
      <c r="EZ517" s="886"/>
    </row>
    <row r="518" spans="88:156">
      <c r="CJ518" s="197"/>
      <c r="CK518" s="197"/>
      <c r="CL518" s="197"/>
      <c r="CM518" s="213"/>
      <c r="CN518" s="213"/>
      <c r="CO518" s="197"/>
      <c r="CP518" s="197"/>
      <c r="CQ518" s="197"/>
      <c r="CR518" s="197"/>
      <c r="CS518" s="197"/>
      <c r="CT518" s="197"/>
      <c r="CU518" s="197"/>
      <c r="CV518" s="197"/>
      <c r="CW518" s="197"/>
      <c r="CX518" s="959"/>
      <c r="CY518" s="959"/>
      <c r="CZ518" s="959"/>
      <c r="DA518" s="959"/>
      <c r="DB518" s="959"/>
      <c r="DC518" s="891">
        <v>2693</v>
      </c>
      <c r="DD518" s="891" t="s">
        <v>2372</v>
      </c>
      <c r="DE518" s="891" t="s">
        <v>401</v>
      </c>
      <c r="DF518" s="891">
        <v>6</v>
      </c>
      <c r="DG518" s="959"/>
      <c r="DH518" s="959"/>
      <c r="ER518" s="905">
        <v>3250</v>
      </c>
      <c r="ES518" s="906" t="s">
        <v>1008</v>
      </c>
      <c r="ET518" s="2686">
        <v>9</v>
      </c>
      <c r="EV518" s="985"/>
      <c r="EW518" s="985"/>
      <c r="EX518" s="387"/>
      <c r="EY518" s="939"/>
      <c r="EZ518" s="886"/>
    </row>
    <row r="519" spans="88:156">
      <c r="CJ519" s="197"/>
      <c r="CK519" s="197"/>
      <c r="CL519" s="197"/>
      <c r="CM519" s="213"/>
      <c r="CN519" s="213"/>
      <c r="CO519" s="197"/>
      <c r="CP519" s="197"/>
      <c r="CQ519" s="197"/>
      <c r="CR519" s="197"/>
      <c r="CS519" s="197"/>
      <c r="CT519" s="197"/>
      <c r="CU519" s="197"/>
      <c r="CV519" s="197"/>
      <c r="CW519" s="197"/>
      <c r="CX519" s="959"/>
      <c r="CY519" s="959"/>
      <c r="CZ519" s="959"/>
      <c r="DA519" s="959"/>
      <c r="DB519" s="959"/>
      <c r="DC519" s="891">
        <v>2694</v>
      </c>
      <c r="DD519" s="891" t="s">
        <v>2373</v>
      </c>
      <c r="DE519" s="891" t="s">
        <v>401</v>
      </c>
      <c r="DF519" s="891">
        <v>6</v>
      </c>
      <c r="DG519" s="959"/>
      <c r="DH519" s="959"/>
      <c r="ER519" s="905">
        <v>3252</v>
      </c>
      <c r="ES519" s="906" t="s">
        <v>1009</v>
      </c>
      <c r="ET519" s="2686">
        <v>9</v>
      </c>
      <c r="EV519" s="985"/>
      <c r="EW519" s="985"/>
      <c r="EX519" s="387"/>
      <c r="EY519" s="939"/>
      <c r="EZ519" s="886"/>
    </row>
    <row r="520" spans="88:156">
      <c r="CJ520" s="197"/>
      <c r="CK520" s="197"/>
      <c r="CL520" s="197"/>
      <c r="CM520" s="213"/>
      <c r="CN520" s="213"/>
      <c r="CO520" s="197"/>
      <c r="CP520" s="197"/>
      <c r="CQ520" s="197"/>
      <c r="CR520" s="197"/>
      <c r="CS520" s="197"/>
      <c r="CT520" s="197"/>
      <c r="CU520" s="197"/>
      <c r="CV520" s="197"/>
      <c r="CW520" s="197"/>
      <c r="CX520" s="959"/>
      <c r="CY520" s="959"/>
      <c r="CZ520" s="959"/>
      <c r="DA520" s="959"/>
      <c r="DB520" s="959"/>
      <c r="DC520" s="891">
        <v>2696</v>
      </c>
      <c r="DD520" s="891" t="s">
        <v>2917</v>
      </c>
      <c r="DE520" s="891" t="s">
        <v>401</v>
      </c>
      <c r="DF520" s="891">
        <v>5</v>
      </c>
      <c r="DG520" s="959"/>
      <c r="DH520" s="959"/>
      <c r="ER520" s="905">
        <v>3253</v>
      </c>
      <c r="ES520" s="906" t="s">
        <v>1010</v>
      </c>
      <c r="ET520" s="2686">
        <v>9</v>
      </c>
      <c r="EV520" s="985"/>
      <c r="EW520" s="985"/>
      <c r="EX520" s="387"/>
      <c r="EY520" s="939"/>
      <c r="EZ520" s="886"/>
    </row>
    <row r="521" spans="88:156">
      <c r="CJ521" s="197"/>
      <c r="CK521" s="197"/>
      <c r="CL521" s="197"/>
      <c r="CM521" s="213"/>
      <c r="CN521" s="213"/>
      <c r="CO521" s="197"/>
      <c r="CP521" s="197"/>
      <c r="CQ521" s="197"/>
      <c r="CR521" s="197"/>
      <c r="CS521" s="197"/>
      <c r="CT521" s="197"/>
      <c r="CU521" s="197"/>
      <c r="CV521" s="197"/>
      <c r="CW521" s="197"/>
      <c r="CX521" s="959"/>
      <c r="CY521" s="959"/>
      <c r="CZ521" s="959"/>
      <c r="DA521" s="959"/>
      <c r="DB521" s="959"/>
      <c r="DC521" s="891">
        <v>2697</v>
      </c>
      <c r="DD521" s="891" t="s">
        <v>2918</v>
      </c>
      <c r="DE521" s="891" t="s">
        <v>401</v>
      </c>
      <c r="DF521" s="891">
        <v>5</v>
      </c>
      <c r="DG521" s="959"/>
      <c r="DH521" s="959"/>
      <c r="ER521" s="905">
        <v>3254</v>
      </c>
      <c r="ES521" s="906" t="s">
        <v>1011</v>
      </c>
      <c r="ET521" s="2686">
        <v>9</v>
      </c>
      <c r="EV521" s="985"/>
      <c r="EW521" s="985"/>
      <c r="EX521" s="387"/>
      <c r="EY521" s="939"/>
      <c r="EZ521" s="886"/>
    </row>
    <row r="522" spans="88:156">
      <c r="CJ522" s="197"/>
      <c r="CK522" s="197"/>
      <c r="CL522" s="197"/>
      <c r="CM522" s="213"/>
      <c r="CN522" s="213"/>
      <c r="CO522" s="197"/>
      <c r="CP522" s="197"/>
      <c r="CQ522" s="197"/>
      <c r="CR522" s="197"/>
      <c r="CS522" s="197"/>
      <c r="CT522" s="197"/>
      <c r="CU522" s="197"/>
      <c r="CV522" s="197"/>
      <c r="CW522" s="197"/>
      <c r="CX522" s="959"/>
      <c r="CY522" s="959"/>
      <c r="CZ522" s="959"/>
      <c r="DA522" s="959"/>
      <c r="DB522" s="959"/>
      <c r="DC522" s="891">
        <v>2698</v>
      </c>
      <c r="DD522" s="891" t="s">
        <v>2919</v>
      </c>
      <c r="DE522" s="891" t="s">
        <v>401</v>
      </c>
      <c r="DF522" s="891">
        <v>6</v>
      </c>
      <c r="DG522" s="959"/>
      <c r="DH522" s="959"/>
      <c r="ER522" s="905">
        <v>3255</v>
      </c>
      <c r="ES522" s="906" t="s">
        <v>1012</v>
      </c>
      <c r="ET522" s="2686">
        <v>9</v>
      </c>
      <c r="EV522" s="985"/>
      <c r="EW522" s="985"/>
      <c r="EX522" s="387"/>
      <c r="EY522" s="939"/>
      <c r="EZ522" s="886"/>
    </row>
    <row r="523" spans="88:156">
      <c r="CJ523" s="197"/>
      <c r="CK523" s="197"/>
      <c r="CL523" s="197"/>
      <c r="CM523" s="213"/>
      <c r="CN523" s="213"/>
      <c r="CO523" s="197"/>
      <c r="CP523" s="197"/>
      <c r="CQ523" s="197"/>
      <c r="CR523" s="197"/>
      <c r="CS523" s="197"/>
      <c r="CT523" s="197"/>
      <c r="CU523" s="197"/>
      <c r="CV523" s="197"/>
      <c r="CW523" s="197"/>
      <c r="CX523" s="959"/>
      <c r="CY523" s="959"/>
      <c r="CZ523" s="959"/>
      <c r="DA523" s="959"/>
      <c r="DB523" s="959"/>
      <c r="DC523" s="891">
        <v>2699</v>
      </c>
      <c r="DD523" s="891" t="s">
        <v>2920</v>
      </c>
      <c r="DE523" s="891" t="s">
        <v>401</v>
      </c>
      <c r="DF523" s="891">
        <v>6</v>
      </c>
      <c r="DG523" s="959"/>
      <c r="DH523" s="959"/>
      <c r="ER523" s="905">
        <v>3256</v>
      </c>
      <c r="ES523" s="906" t="s">
        <v>1013</v>
      </c>
      <c r="ET523" s="2686">
        <v>9</v>
      </c>
      <c r="EV523" s="985"/>
      <c r="EW523" s="985"/>
      <c r="EX523" s="387"/>
      <c r="EY523" s="939"/>
      <c r="EZ523" s="886"/>
    </row>
    <row r="524" spans="88:156">
      <c r="CJ524" s="197"/>
      <c r="CK524" s="197"/>
      <c r="CL524" s="197"/>
      <c r="CM524" s="213"/>
      <c r="CN524" s="213"/>
      <c r="CO524" s="197"/>
      <c r="CP524" s="197"/>
      <c r="CQ524" s="197"/>
      <c r="CR524" s="197"/>
      <c r="CS524" s="197"/>
      <c r="CT524" s="197"/>
      <c r="CU524" s="197"/>
      <c r="CV524" s="197"/>
      <c r="CW524" s="197"/>
      <c r="CX524" s="959"/>
      <c r="CY524" s="959"/>
      <c r="CZ524" s="959"/>
      <c r="DA524" s="959"/>
      <c r="DB524" s="959"/>
      <c r="DC524" s="891">
        <v>2700</v>
      </c>
      <c r="DD524" s="891" t="s">
        <v>2921</v>
      </c>
      <c r="DE524" s="891" t="s">
        <v>401</v>
      </c>
      <c r="DF524" s="891">
        <v>6</v>
      </c>
      <c r="DG524" s="959"/>
      <c r="DH524" s="959"/>
      <c r="ER524" s="905">
        <v>3257</v>
      </c>
      <c r="ES524" s="906" t="s">
        <v>1014</v>
      </c>
      <c r="ET524" s="2686">
        <v>9</v>
      </c>
      <c r="EV524" s="985"/>
      <c r="EW524" s="985"/>
      <c r="EX524" s="387"/>
      <c r="EY524" s="939"/>
      <c r="EZ524" s="886"/>
    </row>
    <row r="525" spans="88:156">
      <c r="CJ525" s="197"/>
      <c r="CK525" s="197"/>
      <c r="CL525" s="197"/>
      <c r="CM525" s="213"/>
      <c r="CN525" s="213"/>
      <c r="CO525" s="197"/>
      <c r="CP525" s="197"/>
      <c r="CQ525" s="197"/>
      <c r="CR525" s="197"/>
      <c r="CS525" s="197"/>
      <c r="CT525" s="197"/>
      <c r="CU525" s="197"/>
      <c r="CV525" s="197"/>
      <c r="CW525" s="197"/>
      <c r="CX525" s="959"/>
      <c r="CY525" s="959"/>
      <c r="CZ525" s="959"/>
      <c r="DA525" s="959"/>
      <c r="DB525" s="959"/>
      <c r="DC525" s="891">
        <v>2711</v>
      </c>
      <c r="DD525" s="891" t="s">
        <v>2922</v>
      </c>
      <c r="DE525" s="891" t="s">
        <v>401</v>
      </c>
      <c r="DF525" s="891">
        <v>6</v>
      </c>
      <c r="DG525" s="959"/>
      <c r="DH525" s="959"/>
      <c r="ER525" s="905">
        <v>3258</v>
      </c>
      <c r="ES525" s="906" t="s">
        <v>1015</v>
      </c>
      <c r="ET525" s="2686">
        <v>9</v>
      </c>
      <c r="EV525" s="985"/>
      <c r="EW525" s="985"/>
      <c r="EX525" s="387"/>
      <c r="EY525" s="939"/>
      <c r="EZ525" s="886"/>
    </row>
    <row r="526" spans="88:156">
      <c r="CJ526" s="197"/>
      <c r="CK526" s="197"/>
      <c r="CL526" s="197"/>
      <c r="CM526" s="213"/>
      <c r="CN526" s="213"/>
      <c r="CO526" s="197"/>
      <c r="CP526" s="197"/>
      <c r="CQ526" s="197"/>
      <c r="CR526" s="197"/>
      <c r="CS526" s="197"/>
      <c r="CT526" s="197"/>
      <c r="CU526" s="197"/>
      <c r="CV526" s="197"/>
      <c r="CW526" s="197"/>
      <c r="CX526" s="959"/>
      <c r="CY526" s="959"/>
      <c r="CZ526" s="959"/>
      <c r="DA526" s="959"/>
      <c r="DB526" s="959"/>
      <c r="DC526" s="891">
        <v>2712</v>
      </c>
      <c r="DD526" s="891" t="s">
        <v>2923</v>
      </c>
      <c r="DE526" s="891" t="s">
        <v>401</v>
      </c>
      <c r="DF526" s="891">
        <v>6</v>
      </c>
      <c r="DG526" s="959"/>
      <c r="DH526" s="959"/>
      <c r="ER526" s="905">
        <v>3259</v>
      </c>
      <c r="ES526" s="906" t="s">
        <v>1016</v>
      </c>
      <c r="ET526" s="2686">
        <v>9</v>
      </c>
      <c r="EV526" s="985"/>
      <c r="EW526" s="985"/>
      <c r="EX526" s="387"/>
      <c r="EY526" s="939"/>
      <c r="EZ526" s="886"/>
    </row>
    <row r="527" spans="88:156">
      <c r="CJ527" s="197"/>
      <c r="CK527" s="197"/>
      <c r="CL527" s="197"/>
      <c r="CM527" s="213"/>
      <c r="CN527" s="213"/>
      <c r="CO527" s="197"/>
      <c r="CP527" s="197"/>
      <c r="CQ527" s="197"/>
      <c r="CR527" s="197"/>
      <c r="CS527" s="197"/>
      <c r="CT527" s="197"/>
      <c r="CU527" s="197"/>
      <c r="CV527" s="197"/>
      <c r="CW527" s="197"/>
      <c r="CX527" s="959"/>
      <c r="CY527" s="959"/>
      <c r="CZ527" s="959"/>
      <c r="DA527" s="959"/>
      <c r="DB527" s="959"/>
      <c r="DC527" s="891">
        <v>2713</v>
      </c>
      <c r="DD527" s="891" t="s">
        <v>2924</v>
      </c>
      <c r="DE527" s="891" t="s">
        <v>401</v>
      </c>
      <c r="DF527" s="891">
        <v>6</v>
      </c>
      <c r="DG527" s="959"/>
      <c r="DH527" s="959"/>
      <c r="ER527" s="905">
        <v>3261</v>
      </c>
      <c r="ES527" s="906" t="s">
        <v>1017</v>
      </c>
      <c r="ET527" s="2686">
        <v>9</v>
      </c>
      <c r="EV527" s="985"/>
      <c r="EW527" s="985"/>
      <c r="EX527" s="387"/>
      <c r="EY527" s="939"/>
      <c r="EZ527" s="886"/>
    </row>
    <row r="528" spans="88:156">
      <c r="CJ528" s="197"/>
      <c r="CK528" s="197"/>
      <c r="CL528" s="197"/>
      <c r="CM528" s="213"/>
      <c r="CN528" s="213"/>
      <c r="CO528" s="197"/>
      <c r="CP528" s="197"/>
      <c r="CQ528" s="197"/>
      <c r="CR528" s="197"/>
      <c r="CS528" s="197"/>
      <c r="CT528" s="197"/>
      <c r="CU528" s="197"/>
      <c r="CV528" s="197"/>
      <c r="CW528" s="197"/>
      <c r="CX528" s="959"/>
      <c r="CY528" s="959"/>
      <c r="CZ528" s="959"/>
      <c r="DA528" s="959"/>
      <c r="DB528" s="959"/>
      <c r="DC528" s="891">
        <v>2721</v>
      </c>
      <c r="DD528" s="891" t="s">
        <v>2925</v>
      </c>
      <c r="DE528" s="891" t="s">
        <v>401</v>
      </c>
      <c r="DF528" s="891">
        <v>6</v>
      </c>
      <c r="DG528" s="959"/>
      <c r="DH528" s="959"/>
      <c r="ER528" s="905">
        <v>3261</v>
      </c>
      <c r="ES528" s="906" t="s">
        <v>621</v>
      </c>
      <c r="ET528" s="2686">
        <v>9</v>
      </c>
      <c r="EV528" s="985"/>
      <c r="EW528" s="985"/>
      <c r="EX528" s="387"/>
      <c r="EY528" s="939"/>
      <c r="EZ528" s="886"/>
    </row>
    <row r="529" spans="88:156">
      <c r="CJ529" s="197"/>
      <c r="CK529" s="197"/>
      <c r="CL529" s="197"/>
      <c r="CM529" s="213"/>
      <c r="CN529" s="213"/>
      <c r="CO529" s="197"/>
      <c r="CP529" s="197"/>
      <c r="CQ529" s="197"/>
      <c r="CR529" s="197"/>
      <c r="CS529" s="197"/>
      <c r="CT529" s="197"/>
      <c r="CU529" s="197"/>
      <c r="CV529" s="197"/>
      <c r="CW529" s="197"/>
      <c r="CX529" s="959"/>
      <c r="CY529" s="959"/>
      <c r="CZ529" s="959"/>
      <c r="DA529" s="959"/>
      <c r="DB529" s="959"/>
      <c r="DC529" s="891">
        <v>2723</v>
      </c>
      <c r="DD529" s="891" t="s">
        <v>2926</v>
      </c>
      <c r="DE529" s="891" t="s">
        <v>401</v>
      </c>
      <c r="DF529" s="891">
        <v>6</v>
      </c>
      <c r="DG529" s="959"/>
      <c r="DH529" s="959"/>
      <c r="ER529" s="905">
        <v>3262</v>
      </c>
      <c r="ES529" s="906" t="s">
        <v>1018</v>
      </c>
      <c r="ET529" s="2686">
        <v>9</v>
      </c>
      <c r="EV529" s="985"/>
      <c r="EW529" s="985"/>
      <c r="EX529" s="387"/>
      <c r="EY529" s="939"/>
      <c r="EZ529" s="886"/>
    </row>
    <row r="530" spans="88:156">
      <c r="CJ530" s="197"/>
      <c r="CK530" s="197"/>
      <c r="CL530" s="197"/>
      <c r="CM530" s="213"/>
      <c r="CN530" s="213"/>
      <c r="CO530" s="197"/>
      <c r="CP530" s="197"/>
      <c r="CQ530" s="197"/>
      <c r="CR530" s="197"/>
      <c r="CS530" s="197"/>
      <c r="CT530" s="197"/>
      <c r="CU530" s="197"/>
      <c r="CV530" s="197"/>
      <c r="CW530" s="197"/>
      <c r="CX530" s="959"/>
      <c r="CY530" s="959"/>
      <c r="CZ530" s="959"/>
      <c r="DA530" s="959"/>
      <c r="DB530" s="959"/>
      <c r="DC530" s="891">
        <v>2724</v>
      </c>
      <c r="DD530" s="891" t="s">
        <v>2927</v>
      </c>
      <c r="DE530" s="891" t="s">
        <v>401</v>
      </c>
      <c r="DF530" s="891">
        <v>5</v>
      </c>
      <c r="DG530" s="959"/>
      <c r="DH530" s="959"/>
      <c r="ER530" s="905">
        <v>3263</v>
      </c>
      <c r="ES530" s="906" t="s">
        <v>1019</v>
      </c>
      <c r="ET530" s="2686">
        <v>9</v>
      </c>
      <c r="EV530" s="985"/>
      <c r="EW530" s="985"/>
      <c r="EX530" s="387"/>
      <c r="EY530" s="939"/>
      <c r="EZ530" s="886"/>
    </row>
    <row r="531" spans="88:156">
      <c r="CJ531" s="197"/>
      <c r="CK531" s="197"/>
      <c r="CL531" s="197"/>
      <c r="CM531" s="213"/>
      <c r="CN531" s="213"/>
      <c r="CO531" s="197"/>
      <c r="CP531" s="197"/>
      <c r="CQ531" s="197"/>
      <c r="CR531" s="197"/>
      <c r="CS531" s="197"/>
      <c r="CT531" s="197"/>
      <c r="CU531" s="197"/>
      <c r="CV531" s="197"/>
      <c r="CW531" s="197"/>
      <c r="CX531" s="959"/>
      <c r="CY531" s="959"/>
      <c r="CZ531" s="959"/>
      <c r="DA531" s="959"/>
      <c r="DB531" s="959"/>
      <c r="DC531" s="891">
        <v>2730</v>
      </c>
      <c r="DD531" s="891" t="s">
        <v>2928</v>
      </c>
      <c r="DE531" s="891" t="s">
        <v>401</v>
      </c>
      <c r="DF531" s="891">
        <v>6</v>
      </c>
      <c r="DG531" s="959"/>
      <c r="DH531" s="959"/>
      <c r="ER531" s="905">
        <v>3264</v>
      </c>
      <c r="ES531" s="906" t="s">
        <v>1020</v>
      </c>
      <c r="ET531" s="2686">
        <v>9</v>
      </c>
      <c r="EV531" s="985"/>
      <c r="EW531" s="985"/>
      <c r="EX531" s="387"/>
      <c r="EY531" s="939"/>
      <c r="EZ531" s="886"/>
    </row>
    <row r="532" spans="88:156">
      <c r="CJ532" s="197"/>
      <c r="CK532" s="197"/>
      <c r="CL532" s="197"/>
      <c r="CM532" s="213"/>
      <c r="CN532" s="213"/>
      <c r="CO532" s="197"/>
      <c r="CP532" s="197"/>
      <c r="CQ532" s="197"/>
      <c r="CR532" s="197"/>
      <c r="CS532" s="197"/>
      <c r="CT532" s="197"/>
      <c r="CU532" s="197"/>
      <c r="CV532" s="197"/>
      <c r="CW532" s="197"/>
      <c r="CX532" s="959"/>
      <c r="CY532" s="959"/>
      <c r="CZ532" s="959"/>
      <c r="DA532" s="959"/>
      <c r="DB532" s="959"/>
      <c r="DC532" s="891">
        <v>2735</v>
      </c>
      <c r="DD532" s="891" t="s">
        <v>2929</v>
      </c>
      <c r="DE532" s="891" t="s">
        <v>401</v>
      </c>
      <c r="DF532" s="891">
        <v>6</v>
      </c>
      <c r="DG532" s="959"/>
      <c r="DH532" s="959"/>
      <c r="ER532" s="905">
        <v>3265</v>
      </c>
      <c r="ES532" s="906" t="s">
        <v>1021</v>
      </c>
      <c r="ET532" s="2686">
        <v>9</v>
      </c>
      <c r="EV532" s="985"/>
      <c r="EW532" s="985"/>
      <c r="EX532" s="387"/>
      <c r="EY532" s="939"/>
      <c r="EZ532" s="886"/>
    </row>
    <row r="533" spans="88:156">
      <c r="CJ533" s="197"/>
      <c r="CK533" s="197"/>
      <c r="CL533" s="197"/>
      <c r="CM533" s="213"/>
      <c r="CN533" s="213"/>
      <c r="CO533" s="197"/>
      <c r="CP533" s="197"/>
      <c r="CQ533" s="197"/>
      <c r="CR533" s="197"/>
      <c r="CS533" s="197"/>
      <c r="CT533" s="197"/>
      <c r="CU533" s="197"/>
      <c r="CV533" s="197"/>
      <c r="CW533" s="197"/>
      <c r="CX533" s="959"/>
      <c r="CY533" s="959"/>
      <c r="CZ533" s="959"/>
      <c r="DA533" s="959"/>
      <c r="DB533" s="959"/>
      <c r="DC533" s="891">
        <v>2736</v>
      </c>
      <c r="DD533" s="891" t="s">
        <v>2930</v>
      </c>
      <c r="DE533" s="891" t="s">
        <v>401</v>
      </c>
      <c r="DF533" s="891">
        <v>6</v>
      </c>
      <c r="DG533" s="959"/>
      <c r="DH533" s="959"/>
      <c r="ER533" s="905">
        <v>3271</v>
      </c>
      <c r="ES533" s="906" t="s">
        <v>622</v>
      </c>
      <c r="ET533" s="2686">
        <v>9</v>
      </c>
      <c r="EV533" s="985"/>
      <c r="EW533" s="985"/>
      <c r="EX533" s="387"/>
      <c r="EY533" s="939"/>
      <c r="EZ533" s="886"/>
    </row>
    <row r="534" spans="88:156">
      <c r="CJ534" s="197"/>
      <c r="CK534" s="197"/>
      <c r="CL534" s="197"/>
      <c r="CM534" s="213"/>
      <c r="CN534" s="213"/>
      <c r="CO534" s="197"/>
      <c r="CP534" s="197"/>
      <c r="CQ534" s="197"/>
      <c r="CR534" s="197"/>
      <c r="CS534" s="197"/>
      <c r="CT534" s="197"/>
      <c r="CU534" s="197"/>
      <c r="CV534" s="197"/>
      <c r="CW534" s="197"/>
      <c r="CX534" s="959"/>
      <c r="CY534" s="959"/>
      <c r="CZ534" s="959"/>
      <c r="DA534" s="959"/>
      <c r="DB534" s="959"/>
      <c r="DC534" s="891">
        <v>2737</v>
      </c>
      <c r="DD534" s="891" t="s">
        <v>2931</v>
      </c>
      <c r="DE534" s="891" t="s">
        <v>401</v>
      </c>
      <c r="DF534" s="891">
        <v>6</v>
      </c>
      <c r="DG534" s="959"/>
      <c r="DH534" s="959"/>
      <c r="ER534" s="905">
        <v>3272</v>
      </c>
      <c r="ES534" s="906" t="s">
        <v>623</v>
      </c>
      <c r="ET534" s="2686">
        <v>9</v>
      </c>
      <c r="EV534" s="985"/>
      <c r="EW534" s="985"/>
      <c r="EX534" s="387"/>
      <c r="EY534" s="939"/>
      <c r="EZ534" s="886"/>
    </row>
    <row r="535" spans="88:156">
      <c r="CJ535" s="197"/>
      <c r="CK535" s="197"/>
      <c r="CL535" s="197"/>
      <c r="CM535" s="213"/>
      <c r="CN535" s="213"/>
      <c r="CO535" s="197"/>
      <c r="CP535" s="197"/>
      <c r="CQ535" s="197"/>
      <c r="CR535" s="197"/>
      <c r="CS535" s="197"/>
      <c r="CT535" s="197"/>
      <c r="CU535" s="197"/>
      <c r="CV535" s="197"/>
      <c r="CW535" s="197"/>
      <c r="CX535" s="959"/>
      <c r="CY535" s="959"/>
      <c r="CZ535" s="959"/>
      <c r="DA535" s="959"/>
      <c r="DB535" s="959"/>
      <c r="DC535" s="891">
        <v>2738</v>
      </c>
      <c r="DD535" s="891" t="s">
        <v>2921</v>
      </c>
      <c r="DE535" s="891" t="s">
        <v>401</v>
      </c>
      <c r="DF535" s="891">
        <v>6</v>
      </c>
      <c r="DG535" s="959"/>
      <c r="DH535" s="959"/>
      <c r="ER535" s="905">
        <v>3273</v>
      </c>
      <c r="ES535" s="906" t="s">
        <v>1023</v>
      </c>
      <c r="ET535" s="2686">
        <v>9</v>
      </c>
      <c r="EV535" s="985"/>
      <c r="EW535" s="985"/>
      <c r="EX535" s="387"/>
      <c r="EY535" s="939"/>
      <c r="EZ535" s="886"/>
    </row>
    <row r="536" spans="88:156">
      <c r="CJ536" s="197"/>
      <c r="CK536" s="197"/>
      <c r="CL536" s="197"/>
      <c r="CM536" s="213"/>
      <c r="CN536" s="213"/>
      <c r="CO536" s="197"/>
      <c r="CP536" s="197"/>
      <c r="CQ536" s="197"/>
      <c r="CR536" s="197"/>
      <c r="CS536" s="197"/>
      <c r="CT536" s="197"/>
      <c r="CU536" s="197"/>
      <c r="CV536" s="197"/>
      <c r="CW536" s="197"/>
      <c r="CX536" s="959"/>
      <c r="CY536" s="959"/>
      <c r="CZ536" s="959"/>
      <c r="DA536" s="959"/>
      <c r="DB536" s="959"/>
      <c r="DC536" s="891">
        <v>2740</v>
      </c>
      <c r="DD536" s="891" t="s">
        <v>2932</v>
      </c>
      <c r="DE536" s="891" t="s">
        <v>401</v>
      </c>
      <c r="DF536" s="891">
        <v>6</v>
      </c>
      <c r="DG536" s="959"/>
      <c r="DH536" s="959"/>
      <c r="ER536" s="905">
        <v>3274</v>
      </c>
      <c r="ES536" s="906" t="s">
        <v>1024</v>
      </c>
      <c r="ET536" s="2686">
        <v>9</v>
      </c>
      <c r="EV536" s="985"/>
      <c r="EW536" s="985"/>
      <c r="EX536" s="387"/>
      <c r="EY536" s="939"/>
      <c r="EZ536" s="886"/>
    </row>
    <row r="537" spans="88:156">
      <c r="CJ537" s="197"/>
      <c r="CK537" s="197"/>
      <c r="CL537" s="197"/>
      <c r="CM537" s="213"/>
      <c r="CN537" s="213"/>
      <c r="CO537" s="197"/>
      <c r="CP537" s="197"/>
      <c r="CQ537" s="197"/>
      <c r="CR537" s="197"/>
      <c r="CS537" s="197"/>
      <c r="CT537" s="197"/>
      <c r="CU537" s="197"/>
      <c r="CV537" s="197"/>
      <c r="CW537" s="197"/>
      <c r="CX537" s="959"/>
      <c r="CY537" s="959"/>
      <c r="CZ537" s="959"/>
      <c r="DA537" s="959"/>
      <c r="DB537" s="959"/>
      <c r="DC537" s="891">
        <v>2745</v>
      </c>
      <c r="DD537" s="891" t="s">
        <v>2933</v>
      </c>
      <c r="DE537" s="891" t="s">
        <v>401</v>
      </c>
      <c r="DF537" s="891">
        <v>6</v>
      </c>
      <c r="DG537" s="959"/>
      <c r="DH537" s="959"/>
      <c r="ER537" s="905">
        <v>3275</v>
      </c>
      <c r="ES537" s="906" t="s">
        <v>1025</v>
      </c>
      <c r="ET537" s="2686">
        <v>9</v>
      </c>
      <c r="EV537" s="985"/>
      <c r="EW537" s="985"/>
      <c r="EX537" s="387"/>
      <c r="EY537" s="939"/>
      <c r="EZ537" s="886"/>
    </row>
    <row r="538" spans="88:156">
      <c r="CJ538" s="197"/>
      <c r="CK538" s="197"/>
      <c r="CL538" s="197"/>
      <c r="CM538" s="213"/>
      <c r="CN538" s="213"/>
      <c r="CO538" s="197"/>
      <c r="CP538" s="197"/>
      <c r="CQ538" s="197"/>
      <c r="CR538" s="197"/>
      <c r="CS538" s="197"/>
      <c r="CT538" s="197"/>
      <c r="CU538" s="197"/>
      <c r="CV538" s="197"/>
      <c r="CW538" s="197"/>
      <c r="CX538" s="959"/>
      <c r="CY538" s="959"/>
      <c r="CZ538" s="959"/>
      <c r="DA538" s="959"/>
      <c r="DB538" s="959"/>
      <c r="DC538" s="891">
        <v>2746</v>
      </c>
      <c r="DD538" s="891" t="s">
        <v>2934</v>
      </c>
      <c r="DE538" s="891" t="s">
        <v>401</v>
      </c>
      <c r="DF538" s="891">
        <v>6</v>
      </c>
      <c r="DG538" s="959"/>
      <c r="DH538" s="959"/>
      <c r="ER538" s="905">
        <v>3281</v>
      </c>
      <c r="ES538" s="906" t="s">
        <v>1026</v>
      </c>
      <c r="ET538" s="2686">
        <v>9</v>
      </c>
      <c r="EV538" s="985"/>
      <c r="EW538" s="985"/>
      <c r="EX538" s="387"/>
      <c r="EY538" s="939"/>
      <c r="EZ538" s="886"/>
    </row>
    <row r="539" spans="88:156">
      <c r="CJ539" s="197"/>
      <c r="CK539" s="197"/>
      <c r="CL539" s="197"/>
      <c r="CM539" s="213"/>
      <c r="CN539" s="213"/>
      <c r="CO539" s="197"/>
      <c r="CP539" s="197"/>
      <c r="CQ539" s="197"/>
      <c r="CR539" s="197"/>
      <c r="CS539" s="197"/>
      <c r="CT539" s="197"/>
      <c r="CU539" s="197"/>
      <c r="CV539" s="197"/>
      <c r="CW539" s="197"/>
      <c r="CX539" s="959"/>
      <c r="CY539" s="959"/>
      <c r="CZ539" s="959"/>
      <c r="DA539" s="959"/>
      <c r="DB539" s="959"/>
      <c r="DC539" s="891">
        <v>2747</v>
      </c>
      <c r="DD539" s="891" t="s">
        <v>2935</v>
      </c>
      <c r="DE539" s="891" t="s">
        <v>401</v>
      </c>
      <c r="DF539" s="891">
        <v>6</v>
      </c>
      <c r="DG539" s="959"/>
      <c r="DH539" s="959"/>
      <c r="ER539" s="905">
        <v>3282</v>
      </c>
      <c r="ES539" s="906" t="s">
        <v>1027</v>
      </c>
      <c r="ET539" s="2686">
        <v>9</v>
      </c>
      <c r="EV539" s="985"/>
      <c r="EW539" s="985"/>
      <c r="EX539" s="387"/>
      <c r="EY539" s="939"/>
      <c r="EZ539" s="886"/>
    </row>
    <row r="540" spans="88:156">
      <c r="CJ540" s="197"/>
      <c r="CK540" s="197"/>
      <c r="CL540" s="197"/>
      <c r="CM540" s="213"/>
      <c r="CN540" s="213"/>
      <c r="CO540" s="197"/>
      <c r="CP540" s="197"/>
      <c r="CQ540" s="197"/>
      <c r="CR540" s="197"/>
      <c r="CS540" s="197"/>
      <c r="CT540" s="197"/>
      <c r="CU540" s="197"/>
      <c r="CV540" s="197"/>
      <c r="CW540" s="197"/>
      <c r="CX540" s="959"/>
      <c r="CY540" s="959"/>
      <c r="CZ540" s="959"/>
      <c r="DA540" s="959"/>
      <c r="DB540" s="959"/>
      <c r="DC540" s="891">
        <v>2750</v>
      </c>
      <c r="DD540" s="891" t="s">
        <v>2936</v>
      </c>
      <c r="DE540" s="891" t="s">
        <v>401</v>
      </c>
      <c r="DF540" s="891">
        <v>6</v>
      </c>
      <c r="DG540" s="959"/>
      <c r="DH540" s="959"/>
      <c r="ER540" s="905">
        <v>3283</v>
      </c>
      <c r="ES540" s="906" t="s">
        <v>1028</v>
      </c>
      <c r="ET540" s="2686">
        <v>9</v>
      </c>
      <c r="EV540" s="985"/>
      <c r="EW540" s="985"/>
      <c r="EX540" s="387"/>
      <c r="EY540" s="939"/>
      <c r="EZ540" s="886"/>
    </row>
    <row r="541" spans="88:156">
      <c r="CJ541" s="197"/>
      <c r="CK541" s="197"/>
      <c r="CL541" s="197"/>
      <c r="CM541" s="213"/>
      <c r="CN541" s="213"/>
      <c r="CO541" s="197"/>
      <c r="CP541" s="197"/>
      <c r="CQ541" s="197"/>
      <c r="CR541" s="197"/>
      <c r="CS541" s="197"/>
      <c r="CT541" s="197"/>
      <c r="CU541" s="197"/>
      <c r="CV541" s="197"/>
      <c r="CW541" s="197"/>
      <c r="CX541" s="959"/>
      <c r="CY541" s="959"/>
      <c r="CZ541" s="959"/>
      <c r="DA541" s="959"/>
      <c r="DB541" s="959"/>
      <c r="DC541" s="891">
        <v>2755</v>
      </c>
      <c r="DD541" s="891" t="s">
        <v>2937</v>
      </c>
      <c r="DE541" s="891" t="s">
        <v>401</v>
      </c>
      <c r="DF541" s="891">
        <v>6</v>
      </c>
      <c r="DG541" s="959"/>
      <c r="DH541" s="959"/>
      <c r="ER541" s="905">
        <v>3284</v>
      </c>
      <c r="ES541" s="906" t="s">
        <v>1029</v>
      </c>
      <c r="ET541" s="2686">
        <v>9</v>
      </c>
      <c r="EV541" s="985"/>
      <c r="EW541" s="985"/>
      <c r="EX541" s="387"/>
      <c r="EY541" s="939"/>
      <c r="EZ541" s="886"/>
    </row>
    <row r="542" spans="88:156">
      <c r="CJ542" s="197"/>
      <c r="CK542" s="197"/>
      <c r="CL542" s="197"/>
      <c r="CM542" s="213"/>
      <c r="CN542" s="213"/>
      <c r="CO542" s="197"/>
      <c r="CP542" s="197"/>
      <c r="CQ542" s="197"/>
      <c r="CR542" s="197"/>
      <c r="CS542" s="197"/>
      <c r="CT542" s="197"/>
      <c r="CU542" s="197"/>
      <c r="CV542" s="197"/>
      <c r="CW542" s="197"/>
      <c r="CX542" s="959"/>
      <c r="CY542" s="959"/>
      <c r="CZ542" s="959"/>
      <c r="DA542" s="959"/>
      <c r="DB542" s="959"/>
      <c r="DC542" s="891">
        <v>2760</v>
      </c>
      <c r="DD542" s="891" t="s">
        <v>2938</v>
      </c>
      <c r="DE542" s="891" t="s">
        <v>401</v>
      </c>
      <c r="DF542" s="891">
        <v>6</v>
      </c>
      <c r="DG542" s="959"/>
      <c r="DH542" s="959"/>
      <c r="ER542" s="905">
        <v>3291</v>
      </c>
      <c r="ES542" s="906" t="s">
        <v>1030</v>
      </c>
      <c r="ET542" s="2686">
        <v>9</v>
      </c>
      <c r="EV542" s="985"/>
      <c r="EW542" s="985"/>
      <c r="EX542" s="387"/>
      <c r="EY542" s="939"/>
      <c r="EZ542" s="886"/>
    </row>
    <row r="543" spans="88:156">
      <c r="CJ543" s="197"/>
      <c r="CK543" s="197"/>
      <c r="CL543" s="197"/>
      <c r="CM543" s="213"/>
      <c r="CN543" s="213"/>
      <c r="CO543" s="197"/>
      <c r="CP543" s="197"/>
      <c r="CQ543" s="197"/>
      <c r="CR543" s="197"/>
      <c r="CS543" s="197"/>
      <c r="CT543" s="197"/>
      <c r="CU543" s="197"/>
      <c r="CV543" s="197"/>
      <c r="CW543" s="197"/>
      <c r="CX543" s="959"/>
      <c r="CY543" s="959"/>
      <c r="CZ543" s="959"/>
      <c r="DA543" s="959"/>
      <c r="DB543" s="959"/>
      <c r="DC543" s="891">
        <v>2764</v>
      </c>
      <c r="DD543" s="891" t="s">
        <v>2939</v>
      </c>
      <c r="DE543" s="891" t="s">
        <v>401</v>
      </c>
      <c r="DF543" s="891">
        <v>6</v>
      </c>
      <c r="DG543" s="959"/>
      <c r="DH543" s="959"/>
      <c r="ER543" s="905">
        <v>3292</v>
      </c>
      <c r="ES543" s="906" t="s">
        <v>1031</v>
      </c>
      <c r="ET543" s="2686">
        <v>9</v>
      </c>
      <c r="EV543" s="985"/>
      <c r="EW543" s="985"/>
      <c r="EX543" s="387"/>
      <c r="EY543" s="939"/>
      <c r="EZ543" s="886"/>
    </row>
    <row r="544" spans="88:156">
      <c r="CJ544" s="197"/>
      <c r="CK544" s="197"/>
      <c r="CL544" s="197"/>
      <c r="CM544" s="213"/>
      <c r="CN544" s="213"/>
      <c r="CO544" s="197"/>
      <c r="CP544" s="197"/>
      <c r="CQ544" s="197"/>
      <c r="CR544" s="197"/>
      <c r="CS544" s="197"/>
      <c r="CT544" s="197"/>
      <c r="CU544" s="197"/>
      <c r="CV544" s="197"/>
      <c r="CW544" s="197"/>
      <c r="CX544" s="959"/>
      <c r="CY544" s="959"/>
      <c r="CZ544" s="959"/>
      <c r="DA544" s="959"/>
      <c r="DB544" s="959"/>
      <c r="DC544" s="891">
        <v>2765</v>
      </c>
      <c r="DD544" s="891" t="s">
        <v>2940</v>
      </c>
      <c r="DE544" s="891" t="s">
        <v>401</v>
      </c>
      <c r="DF544" s="891">
        <v>6</v>
      </c>
      <c r="DG544" s="959"/>
      <c r="DH544" s="959"/>
      <c r="ER544" s="905">
        <v>3293</v>
      </c>
      <c r="ES544" s="906" t="s">
        <v>1032</v>
      </c>
      <c r="ET544" s="2686">
        <v>9</v>
      </c>
      <c r="EV544" s="985"/>
      <c r="EW544" s="985"/>
      <c r="EX544" s="387"/>
      <c r="EY544" s="939"/>
      <c r="EZ544" s="886"/>
    </row>
    <row r="545" spans="88:156">
      <c r="CJ545" s="197"/>
      <c r="CK545" s="197"/>
      <c r="CL545" s="197"/>
      <c r="CM545" s="213"/>
      <c r="CN545" s="213"/>
      <c r="CO545" s="197"/>
      <c r="CP545" s="197"/>
      <c r="CQ545" s="197"/>
      <c r="CR545" s="197"/>
      <c r="CS545" s="197"/>
      <c r="CT545" s="197"/>
      <c r="CU545" s="197"/>
      <c r="CV545" s="197"/>
      <c r="CW545" s="197"/>
      <c r="CX545" s="959"/>
      <c r="CY545" s="959"/>
      <c r="CZ545" s="959"/>
      <c r="DA545" s="959"/>
      <c r="DB545" s="959"/>
      <c r="DC545" s="891">
        <v>2766</v>
      </c>
      <c r="DD545" s="891" t="s">
        <v>2941</v>
      </c>
      <c r="DE545" s="891" t="s">
        <v>401</v>
      </c>
      <c r="DF545" s="891">
        <v>6</v>
      </c>
      <c r="DG545" s="959"/>
      <c r="DH545" s="959"/>
      <c r="ER545" s="905">
        <v>3294</v>
      </c>
      <c r="ES545" s="906" t="s">
        <v>1033</v>
      </c>
      <c r="ET545" s="2686">
        <v>9</v>
      </c>
      <c r="EV545" s="985"/>
      <c r="EW545" s="985"/>
      <c r="EX545" s="387"/>
      <c r="EY545" s="939"/>
      <c r="EZ545" s="886"/>
    </row>
    <row r="546" spans="88:156">
      <c r="CJ546" s="197"/>
      <c r="CK546" s="197"/>
      <c r="CL546" s="197"/>
      <c r="CM546" s="213"/>
      <c r="CN546" s="213"/>
      <c r="CO546" s="197"/>
      <c r="CP546" s="197"/>
      <c r="CQ546" s="197"/>
      <c r="CR546" s="197"/>
      <c r="CS546" s="197"/>
      <c r="CT546" s="197"/>
      <c r="CU546" s="197"/>
      <c r="CV546" s="197"/>
      <c r="CW546" s="197"/>
      <c r="CX546" s="959"/>
      <c r="CY546" s="959"/>
      <c r="CZ546" s="959"/>
      <c r="DA546" s="959"/>
      <c r="DB546" s="959"/>
      <c r="DC546" s="891">
        <v>2767</v>
      </c>
      <c r="DD546" s="891" t="s">
        <v>2942</v>
      </c>
      <c r="DE546" s="891" t="s">
        <v>401</v>
      </c>
      <c r="DF546" s="891">
        <v>6</v>
      </c>
      <c r="DG546" s="959"/>
      <c r="DH546" s="959"/>
      <c r="ER546" s="905">
        <v>3295</v>
      </c>
      <c r="ES546" s="906" t="s">
        <v>1034</v>
      </c>
      <c r="ET546" s="2686">
        <v>9</v>
      </c>
      <c r="EV546" s="985"/>
      <c r="EW546" s="985"/>
      <c r="EX546" s="387"/>
      <c r="EY546" s="939"/>
      <c r="EZ546" s="886"/>
    </row>
    <row r="547" spans="88:156">
      <c r="CJ547" s="197"/>
      <c r="CK547" s="197"/>
      <c r="CL547" s="197"/>
      <c r="CM547" s="213"/>
      <c r="CN547" s="213"/>
      <c r="CO547" s="197"/>
      <c r="CP547" s="197"/>
      <c r="CQ547" s="197"/>
      <c r="CR547" s="197"/>
      <c r="CS547" s="197"/>
      <c r="CT547" s="197"/>
      <c r="CU547" s="197"/>
      <c r="CV547" s="197"/>
      <c r="CW547" s="197"/>
      <c r="CX547" s="959"/>
      <c r="CY547" s="959"/>
      <c r="CZ547" s="959"/>
      <c r="DA547" s="959"/>
      <c r="DB547" s="959"/>
      <c r="DC547" s="891">
        <v>2768</v>
      </c>
      <c r="DD547" s="891" t="s">
        <v>2943</v>
      </c>
      <c r="DE547" s="891" t="s">
        <v>401</v>
      </c>
      <c r="DF547" s="891">
        <v>6</v>
      </c>
      <c r="DG547" s="959"/>
      <c r="DH547" s="959"/>
      <c r="ER547" s="905">
        <v>3296</v>
      </c>
      <c r="ES547" s="906" t="s">
        <v>1035</v>
      </c>
      <c r="ET547" s="2686">
        <v>9</v>
      </c>
      <c r="EV547" s="985"/>
      <c r="EW547" s="985"/>
      <c r="EX547" s="387"/>
      <c r="EY547" s="939"/>
      <c r="EZ547" s="886"/>
    </row>
    <row r="548" spans="88:156">
      <c r="CJ548" s="197"/>
      <c r="CK548" s="197"/>
      <c r="CL548" s="197"/>
      <c r="CM548" s="213"/>
      <c r="CN548" s="213"/>
      <c r="CO548" s="197"/>
      <c r="CP548" s="197"/>
      <c r="CQ548" s="197"/>
      <c r="CR548" s="197"/>
      <c r="CS548" s="197"/>
      <c r="CT548" s="197"/>
      <c r="CU548" s="197"/>
      <c r="CV548" s="197"/>
      <c r="CW548" s="197"/>
      <c r="CX548" s="959"/>
      <c r="CY548" s="959"/>
      <c r="CZ548" s="959"/>
      <c r="DA548" s="959"/>
      <c r="DB548" s="959"/>
      <c r="DC548" s="891">
        <v>2769</v>
      </c>
      <c r="DD548" s="891" t="s">
        <v>2944</v>
      </c>
      <c r="DE548" s="891" t="s">
        <v>401</v>
      </c>
      <c r="DF548" s="891">
        <v>6</v>
      </c>
      <c r="DG548" s="959"/>
      <c r="DH548" s="959"/>
      <c r="ER548" s="905">
        <v>3300</v>
      </c>
      <c r="ES548" s="906" t="s">
        <v>1036</v>
      </c>
      <c r="ET548" s="2686">
        <v>7</v>
      </c>
      <c r="EV548" s="985"/>
      <c r="EW548" s="985"/>
      <c r="EX548" s="387"/>
      <c r="EY548" s="939"/>
      <c r="EZ548" s="886"/>
    </row>
    <row r="549" spans="88:156">
      <c r="CJ549" s="197"/>
      <c r="CK549" s="197"/>
      <c r="CL549" s="197"/>
      <c r="CM549" s="213"/>
      <c r="CN549" s="213"/>
      <c r="CO549" s="197"/>
      <c r="CP549" s="197"/>
      <c r="CQ549" s="197"/>
      <c r="CR549" s="197"/>
      <c r="CS549" s="197"/>
      <c r="CT549" s="197"/>
      <c r="CU549" s="197"/>
      <c r="CV549" s="197"/>
      <c r="CW549" s="197"/>
      <c r="CX549" s="959"/>
      <c r="CY549" s="959"/>
      <c r="CZ549" s="959"/>
      <c r="DA549" s="959"/>
      <c r="DB549" s="959"/>
      <c r="DC549" s="891">
        <v>2800</v>
      </c>
      <c r="DD549" s="891" t="s">
        <v>2945</v>
      </c>
      <c r="DE549" s="891" t="s">
        <v>401</v>
      </c>
      <c r="DF549" s="891">
        <v>5</v>
      </c>
      <c r="DG549" s="959"/>
      <c r="DH549" s="959"/>
      <c r="ER549" s="905">
        <v>3304</v>
      </c>
      <c r="ES549" s="905" t="s">
        <v>624</v>
      </c>
      <c r="ET549" s="2686">
        <v>7</v>
      </c>
      <c r="EV549" s="985"/>
      <c r="EW549" s="985"/>
      <c r="EX549" s="387"/>
      <c r="EY549" s="939"/>
      <c r="EZ549" s="886"/>
    </row>
    <row r="550" spans="88:156">
      <c r="CJ550" s="197"/>
      <c r="CK550" s="197"/>
      <c r="CL550" s="197"/>
      <c r="CM550" s="213"/>
      <c r="CN550" s="213"/>
      <c r="CO550" s="197"/>
      <c r="CP550" s="197"/>
      <c r="CQ550" s="197"/>
      <c r="CR550" s="197"/>
      <c r="CS550" s="197"/>
      <c r="CT550" s="197"/>
      <c r="CU550" s="197"/>
      <c r="CV550" s="197"/>
      <c r="CW550" s="197"/>
      <c r="CX550" s="959"/>
      <c r="CY550" s="959"/>
      <c r="CZ550" s="959"/>
      <c r="DA550" s="959"/>
      <c r="DB550" s="959"/>
      <c r="DC550" s="891">
        <v>2821</v>
      </c>
      <c r="DD550" s="891" t="s">
        <v>2946</v>
      </c>
      <c r="DE550" s="891" t="s">
        <v>401</v>
      </c>
      <c r="DF550" s="891">
        <v>3</v>
      </c>
      <c r="DG550" s="959"/>
      <c r="DH550" s="959"/>
      <c r="ER550" s="905">
        <v>3321</v>
      </c>
      <c r="ES550" s="906" t="s">
        <v>1038</v>
      </c>
      <c r="ET550" s="2686">
        <v>9</v>
      </c>
      <c r="EV550" s="985"/>
      <c r="EW550" s="985"/>
      <c r="EX550" s="387"/>
      <c r="EY550" s="939"/>
      <c r="EZ550" s="886"/>
    </row>
    <row r="551" spans="88:156">
      <c r="CJ551" s="197"/>
      <c r="CK551" s="197"/>
      <c r="CL551" s="197"/>
      <c r="CM551" s="213"/>
      <c r="CN551" s="213"/>
      <c r="CO551" s="197"/>
      <c r="CP551" s="197"/>
      <c r="CQ551" s="197"/>
      <c r="CR551" s="197"/>
      <c r="CS551" s="197"/>
      <c r="CT551" s="197"/>
      <c r="CU551" s="197"/>
      <c r="CV551" s="197"/>
      <c r="CW551" s="197"/>
      <c r="CX551" s="959"/>
      <c r="CY551" s="959"/>
      <c r="CZ551" s="959"/>
      <c r="DA551" s="959"/>
      <c r="DB551" s="959"/>
      <c r="DC551" s="891">
        <v>2822</v>
      </c>
      <c r="DD551" s="891" t="s">
        <v>2947</v>
      </c>
      <c r="DE551" s="891" t="s">
        <v>401</v>
      </c>
      <c r="DF551" s="891">
        <v>3</v>
      </c>
      <c r="DG551" s="959"/>
      <c r="DH551" s="959"/>
      <c r="ER551" s="905">
        <v>3322</v>
      </c>
      <c r="ES551" s="906" t="s">
        <v>1039</v>
      </c>
      <c r="ET551" s="2686">
        <v>9</v>
      </c>
      <c r="EV551" s="985"/>
      <c r="EW551" s="985"/>
      <c r="EX551" s="387"/>
      <c r="EY551" s="939"/>
      <c r="EZ551" s="886"/>
    </row>
    <row r="552" spans="88:156">
      <c r="CJ552" s="197"/>
      <c r="CK552" s="197"/>
      <c r="CL552" s="197"/>
      <c r="CM552" s="213"/>
      <c r="CN552" s="213"/>
      <c r="CO552" s="197"/>
      <c r="CP552" s="197"/>
      <c r="CQ552" s="197"/>
      <c r="CR552" s="197"/>
      <c r="CS552" s="197"/>
      <c r="CT552" s="197"/>
      <c r="CU552" s="197"/>
      <c r="CV552" s="197"/>
      <c r="CW552" s="197"/>
      <c r="CX552" s="959"/>
      <c r="CY552" s="959"/>
      <c r="CZ552" s="959"/>
      <c r="DA552" s="959"/>
      <c r="DB552" s="959"/>
      <c r="DC552" s="891">
        <v>2823</v>
      </c>
      <c r="DD552" s="891" t="s">
        <v>2948</v>
      </c>
      <c r="DE552" s="891" t="s">
        <v>401</v>
      </c>
      <c r="DF552" s="891">
        <v>3</v>
      </c>
      <c r="DG552" s="959"/>
      <c r="DH552" s="959"/>
      <c r="ER552" s="905">
        <v>3323</v>
      </c>
      <c r="ES552" s="906" t="s">
        <v>625</v>
      </c>
      <c r="ET552" s="2686">
        <v>7</v>
      </c>
      <c r="EV552" s="985"/>
      <c r="EW552" s="985"/>
      <c r="EX552" s="387"/>
      <c r="EY552" s="939"/>
      <c r="EZ552" s="886"/>
    </row>
    <row r="553" spans="88:156">
      <c r="CJ553" s="197"/>
      <c r="CK553" s="197"/>
      <c r="CL553" s="197"/>
      <c r="CM553" s="213"/>
      <c r="CN553" s="213"/>
      <c r="CO553" s="197"/>
      <c r="CP553" s="197"/>
      <c r="CQ553" s="197"/>
      <c r="CR553" s="197"/>
      <c r="CS553" s="197"/>
      <c r="CT553" s="197"/>
      <c r="CU553" s="197"/>
      <c r="CV553" s="197"/>
      <c r="CW553" s="197"/>
      <c r="CX553" s="959"/>
      <c r="CY553" s="959"/>
      <c r="CZ553" s="959"/>
      <c r="DA553" s="959"/>
      <c r="DB553" s="959"/>
      <c r="DC553" s="891">
        <v>2824</v>
      </c>
      <c r="DD553" s="891" t="s">
        <v>2949</v>
      </c>
      <c r="DE553" s="891" t="s">
        <v>401</v>
      </c>
      <c r="DF553" s="891">
        <v>5</v>
      </c>
      <c r="DG553" s="959"/>
      <c r="DH553" s="959"/>
      <c r="ER553" s="905">
        <v>3324</v>
      </c>
      <c r="ES553" s="906" t="s">
        <v>1041</v>
      </c>
      <c r="ET553" s="2686">
        <v>9</v>
      </c>
      <c r="EV553" s="985"/>
      <c r="EW553" s="985"/>
      <c r="EX553" s="387"/>
      <c r="EY553" s="939"/>
      <c r="EZ553" s="886"/>
    </row>
    <row r="554" spans="88:156">
      <c r="CJ554" s="197"/>
      <c r="CK554" s="197"/>
      <c r="CL554" s="197"/>
      <c r="CM554" s="213"/>
      <c r="CN554" s="213"/>
      <c r="CO554" s="197"/>
      <c r="CP554" s="197"/>
      <c r="CQ554" s="197"/>
      <c r="CR554" s="197"/>
      <c r="CS554" s="197"/>
      <c r="CT554" s="197"/>
      <c r="CU554" s="197"/>
      <c r="CV554" s="197"/>
      <c r="CW554" s="197"/>
      <c r="CX554" s="959"/>
      <c r="CY554" s="959"/>
      <c r="CZ554" s="959"/>
      <c r="DA554" s="959"/>
      <c r="DB554" s="959"/>
      <c r="DC554" s="891">
        <v>2831</v>
      </c>
      <c r="DD554" s="891" t="s">
        <v>2950</v>
      </c>
      <c r="DE554" s="891" t="s">
        <v>401</v>
      </c>
      <c r="DF554" s="891">
        <v>3</v>
      </c>
      <c r="DG554" s="959"/>
      <c r="DH554" s="959"/>
      <c r="ER554" s="905">
        <v>3325</v>
      </c>
      <c r="ES554" s="906" t="s">
        <v>1042</v>
      </c>
      <c r="ET554" s="2686">
        <v>9</v>
      </c>
      <c r="EV554" s="985"/>
      <c r="EW554" s="985"/>
      <c r="EX554" s="387"/>
      <c r="EY554" s="939"/>
      <c r="EZ554" s="886"/>
    </row>
    <row r="555" spans="88:156">
      <c r="CJ555" s="197"/>
      <c r="CK555" s="197"/>
      <c r="CL555" s="197"/>
      <c r="CM555" s="213"/>
      <c r="CN555" s="213"/>
      <c r="CO555" s="197"/>
      <c r="CP555" s="197"/>
      <c r="CQ555" s="197"/>
      <c r="CR555" s="197"/>
      <c r="CS555" s="197"/>
      <c r="CT555" s="197"/>
      <c r="CU555" s="197"/>
      <c r="CV555" s="197"/>
      <c r="CW555" s="197"/>
      <c r="CX555" s="959"/>
      <c r="CY555" s="959"/>
      <c r="CZ555" s="959"/>
      <c r="DA555" s="959"/>
      <c r="DB555" s="959"/>
      <c r="DC555" s="891">
        <v>2832</v>
      </c>
      <c r="DD555" s="891" t="s">
        <v>2951</v>
      </c>
      <c r="DE555" s="891" t="s">
        <v>401</v>
      </c>
      <c r="DF555" s="891">
        <v>5</v>
      </c>
      <c r="DG555" s="959"/>
      <c r="DH555" s="959"/>
      <c r="ER555" s="905">
        <v>3326</v>
      </c>
      <c r="ES555" s="906" t="s">
        <v>1043</v>
      </c>
      <c r="ET555" s="2686">
        <v>9</v>
      </c>
      <c r="EV555" s="985"/>
      <c r="EW555" s="985"/>
      <c r="EX555" s="387"/>
      <c r="EY555" s="939"/>
      <c r="EZ555" s="886"/>
    </row>
    <row r="556" spans="88:156">
      <c r="CJ556" s="197"/>
      <c r="CK556" s="197"/>
      <c r="CL556" s="197"/>
      <c r="CM556" s="213"/>
      <c r="CN556" s="213"/>
      <c r="CO556" s="197"/>
      <c r="CP556" s="197"/>
      <c r="CQ556" s="197"/>
      <c r="CR556" s="197"/>
      <c r="CS556" s="197"/>
      <c r="CT556" s="197"/>
      <c r="CU556" s="197"/>
      <c r="CV556" s="197"/>
      <c r="CW556" s="197"/>
      <c r="CX556" s="959"/>
      <c r="CY556" s="959"/>
      <c r="CZ556" s="959"/>
      <c r="DA556" s="959"/>
      <c r="DB556" s="959"/>
      <c r="DC556" s="891">
        <v>2833</v>
      </c>
      <c r="DD556" s="891" t="s">
        <v>2952</v>
      </c>
      <c r="DE556" s="891" t="s">
        <v>401</v>
      </c>
      <c r="DF556" s="891">
        <v>5</v>
      </c>
      <c r="DG556" s="959"/>
      <c r="DH556" s="959"/>
      <c r="ER556" s="905">
        <v>3327</v>
      </c>
      <c r="ES556" s="906" t="s">
        <v>1044</v>
      </c>
      <c r="ET556" s="2686">
        <v>9</v>
      </c>
      <c r="EV556" s="985"/>
      <c r="EW556" s="985"/>
      <c r="EX556" s="387"/>
      <c r="EY556" s="939"/>
      <c r="EZ556" s="886"/>
    </row>
    <row r="557" spans="88:156">
      <c r="CJ557" s="197"/>
      <c r="CK557" s="197"/>
      <c r="CL557" s="197"/>
      <c r="CM557" s="213"/>
      <c r="CN557" s="213"/>
      <c r="CO557" s="197"/>
      <c r="CP557" s="197"/>
      <c r="CQ557" s="197"/>
      <c r="CR557" s="197"/>
      <c r="CS557" s="197"/>
      <c r="CT557" s="197"/>
      <c r="CU557" s="197"/>
      <c r="CV557" s="197"/>
      <c r="CW557" s="197"/>
      <c r="CX557" s="959"/>
      <c r="CY557" s="959"/>
      <c r="CZ557" s="959"/>
      <c r="DA557" s="959"/>
      <c r="DB557" s="959"/>
      <c r="DC557" s="891">
        <v>2834</v>
      </c>
      <c r="DD557" s="891" t="s">
        <v>2953</v>
      </c>
      <c r="DE557" s="891" t="s">
        <v>401</v>
      </c>
      <c r="DF557" s="891">
        <v>5</v>
      </c>
      <c r="DG557" s="959"/>
      <c r="DH557" s="959"/>
      <c r="ER557" s="905">
        <v>3328</v>
      </c>
      <c r="ES557" s="906" t="s">
        <v>1045</v>
      </c>
      <c r="ET557" s="2686">
        <v>9</v>
      </c>
      <c r="EV557" s="985"/>
      <c r="EW557" s="985"/>
      <c r="EX557" s="387"/>
      <c r="EY557" s="939"/>
      <c r="EZ557" s="886"/>
    </row>
    <row r="558" spans="88:156">
      <c r="CJ558" s="197"/>
      <c r="CK558" s="197"/>
      <c r="CL558" s="197"/>
      <c r="CM558" s="213"/>
      <c r="CN558" s="213"/>
      <c r="CO558" s="197"/>
      <c r="CP558" s="197"/>
      <c r="CQ558" s="197"/>
      <c r="CR558" s="197"/>
      <c r="CS558" s="197"/>
      <c r="CT558" s="197"/>
      <c r="CU558" s="197"/>
      <c r="CV558" s="197"/>
      <c r="CW558" s="197"/>
      <c r="CX558" s="959"/>
      <c r="CY558" s="959"/>
      <c r="CZ558" s="959"/>
      <c r="DA558" s="959"/>
      <c r="DB558" s="959"/>
      <c r="DC558" s="891">
        <v>2835</v>
      </c>
      <c r="DD558" s="891" t="s">
        <v>2954</v>
      </c>
      <c r="DE558" s="891" t="s">
        <v>401</v>
      </c>
      <c r="DF558" s="891">
        <v>6</v>
      </c>
      <c r="DG558" s="959"/>
      <c r="DH558" s="959"/>
      <c r="ER558" s="905">
        <v>3331</v>
      </c>
      <c r="ES558" s="906" t="s">
        <v>1046</v>
      </c>
      <c r="ET558" s="2686">
        <v>9</v>
      </c>
      <c r="EV558" s="985"/>
      <c r="EW558" s="985"/>
      <c r="EX558" s="387"/>
      <c r="EY558" s="939"/>
      <c r="EZ558" s="886"/>
    </row>
    <row r="559" spans="88:156">
      <c r="CJ559" s="197"/>
      <c r="CK559" s="197"/>
      <c r="CL559" s="197"/>
      <c r="CM559" s="213"/>
      <c r="CN559" s="213"/>
      <c r="CO559" s="197"/>
      <c r="CP559" s="197"/>
      <c r="CQ559" s="197"/>
      <c r="CR559" s="197"/>
      <c r="CS559" s="197"/>
      <c r="CT559" s="197"/>
      <c r="CU559" s="197"/>
      <c r="CV559" s="197"/>
      <c r="CW559" s="197"/>
      <c r="CX559" s="959"/>
      <c r="CY559" s="959"/>
      <c r="CZ559" s="959"/>
      <c r="DA559" s="959"/>
      <c r="DB559" s="959"/>
      <c r="DC559" s="891">
        <v>2836</v>
      </c>
      <c r="DD559" s="891" t="s">
        <v>2955</v>
      </c>
      <c r="DE559" s="891" t="s">
        <v>401</v>
      </c>
      <c r="DF559" s="891">
        <v>5</v>
      </c>
      <c r="DG559" s="959"/>
      <c r="DH559" s="959"/>
      <c r="ER559" s="905">
        <v>3332</v>
      </c>
      <c r="ES559" s="906" t="s">
        <v>1047</v>
      </c>
      <c r="ET559" s="2686">
        <v>9</v>
      </c>
      <c r="EV559" s="985"/>
      <c r="EW559" s="985"/>
      <c r="EX559" s="387"/>
      <c r="EY559" s="939"/>
      <c r="EZ559" s="886"/>
    </row>
    <row r="560" spans="88:156">
      <c r="CJ560" s="197"/>
      <c r="CK560" s="197"/>
      <c r="CL560" s="197"/>
      <c r="CM560" s="213"/>
      <c r="CN560" s="213"/>
      <c r="CO560" s="197"/>
      <c r="CP560" s="197"/>
      <c r="CQ560" s="197"/>
      <c r="CR560" s="197"/>
      <c r="CS560" s="197"/>
      <c r="CT560" s="197"/>
      <c r="CU560" s="197"/>
      <c r="CV560" s="197"/>
      <c r="CW560" s="197"/>
      <c r="CX560" s="959"/>
      <c r="CY560" s="959"/>
      <c r="CZ560" s="959"/>
      <c r="DA560" s="959"/>
      <c r="DB560" s="959"/>
      <c r="DC560" s="891">
        <v>2837</v>
      </c>
      <c r="DD560" s="891" t="s">
        <v>2956</v>
      </c>
      <c r="DE560" s="891" t="s">
        <v>401</v>
      </c>
      <c r="DF560" s="891">
        <v>5</v>
      </c>
      <c r="DG560" s="959"/>
      <c r="DH560" s="959"/>
      <c r="ER560" s="905">
        <v>3333</v>
      </c>
      <c r="ES560" s="906" t="s">
        <v>1048</v>
      </c>
      <c r="ET560" s="2686">
        <v>9</v>
      </c>
      <c r="EV560" s="985"/>
      <c r="EW560" s="985"/>
      <c r="EX560" s="387"/>
      <c r="EY560" s="939"/>
      <c r="EZ560" s="886"/>
    </row>
    <row r="561" spans="88:156">
      <c r="CJ561" s="197"/>
      <c r="CK561" s="197"/>
      <c r="CL561" s="197"/>
      <c r="CM561" s="213"/>
      <c r="CN561" s="213"/>
      <c r="CO561" s="197"/>
      <c r="CP561" s="197"/>
      <c r="CQ561" s="197"/>
      <c r="CR561" s="197"/>
      <c r="CS561" s="197"/>
      <c r="CT561" s="197"/>
      <c r="CU561" s="197"/>
      <c r="CV561" s="197"/>
      <c r="CW561" s="197"/>
      <c r="CX561" s="959"/>
      <c r="CY561" s="959"/>
      <c r="CZ561" s="959"/>
      <c r="DA561" s="959"/>
      <c r="DB561" s="959"/>
      <c r="DC561" s="891">
        <v>2840</v>
      </c>
      <c r="DD561" s="891" t="s">
        <v>2957</v>
      </c>
      <c r="DE561" s="891" t="s">
        <v>401</v>
      </c>
      <c r="DF561" s="891">
        <v>5</v>
      </c>
      <c r="DG561" s="959"/>
      <c r="DH561" s="959"/>
      <c r="ER561" s="905">
        <v>3334</v>
      </c>
      <c r="ES561" s="906" t="s">
        <v>1049</v>
      </c>
      <c r="ET561" s="2686">
        <v>9</v>
      </c>
      <c r="EV561" s="985"/>
      <c r="EW561" s="985"/>
      <c r="EX561" s="387"/>
      <c r="EY561" s="939"/>
      <c r="EZ561" s="886"/>
    </row>
    <row r="562" spans="88:156">
      <c r="CJ562" s="197"/>
      <c r="CK562" s="197"/>
      <c r="CL562" s="197"/>
      <c r="CM562" s="213"/>
      <c r="CN562" s="213"/>
      <c r="CO562" s="197"/>
      <c r="CP562" s="197"/>
      <c r="CQ562" s="197"/>
      <c r="CR562" s="197"/>
      <c r="CS562" s="197"/>
      <c r="CT562" s="197"/>
      <c r="CU562" s="197"/>
      <c r="CV562" s="197"/>
      <c r="CW562" s="197"/>
      <c r="CX562" s="959"/>
      <c r="CY562" s="959"/>
      <c r="CZ562" s="959"/>
      <c r="DA562" s="959"/>
      <c r="DB562" s="959"/>
      <c r="DC562" s="891">
        <v>2851</v>
      </c>
      <c r="DD562" s="891" t="s">
        <v>2958</v>
      </c>
      <c r="DE562" s="891" t="s">
        <v>401</v>
      </c>
      <c r="DF562" s="891">
        <v>5</v>
      </c>
      <c r="DG562" s="959"/>
      <c r="DH562" s="959"/>
      <c r="ER562" s="905">
        <v>3335</v>
      </c>
      <c r="ES562" s="906" t="s">
        <v>1050</v>
      </c>
      <c r="ET562" s="2686">
        <v>9</v>
      </c>
      <c r="EV562" s="985"/>
      <c r="EW562" s="985"/>
      <c r="EX562" s="387"/>
      <c r="EY562" s="939"/>
      <c r="EZ562" s="886"/>
    </row>
    <row r="563" spans="88:156">
      <c r="CJ563" s="197"/>
      <c r="CK563" s="197"/>
      <c r="CL563" s="197"/>
      <c r="CM563" s="213"/>
      <c r="CN563" s="213"/>
      <c r="CO563" s="197"/>
      <c r="CP563" s="197"/>
      <c r="CQ563" s="197"/>
      <c r="CR563" s="197"/>
      <c r="CS563" s="197"/>
      <c r="CT563" s="197"/>
      <c r="CU563" s="197"/>
      <c r="CV563" s="197"/>
      <c r="CW563" s="197"/>
      <c r="CX563" s="959"/>
      <c r="CY563" s="959"/>
      <c r="CZ563" s="959"/>
      <c r="DA563" s="959"/>
      <c r="DB563" s="959"/>
      <c r="DC563" s="891">
        <v>2852</v>
      </c>
      <c r="DD563" s="891" t="s">
        <v>2959</v>
      </c>
      <c r="DE563" s="891" t="s">
        <v>401</v>
      </c>
      <c r="DF563" s="891">
        <v>5</v>
      </c>
      <c r="DG563" s="959"/>
      <c r="DH563" s="959"/>
      <c r="ER563" s="905">
        <v>3336</v>
      </c>
      <c r="ES563" s="906" t="s">
        <v>1051</v>
      </c>
      <c r="ET563" s="2686">
        <v>9</v>
      </c>
      <c r="EV563" s="985"/>
      <c r="EW563" s="985"/>
      <c r="EX563" s="387"/>
      <c r="EY563" s="939"/>
      <c r="EZ563" s="886"/>
    </row>
    <row r="564" spans="88:156">
      <c r="CJ564" s="197"/>
      <c r="CK564" s="197"/>
      <c r="CL564" s="197"/>
      <c r="CM564" s="213"/>
      <c r="CN564" s="213"/>
      <c r="CO564" s="197"/>
      <c r="CP564" s="197"/>
      <c r="CQ564" s="197"/>
      <c r="CR564" s="197"/>
      <c r="CS564" s="197"/>
      <c r="CT564" s="197"/>
      <c r="CU564" s="197"/>
      <c r="CV564" s="197"/>
      <c r="CW564" s="197"/>
      <c r="CX564" s="959"/>
      <c r="CY564" s="959"/>
      <c r="CZ564" s="959"/>
      <c r="DA564" s="959"/>
      <c r="DB564" s="959"/>
      <c r="DC564" s="891">
        <v>2853</v>
      </c>
      <c r="DD564" s="891" t="s">
        <v>2960</v>
      </c>
      <c r="DE564" s="891" t="s">
        <v>401</v>
      </c>
      <c r="DF564" s="891">
        <v>5</v>
      </c>
      <c r="DG564" s="959"/>
      <c r="DH564" s="959"/>
      <c r="ER564" s="905">
        <v>3337</v>
      </c>
      <c r="ES564" s="906" t="s">
        <v>1052</v>
      </c>
      <c r="ET564" s="2686">
        <v>9</v>
      </c>
      <c r="EV564" s="985"/>
      <c r="EW564" s="985"/>
      <c r="EX564" s="387"/>
      <c r="EY564" s="939"/>
      <c r="EZ564" s="886"/>
    </row>
    <row r="565" spans="88:156">
      <c r="CJ565" s="197"/>
      <c r="CK565" s="197"/>
      <c r="CL565" s="197"/>
      <c r="CM565" s="213"/>
      <c r="CN565" s="213"/>
      <c r="CO565" s="197"/>
      <c r="CP565" s="197"/>
      <c r="CQ565" s="197"/>
      <c r="CR565" s="197"/>
      <c r="CS565" s="197"/>
      <c r="CT565" s="197"/>
      <c r="CU565" s="197"/>
      <c r="CV565" s="197"/>
      <c r="CW565" s="197"/>
      <c r="CX565" s="959"/>
      <c r="CY565" s="959"/>
      <c r="CZ565" s="959"/>
      <c r="DA565" s="959"/>
      <c r="DB565" s="959"/>
      <c r="DC565" s="891">
        <v>2854</v>
      </c>
      <c r="DD565" s="891" t="s">
        <v>2961</v>
      </c>
      <c r="DE565" s="891" t="s">
        <v>401</v>
      </c>
      <c r="DF565" s="891">
        <v>5</v>
      </c>
      <c r="DG565" s="959"/>
      <c r="DH565" s="959"/>
      <c r="ER565" s="905">
        <v>3341</v>
      </c>
      <c r="ES565" s="906" t="s">
        <v>1054</v>
      </c>
      <c r="ET565" s="2686">
        <v>9</v>
      </c>
      <c r="EV565" s="985"/>
      <c r="EW565" s="985"/>
      <c r="EX565" s="387"/>
      <c r="EY565" s="939"/>
      <c r="EZ565" s="886"/>
    </row>
    <row r="566" spans="88:156">
      <c r="CJ566" s="197"/>
      <c r="CK566" s="197"/>
      <c r="CL566" s="197"/>
      <c r="CM566" s="213"/>
      <c r="CN566" s="213"/>
      <c r="CO566" s="197"/>
      <c r="CP566" s="197"/>
      <c r="CQ566" s="197"/>
      <c r="CR566" s="197"/>
      <c r="CS566" s="197"/>
      <c r="CT566" s="197"/>
      <c r="CU566" s="197"/>
      <c r="CV566" s="197"/>
      <c r="CW566" s="197"/>
      <c r="CX566" s="959"/>
      <c r="CY566" s="959"/>
      <c r="CZ566" s="959"/>
      <c r="DA566" s="959"/>
      <c r="DB566" s="959"/>
      <c r="DC566" s="891">
        <v>2855</v>
      </c>
      <c r="DD566" s="891" t="s">
        <v>2962</v>
      </c>
      <c r="DE566" s="891" t="s">
        <v>401</v>
      </c>
      <c r="DF566" s="891">
        <v>6</v>
      </c>
      <c r="DG566" s="959"/>
      <c r="DH566" s="959"/>
      <c r="ER566" s="905">
        <v>3341</v>
      </c>
      <c r="ES566" s="906" t="s">
        <v>1053</v>
      </c>
      <c r="ET566" s="2686">
        <v>9</v>
      </c>
      <c r="EV566" s="985"/>
      <c r="EW566" s="985"/>
      <c r="EX566" s="387"/>
      <c r="EY566" s="939"/>
      <c r="EZ566" s="886"/>
    </row>
    <row r="567" spans="88:156">
      <c r="CJ567" s="197"/>
      <c r="CK567" s="197"/>
      <c r="CL567" s="197"/>
      <c r="CM567" s="213"/>
      <c r="CN567" s="213"/>
      <c r="CO567" s="197"/>
      <c r="CP567" s="197"/>
      <c r="CQ567" s="197"/>
      <c r="CR567" s="197"/>
      <c r="CS567" s="197"/>
      <c r="CT567" s="197"/>
      <c r="CU567" s="197"/>
      <c r="CV567" s="197"/>
      <c r="CW567" s="197"/>
      <c r="CX567" s="959"/>
      <c r="CY567" s="959"/>
      <c r="CZ567" s="959"/>
      <c r="DA567" s="959"/>
      <c r="DB567" s="959"/>
      <c r="DC567" s="891">
        <v>2856</v>
      </c>
      <c r="DD567" s="891" t="s">
        <v>2963</v>
      </c>
      <c r="DE567" s="891" t="s">
        <v>401</v>
      </c>
      <c r="DF567" s="891">
        <v>6</v>
      </c>
      <c r="DG567" s="959"/>
      <c r="DH567" s="959"/>
      <c r="ER567" s="905">
        <v>3343</v>
      </c>
      <c r="ES567" s="906" t="s">
        <v>1055</v>
      </c>
      <c r="ET567" s="2686">
        <v>9</v>
      </c>
      <c r="EV567" s="985"/>
      <c r="EW567" s="985"/>
      <c r="EX567" s="387"/>
      <c r="EY567" s="939"/>
      <c r="EZ567" s="886"/>
    </row>
    <row r="568" spans="88:156">
      <c r="CJ568" s="197"/>
      <c r="CK568" s="197"/>
      <c r="CL568" s="197"/>
      <c r="CM568" s="213"/>
      <c r="CN568" s="213"/>
      <c r="CO568" s="197"/>
      <c r="CP568" s="197"/>
      <c r="CQ568" s="197"/>
      <c r="CR568" s="197"/>
      <c r="CS568" s="197"/>
      <c r="CT568" s="197"/>
      <c r="CU568" s="197"/>
      <c r="CV568" s="197"/>
      <c r="CW568" s="197"/>
      <c r="CX568" s="959"/>
      <c r="CY568" s="959"/>
      <c r="CZ568" s="959"/>
      <c r="DA568" s="959"/>
      <c r="DB568" s="959"/>
      <c r="DC568" s="891">
        <v>2858</v>
      </c>
      <c r="DD568" s="891" t="s">
        <v>2964</v>
      </c>
      <c r="DE568" s="891" t="s">
        <v>401</v>
      </c>
      <c r="DF568" s="891">
        <v>6</v>
      </c>
      <c r="DG568" s="959"/>
      <c r="DH568" s="959"/>
      <c r="ER568" s="905">
        <v>3344</v>
      </c>
      <c r="ES568" s="906" t="s">
        <v>1056</v>
      </c>
      <c r="ET568" s="2686">
        <v>9</v>
      </c>
      <c r="EV568" s="985"/>
      <c r="EW568" s="985"/>
      <c r="EX568" s="387"/>
      <c r="EY568" s="939"/>
      <c r="EZ568" s="886"/>
    </row>
    <row r="569" spans="88:156">
      <c r="CJ569" s="197"/>
      <c r="CK569" s="197"/>
      <c r="CL569" s="197"/>
      <c r="CM569" s="213"/>
      <c r="CN569" s="213"/>
      <c r="CO569" s="197"/>
      <c r="CP569" s="197"/>
      <c r="CQ569" s="197"/>
      <c r="CR569" s="197"/>
      <c r="CS569" s="197"/>
      <c r="CT569" s="197"/>
      <c r="CU569" s="197"/>
      <c r="CV569" s="197"/>
      <c r="CW569" s="197"/>
      <c r="CX569" s="959"/>
      <c r="CY569" s="959"/>
      <c r="CZ569" s="959"/>
      <c r="DA569" s="959"/>
      <c r="DB569" s="959"/>
      <c r="DC569" s="891">
        <v>2859</v>
      </c>
      <c r="DD569" s="891" t="s">
        <v>2965</v>
      </c>
      <c r="DE569" s="891" t="s">
        <v>401</v>
      </c>
      <c r="DF569" s="891">
        <v>6</v>
      </c>
      <c r="DG569" s="959"/>
      <c r="DH569" s="959"/>
      <c r="ER569" s="905">
        <v>3345</v>
      </c>
      <c r="ES569" s="906" t="s">
        <v>1057</v>
      </c>
      <c r="ET569" s="2686">
        <v>9</v>
      </c>
      <c r="EV569" s="985"/>
      <c r="EW569" s="985"/>
      <c r="EX569" s="387"/>
      <c r="EY569" s="939"/>
      <c r="EZ569" s="886"/>
    </row>
    <row r="570" spans="88:156">
      <c r="CJ570" s="197"/>
      <c r="CK570" s="197"/>
      <c r="CL570" s="197"/>
      <c r="CM570" s="213"/>
      <c r="CN570" s="213"/>
      <c r="CO570" s="197"/>
      <c r="CP570" s="197"/>
      <c r="CQ570" s="197"/>
      <c r="CR570" s="197"/>
      <c r="CS570" s="197"/>
      <c r="CT570" s="197"/>
      <c r="CU570" s="197"/>
      <c r="CV570" s="197"/>
      <c r="CW570" s="197"/>
      <c r="CX570" s="959"/>
      <c r="CY570" s="959"/>
      <c r="CZ570" s="959"/>
      <c r="DA570" s="959"/>
      <c r="DB570" s="959"/>
      <c r="DC570" s="891">
        <v>2861</v>
      </c>
      <c r="DD570" s="891" t="s">
        <v>2966</v>
      </c>
      <c r="DE570" s="891" t="s">
        <v>401</v>
      </c>
      <c r="DF570" s="891">
        <v>6</v>
      </c>
      <c r="DG570" s="959"/>
      <c r="DH570" s="959"/>
      <c r="ER570" s="905">
        <v>3346</v>
      </c>
      <c r="ES570" s="906" t="s">
        <v>626</v>
      </c>
      <c r="ET570" s="2686">
        <v>9</v>
      </c>
      <c r="EV570" s="985"/>
      <c r="EW570" s="985"/>
      <c r="EX570" s="387"/>
      <c r="EY570" s="939"/>
      <c r="EZ570" s="886"/>
    </row>
    <row r="571" spans="88:156">
      <c r="CJ571" s="197"/>
      <c r="CK571" s="197"/>
      <c r="CL571" s="197"/>
      <c r="CM571" s="213"/>
      <c r="CN571" s="213"/>
      <c r="CO571" s="197"/>
      <c r="CP571" s="197"/>
      <c r="CQ571" s="197"/>
      <c r="CR571" s="197"/>
      <c r="CS571" s="197"/>
      <c r="CT571" s="197"/>
      <c r="CU571" s="197"/>
      <c r="CV571" s="197"/>
      <c r="CW571" s="197"/>
      <c r="CX571" s="959"/>
      <c r="CY571" s="959"/>
      <c r="CZ571" s="959"/>
      <c r="DA571" s="959"/>
      <c r="DB571" s="959"/>
      <c r="DC571" s="891">
        <v>2862</v>
      </c>
      <c r="DD571" s="891" t="s">
        <v>2967</v>
      </c>
      <c r="DE571" s="891" t="s">
        <v>401</v>
      </c>
      <c r="DF571" s="891">
        <v>6</v>
      </c>
      <c r="DG571" s="959"/>
      <c r="DH571" s="959"/>
      <c r="ER571" s="905">
        <v>3346</v>
      </c>
      <c r="ES571" s="906" t="s">
        <v>627</v>
      </c>
      <c r="ET571" s="2686">
        <v>9</v>
      </c>
      <c r="EV571" s="985"/>
      <c r="EW571" s="985"/>
      <c r="EX571" s="387"/>
      <c r="EY571" s="939"/>
      <c r="EZ571" s="886"/>
    </row>
    <row r="572" spans="88:156">
      <c r="CJ572" s="197"/>
      <c r="CK572" s="197"/>
      <c r="CL572" s="197"/>
      <c r="CM572" s="213"/>
      <c r="CN572" s="213"/>
      <c r="CO572" s="197"/>
      <c r="CP572" s="197"/>
      <c r="CQ572" s="197"/>
      <c r="CR572" s="197"/>
      <c r="CS572" s="197"/>
      <c r="CT572" s="197"/>
      <c r="CU572" s="197"/>
      <c r="CV572" s="197"/>
      <c r="CW572" s="197"/>
      <c r="CX572" s="959"/>
      <c r="CY572" s="959"/>
      <c r="CZ572" s="959"/>
      <c r="DA572" s="959"/>
      <c r="DB572" s="959"/>
      <c r="DC572" s="891">
        <v>2870</v>
      </c>
      <c r="DD572" s="891" t="s">
        <v>2968</v>
      </c>
      <c r="DE572" s="891" t="s">
        <v>401</v>
      </c>
      <c r="DF572" s="891">
        <v>6</v>
      </c>
      <c r="DG572" s="959"/>
      <c r="DH572" s="959"/>
      <c r="ER572" s="905">
        <v>3347</v>
      </c>
      <c r="ES572" s="906" t="s">
        <v>1059</v>
      </c>
      <c r="ET572" s="2686">
        <v>9</v>
      </c>
      <c r="EV572" s="985"/>
      <c r="EW572" s="985"/>
      <c r="EX572" s="387"/>
      <c r="EY572" s="939"/>
      <c r="EZ572" s="886"/>
    </row>
    <row r="573" spans="88:156">
      <c r="CJ573" s="197"/>
      <c r="CK573" s="197"/>
      <c r="CL573" s="197"/>
      <c r="CM573" s="213"/>
      <c r="CN573" s="213"/>
      <c r="CO573" s="197"/>
      <c r="CP573" s="197"/>
      <c r="CQ573" s="197"/>
      <c r="CR573" s="197"/>
      <c r="CS573" s="197"/>
      <c r="CT573" s="197"/>
      <c r="CU573" s="197"/>
      <c r="CV573" s="197"/>
      <c r="CW573" s="197"/>
      <c r="CX573" s="959"/>
      <c r="CY573" s="959"/>
      <c r="CZ573" s="959"/>
      <c r="DA573" s="959"/>
      <c r="DB573" s="959"/>
      <c r="DC573" s="891">
        <v>2879</v>
      </c>
      <c r="DD573" s="891" t="s">
        <v>2969</v>
      </c>
      <c r="DE573" s="891" t="s">
        <v>401</v>
      </c>
      <c r="DF573" s="891">
        <v>6</v>
      </c>
      <c r="DG573" s="959"/>
      <c r="DH573" s="959"/>
      <c r="ER573" s="905">
        <v>3348</v>
      </c>
      <c r="ES573" s="906" t="s">
        <v>1060</v>
      </c>
      <c r="ET573" s="2686">
        <v>9</v>
      </c>
      <c r="EV573" s="985"/>
      <c r="EW573" s="985"/>
      <c r="EX573" s="387"/>
      <c r="EY573" s="939"/>
      <c r="EZ573" s="886"/>
    </row>
    <row r="574" spans="88:156">
      <c r="CJ574" s="197"/>
      <c r="CK574" s="197"/>
      <c r="CL574" s="197"/>
      <c r="CM574" s="213"/>
      <c r="CN574" s="213"/>
      <c r="CO574" s="197"/>
      <c r="CP574" s="197"/>
      <c r="CQ574" s="197"/>
      <c r="CR574" s="197"/>
      <c r="CS574" s="197"/>
      <c r="CT574" s="197"/>
      <c r="CU574" s="197"/>
      <c r="CV574" s="197"/>
      <c r="CW574" s="197"/>
      <c r="CX574" s="959"/>
      <c r="CY574" s="959"/>
      <c r="CZ574" s="959"/>
      <c r="DA574" s="959"/>
      <c r="DB574" s="959"/>
      <c r="DC574" s="891">
        <v>2881</v>
      </c>
      <c r="DD574" s="891" t="s">
        <v>2970</v>
      </c>
      <c r="DE574" s="891" t="s">
        <v>401</v>
      </c>
      <c r="DF574" s="891">
        <v>6</v>
      </c>
      <c r="DG574" s="959"/>
      <c r="DH574" s="959"/>
      <c r="ER574" s="905">
        <v>3349</v>
      </c>
      <c r="ES574" s="906" t="s">
        <v>1061</v>
      </c>
      <c r="ET574" s="2686">
        <v>9</v>
      </c>
      <c r="EV574" s="985"/>
      <c r="EW574" s="985"/>
      <c r="EX574" s="387"/>
      <c r="EY574" s="939"/>
      <c r="EZ574" s="886"/>
    </row>
    <row r="575" spans="88:156">
      <c r="CJ575" s="197"/>
      <c r="CK575" s="197"/>
      <c r="CL575" s="197"/>
      <c r="CM575" s="213"/>
      <c r="CN575" s="213"/>
      <c r="CO575" s="197"/>
      <c r="CP575" s="197"/>
      <c r="CQ575" s="197"/>
      <c r="CR575" s="197"/>
      <c r="CS575" s="197"/>
      <c r="CT575" s="197"/>
      <c r="CU575" s="197"/>
      <c r="CV575" s="197"/>
      <c r="CW575" s="197"/>
      <c r="CX575" s="959"/>
      <c r="CY575" s="959"/>
      <c r="CZ575" s="959"/>
      <c r="DA575" s="959"/>
      <c r="DB575" s="959"/>
      <c r="DC575" s="891">
        <v>2882</v>
      </c>
      <c r="DD575" s="891" t="s">
        <v>2971</v>
      </c>
      <c r="DE575" s="891" t="s">
        <v>401</v>
      </c>
      <c r="DF575" s="891">
        <v>6</v>
      </c>
      <c r="DG575" s="959"/>
      <c r="DH575" s="959"/>
      <c r="ER575" s="905">
        <v>3350</v>
      </c>
      <c r="ES575" s="906" t="s">
        <v>1062</v>
      </c>
      <c r="ET575" s="2686">
        <v>9</v>
      </c>
      <c r="EV575" s="985"/>
      <c r="EW575" s="985"/>
      <c r="EX575" s="387"/>
      <c r="EY575" s="939"/>
      <c r="EZ575" s="886"/>
    </row>
    <row r="576" spans="88:156">
      <c r="CJ576" s="197"/>
      <c r="CK576" s="197"/>
      <c r="CL576" s="197"/>
      <c r="CM576" s="213"/>
      <c r="CN576" s="213"/>
      <c r="CO576" s="197"/>
      <c r="CP576" s="197"/>
      <c r="CQ576" s="197"/>
      <c r="CR576" s="197"/>
      <c r="CS576" s="197"/>
      <c r="CT576" s="197"/>
      <c r="CU576" s="197"/>
      <c r="CV576" s="197"/>
      <c r="CW576" s="197"/>
      <c r="CX576" s="959"/>
      <c r="CY576" s="959"/>
      <c r="CZ576" s="959"/>
      <c r="DA576" s="959"/>
      <c r="DB576" s="959"/>
      <c r="DC576" s="891">
        <v>2883</v>
      </c>
      <c r="DD576" s="891" t="s">
        <v>2972</v>
      </c>
      <c r="DE576" s="891" t="s">
        <v>401</v>
      </c>
      <c r="DF576" s="891">
        <v>6</v>
      </c>
      <c r="DG576" s="959"/>
      <c r="DH576" s="959"/>
      <c r="ER576" s="905">
        <v>3351</v>
      </c>
      <c r="ES576" s="906" t="s">
        <v>1063</v>
      </c>
      <c r="ET576" s="2686">
        <v>9</v>
      </c>
      <c r="EV576" s="985"/>
      <c r="EW576" s="985"/>
      <c r="EX576" s="387"/>
      <c r="EY576" s="939"/>
      <c r="EZ576" s="886"/>
    </row>
    <row r="577" spans="88:156">
      <c r="CJ577" s="197"/>
      <c r="CK577" s="197"/>
      <c r="CL577" s="197"/>
      <c r="CM577" s="213"/>
      <c r="CN577" s="213"/>
      <c r="CO577" s="197"/>
      <c r="CP577" s="197"/>
      <c r="CQ577" s="197"/>
      <c r="CR577" s="197"/>
      <c r="CS577" s="197"/>
      <c r="CT577" s="197"/>
      <c r="CU577" s="197"/>
      <c r="CV577" s="197"/>
      <c r="CW577" s="197"/>
      <c r="CX577" s="959"/>
      <c r="CY577" s="959"/>
      <c r="CZ577" s="959"/>
      <c r="DA577" s="959"/>
      <c r="DB577" s="959"/>
      <c r="DC577" s="891">
        <v>2884</v>
      </c>
      <c r="DD577" s="891" t="s">
        <v>2973</v>
      </c>
      <c r="DE577" s="891" t="s">
        <v>401</v>
      </c>
      <c r="DF577" s="891">
        <v>6</v>
      </c>
      <c r="DG577" s="959"/>
      <c r="DH577" s="959"/>
      <c r="ER577" s="905">
        <v>3352</v>
      </c>
      <c r="ES577" s="906" t="s">
        <v>1064</v>
      </c>
      <c r="ET577" s="2686">
        <v>9</v>
      </c>
      <c r="EV577" s="985"/>
      <c r="EW577" s="985"/>
      <c r="EX577" s="387"/>
      <c r="EY577" s="939"/>
      <c r="EZ577" s="886"/>
    </row>
    <row r="578" spans="88:156">
      <c r="CJ578" s="197"/>
      <c r="CK578" s="197"/>
      <c r="CL578" s="197"/>
      <c r="CM578" s="213"/>
      <c r="CN578" s="213"/>
      <c r="CO578" s="197"/>
      <c r="CP578" s="197"/>
      <c r="CQ578" s="197"/>
      <c r="CR578" s="197"/>
      <c r="CS578" s="197"/>
      <c r="CT578" s="197"/>
      <c r="CU578" s="197"/>
      <c r="CV578" s="197"/>
      <c r="CW578" s="197"/>
      <c r="CX578" s="959"/>
      <c r="CY578" s="959"/>
      <c r="CZ578" s="959"/>
      <c r="DA578" s="959"/>
      <c r="DB578" s="959"/>
      <c r="DC578" s="891">
        <v>2885</v>
      </c>
      <c r="DD578" s="891" t="s">
        <v>2974</v>
      </c>
      <c r="DE578" s="891" t="s">
        <v>401</v>
      </c>
      <c r="DF578" s="891">
        <v>6</v>
      </c>
      <c r="DG578" s="959"/>
      <c r="DH578" s="959"/>
      <c r="ER578" s="905">
        <v>3353</v>
      </c>
      <c r="ES578" s="906" t="s">
        <v>1065</v>
      </c>
      <c r="ET578" s="2686">
        <v>9</v>
      </c>
      <c r="EV578" s="985"/>
      <c r="EW578" s="985"/>
      <c r="EX578" s="387"/>
      <c r="EY578" s="939"/>
      <c r="EZ578" s="886"/>
    </row>
    <row r="579" spans="88:156">
      <c r="CJ579" s="197"/>
      <c r="CK579" s="197"/>
      <c r="CL579" s="197"/>
      <c r="CM579" s="213"/>
      <c r="CN579" s="213"/>
      <c r="CO579" s="197"/>
      <c r="CP579" s="197"/>
      <c r="CQ579" s="197"/>
      <c r="CR579" s="197"/>
      <c r="CS579" s="197"/>
      <c r="CT579" s="197"/>
      <c r="CU579" s="197"/>
      <c r="CV579" s="197"/>
      <c r="CW579" s="197"/>
      <c r="CX579" s="959"/>
      <c r="CY579" s="959"/>
      <c r="CZ579" s="959"/>
      <c r="DA579" s="959"/>
      <c r="DB579" s="959"/>
      <c r="DC579" s="891">
        <v>2886</v>
      </c>
      <c r="DD579" s="891" t="s">
        <v>2975</v>
      </c>
      <c r="DE579" s="891" t="s">
        <v>401</v>
      </c>
      <c r="DF579" s="891">
        <v>6</v>
      </c>
      <c r="DG579" s="959"/>
      <c r="DH579" s="959"/>
      <c r="ER579" s="905">
        <v>3354</v>
      </c>
      <c r="ES579" s="906" t="s">
        <v>874</v>
      </c>
      <c r="ET579" s="2686">
        <v>9</v>
      </c>
      <c r="EV579" s="985"/>
      <c r="EW579" s="985"/>
      <c r="EX579" s="387"/>
      <c r="EY579" s="939"/>
      <c r="EZ579" s="886"/>
    </row>
    <row r="580" spans="88:156">
      <c r="CJ580" s="197"/>
      <c r="CK580" s="197"/>
      <c r="CL580" s="197"/>
      <c r="CM580" s="213"/>
      <c r="CN580" s="213"/>
      <c r="CO580" s="197"/>
      <c r="CP580" s="197"/>
      <c r="CQ580" s="197"/>
      <c r="CR580" s="197"/>
      <c r="CS580" s="197"/>
      <c r="CT580" s="197"/>
      <c r="CU580" s="197"/>
      <c r="CV580" s="197"/>
      <c r="CW580" s="197"/>
      <c r="CX580" s="959"/>
      <c r="CY580" s="959"/>
      <c r="CZ580" s="959"/>
      <c r="DA580" s="959"/>
      <c r="DB580" s="959"/>
      <c r="DC580" s="891">
        <v>2887</v>
      </c>
      <c r="DD580" s="891" t="s">
        <v>2976</v>
      </c>
      <c r="DE580" s="891" t="s">
        <v>401</v>
      </c>
      <c r="DF580" s="891">
        <v>6</v>
      </c>
      <c r="DG580" s="959"/>
      <c r="DH580" s="959"/>
      <c r="ER580" s="905">
        <v>3355</v>
      </c>
      <c r="ES580" s="906" t="s">
        <v>875</v>
      </c>
      <c r="ET580" s="2686">
        <v>9</v>
      </c>
      <c r="EV580" s="985"/>
      <c r="EW580" s="985"/>
      <c r="EX580" s="387"/>
      <c r="EY580" s="939"/>
      <c r="EZ580" s="886"/>
    </row>
    <row r="581" spans="88:156">
      <c r="CJ581" s="197"/>
      <c r="CK581" s="197"/>
      <c r="CL581" s="197"/>
      <c r="CM581" s="213"/>
      <c r="CN581" s="213"/>
      <c r="CO581" s="197"/>
      <c r="CP581" s="197"/>
      <c r="CQ581" s="197"/>
      <c r="CR581" s="197"/>
      <c r="CS581" s="197"/>
      <c r="CT581" s="197"/>
      <c r="CU581" s="197"/>
      <c r="CV581" s="197"/>
      <c r="CW581" s="197"/>
      <c r="CX581" s="959"/>
      <c r="CY581" s="959"/>
      <c r="CZ581" s="959"/>
      <c r="DA581" s="959"/>
      <c r="DB581" s="959"/>
      <c r="DC581" s="891">
        <v>2888</v>
      </c>
      <c r="DD581" s="891" t="s">
        <v>2977</v>
      </c>
      <c r="DE581" s="891" t="s">
        <v>401</v>
      </c>
      <c r="DF581" s="891">
        <v>6</v>
      </c>
      <c r="DG581" s="959"/>
      <c r="DH581" s="959"/>
      <c r="ER581" s="905">
        <v>3356</v>
      </c>
      <c r="ES581" s="906" t="s">
        <v>876</v>
      </c>
      <c r="ET581" s="2686">
        <v>9</v>
      </c>
      <c r="EV581" s="985"/>
      <c r="EW581" s="985"/>
      <c r="EX581" s="387"/>
      <c r="EY581" s="939"/>
      <c r="EZ581" s="886"/>
    </row>
    <row r="582" spans="88:156">
      <c r="CJ582" s="197"/>
      <c r="CK582" s="197"/>
      <c r="CL582" s="197"/>
      <c r="CM582" s="213"/>
      <c r="CN582" s="213"/>
      <c r="CO582" s="197"/>
      <c r="CP582" s="197"/>
      <c r="CQ582" s="197"/>
      <c r="CR582" s="197"/>
      <c r="CS582" s="197"/>
      <c r="CT582" s="197"/>
      <c r="CU582" s="197"/>
      <c r="CV582" s="197"/>
      <c r="CW582" s="197"/>
      <c r="CX582" s="959"/>
      <c r="CY582" s="959"/>
      <c r="CZ582" s="959"/>
      <c r="DA582" s="959"/>
      <c r="DB582" s="959"/>
      <c r="DC582" s="891">
        <v>2889</v>
      </c>
      <c r="DD582" s="891" t="s">
        <v>2978</v>
      </c>
      <c r="DE582" s="891" t="s">
        <v>401</v>
      </c>
      <c r="DF582" s="891">
        <v>6</v>
      </c>
      <c r="DG582" s="959"/>
      <c r="DH582" s="959"/>
      <c r="ER582" s="905">
        <v>3357</v>
      </c>
      <c r="ES582" s="906" t="s">
        <v>877</v>
      </c>
      <c r="ET582" s="2686">
        <v>9</v>
      </c>
      <c r="EV582" s="985"/>
      <c r="EW582" s="985"/>
      <c r="EX582" s="387"/>
      <c r="EY582" s="939"/>
      <c r="EZ582" s="886"/>
    </row>
    <row r="583" spans="88:156">
      <c r="CJ583" s="197"/>
      <c r="CK583" s="197"/>
      <c r="CL583" s="197"/>
      <c r="CM583" s="213"/>
      <c r="CN583" s="213"/>
      <c r="CO583" s="197"/>
      <c r="CP583" s="197"/>
      <c r="CQ583" s="197"/>
      <c r="CR583" s="197"/>
      <c r="CS583" s="197"/>
      <c r="CT583" s="197"/>
      <c r="CU583" s="197"/>
      <c r="CV583" s="197"/>
      <c r="CW583" s="197"/>
      <c r="CX583" s="959"/>
      <c r="CY583" s="959"/>
      <c r="CZ583" s="959"/>
      <c r="DA583" s="959"/>
      <c r="DB583" s="959"/>
      <c r="DC583" s="891">
        <v>2890</v>
      </c>
      <c r="DD583" s="891" t="s">
        <v>2979</v>
      </c>
      <c r="DE583" s="891" t="s">
        <v>401</v>
      </c>
      <c r="DF583" s="891">
        <v>6</v>
      </c>
      <c r="DG583" s="959"/>
      <c r="DH583" s="959"/>
      <c r="ER583" s="905">
        <v>3358</v>
      </c>
      <c r="ES583" s="906" t="s">
        <v>878</v>
      </c>
      <c r="ET583" s="2686">
        <v>9</v>
      </c>
      <c r="EV583" s="985"/>
      <c r="EW583" s="985"/>
      <c r="EX583" s="387"/>
      <c r="EY583" s="939"/>
      <c r="EZ583" s="886"/>
    </row>
    <row r="584" spans="88:156">
      <c r="CJ584" s="197"/>
      <c r="CK584" s="197"/>
      <c r="CL584" s="197"/>
      <c r="CM584" s="213"/>
      <c r="CN584" s="213"/>
      <c r="CO584" s="197"/>
      <c r="CP584" s="197"/>
      <c r="CQ584" s="197"/>
      <c r="CR584" s="197"/>
      <c r="CS584" s="197"/>
      <c r="CT584" s="197"/>
      <c r="CU584" s="197"/>
      <c r="CV584" s="197"/>
      <c r="CW584" s="197"/>
      <c r="CX584" s="959"/>
      <c r="CY584" s="959"/>
      <c r="CZ584" s="959"/>
      <c r="DA584" s="959"/>
      <c r="DB584" s="959"/>
      <c r="DC584" s="891">
        <v>2896</v>
      </c>
      <c r="DD584" s="891" t="s">
        <v>2980</v>
      </c>
      <c r="DE584" s="891" t="s">
        <v>401</v>
      </c>
      <c r="DF584" s="891">
        <v>6</v>
      </c>
      <c r="DG584" s="959"/>
      <c r="DH584" s="959"/>
      <c r="ER584" s="905">
        <v>3359</v>
      </c>
      <c r="ES584" s="906" t="s">
        <v>879</v>
      </c>
      <c r="ET584" s="2686">
        <v>9</v>
      </c>
      <c r="EV584" s="985"/>
      <c r="EW584" s="985"/>
      <c r="EX584" s="387"/>
      <c r="EY584" s="939"/>
      <c r="EZ584" s="886"/>
    </row>
    <row r="585" spans="88:156">
      <c r="CJ585" s="197"/>
      <c r="CK585" s="197"/>
      <c r="CL585" s="197"/>
      <c r="CM585" s="213"/>
      <c r="CN585" s="213"/>
      <c r="CO585" s="197"/>
      <c r="CP585" s="197"/>
      <c r="CQ585" s="197"/>
      <c r="CR585" s="197"/>
      <c r="CS585" s="197"/>
      <c r="CT585" s="197"/>
      <c r="CU585" s="197"/>
      <c r="CV585" s="197"/>
      <c r="CW585" s="197"/>
      <c r="CX585" s="959"/>
      <c r="CY585" s="959"/>
      <c r="CZ585" s="959"/>
      <c r="DA585" s="959"/>
      <c r="DB585" s="959"/>
      <c r="DC585" s="891">
        <v>2897</v>
      </c>
      <c r="DD585" s="891" t="s">
        <v>2981</v>
      </c>
      <c r="DE585" s="891" t="s">
        <v>401</v>
      </c>
      <c r="DF585" s="891">
        <v>6</v>
      </c>
      <c r="DG585" s="959"/>
      <c r="DH585" s="959"/>
      <c r="ER585" s="905">
        <v>3360</v>
      </c>
      <c r="ES585" s="906" t="s">
        <v>410</v>
      </c>
      <c r="ET585" s="2686">
        <v>9</v>
      </c>
      <c r="EV585" s="985"/>
      <c r="EW585" s="985"/>
      <c r="EX585" s="387"/>
      <c r="EY585" s="939"/>
      <c r="EZ585" s="886"/>
    </row>
    <row r="586" spans="88:156">
      <c r="CJ586" s="197"/>
      <c r="CK586" s="197"/>
      <c r="CL586" s="197"/>
      <c r="CM586" s="213"/>
      <c r="CN586" s="213"/>
      <c r="CO586" s="197"/>
      <c r="CP586" s="197"/>
      <c r="CQ586" s="197"/>
      <c r="CR586" s="197"/>
      <c r="CS586" s="197"/>
      <c r="CT586" s="197"/>
      <c r="CU586" s="197"/>
      <c r="CV586" s="197"/>
      <c r="CW586" s="197"/>
      <c r="CX586" s="959"/>
      <c r="CY586" s="959"/>
      <c r="CZ586" s="959"/>
      <c r="DA586" s="959"/>
      <c r="DB586" s="959"/>
      <c r="DC586" s="891">
        <v>2898</v>
      </c>
      <c r="DD586" s="891" t="s">
        <v>2982</v>
      </c>
      <c r="DE586" s="891" t="s">
        <v>401</v>
      </c>
      <c r="DF586" s="891">
        <v>6</v>
      </c>
      <c r="DG586" s="959"/>
      <c r="DH586" s="959"/>
      <c r="ER586" s="905">
        <v>3368</v>
      </c>
      <c r="ES586" s="906" t="s">
        <v>880</v>
      </c>
      <c r="ET586" s="2686">
        <v>9</v>
      </c>
      <c r="EV586" s="985"/>
      <c r="EW586" s="985"/>
      <c r="EX586" s="387"/>
      <c r="EY586" s="939"/>
      <c r="EZ586" s="886"/>
    </row>
    <row r="587" spans="88:156">
      <c r="CJ587" s="197"/>
      <c r="CK587" s="197"/>
      <c r="CL587" s="197"/>
      <c r="CM587" s="213"/>
      <c r="CN587" s="213"/>
      <c r="CO587" s="197"/>
      <c r="CP587" s="197"/>
      <c r="CQ587" s="197"/>
      <c r="CR587" s="197"/>
      <c r="CS587" s="197"/>
      <c r="CT587" s="197"/>
      <c r="CU587" s="197"/>
      <c r="CV587" s="197"/>
      <c r="CW587" s="197"/>
      <c r="CX587" s="959"/>
      <c r="CY587" s="959"/>
      <c r="CZ587" s="959"/>
      <c r="DA587" s="959"/>
      <c r="DB587" s="959"/>
      <c r="DC587" s="891">
        <v>2899</v>
      </c>
      <c r="DD587" s="891" t="s">
        <v>2983</v>
      </c>
      <c r="DE587" s="891" t="s">
        <v>401</v>
      </c>
      <c r="DF587" s="891">
        <v>6</v>
      </c>
      <c r="DG587" s="959"/>
      <c r="DH587" s="959"/>
      <c r="ER587" s="905">
        <v>3369</v>
      </c>
      <c r="ES587" s="906" t="s">
        <v>881</v>
      </c>
      <c r="ET587" s="2686">
        <v>9</v>
      </c>
      <c r="EV587" s="985"/>
      <c r="EW587" s="985"/>
      <c r="EX587" s="387"/>
      <c r="EY587" s="939"/>
      <c r="EZ587" s="886"/>
    </row>
    <row r="588" spans="88:156">
      <c r="CJ588" s="197"/>
      <c r="CK588" s="197"/>
      <c r="CL588" s="197"/>
      <c r="CM588" s="213"/>
      <c r="CN588" s="213"/>
      <c r="CO588" s="197"/>
      <c r="CP588" s="197"/>
      <c r="CQ588" s="197"/>
      <c r="CR588" s="197"/>
      <c r="CS588" s="197"/>
      <c r="CT588" s="197"/>
      <c r="CU588" s="197"/>
      <c r="CV588" s="197"/>
      <c r="CW588" s="197"/>
      <c r="CX588" s="959"/>
      <c r="CY588" s="959"/>
      <c r="CZ588" s="959"/>
      <c r="DA588" s="959"/>
      <c r="DB588" s="959"/>
      <c r="DC588" s="891">
        <v>2900</v>
      </c>
      <c r="DD588" s="891" t="s">
        <v>2984</v>
      </c>
      <c r="DE588" s="891" t="s">
        <v>401</v>
      </c>
      <c r="DF588" s="891">
        <v>6</v>
      </c>
      <c r="DG588" s="959"/>
      <c r="DH588" s="959"/>
      <c r="ER588" s="905">
        <v>3371</v>
      </c>
      <c r="ES588" s="906" t="s">
        <v>882</v>
      </c>
      <c r="ET588" s="2686">
        <v>9</v>
      </c>
      <c r="EV588" s="985"/>
      <c r="EW588" s="985"/>
      <c r="EX588" s="387"/>
      <c r="EY588" s="939"/>
      <c r="EZ588" s="886"/>
    </row>
    <row r="589" spans="88:156">
      <c r="CJ589" s="197"/>
      <c r="CK589" s="197"/>
      <c r="CL589" s="197"/>
      <c r="CM589" s="213"/>
      <c r="CN589" s="213"/>
      <c r="CO589" s="197"/>
      <c r="CP589" s="197"/>
      <c r="CQ589" s="197"/>
      <c r="CR589" s="197"/>
      <c r="CS589" s="197"/>
      <c r="CT589" s="197"/>
      <c r="CU589" s="197"/>
      <c r="CV589" s="197"/>
      <c r="CW589" s="197"/>
      <c r="CX589" s="959"/>
      <c r="CY589" s="959"/>
      <c r="CZ589" s="959"/>
      <c r="DA589" s="959"/>
      <c r="DB589" s="959"/>
      <c r="DC589" s="891">
        <v>2903</v>
      </c>
      <c r="DD589" s="891" t="s">
        <v>2985</v>
      </c>
      <c r="DE589" s="891" t="s">
        <v>401</v>
      </c>
      <c r="DF589" s="891">
        <v>6</v>
      </c>
      <c r="DG589" s="959"/>
      <c r="DH589" s="959"/>
      <c r="ER589" s="905">
        <v>3372</v>
      </c>
      <c r="ES589" s="906" t="s">
        <v>883</v>
      </c>
      <c r="ET589" s="2686">
        <v>9</v>
      </c>
      <c r="EV589" s="985"/>
      <c r="EW589" s="985"/>
      <c r="EX589" s="387"/>
      <c r="EY589" s="939"/>
      <c r="EZ589" s="886"/>
    </row>
    <row r="590" spans="88:156">
      <c r="CJ590" s="197"/>
      <c r="CK590" s="197"/>
      <c r="CL590" s="197"/>
      <c r="CM590" s="213"/>
      <c r="CN590" s="213"/>
      <c r="CO590" s="197"/>
      <c r="CP590" s="197"/>
      <c r="CQ590" s="197"/>
      <c r="CR590" s="197"/>
      <c r="CS590" s="197"/>
      <c r="CT590" s="197"/>
      <c r="CU590" s="197"/>
      <c r="CV590" s="197"/>
      <c r="CW590" s="197"/>
      <c r="CX590" s="959"/>
      <c r="CY590" s="959"/>
      <c r="CZ590" s="959"/>
      <c r="DA590" s="959"/>
      <c r="DB590" s="959"/>
      <c r="DC590" s="891">
        <v>2911</v>
      </c>
      <c r="DD590" s="891" t="s">
        <v>2986</v>
      </c>
      <c r="DE590" s="891" t="s">
        <v>401</v>
      </c>
      <c r="DF590" s="891">
        <v>6</v>
      </c>
      <c r="DG590" s="959"/>
      <c r="DH590" s="959"/>
      <c r="ER590" s="905">
        <v>3373</v>
      </c>
      <c r="ES590" s="906" t="s">
        <v>884</v>
      </c>
      <c r="ET590" s="2686">
        <v>9</v>
      </c>
      <c r="EV590" s="985"/>
      <c r="EW590" s="985"/>
      <c r="EX590" s="387"/>
      <c r="EY590" s="939"/>
      <c r="EZ590" s="886"/>
    </row>
    <row r="591" spans="88:156">
      <c r="CJ591" s="197"/>
      <c r="CK591" s="197"/>
      <c r="CL591" s="197"/>
      <c r="CM591" s="213"/>
      <c r="CN591" s="213"/>
      <c r="CO591" s="197"/>
      <c r="CP591" s="197"/>
      <c r="CQ591" s="197"/>
      <c r="CR591" s="197"/>
      <c r="CS591" s="197"/>
      <c r="CT591" s="197"/>
      <c r="CU591" s="197"/>
      <c r="CV591" s="197"/>
      <c r="CW591" s="197"/>
      <c r="CX591" s="959"/>
      <c r="CY591" s="959"/>
      <c r="CZ591" s="959"/>
      <c r="DA591" s="959"/>
      <c r="DB591" s="959"/>
      <c r="DC591" s="891">
        <v>2921</v>
      </c>
      <c r="DD591" s="891" t="s">
        <v>2987</v>
      </c>
      <c r="DE591" s="891" t="s">
        <v>401</v>
      </c>
      <c r="DF591" s="891">
        <v>6</v>
      </c>
      <c r="DG591" s="959"/>
      <c r="DH591" s="959"/>
      <c r="ER591" s="905">
        <v>3374</v>
      </c>
      <c r="ES591" s="906" t="s">
        <v>885</v>
      </c>
      <c r="ET591" s="2686">
        <v>9</v>
      </c>
      <c r="EV591" s="985"/>
      <c r="EW591" s="985"/>
      <c r="EX591" s="387"/>
      <c r="EY591" s="939"/>
      <c r="EZ591" s="886"/>
    </row>
    <row r="592" spans="88:156">
      <c r="CJ592" s="197"/>
      <c r="CK592" s="197"/>
      <c r="CL592" s="197"/>
      <c r="CM592" s="213"/>
      <c r="CN592" s="213"/>
      <c r="CO592" s="197"/>
      <c r="CP592" s="197"/>
      <c r="CQ592" s="197"/>
      <c r="CR592" s="197"/>
      <c r="CS592" s="197"/>
      <c r="CT592" s="197"/>
      <c r="CU592" s="197"/>
      <c r="CV592" s="197"/>
      <c r="CW592" s="197"/>
      <c r="CX592" s="959"/>
      <c r="CY592" s="959"/>
      <c r="CZ592" s="959"/>
      <c r="DA592" s="959"/>
      <c r="DB592" s="959"/>
      <c r="DC592" s="891">
        <v>2931</v>
      </c>
      <c r="DD592" s="891" t="s">
        <v>2988</v>
      </c>
      <c r="DE592" s="891" t="s">
        <v>401</v>
      </c>
      <c r="DF592" s="891">
        <v>6</v>
      </c>
      <c r="DG592" s="959"/>
      <c r="DH592" s="959"/>
      <c r="ER592" s="905">
        <v>3375</v>
      </c>
      <c r="ES592" s="906" t="s">
        <v>886</v>
      </c>
      <c r="ET592" s="2686">
        <v>9</v>
      </c>
      <c r="EV592" s="985"/>
      <c r="EW592" s="985"/>
      <c r="EX592" s="387"/>
      <c r="EY592" s="939"/>
      <c r="EZ592" s="886"/>
    </row>
    <row r="593" spans="88:156">
      <c r="CJ593" s="197"/>
      <c r="CK593" s="197"/>
      <c r="CL593" s="197"/>
      <c r="CM593" s="213"/>
      <c r="CN593" s="213"/>
      <c r="CO593" s="197"/>
      <c r="CP593" s="197"/>
      <c r="CQ593" s="197"/>
      <c r="CR593" s="197"/>
      <c r="CS593" s="197"/>
      <c r="CT593" s="197"/>
      <c r="CU593" s="197"/>
      <c r="CV593" s="197"/>
      <c r="CW593" s="197"/>
      <c r="CX593" s="959"/>
      <c r="CY593" s="959"/>
      <c r="CZ593" s="959"/>
      <c r="DA593" s="959"/>
      <c r="DB593" s="959"/>
      <c r="DC593" s="891">
        <v>2941</v>
      </c>
      <c r="DD593" s="891" t="s">
        <v>2989</v>
      </c>
      <c r="DE593" s="891" t="s">
        <v>401</v>
      </c>
      <c r="DF593" s="891">
        <v>6</v>
      </c>
      <c r="DG593" s="959"/>
      <c r="DH593" s="959"/>
      <c r="ER593" s="905">
        <v>3377</v>
      </c>
      <c r="ES593" s="906" t="s">
        <v>887</v>
      </c>
      <c r="ET593" s="2686">
        <v>9</v>
      </c>
      <c r="EV593" s="985"/>
      <c r="EW593" s="985"/>
      <c r="EX593" s="387"/>
      <c r="EY593" s="939"/>
      <c r="EZ593" s="886"/>
    </row>
    <row r="594" spans="88:156">
      <c r="CJ594" s="197"/>
      <c r="CK594" s="197"/>
      <c r="CL594" s="197"/>
      <c r="CM594" s="213"/>
      <c r="CN594" s="213"/>
      <c r="CO594" s="197"/>
      <c r="CP594" s="197"/>
      <c r="CQ594" s="197"/>
      <c r="CR594" s="197"/>
      <c r="CS594" s="197"/>
      <c r="CT594" s="197"/>
      <c r="CU594" s="197"/>
      <c r="CV594" s="197"/>
      <c r="CW594" s="197"/>
      <c r="CX594" s="959"/>
      <c r="CY594" s="959"/>
      <c r="CZ594" s="959"/>
      <c r="DA594" s="959"/>
      <c r="DB594" s="959"/>
      <c r="DC594" s="891">
        <v>2942</v>
      </c>
      <c r="DD594" s="891" t="s">
        <v>2990</v>
      </c>
      <c r="DE594" s="891" t="s">
        <v>401</v>
      </c>
      <c r="DF594" s="891">
        <v>6</v>
      </c>
      <c r="DG594" s="959"/>
      <c r="DH594" s="959"/>
      <c r="ER594" s="905">
        <v>3378</v>
      </c>
      <c r="ES594" s="906" t="s">
        <v>888</v>
      </c>
      <c r="ET594" s="2686">
        <v>9</v>
      </c>
      <c r="EV594" s="985"/>
      <c r="EW594" s="985"/>
      <c r="EX594" s="387"/>
      <c r="EY594" s="939"/>
      <c r="EZ594" s="886"/>
    </row>
    <row r="595" spans="88:156">
      <c r="CJ595" s="197"/>
      <c r="CK595" s="197"/>
      <c r="CL595" s="197"/>
      <c r="CM595" s="213"/>
      <c r="CN595" s="213"/>
      <c r="CO595" s="197"/>
      <c r="CP595" s="197"/>
      <c r="CQ595" s="197"/>
      <c r="CR595" s="197"/>
      <c r="CS595" s="197"/>
      <c r="CT595" s="197"/>
      <c r="CU595" s="197"/>
      <c r="CV595" s="197"/>
      <c r="CW595" s="197"/>
      <c r="CX595" s="959"/>
      <c r="CY595" s="959"/>
      <c r="CZ595" s="959"/>
      <c r="DA595" s="959"/>
      <c r="DB595" s="959"/>
      <c r="DC595" s="891">
        <v>2943</v>
      </c>
      <c r="DD595" s="891" t="s">
        <v>2991</v>
      </c>
      <c r="DE595" s="891" t="s">
        <v>401</v>
      </c>
      <c r="DF595" s="891">
        <v>6</v>
      </c>
      <c r="DG595" s="959"/>
      <c r="DH595" s="959"/>
      <c r="ER595" s="905">
        <v>3379</v>
      </c>
      <c r="ES595" s="906" t="s">
        <v>889</v>
      </c>
      <c r="ET595" s="2686">
        <v>9</v>
      </c>
      <c r="EV595" s="985"/>
      <c r="EW595" s="985"/>
      <c r="EX595" s="387"/>
      <c r="EY595" s="939"/>
      <c r="EZ595" s="886"/>
    </row>
    <row r="596" spans="88:156">
      <c r="CJ596" s="197"/>
      <c r="CK596" s="197"/>
      <c r="CL596" s="197"/>
      <c r="CM596" s="213"/>
      <c r="CN596" s="213"/>
      <c r="CO596" s="197"/>
      <c r="CP596" s="197"/>
      <c r="CQ596" s="197"/>
      <c r="CR596" s="197"/>
      <c r="CS596" s="197"/>
      <c r="CT596" s="197"/>
      <c r="CU596" s="197"/>
      <c r="CV596" s="197"/>
      <c r="CW596" s="197"/>
      <c r="CX596" s="959"/>
      <c r="CY596" s="959"/>
      <c r="CZ596" s="959"/>
      <c r="DA596" s="959"/>
      <c r="DB596" s="959"/>
      <c r="DC596" s="891">
        <v>2944</v>
      </c>
      <c r="DD596" s="891" t="s">
        <v>2992</v>
      </c>
      <c r="DE596" s="891" t="s">
        <v>401</v>
      </c>
      <c r="DF596" s="891">
        <v>6</v>
      </c>
      <c r="DG596" s="959"/>
      <c r="DH596" s="959"/>
      <c r="ER596" s="905">
        <v>3381</v>
      </c>
      <c r="ES596" s="906" t="s">
        <v>890</v>
      </c>
      <c r="ET596" s="2686">
        <v>9</v>
      </c>
      <c r="EV596" s="985"/>
      <c r="EW596" s="985"/>
      <c r="EX596" s="387"/>
      <c r="EY596" s="939"/>
      <c r="EZ596" s="886"/>
    </row>
    <row r="597" spans="88:156">
      <c r="CJ597" s="197"/>
      <c r="CK597" s="197"/>
      <c r="CL597" s="197"/>
      <c r="CM597" s="213"/>
      <c r="CN597" s="213"/>
      <c r="CO597" s="197"/>
      <c r="CP597" s="197"/>
      <c r="CQ597" s="197"/>
      <c r="CR597" s="197"/>
      <c r="CS597" s="197"/>
      <c r="CT597" s="197"/>
      <c r="CU597" s="197"/>
      <c r="CV597" s="197"/>
      <c r="CW597" s="197"/>
      <c r="CX597" s="959"/>
      <c r="CY597" s="959"/>
      <c r="CZ597" s="959"/>
      <c r="DA597" s="959"/>
      <c r="DB597" s="959"/>
      <c r="DC597" s="891">
        <v>2945</v>
      </c>
      <c r="DD597" s="891" t="s">
        <v>2993</v>
      </c>
      <c r="DE597" s="891" t="s">
        <v>401</v>
      </c>
      <c r="DF597" s="891">
        <v>6</v>
      </c>
      <c r="DG597" s="959"/>
      <c r="DH597" s="959"/>
      <c r="ER597" s="905">
        <v>3382</v>
      </c>
      <c r="ES597" s="906" t="s">
        <v>891</v>
      </c>
      <c r="ET597" s="2686">
        <v>9</v>
      </c>
      <c r="EV597" s="985"/>
      <c r="EW597" s="985"/>
      <c r="EX597" s="387"/>
      <c r="EY597" s="939"/>
      <c r="EZ597" s="886"/>
    </row>
    <row r="598" spans="88:156">
      <c r="CJ598" s="197"/>
      <c r="CK598" s="197"/>
      <c r="CL598" s="197"/>
      <c r="CM598" s="213"/>
      <c r="CN598" s="213"/>
      <c r="CO598" s="197"/>
      <c r="CP598" s="197"/>
      <c r="CQ598" s="197"/>
      <c r="CR598" s="197"/>
      <c r="CS598" s="197"/>
      <c r="CT598" s="197"/>
      <c r="CU598" s="197"/>
      <c r="CV598" s="197"/>
      <c r="CW598" s="197"/>
      <c r="CX598" s="959"/>
      <c r="CY598" s="959"/>
      <c r="CZ598" s="959"/>
      <c r="DA598" s="959"/>
      <c r="DB598" s="959"/>
      <c r="DC598" s="891">
        <v>2946</v>
      </c>
      <c r="DD598" s="891" t="s">
        <v>2994</v>
      </c>
      <c r="DE598" s="891" t="s">
        <v>401</v>
      </c>
      <c r="DF598" s="891">
        <v>6</v>
      </c>
      <c r="DG598" s="959"/>
      <c r="DH598" s="959"/>
      <c r="ER598" s="905">
        <v>3383</v>
      </c>
      <c r="ES598" s="906" t="s">
        <v>892</v>
      </c>
      <c r="ET598" s="2686">
        <v>9</v>
      </c>
      <c r="EV598" s="985"/>
      <c r="EW598" s="985"/>
      <c r="EX598" s="387"/>
      <c r="EY598" s="939"/>
      <c r="EZ598" s="886"/>
    </row>
    <row r="599" spans="88:156">
      <c r="CJ599" s="197"/>
      <c r="CK599" s="197"/>
      <c r="CL599" s="197"/>
      <c r="CM599" s="213"/>
      <c r="CN599" s="213"/>
      <c r="CO599" s="197"/>
      <c r="CP599" s="197"/>
      <c r="CQ599" s="197"/>
      <c r="CR599" s="197"/>
      <c r="CS599" s="197"/>
      <c r="CT599" s="197"/>
      <c r="CU599" s="197"/>
      <c r="CV599" s="197"/>
      <c r="CW599" s="197"/>
      <c r="CX599" s="959"/>
      <c r="CY599" s="959"/>
      <c r="CZ599" s="959"/>
      <c r="DA599" s="959"/>
      <c r="DB599" s="959"/>
      <c r="DC599" s="891">
        <v>2947</v>
      </c>
      <c r="DD599" s="891" t="s">
        <v>2995</v>
      </c>
      <c r="DE599" s="891" t="s">
        <v>401</v>
      </c>
      <c r="DF599" s="891">
        <v>6</v>
      </c>
      <c r="DG599" s="959"/>
      <c r="DH599" s="959"/>
      <c r="ER599" s="905">
        <v>3384</v>
      </c>
      <c r="ES599" s="906" t="s">
        <v>893</v>
      </c>
      <c r="ET599" s="2686">
        <v>9</v>
      </c>
      <c r="EV599" s="985"/>
      <c r="EW599" s="985"/>
      <c r="EX599" s="387"/>
      <c r="EY599" s="939"/>
      <c r="EZ599" s="886"/>
    </row>
    <row r="600" spans="88:156">
      <c r="CJ600" s="197"/>
      <c r="CK600" s="197"/>
      <c r="CL600" s="197"/>
      <c r="CM600" s="213"/>
      <c r="CN600" s="213"/>
      <c r="CO600" s="197"/>
      <c r="CP600" s="197"/>
      <c r="CQ600" s="197"/>
      <c r="CR600" s="197"/>
      <c r="CS600" s="197"/>
      <c r="CT600" s="197"/>
      <c r="CU600" s="197"/>
      <c r="CV600" s="197"/>
      <c r="CW600" s="197"/>
      <c r="CX600" s="959"/>
      <c r="CY600" s="959"/>
      <c r="CZ600" s="959"/>
      <c r="DA600" s="959"/>
      <c r="DB600" s="959"/>
      <c r="DC600" s="891">
        <v>2948</v>
      </c>
      <c r="DD600" s="891" t="s">
        <v>2996</v>
      </c>
      <c r="DE600" s="891" t="s">
        <v>401</v>
      </c>
      <c r="DF600" s="891">
        <v>6</v>
      </c>
      <c r="DG600" s="959"/>
      <c r="DH600" s="959"/>
      <c r="ER600" s="905">
        <v>3385</v>
      </c>
      <c r="ES600" s="906" t="s">
        <v>894</v>
      </c>
      <c r="ET600" s="2686">
        <v>9</v>
      </c>
      <c r="EV600" s="985"/>
      <c r="EW600" s="985"/>
      <c r="EX600" s="387"/>
      <c r="EY600" s="939"/>
      <c r="EZ600" s="886"/>
    </row>
    <row r="601" spans="88:156">
      <c r="CJ601" s="197"/>
      <c r="CK601" s="197"/>
      <c r="CL601" s="197"/>
      <c r="CM601" s="213"/>
      <c r="CN601" s="213"/>
      <c r="CO601" s="197"/>
      <c r="CP601" s="197"/>
      <c r="CQ601" s="197"/>
      <c r="CR601" s="197"/>
      <c r="CS601" s="197"/>
      <c r="CT601" s="197"/>
      <c r="CU601" s="197"/>
      <c r="CV601" s="197"/>
      <c r="CW601" s="197"/>
      <c r="CX601" s="959"/>
      <c r="CY601" s="959"/>
      <c r="CZ601" s="959"/>
      <c r="DA601" s="959"/>
      <c r="DB601" s="959"/>
      <c r="DC601" s="891">
        <v>2949</v>
      </c>
      <c r="DD601" s="891" t="s">
        <v>2997</v>
      </c>
      <c r="DE601" s="891" t="s">
        <v>401</v>
      </c>
      <c r="DF601" s="891">
        <v>6</v>
      </c>
      <c r="DG601" s="959"/>
      <c r="DH601" s="959"/>
      <c r="ER601" s="905">
        <v>3386</v>
      </c>
      <c r="ES601" s="906" t="s">
        <v>895</v>
      </c>
      <c r="ET601" s="2686">
        <v>9</v>
      </c>
      <c r="EV601" s="985"/>
      <c r="EW601" s="985"/>
      <c r="EX601" s="387"/>
      <c r="EY601" s="939"/>
      <c r="EZ601" s="886"/>
    </row>
    <row r="602" spans="88:156">
      <c r="CJ602" s="197"/>
      <c r="CK602" s="197"/>
      <c r="CL602" s="197"/>
      <c r="CM602" s="213"/>
      <c r="CN602" s="213"/>
      <c r="CO602" s="197"/>
      <c r="CP602" s="197"/>
      <c r="CQ602" s="197"/>
      <c r="CR602" s="197"/>
      <c r="CS602" s="197"/>
      <c r="CT602" s="197"/>
      <c r="CU602" s="197"/>
      <c r="CV602" s="197"/>
      <c r="CW602" s="197"/>
      <c r="CX602" s="959"/>
      <c r="CY602" s="959"/>
      <c r="CZ602" s="959"/>
      <c r="DA602" s="959"/>
      <c r="DB602" s="959"/>
      <c r="DC602" s="891">
        <v>3000</v>
      </c>
      <c r="DD602" s="891" t="s">
        <v>2998</v>
      </c>
      <c r="DE602" s="891" t="s">
        <v>401</v>
      </c>
      <c r="DF602" s="891">
        <v>6</v>
      </c>
      <c r="DG602" s="959"/>
      <c r="DH602" s="959"/>
      <c r="ER602" s="905">
        <v>3387</v>
      </c>
      <c r="ES602" s="906" t="s">
        <v>896</v>
      </c>
      <c r="ET602" s="2686">
        <v>9</v>
      </c>
      <c r="EV602" s="985"/>
      <c r="EW602" s="985"/>
      <c r="EX602" s="387"/>
      <c r="EY602" s="939"/>
      <c r="EZ602" s="886"/>
    </row>
    <row r="603" spans="88:156">
      <c r="CJ603" s="197"/>
      <c r="CK603" s="197"/>
      <c r="CL603" s="197"/>
      <c r="CM603" s="213"/>
      <c r="CN603" s="213"/>
      <c r="CO603" s="197"/>
      <c r="CP603" s="197"/>
      <c r="CQ603" s="197"/>
      <c r="CR603" s="197"/>
      <c r="CS603" s="197"/>
      <c r="CT603" s="197"/>
      <c r="CU603" s="197"/>
      <c r="CV603" s="197"/>
      <c r="CW603" s="197"/>
      <c r="CX603" s="959"/>
      <c r="CY603" s="959"/>
      <c r="CZ603" s="959"/>
      <c r="DA603" s="959"/>
      <c r="DB603" s="959"/>
      <c r="DC603" s="891">
        <v>3009</v>
      </c>
      <c r="DD603" s="891" t="s">
        <v>2999</v>
      </c>
      <c r="DE603" s="891" t="s">
        <v>401</v>
      </c>
      <c r="DF603" s="891">
        <v>5</v>
      </c>
      <c r="DG603" s="959"/>
      <c r="DH603" s="959"/>
      <c r="ER603" s="905">
        <v>3388</v>
      </c>
      <c r="ES603" s="906" t="s">
        <v>897</v>
      </c>
      <c r="ET603" s="2686">
        <v>9</v>
      </c>
      <c r="EV603" s="985"/>
      <c r="EW603" s="985"/>
      <c r="EX603" s="387"/>
      <c r="EY603" s="939"/>
      <c r="EZ603" s="886"/>
    </row>
    <row r="604" spans="88:156">
      <c r="CJ604" s="197"/>
      <c r="CK604" s="197"/>
      <c r="CL604" s="197"/>
      <c r="CM604" s="213"/>
      <c r="CN604" s="213"/>
      <c r="CO604" s="197"/>
      <c r="CP604" s="197"/>
      <c r="CQ604" s="197"/>
      <c r="CR604" s="197"/>
      <c r="CS604" s="197"/>
      <c r="CT604" s="197"/>
      <c r="CU604" s="197"/>
      <c r="CV604" s="197"/>
      <c r="CW604" s="197"/>
      <c r="CX604" s="959"/>
      <c r="CY604" s="959"/>
      <c r="CZ604" s="959"/>
      <c r="DA604" s="959"/>
      <c r="DB604" s="959"/>
      <c r="DC604" s="891">
        <v>3011</v>
      </c>
      <c r="DD604" s="891" t="s">
        <v>3000</v>
      </c>
      <c r="DE604" s="891" t="s">
        <v>401</v>
      </c>
      <c r="DF604" s="891">
        <v>6</v>
      </c>
      <c r="DG604" s="959"/>
      <c r="DH604" s="959"/>
      <c r="ER604" s="905">
        <v>3390</v>
      </c>
      <c r="ES604" s="906" t="s">
        <v>628</v>
      </c>
      <c r="ET604" s="2686">
        <v>9</v>
      </c>
      <c r="EV604" s="985"/>
      <c r="EW604" s="985"/>
      <c r="EX604" s="387"/>
      <c r="EY604" s="939"/>
      <c r="EZ604" s="886"/>
    </row>
    <row r="605" spans="88:156">
      <c r="CJ605" s="197"/>
      <c r="CK605" s="197"/>
      <c r="CL605" s="197"/>
      <c r="CM605" s="213"/>
      <c r="CN605" s="213"/>
      <c r="CO605" s="197"/>
      <c r="CP605" s="197"/>
      <c r="CQ605" s="197"/>
      <c r="CR605" s="197"/>
      <c r="CS605" s="197"/>
      <c r="CT605" s="197"/>
      <c r="CU605" s="197"/>
      <c r="CV605" s="197"/>
      <c r="CW605" s="197"/>
      <c r="CX605" s="959"/>
      <c r="CY605" s="959"/>
      <c r="CZ605" s="959"/>
      <c r="DA605" s="959"/>
      <c r="DB605" s="959"/>
      <c r="DC605" s="891">
        <v>3012</v>
      </c>
      <c r="DD605" s="891" t="s">
        <v>3001</v>
      </c>
      <c r="DE605" s="891" t="s">
        <v>401</v>
      </c>
      <c r="DF605" s="891">
        <v>5</v>
      </c>
      <c r="DG605" s="959"/>
      <c r="DH605" s="959"/>
      <c r="ER605" s="905">
        <v>3394</v>
      </c>
      <c r="ES605" s="906" t="s">
        <v>899</v>
      </c>
      <c r="ET605" s="2686">
        <v>9</v>
      </c>
      <c r="EV605" s="985"/>
      <c r="EW605" s="985"/>
      <c r="EX605" s="387"/>
      <c r="EY605" s="939"/>
      <c r="EZ605" s="886"/>
    </row>
    <row r="606" spans="88:156">
      <c r="CJ606" s="197"/>
      <c r="CK606" s="197"/>
      <c r="CL606" s="197"/>
      <c r="CM606" s="213"/>
      <c r="CN606" s="213"/>
      <c r="CO606" s="197"/>
      <c r="CP606" s="197"/>
      <c r="CQ606" s="197"/>
      <c r="CR606" s="197"/>
      <c r="CS606" s="197"/>
      <c r="CT606" s="197"/>
      <c r="CU606" s="197"/>
      <c r="CV606" s="197"/>
      <c r="CW606" s="197"/>
      <c r="CX606" s="959"/>
      <c r="CY606" s="959"/>
      <c r="CZ606" s="959"/>
      <c r="DA606" s="959"/>
      <c r="DB606" s="959"/>
      <c r="DC606" s="891">
        <v>3013</v>
      </c>
      <c r="DD606" s="891" t="s">
        <v>3002</v>
      </c>
      <c r="DE606" s="891" t="s">
        <v>401</v>
      </c>
      <c r="DF606" s="891">
        <v>6</v>
      </c>
      <c r="DG606" s="959"/>
      <c r="DH606" s="959"/>
      <c r="ER606" s="905">
        <v>3395</v>
      </c>
      <c r="ES606" s="906" t="s">
        <v>900</v>
      </c>
      <c r="ET606" s="2686">
        <v>9</v>
      </c>
      <c r="EV606" s="985"/>
      <c r="EW606" s="985"/>
      <c r="EX606" s="387"/>
      <c r="EY606" s="939"/>
      <c r="EZ606" s="886"/>
    </row>
    <row r="607" spans="88:156">
      <c r="CJ607" s="197"/>
      <c r="CK607" s="197"/>
      <c r="CL607" s="197"/>
      <c r="CM607" s="213"/>
      <c r="CN607" s="213"/>
      <c r="CO607" s="197"/>
      <c r="CP607" s="197"/>
      <c r="CQ607" s="197"/>
      <c r="CR607" s="197"/>
      <c r="CS607" s="197"/>
      <c r="CT607" s="197"/>
      <c r="CU607" s="197"/>
      <c r="CV607" s="197"/>
      <c r="CW607" s="197"/>
      <c r="CX607" s="959"/>
      <c r="CY607" s="959"/>
      <c r="CZ607" s="959"/>
      <c r="DA607" s="959"/>
      <c r="DB607" s="959"/>
      <c r="DC607" s="891">
        <v>3014</v>
      </c>
      <c r="DD607" s="891" t="s">
        <v>1702</v>
      </c>
      <c r="DE607" s="891" t="s">
        <v>401</v>
      </c>
      <c r="DF607" s="891">
        <v>6</v>
      </c>
      <c r="DG607" s="959"/>
      <c r="DH607" s="959"/>
      <c r="ER607" s="905">
        <v>3396</v>
      </c>
      <c r="ES607" s="906" t="s">
        <v>901</v>
      </c>
      <c r="ET607" s="2686">
        <v>9</v>
      </c>
      <c r="EV607" s="985"/>
      <c r="EW607" s="985"/>
      <c r="EX607" s="387"/>
      <c r="EY607" s="939"/>
      <c r="EZ607" s="886"/>
    </row>
    <row r="608" spans="88:156">
      <c r="CJ608" s="197"/>
      <c r="CK608" s="197"/>
      <c r="CL608" s="197"/>
      <c r="CM608" s="213"/>
      <c r="CN608" s="213"/>
      <c r="CO608" s="197"/>
      <c r="CP608" s="197"/>
      <c r="CQ608" s="197"/>
      <c r="CR608" s="197"/>
      <c r="CS608" s="197"/>
      <c r="CT608" s="197"/>
      <c r="CU608" s="197"/>
      <c r="CV608" s="197"/>
      <c r="CW608" s="197"/>
      <c r="CX608" s="959"/>
      <c r="CY608" s="959"/>
      <c r="CZ608" s="959"/>
      <c r="DA608" s="959"/>
      <c r="DB608" s="959"/>
      <c r="DC608" s="891">
        <v>3015</v>
      </c>
      <c r="DD608" s="891" t="s">
        <v>1703</v>
      </c>
      <c r="DE608" s="891" t="s">
        <v>401</v>
      </c>
      <c r="DF608" s="891">
        <v>6</v>
      </c>
      <c r="DG608" s="959"/>
      <c r="DH608" s="959"/>
      <c r="ER608" s="905">
        <v>3397</v>
      </c>
      <c r="ES608" s="906" t="s">
        <v>902</v>
      </c>
      <c r="ET608" s="2686">
        <v>9</v>
      </c>
      <c r="EV608" s="985"/>
      <c r="EW608" s="985"/>
      <c r="EX608" s="387"/>
      <c r="EY608" s="939"/>
      <c r="EZ608" s="886"/>
    </row>
    <row r="609" spans="88:156">
      <c r="CJ609" s="197"/>
      <c r="CK609" s="197"/>
      <c r="CL609" s="197"/>
      <c r="CM609" s="213"/>
      <c r="CN609" s="213"/>
      <c r="CO609" s="197"/>
      <c r="CP609" s="197"/>
      <c r="CQ609" s="197"/>
      <c r="CR609" s="197"/>
      <c r="CS609" s="197"/>
      <c r="CT609" s="197"/>
      <c r="CU609" s="197"/>
      <c r="CV609" s="197"/>
      <c r="CW609" s="197"/>
      <c r="CX609" s="959"/>
      <c r="CY609" s="959"/>
      <c r="CZ609" s="959"/>
      <c r="DA609" s="959"/>
      <c r="DB609" s="959"/>
      <c r="DC609" s="891">
        <v>3016</v>
      </c>
      <c r="DD609" s="891" t="s">
        <v>1704</v>
      </c>
      <c r="DE609" s="891" t="s">
        <v>401</v>
      </c>
      <c r="DF609" s="891">
        <v>6</v>
      </c>
      <c r="DG609" s="959"/>
      <c r="DH609" s="959"/>
      <c r="ER609" s="905">
        <v>3398</v>
      </c>
      <c r="ES609" s="906" t="s">
        <v>903</v>
      </c>
      <c r="ET609" s="2686">
        <v>9</v>
      </c>
      <c r="EV609" s="985"/>
      <c r="EW609" s="985"/>
      <c r="EX609" s="387"/>
      <c r="EY609" s="939"/>
      <c r="EZ609" s="886"/>
    </row>
    <row r="610" spans="88:156">
      <c r="CJ610" s="197"/>
      <c r="CK610" s="197"/>
      <c r="CL610" s="197"/>
      <c r="CM610" s="213"/>
      <c r="CN610" s="213"/>
      <c r="CO610" s="197"/>
      <c r="CP610" s="197"/>
      <c r="CQ610" s="197"/>
      <c r="CR610" s="197"/>
      <c r="CS610" s="197"/>
      <c r="CT610" s="197"/>
      <c r="CU610" s="197"/>
      <c r="CV610" s="197"/>
      <c r="CW610" s="197"/>
      <c r="CX610" s="959"/>
      <c r="CY610" s="959"/>
      <c r="CZ610" s="959"/>
      <c r="DA610" s="959"/>
      <c r="DB610" s="959"/>
      <c r="DC610" s="891">
        <v>3021</v>
      </c>
      <c r="DD610" s="891" t="s">
        <v>1705</v>
      </c>
      <c r="DE610" s="891" t="s">
        <v>401</v>
      </c>
      <c r="DF610" s="891">
        <v>6</v>
      </c>
      <c r="DG610" s="959"/>
      <c r="DH610" s="959"/>
      <c r="ER610" s="905">
        <v>3399</v>
      </c>
      <c r="ES610" s="906" t="s">
        <v>904</v>
      </c>
      <c r="ET610" s="2686">
        <v>9</v>
      </c>
      <c r="EV610" s="985"/>
      <c r="EW610" s="985"/>
      <c r="EX610" s="387"/>
      <c r="EY610" s="939"/>
      <c r="EZ610" s="886"/>
    </row>
    <row r="611" spans="88:156">
      <c r="CJ611" s="197"/>
      <c r="CK611" s="197"/>
      <c r="CL611" s="197"/>
      <c r="CM611" s="213"/>
      <c r="CN611" s="213"/>
      <c r="CO611" s="197"/>
      <c r="CP611" s="197"/>
      <c r="CQ611" s="197"/>
      <c r="CR611" s="197"/>
      <c r="CS611" s="197"/>
      <c r="CT611" s="197"/>
      <c r="CU611" s="197"/>
      <c r="CV611" s="197"/>
      <c r="CW611" s="197"/>
      <c r="CX611" s="959"/>
      <c r="CY611" s="959"/>
      <c r="CZ611" s="959"/>
      <c r="DA611" s="959"/>
      <c r="DB611" s="959"/>
      <c r="DC611" s="891">
        <v>3022</v>
      </c>
      <c r="DD611" s="891" t="s">
        <v>1705</v>
      </c>
      <c r="DE611" s="891" t="s">
        <v>401</v>
      </c>
      <c r="DF611" s="891">
        <v>6</v>
      </c>
      <c r="DG611" s="959"/>
      <c r="DH611" s="959"/>
      <c r="ER611" s="905">
        <v>3400</v>
      </c>
      <c r="ES611" s="906" t="s">
        <v>905</v>
      </c>
      <c r="ET611" s="2686">
        <v>9</v>
      </c>
      <c r="EV611" s="985"/>
      <c r="EW611" s="985"/>
      <c r="EX611" s="387"/>
      <c r="EY611" s="939"/>
      <c r="EZ611" s="886"/>
    </row>
    <row r="612" spans="88:156">
      <c r="CJ612" s="197"/>
      <c r="CK612" s="197"/>
      <c r="CL612" s="197"/>
      <c r="CM612" s="213"/>
      <c r="CN612" s="213"/>
      <c r="CO612" s="197"/>
      <c r="CP612" s="197"/>
      <c r="CQ612" s="197"/>
      <c r="CR612" s="197"/>
      <c r="CS612" s="197"/>
      <c r="CT612" s="197"/>
      <c r="CU612" s="197"/>
      <c r="CV612" s="197"/>
      <c r="CW612" s="197"/>
      <c r="CX612" s="959"/>
      <c r="CY612" s="959"/>
      <c r="CZ612" s="959"/>
      <c r="DA612" s="959"/>
      <c r="DB612" s="959"/>
      <c r="DC612" s="891">
        <v>3023</v>
      </c>
      <c r="DD612" s="891" t="s">
        <v>1706</v>
      </c>
      <c r="DE612" s="891" t="s">
        <v>401</v>
      </c>
      <c r="DF612" s="891">
        <v>6</v>
      </c>
      <c r="DG612" s="959"/>
      <c r="DH612" s="959"/>
      <c r="ER612" s="905">
        <v>3411</v>
      </c>
      <c r="ES612" s="906" t="s">
        <v>906</v>
      </c>
      <c r="ET612" s="2686">
        <v>9</v>
      </c>
      <c r="EV612" s="985"/>
      <c r="EW612" s="985"/>
      <c r="EX612" s="387"/>
      <c r="EY612" s="939"/>
      <c r="EZ612" s="886"/>
    </row>
    <row r="613" spans="88:156">
      <c r="CJ613" s="197"/>
      <c r="CK613" s="197"/>
      <c r="CL613" s="197"/>
      <c r="CM613" s="213"/>
      <c r="CN613" s="213"/>
      <c r="CO613" s="197"/>
      <c r="CP613" s="197"/>
      <c r="CQ613" s="197"/>
      <c r="CR613" s="197"/>
      <c r="CS613" s="197"/>
      <c r="CT613" s="197"/>
      <c r="CU613" s="197"/>
      <c r="CV613" s="197"/>
      <c r="CW613" s="197"/>
      <c r="CX613" s="959"/>
      <c r="CY613" s="959"/>
      <c r="CZ613" s="959"/>
      <c r="DA613" s="959"/>
      <c r="DB613" s="959"/>
      <c r="DC613" s="891">
        <v>3024</v>
      </c>
      <c r="DD613" s="891" t="s">
        <v>970</v>
      </c>
      <c r="DE613" s="891" t="s">
        <v>401</v>
      </c>
      <c r="DF613" s="891">
        <v>6</v>
      </c>
      <c r="DG613" s="959"/>
      <c r="DH613" s="959"/>
      <c r="ER613" s="905">
        <v>3412</v>
      </c>
      <c r="ES613" s="906" t="s">
        <v>907</v>
      </c>
      <c r="ET613" s="2686">
        <v>9</v>
      </c>
      <c r="EV613" s="985"/>
      <c r="EW613" s="985"/>
      <c r="EX613" s="387"/>
      <c r="EY613" s="939"/>
      <c r="EZ613" s="886"/>
    </row>
    <row r="614" spans="88:156">
      <c r="CJ614" s="197"/>
      <c r="CK614" s="197"/>
      <c r="CL614" s="197"/>
      <c r="CM614" s="213"/>
      <c r="CN614" s="213"/>
      <c r="CO614" s="197"/>
      <c r="CP614" s="197"/>
      <c r="CQ614" s="197"/>
      <c r="CR614" s="197"/>
      <c r="CS614" s="197"/>
      <c r="CT614" s="197"/>
      <c r="CU614" s="197"/>
      <c r="CV614" s="197"/>
      <c r="CW614" s="197"/>
      <c r="CX614" s="959"/>
      <c r="CY614" s="959"/>
      <c r="CZ614" s="959"/>
      <c r="DA614" s="959"/>
      <c r="DB614" s="959"/>
      <c r="DC614" s="891">
        <v>3031</v>
      </c>
      <c r="DD614" s="891" t="s">
        <v>971</v>
      </c>
      <c r="DE614" s="891" t="s">
        <v>401</v>
      </c>
      <c r="DF614" s="891">
        <v>6</v>
      </c>
      <c r="DG614" s="959"/>
      <c r="DH614" s="959"/>
      <c r="ER614" s="905">
        <v>3413</v>
      </c>
      <c r="ES614" s="906" t="s">
        <v>908</v>
      </c>
      <c r="ET614" s="2686">
        <v>9</v>
      </c>
      <c r="EV614" s="985"/>
      <c r="EW614" s="985"/>
      <c r="EX614" s="387"/>
      <c r="EY614" s="939"/>
      <c r="EZ614" s="886"/>
    </row>
    <row r="615" spans="88:156">
      <c r="CJ615" s="197"/>
      <c r="CK615" s="197"/>
      <c r="CL615" s="197"/>
      <c r="CM615" s="213"/>
      <c r="CN615" s="213"/>
      <c r="CO615" s="197"/>
      <c r="CP615" s="197"/>
      <c r="CQ615" s="197"/>
      <c r="CR615" s="197"/>
      <c r="CS615" s="197"/>
      <c r="CT615" s="197"/>
      <c r="CU615" s="197"/>
      <c r="CV615" s="197"/>
      <c r="CW615" s="197"/>
      <c r="CX615" s="959"/>
      <c r="CY615" s="959"/>
      <c r="CZ615" s="959"/>
      <c r="DA615" s="959"/>
      <c r="DB615" s="959"/>
      <c r="DC615" s="891">
        <v>3032</v>
      </c>
      <c r="DD615" s="891" t="s">
        <v>972</v>
      </c>
      <c r="DE615" s="891" t="s">
        <v>401</v>
      </c>
      <c r="DF615" s="891">
        <v>6</v>
      </c>
      <c r="DG615" s="959"/>
      <c r="DH615" s="959"/>
      <c r="ER615" s="905">
        <v>3414</v>
      </c>
      <c r="ES615" s="906" t="s">
        <v>637</v>
      </c>
      <c r="ET615" s="2686">
        <v>9</v>
      </c>
      <c r="EV615" s="985"/>
      <c r="EW615" s="985"/>
      <c r="EX615" s="387"/>
      <c r="EY615" s="939"/>
      <c r="EZ615" s="886"/>
    </row>
    <row r="616" spans="88:156">
      <c r="CJ616" s="197"/>
      <c r="CK616" s="197"/>
      <c r="CL616" s="197"/>
      <c r="CM616" s="213"/>
      <c r="CN616" s="213"/>
      <c r="CO616" s="197"/>
      <c r="CP616" s="197"/>
      <c r="CQ616" s="197"/>
      <c r="CR616" s="197"/>
      <c r="CS616" s="197"/>
      <c r="CT616" s="197"/>
      <c r="CU616" s="197"/>
      <c r="CV616" s="197"/>
      <c r="CW616" s="197"/>
      <c r="CX616" s="959"/>
      <c r="CY616" s="959"/>
      <c r="CZ616" s="959"/>
      <c r="DA616" s="959"/>
      <c r="DB616" s="959"/>
      <c r="DC616" s="891">
        <v>3033</v>
      </c>
      <c r="DD616" s="891" t="s">
        <v>973</v>
      </c>
      <c r="DE616" s="891" t="s">
        <v>401</v>
      </c>
      <c r="DF616" s="891">
        <v>5</v>
      </c>
      <c r="DG616" s="959"/>
      <c r="DH616" s="959"/>
      <c r="ER616" s="905">
        <v>3416</v>
      </c>
      <c r="ES616" s="906" t="s">
        <v>638</v>
      </c>
      <c r="ET616" s="2686">
        <v>9</v>
      </c>
      <c r="EV616" s="985"/>
      <c r="EW616" s="985"/>
      <c r="EX616" s="387"/>
      <c r="EY616" s="939"/>
      <c r="EZ616" s="886"/>
    </row>
    <row r="617" spans="88:156">
      <c r="CJ617" s="197"/>
      <c r="CK617" s="197"/>
      <c r="CL617" s="197"/>
      <c r="CM617" s="213"/>
      <c r="CN617" s="213"/>
      <c r="CO617" s="197"/>
      <c r="CP617" s="197"/>
      <c r="CQ617" s="197"/>
      <c r="CR617" s="197"/>
      <c r="CS617" s="197"/>
      <c r="CT617" s="197"/>
      <c r="CU617" s="197"/>
      <c r="CV617" s="197"/>
      <c r="CW617" s="197"/>
      <c r="CX617" s="959"/>
      <c r="CY617" s="959"/>
      <c r="CZ617" s="959"/>
      <c r="DA617" s="959"/>
      <c r="DB617" s="959"/>
      <c r="DC617" s="891">
        <v>3034</v>
      </c>
      <c r="DD617" s="891" t="s">
        <v>974</v>
      </c>
      <c r="DE617" s="891" t="s">
        <v>401</v>
      </c>
      <c r="DF617" s="891">
        <v>5</v>
      </c>
      <c r="DG617" s="959"/>
      <c r="DH617" s="959"/>
      <c r="ER617" s="905">
        <v>3417</v>
      </c>
      <c r="ES617" s="906" t="s">
        <v>639</v>
      </c>
      <c r="ET617" s="2686">
        <v>9</v>
      </c>
      <c r="EV617" s="985"/>
      <c r="EW617" s="985"/>
      <c r="EX617" s="387"/>
      <c r="EY617" s="939"/>
      <c r="EZ617" s="886"/>
    </row>
    <row r="618" spans="88:156">
      <c r="CJ618" s="197"/>
      <c r="CK618" s="197"/>
      <c r="CL618" s="197"/>
      <c r="CM618" s="213"/>
      <c r="CN618" s="213"/>
      <c r="CO618" s="197"/>
      <c r="CP618" s="197"/>
      <c r="CQ618" s="197"/>
      <c r="CR618" s="197"/>
      <c r="CS618" s="197"/>
      <c r="CT618" s="197"/>
      <c r="CU618" s="197"/>
      <c r="CV618" s="197"/>
      <c r="CW618" s="197"/>
      <c r="CX618" s="959"/>
      <c r="CY618" s="959"/>
      <c r="CZ618" s="959"/>
      <c r="DA618" s="959"/>
      <c r="DB618" s="959"/>
      <c r="DC618" s="891">
        <v>3035</v>
      </c>
      <c r="DD618" s="891" t="s">
        <v>975</v>
      </c>
      <c r="DE618" s="891" t="s">
        <v>401</v>
      </c>
      <c r="DF618" s="891">
        <v>6</v>
      </c>
      <c r="DG618" s="959"/>
      <c r="DH618" s="959"/>
      <c r="ER618" s="905">
        <v>3418</v>
      </c>
      <c r="ES618" s="906" t="s">
        <v>640</v>
      </c>
      <c r="ET618" s="2686">
        <v>9</v>
      </c>
      <c r="EV618" s="985"/>
      <c r="EW618" s="985"/>
      <c r="EX618" s="387"/>
      <c r="EY618" s="939"/>
      <c r="EZ618" s="886"/>
    </row>
    <row r="619" spans="88:156">
      <c r="CJ619" s="197"/>
      <c r="CK619" s="197"/>
      <c r="CL619" s="197"/>
      <c r="CM619" s="213"/>
      <c r="CN619" s="213"/>
      <c r="CO619" s="197"/>
      <c r="CP619" s="197"/>
      <c r="CQ619" s="197"/>
      <c r="CR619" s="197"/>
      <c r="CS619" s="197"/>
      <c r="CT619" s="197"/>
      <c r="CU619" s="197"/>
      <c r="CV619" s="197"/>
      <c r="CW619" s="197"/>
      <c r="CX619" s="959"/>
      <c r="CY619" s="959"/>
      <c r="CZ619" s="959"/>
      <c r="DA619" s="959"/>
      <c r="DB619" s="959"/>
      <c r="DC619" s="891">
        <v>3036</v>
      </c>
      <c r="DD619" s="891" t="s">
        <v>976</v>
      </c>
      <c r="DE619" s="891" t="s">
        <v>401</v>
      </c>
      <c r="DF619" s="891">
        <v>6</v>
      </c>
      <c r="DG619" s="959"/>
      <c r="DH619" s="959"/>
      <c r="ER619" s="905">
        <v>3421</v>
      </c>
      <c r="ES619" s="906" t="s">
        <v>641</v>
      </c>
      <c r="ET619" s="2686">
        <v>9</v>
      </c>
      <c r="EV619" s="985"/>
      <c r="EW619" s="985"/>
      <c r="EX619" s="387"/>
      <c r="EY619" s="939"/>
      <c r="EZ619" s="886"/>
    </row>
    <row r="620" spans="88:156">
      <c r="CJ620" s="197"/>
      <c r="CK620" s="197"/>
      <c r="CL620" s="197"/>
      <c r="CM620" s="213"/>
      <c r="CN620" s="213"/>
      <c r="CO620" s="197"/>
      <c r="CP620" s="197"/>
      <c r="CQ620" s="197"/>
      <c r="CR620" s="197"/>
      <c r="CS620" s="197"/>
      <c r="CT620" s="197"/>
      <c r="CU620" s="197"/>
      <c r="CV620" s="197"/>
      <c r="CW620" s="197"/>
      <c r="CX620" s="959"/>
      <c r="CY620" s="959"/>
      <c r="CZ620" s="959"/>
      <c r="DA620" s="959"/>
      <c r="DB620" s="959"/>
      <c r="DC620" s="891">
        <v>3041</v>
      </c>
      <c r="DD620" s="891" t="s">
        <v>977</v>
      </c>
      <c r="DE620" s="891" t="s">
        <v>401</v>
      </c>
      <c r="DF620" s="891">
        <v>5</v>
      </c>
      <c r="DG620" s="959"/>
      <c r="DH620" s="959"/>
      <c r="ER620" s="905">
        <v>3422</v>
      </c>
      <c r="ES620" s="906" t="s">
        <v>642</v>
      </c>
      <c r="ET620" s="2686">
        <v>9</v>
      </c>
      <c r="EV620" s="985"/>
      <c r="EW620" s="985"/>
      <c r="EX620" s="387"/>
      <c r="EY620" s="939"/>
      <c r="EZ620" s="886"/>
    </row>
    <row r="621" spans="88:156">
      <c r="CJ621" s="197"/>
      <c r="CK621" s="197"/>
      <c r="CL621" s="197"/>
      <c r="CM621" s="213"/>
      <c r="CN621" s="213"/>
      <c r="CO621" s="197"/>
      <c r="CP621" s="197"/>
      <c r="CQ621" s="197"/>
      <c r="CR621" s="197"/>
      <c r="CS621" s="197"/>
      <c r="CT621" s="197"/>
      <c r="CU621" s="197"/>
      <c r="CV621" s="197"/>
      <c r="CW621" s="197"/>
      <c r="CX621" s="959"/>
      <c r="CY621" s="959"/>
      <c r="CZ621" s="959"/>
      <c r="DA621" s="959"/>
      <c r="DB621" s="959"/>
      <c r="DC621" s="891">
        <v>3042</v>
      </c>
      <c r="DD621" s="891" t="s">
        <v>978</v>
      </c>
      <c r="DE621" s="891" t="s">
        <v>401</v>
      </c>
      <c r="DF621" s="891">
        <v>6</v>
      </c>
      <c r="DG621" s="959"/>
      <c r="DH621" s="959"/>
      <c r="ER621" s="905">
        <v>3423</v>
      </c>
      <c r="ES621" s="906" t="s">
        <v>3205</v>
      </c>
      <c r="ET621" s="2686">
        <v>9</v>
      </c>
      <c r="EV621" s="985"/>
      <c r="EW621" s="985"/>
      <c r="EX621" s="387"/>
      <c r="EY621" s="939"/>
      <c r="EZ621" s="886"/>
    </row>
    <row r="622" spans="88:156">
      <c r="CJ622" s="197"/>
      <c r="CK622" s="197"/>
      <c r="CL622" s="197"/>
      <c r="CM622" s="213"/>
      <c r="CN622" s="213"/>
      <c r="CO622" s="197"/>
      <c r="CP622" s="197"/>
      <c r="CQ622" s="197"/>
      <c r="CR622" s="197"/>
      <c r="CS622" s="197"/>
      <c r="CT622" s="197"/>
      <c r="CU622" s="197"/>
      <c r="CV622" s="197"/>
      <c r="CW622" s="197"/>
      <c r="CX622" s="959"/>
      <c r="CY622" s="959"/>
      <c r="CZ622" s="959"/>
      <c r="DA622" s="959"/>
      <c r="DB622" s="959"/>
      <c r="DC622" s="891">
        <v>3043</v>
      </c>
      <c r="DD622" s="891" t="s">
        <v>979</v>
      </c>
      <c r="DE622" s="891" t="s">
        <v>401</v>
      </c>
      <c r="DF622" s="891">
        <v>6</v>
      </c>
      <c r="DG622" s="959"/>
      <c r="DH622" s="959"/>
      <c r="ER622" s="905">
        <v>3424</v>
      </c>
      <c r="ES622" s="906" t="s">
        <v>3206</v>
      </c>
      <c r="ET622" s="2686">
        <v>9</v>
      </c>
      <c r="EV622" s="985"/>
      <c r="EW622" s="985"/>
      <c r="EX622" s="387"/>
      <c r="EY622" s="939"/>
      <c r="EZ622" s="886"/>
    </row>
    <row r="623" spans="88:156">
      <c r="CJ623" s="197"/>
      <c r="CK623" s="197"/>
      <c r="CL623" s="197"/>
      <c r="CM623" s="213"/>
      <c r="CN623" s="213"/>
      <c r="CO623" s="197"/>
      <c r="CP623" s="197"/>
      <c r="CQ623" s="197"/>
      <c r="CR623" s="197"/>
      <c r="CS623" s="197"/>
      <c r="CT623" s="197"/>
      <c r="CU623" s="197"/>
      <c r="CV623" s="197"/>
      <c r="CW623" s="197"/>
      <c r="CX623" s="959"/>
      <c r="CY623" s="959"/>
      <c r="CZ623" s="959"/>
      <c r="DA623" s="959"/>
      <c r="DB623" s="959"/>
      <c r="DC623" s="891">
        <v>3044</v>
      </c>
      <c r="DD623" s="891" t="s">
        <v>980</v>
      </c>
      <c r="DE623" s="891" t="s">
        <v>401</v>
      </c>
      <c r="DF623" s="891">
        <v>6</v>
      </c>
      <c r="DG623" s="959"/>
      <c r="DH623" s="959"/>
      <c r="ER623" s="905">
        <v>3425</v>
      </c>
      <c r="ES623" s="906" t="s">
        <v>3207</v>
      </c>
      <c r="ET623" s="2686">
        <v>9</v>
      </c>
      <c r="EV623" s="985"/>
      <c r="EW623" s="985"/>
      <c r="EX623" s="387"/>
      <c r="EY623" s="939"/>
      <c r="EZ623" s="886"/>
    </row>
    <row r="624" spans="88:156">
      <c r="CJ624" s="197"/>
      <c r="CK624" s="197"/>
      <c r="CL624" s="197"/>
      <c r="CM624" s="213"/>
      <c r="CN624" s="213"/>
      <c r="CO624" s="197"/>
      <c r="CP624" s="197"/>
      <c r="CQ624" s="197"/>
      <c r="CR624" s="197"/>
      <c r="CS624" s="197"/>
      <c r="CT624" s="197"/>
      <c r="CU624" s="197"/>
      <c r="CV624" s="197"/>
      <c r="CW624" s="197"/>
      <c r="CX624" s="959"/>
      <c r="CY624" s="959"/>
      <c r="CZ624" s="959"/>
      <c r="DA624" s="959"/>
      <c r="DB624" s="959"/>
      <c r="DC624" s="891">
        <v>3045</v>
      </c>
      <c r="DD624" s="891" t="s">
        <v>981</v>
      </c>
      <c r="DE624" s="891" t="s">
        <v>401</v>
      </c>
      <c r="DF624" s="891">
        <v>6</v>
      </c>
      <c r="DG624" s="959"/>
      <c r="DH624" s="959"/>
      <c r="ER624" s="905">
        <v>3426</v>
      </c>
      <c r="ES624" s="906" t="s">
        <v>3208</v>
      </c>
      <c r="ET624" s="2686">
        <v>9</v>
      </c>
      <c r="EV624" s="985"/>
      <c r="EW624" s="985"/>
      <c r="EX624" s="387"/>
      <c r="EY624" s="939"/>
      <c r="EZ624" s="886"/>
    </row>
    <row r="625" spans="88:156">
      <c r="CJ625" s="197"/>
      <c r="CK625" s="197"/>
      <c r="CL625" s="197"/>
      <c r="CM625" s="213"/>
      <c r="CN625" s="213"/>
      <c r="CO625" s="197"/>
      <c r="CP625" s="197"/>
      <c r="CQ625" s="197"/>
      <c r="CR625" s="197"/>
      <c r="CS625" s="197"/>
      <c r="CT625" s="197"/>
      <c r="CU625" s="197"/>
      <c r="CV625" s="197"/>
      <c r="CW625" s="197"/>
      <c r="CX625" s="959"/>
      <c r="CY625" s="959"/>
      <c r="CZ625" s="959"/>
      <c r="DA625" s="959"/>
      <c r="DB625" s="959"/>
      <c r="DC625" s="891">
        <v>3046</v>
      </c>
      <c r="DD625" s="891" t="s">
        <v>982</v>
      </c>
      <c r="DE625" s="891" t="s">
        <v>401</v>
      </c>
      <c r="DF625" s="891">
        <v>6</v>
      </c>
      <c r="DG625" s="959"/>
      <c r="DH625" s="959"/>
      <c r="ER625" s="905">
        <v>3431</v>
      </c>
      <c r="ES625" s="906" t="s">
        <v>3209</v>
      </c>
      <c r="ET625" s="2686">
        <v>9</v>
      </c>
      <c r="EV625" s="985"/>
      <c r="EW625" s="985"/>
      <c r="EX625" s="387"/>
      <c r="EY625" s="939"/>
      <c r="EZ625" s="886"/>
    </row>
    <row r="626" spans="88:156">
      <c r="CJ626" s="197"/>
      <c r="CK626" s="197"/>
      <c r="CL626" s="197"/>
      <c r="CM626" s="213"/>
      <c r="CN626" s="213"/>
      <c r="CO626" s="197"/>
      <c r="CP626" s="197"/>
      <c r="CQ626" s="197"/>
      <c r="CR626" s="197"/>
      <c r="CS626" s="197"/>
      <c r="CT626" s="197"/>
      <c r="CU626" s="197"/>
      <c r="CV626" s="197"/>
      <c r="CW626" s="197"/>
      <c r="CX626" s="959"/>
      <c r="CY626" s="959"/>
      <c r="CZ626" s="959"/>
      <c r="DA626" s="959"/>
      <c r="DB626" s="959"/>
      <c r="DC626" s="891">
        <v>3047</v>
      </c>
      <c r="DD626" s="891" t="s">
        <v>983</v>
      </c>
      <c r="DE626" s="891" t="s">
        <v>401</v>
      </c>
      <c r="DF626" s="891">
        <v>6</v>
      </c>
      <c r="DG626" s="959"/>
      <c r="DH626" s="959"/>
      <c r="ER626" s="905">
        <v>3432</v>
      </c>
      <c r="ES626" s="906" t="s">
        <v>3210</v>
      </c>
      <c r="ET626" s="2686">
        <v>9</v>
      </c>
      <c r="EV626" s="985"/>
      <c r="EW626" s="985"/>
      <c r="EX626" s="387"/>
      <c r="EY626" s="939"/>
      <c r="EZ626" s="886"/>
    </row>
    <row r="627" spans="88:156">
      <c r="CJ627" s="197"/>
      <c r="CK627" s="197"/>
      <c r="CL627" s="197"/>
      <c r="CM627" s="213"/>
      <c r="CN627" s="213"/>
      <c r="CO627" s="197"/>
      <c r="CP627" s="197"/>
      <c r="CQ627" s="197"/>
      <c r="CR627" s="197"/>
      <c r="CS627" s="197"/>
      <c r="CT627" s="197"/>
      <c r="CU627" s="197"/>
      <c r="CV627" s="197"/>
      <c r="CW627" s="197"/>
      <c r="CX627" s="959"/>
      <c r="CY627" s="959"/>
      <c r="CZ627" s="959"/>
      <c r="DA627" s="959"/>
      <c r="DB627" s="959"/>
      <c r="DC627" s="891">
        <v>3051</v>
      </c>
      <c r="DD627" s="891" t="s">
        <v>985</v>
      </c>
      <c r="DE627" s="891" t="s">
        <v>401</v>
      </c>
      <c r="DF627" s="891">
        <v>6</v>
      </c>
      <c r="DG627" s="959"/>
      <c r="DH627" s="959"/>
      <c r="ER627" s="905">
        <v>3433</v>
      </c>
      <c r="ES627" s="906" t="s">
        <v>629</v>
      </c>
      <c r="ET627" s="2686">
        <v>6</v>
      </c>
      <c r="EV627" s="985"/>
      <c r="EW627" s="985"/>
      <c r="EX627" s="387"/>
      <c r="EY627" s="939"/>
      <c r="EZ627" s="886"/>
    </row>
    <row r="628" spans="88:156">
      <c r="CJ628" s="197"/>
      <c r="CK628" s="197"/>
      <c r="CL628" s="197"/>
      <c r="CM628" s="213"/>
      <c r="CN628" s="213"/>
      <c r="CO628" s="197"/>
      <c r="CP628" s="197"/>
      <c r="CQ628" s="197"/>
      <c r="CR628" s="197"/>
      <c r="CS628" s="197"/>
      <c r="CT628" s="197"/>
      <c r="CU628" s="197"/>
      <c r="CV628" s="197"/>
      <c r="CW628" s="197"/>
      <c r="CX628" s="959"/>
      <c r="CY628" s="959"/>
      <c r="CZ628" s="959"/>
      <c r="DA628" s="959"/>
      <c r="DB628" s="959"/>
      <c r="DC628" s="891">
        <v>3052</v>
      </c>
      <c r="DD628" s="891" t="s">
        <v>986</v>
      </c>
      <c r="DE628" s="891" t="s">
        <v>401</v>
      </c>
      <c r="DF628" s="891">
        <v>6</v>
      </c>
      <c r="DG628" s="959"/>
      <c r="DH628" s="959"/>
      <c r="ER628" s="905">
        <v>3434</v>
      </c>
      <c r="ES628" s="906" t="s">
        <v>3212</v>
      </c>
      <c r="ET628" s="2686">
        <v>6</v>
      </c>
      <c r="EV628" s="985"/>
      <c r="EW628" s="985"/>
      <c r="EX628" s="387"/>
      <c r="EY628" s="939"/>
      <c r="EZ628" s="886"/>
    </row>
    <row r="629" spans="88:156">
      <c r="CJ629" s="197"/>
      <c r="CK629" s="197"/>
      <c r="CL629" s="197"/>
      <c r="CM629" s="213"/>
      <c r="CN629" s="213"/>
      <c r="CO629" s="197"/>
      <c r="CP629" s="197"/>
      <c r="CQ629" s="197"/>
      <c r="CR629" s="197"/>
      <c r="CS629" s="197"/>
      <c r="CT629" s="197"/>
      <c r="CU629" s="197"/>
      <c r="CV629" s="197"/>
      <c r="CW629" s="197"/>
      <c r="CX629" s="959"/>
      <c r="CY629" s="959"/>
      <c r="CZ629" s="959"/>
      <c r="DA629" s="959"/>
      <c r="DB629" s="959"/>
      <c r="DC629" s="891">
        <v>3053</v>
      </c>
      <c r="DD629" s="891" t="s">
        <v>987</v>
      </c>
      <c r="DE629" s="891" t="s">
        <v>401</v>
      </c>
      <c r="DF629" s="891">
        <v>6</v>
      </c>
      <c r="DG629" s="959"/>
      <c r="DH629" s="959"/>
      <c r="ER629" s="905">
        <v>3441</v>
      </c>
      <c r="ES629" s="906" t="s">
        <v>630</v>
      </c>
      <c r="ET629" s="2686">
        <v>9</v>
      </c>
      <c r="EV629" s="985"/>
      <c r="EW629" s="985"/>
      <c r="EX629" s="387"/>
      <c r="EY629" s="939"/>
      <c r="EZ629" s="886"/>
    </row>
    <row r="630" spans="88:156">
      <c r="CJ630" s="197"/>
      <c r="CK630" s="197"/>
      <c r="CL630" s="197"/>
      <c r="CM630" s="213"/>
      <c r="CN630" s="213"/>
      <c r="CO630" s="197"/>
      <c r="CP630" s="197"/>
      <c r="CQ630" s="197"/>
      <c r="CR630" s="197"/>
      <c r="CS630" s="197"/>
      <c r="CT630" s="197"/>
      <c r="CU630" s="197"/>
      <c r="CV630" s="197"/>
      <c r="CW630" s="197"/>
      <c r="CX630" s="959"/>
      <c r="CY630" s="959"/>
      <c r="CZ630" s="959"/>
      <c r="DA630" s="959"/>
      <c r="DB630" s="959"/>
      <c r="DC630" s="891">
        <v>3060</v>
      </c>
      <c r="DD630" s="891" t="s">
        <v>988</v>
      </c>
      <c r="DE630" s="891" t="s">
        <v>401</v>
      </c>
      <c r="DF630" s="891">
        <v>6</v>
      </c>
      <c r="DG630" s="959"/>
      <c r="DH630" s="959"/>
      <c r="ER630" s="905">
        <v>3442</v>
      </c>
      <c r="ES630" s="906" t="s">
        <v>3214</v>
      </c>
      <c r="ET630" s="2686">
        <v>9</v>
      </c>
      <c r="EV630" s="985"/>
      <c r="EW630" s="985"/>
      <c r="EX630" s="387"/>
      <c r="EY630" s="939"/>
      <c r="EZ630" s="886"/>
    </row>
    <row r="631" spans="88:156">
      <c r="CJ631" s="197"/>
      <c r="CK631" s="197"/>
      <c r="CL631" s="197"/>
      <c r="CM631" s="213"/>
      <c r="CN631" s="213"/>
      <c r="CO631" s="197"/>
      <c r="CP631" s="197"/>
      <c r="CQ631" s="197"/>
      <c r="CR631" s="197"/>
      <c r="CS631" s="197"/>
      <c r="CT631" s="197"/>
      <c r="CU631" s="197"/>
      <c r="CV631" s="197"/>
      <c r="CW631" s="197"/>
      <c r="CX631" s="959"/>
      <c r="CY631" s="959"/>
      <c r="CZ631" s="959"/>
      <c r="DA631" s="959"/>
      <c r="DB631" s="959"/>
      <c r="DC631" s="891">
        <v>3063</v>
      </c>
      <c r="DD631" s="891" t="s">
        <v>989</v>
      </c>
      <c r="DE631" s="891" t="s">
        <v>401</v>
      </c>
      <c r="DF631" s="891">
        <v>6</v>
      </c>
      <c r="DG631" s="959"/>
      <c r="DH631" s="959"/>
      <c r="ER631" s="905">
        <v>3443</v>
      </c>
      <c r="ES631" s="906" t="s">
        <v>3215</v>
      </c>
      <c r="ET631" s="2686">
        <v>9</v>
      </c>
      <c r="EV631" s="985"/>
      <c r="EW631" s="985"/>
      <c r="EX631" s="387"/>
      <c r="EY631" s="939"/>
      <c r="EZ631" s="886"/>
    </row>
    <row r="632" spans="88:156">
      <c r="CJ632" s="197"/>
      <c r="CK632" s="197"/>
      <c r="CL632" s="197"/>
      <c r="CM632" s="213"/>
      <c r="CN632" s="213"/>
      <c r="CO632" s="197"/>
      <c r="CP632" s="197"/>
      <c r="CQ632" s="197"/>
      <c r="CR632" s="197"/>
      <c r="CS632" s="197"/>
      <c r="CT632" s="197"/>
      <c r="CU632" s="197"/>
      <c r="CV632" s="197"/>
      <c r="CW632" s="197"/>
      <c r="CX632" s="959"/>
      <c r="CY632" s="959"/>
      <c r="CZ632" s="959"/>
      <c r="DA632" s="959"/>
      <c r="DB632" s="959"/>
      <c r="DC632" s="891">
        <v>3064</v>
      </c>
      <c r="DD632" s="891" t="s">
        <v>990</v>
      </c>
      <c r="DE632" s="891" t="s">
        <v>401</v>
      </c>
      <c r="DF632" s="891">
        <v>6</v>
      </c>
      <c r="DG632" s="959"/>
      <c r="DH632" s="959"/>
      <c r="ER632" s="905">
        <v>3444</v>
      </c>
      <c r="ES632" s="906" t="s">
        <v>3216</v>
      </c>
      <c r="ET632" s="2686">
        <v>9</v>
      </c>
      <c r="EV632" s="985"/>
      <c r="EW632" s="985"/>
      <c r="EX632" s="387"/>
      <c r="EY632" s="939"/>
      <c r="EZ632" s="886"/>
    </row>
    <row r="633" spans="88:156">
      <c r="CJ633" s="197"/>
      <c r="CK633" s="197"/>
      <c r="CL633" s="197"/>
      <c r="CM633" s="213"/>
      <c r="CN633" s="213"/>
      <c r="CO633" s="197"/>
      <c r="CP633" s="197"/>
      <c r="CQ633" s="197"/>
      <c r="CR633" s="197"/>
      <c r="CS633" s="197"/>
      <c r="CT633" s="197"/>
      <c r="CU633" s="197"/>
      <c r="CV633" s="197"/>
      <c r="CW633" s="197"/>
      <c r="CX633" s="959"/>
      <c r="CY633" s="959"/>
      <c r="CZ633" s="959"/>
      <c r="DA633" s="959"/>
      <c r="DB633" s="959"/>
      <c r="DC633" s="891">
        <v>3065</v>
      </c>
      <c r="DD633" s="891" t="s">
        <v>991</v>
      </c>
      <c r="DE633" s="891" t="s">
        <v>401</v>
      </c>
      <c r="DF633" s="891">
        <v>6</v>
      </c>
      <c r="DG633" s="959"/>
      <c r="DH633" s="959"/>
      <c r="ER633" s="905">
        <v>3450</v>
      </c>
      <c r="ES633" s="906" t="s">
        <v>3217</v>
      </c>
      <c r="ET633" s="2686">
        <v>9</v>
      </c>
      <c r="EV633" s="985"/>
      <c r="EW633" s="985"/>
      <c r="EX633" s="387"/>
      <c r="EY633" s="939"/>
      <c r="EZ633" s="886"/>
    </row>
    <row r="634" spans="88:156">
      <c r="CJ634" s="197"/>
      <c r="CK634" s="197"/>
      <c r="CL634" s="197"/>
      <c r="CM634" s="213"/>
      <c r="CN634" s="213"/>
      <c r="CO634" s="197"/>
      <c r="CP634" s="197"/>
      <c r="CQ634" s="197"/>
      <c r="CR634" s="197"/>
      <c r="CS634" s="197"/>
      <c r="CT634" s="197"/>
      <c r="CU634" s="197"/>
      <c r="CV634" s="197"/>
      <c r="CW634" s="197"/>
      <c r="CX634" s="959"/>
      <c r="CY634" s="959"/>
      <c r="CZ634" s="959"/>
      <c r="DA634" s="959"/>
      <c r="DB634" s="959"/>
      <c r="DC634" s="891">
        <v>3066</v>
      </c>
      <c r="DD634" s="891" t="s">
        <v>3335</v>
      </c>
      <c r="DE634" s="891" t="s">
        <v>401</v>
      </c>
      <c r="DF634" s="891">
        <v>6</v>
      </c>
      <c r="DG634" s="959"/>
      <c r="DH634" s="959"/>
      <c r="ER634" s="905">
        <v>3458</v>
      </c>
      <c r="ES634" s="906" t="s">
        <v>3769</v>
      </c>
      <c r="ET634" s="2686">
        <v>9</v>
      </c>
      <c r="EV634" s="985"/>
      <c r="EW634" s="985"/>
      <c r="EX634" s="387"/>
      <c r="EY634" s="939"/>
      <c r="EZ634" s="886"/>
    </row>
    <row r="635" spans="88:156">
      <c r="CJ635" s="197"/>
      <c r="CK635" s="197"/>
      <c r="CL635" s="197"/>
      <c r="CM635" s="213"/>
      <c r="CN635" s="213"/>
      <c r="CO635" s="197"/>
      <c r="CP635" s="197"/>
      <c r="CQ635" s="197"/>
      <c r="CR635" s="197"/>
      <c r="CS635" s="197"/>
      <c r="CT635" s="197"/>
      <c r="CU635" s="197"/>
      <c r="CV635" s="197"/>
      <c r="CW635" s="197"/>
      <c r="CX635" s="959"/>
      <c r="CY635" s="959"/>
      <c r="CZ635" s="959"/>
      <c r="DA635" s="959"/>
      <c r="DB635" s="959"/>
      <c r="DC635" s="891">
        <v>3067</v>
      </c>
      <c r="DD635" s="891" t="s">
        <v>3336</v>
      </c>
      <c r="DE635" s="891" t="s">
        <v>401</v>
      </c>
      <c r="DF635" s="891">
        <v>6</v>
      </c>
      <c r="DG635" s="959"/>
      <c r="DH635" s="959"/>
      <c r="ER635" s="905">
        <v>3459</v>
      </c>
      <c r="ES635" s="906" t="s">
        <v>3770</v>
      </c>
      <c r="ET635" s="2686">
        <v>9</v>
      </c>
      <c r="EV635" s="985"/>
      <c r="EW635" s="985"/>
      <c r="EX635" s="387"/>
      <c r="EY635" s="939"/>
      <c r="EZ635" s="886"/>
    </row>
    <row r="636" spans="88:156">
      <c r="CJ636" s="197"/>
      <c r="CK636" s="197"/>
      <c r="CL636" s="197"/>
      <c r="CM636" s="213"/>
      <c r="CN636" s="213"/>
      <c r="CO636" s="197"/>
      <c r="CP636" s="197"/>
      <c r="CQ636" s="197"/>
      <c r="CR636" s="197"/>
      <c r="CS636" s="197"/>
      <c r="CT636" s="197"/>
      <c r="CU636" s="197"/>
      <c r="CV636" s="197"/>
      <c r="CW636" s="197"/>
      <c r="CX636" s="959"/>
      <c r="CY636" s="959"/>
      <c r="CZ636" s="959"/>
      <c r="DA636" s="959"/>
      <c r="DB636" s="959"/>
      <c r="DC636" s="891">
        <v>3068</v>
      </c>
      <c r="DD636" s="891" t="s">
        <v>3337</v>
      </c>
      <c r="DE636" s="891" t="s">
        <v>401</v>
      </c>
      <c r="DF636" s="891">
        <v>6</v>
      </c>
      <c r="DG636" s="959"/>
      <c r="DH636" s="959"/>
      <c r="ER636" s="905">
        <v>3461</v>
      </c>
      <c r="ES636" s="906" t="s">
        <v>3771</v>
      </c>
      <c r="ET636" s="2686">
        <v>9</v>
      </c>
      <c r="EV636" s="985"/>
      <c r="EW636" s="985"/>
      <c r="EX636" s="387"/>
      <c r="EY636" s="939"/>
      <c r="EZ636" s="886"/>
    </row>
    <row r="637" spans="88:156">
      <c r="CJ637" s="197"/>
      <c r="CK637" s="197"/>
      <c r="CL637" s="197"/>
      <c r="CM637" s="213"/>
      <c r="CN637" s="213"/>
      <c r="CO637" s="197"/>
      <c r="CP637" s="197"/>
      <c r="CQ637" s="197"/>
      <c r="CR637" s="197"/>
      <c r="CS637" s="197"/>
      <c r="CT637" s="197"/>
      <c r="CU637" s="197"/>
      <c r="CV637" s="197"/>
      <c r="CW637" s="197"/>
      <c r="CX637" s="959"/>
      <c r="CY637" s="959"/>
      <c r="CZ637" s="959"/>
      <c r="DA637" s="959"/>
      <c r="DB637" s="959"/>
      <c r="DC637" s="891">
        <v>3069</v>
      </c>
      <c r="DD637" s="891" t="s">
        <v>3338</v>
      </c>
      <c r="DE637" s="891" t="s">
        <v>401</v>
      </c>
      <c r="DF637" s="891">
        <v>6</v>
      </c>
      <c r="DG637" s="959"/>
      <c r="DH637" s="959"/>
      <c r="ER637" s="905">
        <v>3462</v>
      </c>
      <c r="ES637" s="906" t="s">
        <v>3772</v>
      </c>
      <c r="ET637" s="2686">
        <v>9</v>
      </c>
      <c r="EV637" s="985"/>
      <c r="EW637" s="985"/>
      <c r="EX637" s="387"/>
      <c r="EY637" s="939"/>
      <c r="EZ637" s="886"/>
    </row>
    <row r="638" spans="88:156">
      <c r="CJ638" s="197"/>
      <c r="CK638" s="197"/>
      <c r="CL638" s="197"/>
      <c r="CM638" s="213"/>
      <c r="CN638" s="213"/>
      <c r="CO638" s="197"/>
      <c r="CP638" s="197"/>
      <c r="CQ638" s="197"/>
      <c r="CR638" s="197"/>
      <c r="CS638" s="197"/>
      <c r="CT638" s="197"/>
      <c r="CU638" s="197"/>
      <c r="CV638" s="197"/>
      <c r="CW638" s="197"/>
      <c r="CX638" s="959"/>
      <c r="CY638" s="959"/>
      <c r="CZ638" s="959"/>
      <c r="DA638" s="959"/>
      <c r="DB638" s="959"/>
      <c r="DC638" s="891">
        <v>3070</v>
      </c>
      <c r="DD638" s="891" t="s">
        <v>3339</v>
      </c>
      <c r="DE638" s="891" t="s">
        <v>401</v>
      </c>
      <c r="DF638" s="891">
        <v>5</v>
      </c>
      <c r="DG638" s="959"/>
      <c r="DH638" s="959"/>
      <c r="ER638" s="905">
        <v>3463</v>
      </c>
      <c r="ES638" s="906" t="s">
        <v>3773</v>
      </c>
      <c r="ET638" s="2686">
        <v>9</v>
      </c>
      <c r="EV638" s="985"/>
      <c r="EW638" s="985"/>
      <c r="EX638" s="387"/>
      <c r="EY638" s="939"/>
      <c r="EZ638" s="886"/>
    </row>
    <row r="639" spans="88:156">
      <c r="CJ639" s="197"/>
      <c r="CK639" s="197"/>
      <c r="CL639" s="197"/>
      <c r="CM639" s="213"/>
      <c r="CN639" s="213"/>
      <c r="CO639" s="197"/>
      <c r="CP639" s="197"/>
      <c r="CQ639" s="197"/>
      <c r="CR639" s="197"/>
      <c r="CS639" s="197"/>
      <c r="CT639" s="197"/>
      <c r="CU639" s="197"/>
      <c r="CV639" s="197"/>
      <c r="CW639" s="197"/>
      <c r="CX639" s="959"/>
      <c r="CY639" s="959"/>
      <c r="CZ639" s="959"/>
      <c r="DA639" s="959"/>
      <c r="DB639" s="959"/>
      <c r="DC639" s="891">
        <v>3071</v>
      </c>
      <c r="DD639" s="891" t="s">
        <v>3340</v>
      </c>
      <c r="DE639" s="891" t="s">
        <v>401</v>
      </c>
      <c r="DF639" s="891">
        <v>5</v>
      </c>
      <c r="DG639" s="959"/>
      <c r="DH639" s="959"/>
      <c r="ER639" s="905">
        <v>3464</v>
      </c>
      <c r="ES639" s="906" t="s">
        <v>3774</v>
      </c>
      <c r="ET639" s="2686">
        <v>9</v>
      </c>
      <c r="EV639" s="985"/>
      <c r="EW639" s="985"/>
      <c r="EX639" s="387"/>
      <c r="EY639" s="939"/>
      <c r="EZ639" s="886"/>
    </row>
    <row r="640" spans="88:156">
      <c r="CJ640" s="197"/>
      <c r="CK640" s="197"/>
      <c r="CL640" s="197"/>
      <c r="CM640" s="213"/>
      <c r="CN640" s="213"/>
      <c r="CO640" s="197"/>
      <c r="CP640" s="197"/>
      <c r="CQ640" s="197"/>
      <c r="CR640" s="197"/>
      <c r="CS640" s="197"/>
      <c r="CT640" s="197"/>
      <c r="CU640" s="197"/>
      <c r="CV640" s="197"/>
      <c r="CW640" s="197"/>
      <c r="CX640" s="959"/>
      <c r="CY640" s="959"/>
      <c r="CZ640" s="959"/>
      <c r="DA640" s="959"/>
      <c r="DB640" s="959"/>
      <c r="DC640" s="891">
        <v>3073</v>
      </c>
      <c r="DD640" s="891" t="s">
        <v>3341</v>
      </c>
      <c r="DE640" s="891" t="s">
        <v>401</v>
      </c>
      <c r="DF640" s="891">
        <v>6</v>
      </c>
      <c r="DG640" s="959"/>
      <c r="DH640" s="959"/>
      <c r="ER640" s="905">
        <v>3465</v>
      </c>
      <c r="ES640" s="906" t="s">
        <v>3775</v>
      </c>
      <c r="ET640" s="2686">
        <v>9</v>
      </c>
      <c r="EV640" s="985"/>
      <c r="EW640" s="985"/>
      <c r="EX640" s="387"/>
      <c r="EY640" s="939"/>
      <c r="EZ640" s="886"/>
    </row>
    <row r="641" spans="88:156">
      <c r="CJ641" s="197"/>
      <c r="CK641" s="197"/>
      <c r="CL641" s="197"/>
      <c r="CM641" s="213"/>
      <c r="CN641" s="213"/>
      <c r="CO641" s="197"/>
      <c r="CP641" s="197"/>
      <c r="CQ641" s="197"/>
      <c r="CR641" s="197"/>
      <c r="CS641" s="197"/>
      <c r="CT641" s="197"/>
      <c r="CU641" s="197"/>
      <c r="CV641" s="197"/>
      <c r="CW641" s="197"/>
      <c r="CX641" s="959"/>
      <c r="CY641" s="959"/>
      <c r="CZ641" s="959"/>
      <c r="DA641" s="959"/>
      <c r="DB641" s="959"/>
      <c r="DC641" s="891">
        <v>3074</v>
      </c>
      <c r="DD641" s="891" t="s">
        <v>3342</v>
      </c>
      <c r="DE641" s="891" t="s">
        <v>401</v>
      </c>
      <c r="DF641" s="891">
        <v>6</v>
      </c>
      <c r="DG641" s="959"/>
      <c r="DH641" s="959"/>
      <c r="ER641" s="905">
        <v>3466</v>
      </c>
      <c r="ES641" s="906" t="s">
        <v>3776</v>
      </c>
      <c r="ET641" s="2686">
        <v>9</v>
      </c>
      <c r="EV641" s="985"/>
      <c r="EW641" s="985"/>
      <c r="EX641" s="387"/>
      <c r="EY641" s="939"/>
      <c r="EZ641" s="886"/>
    </row>
    <row r="642" spans="88:156">
      <c r="CJ642" s="197"/>
      <c r="CK642" s="197"/>
      <c r="CL642" s="197"/>
      <c r="CM642" s="213"/>
      <c r="CN642" s="213"/>
      <c r="CO642" s="197"/>
      <c r="CP642" s="197"/>
      <c r="CQ642" s="197"/>
      <c r="CR642" s="197"/>
      <c r="CS642" s="197"/>
      <c r="CT642" s="197"/>
      <c r="CU642" s="197"/>
      <c r="CV642" s="197"/>
      <c r="CW642" s="197"/>
      <c r="CX642" s="959"/>
      <c r="CY642" s="959"/>
      <c r="CZ642" s="959"/>
      <c r="DA642" s="959"/>
      <c r="DB642" s="959"/>
      <c r="DC642" s="891">
        <v>3075</v>
      </c>
      <c r="DD642" s="891" t="s">
        <v>3343</v>
      </c>
      <c r="DE642" s="891" t="s">
        <v>401</v>
      </c>
      <c r="DF642" s="891">
        <v>6</v>
      </c>
      <c r="DG642" s="959"/>
      <c r="DH642" s="959"/>
      <c r="ER642" s="905">
        <v>3467</v>
      </c>
      <c r="ES642" s="906" t="s">
        <v>3777</v>
      </c>
      <c r="ET642" s="2686">
        <v>9</v>
      </c>
      <c r="EV642" s="985"/>
      <c r="EW642" s="985"/>
      <c r="EX642" s="387"/>
      <c r="EY642" s="939"/>
      <c r="EZ642" s="886"/>
    </row>
    <row r="643" spans="88:156">
      <c r="CJ643" s="197"/>
      <c r="CK643" s="197"/>
      <c r="CL643" s="197"/>
      <c r="CM643" s="213"/>
      <c r="CN643" s="213"/>
      <c r="CO643" s="197"/>
      <c r="CP643" s="197"/>
      <c r="CQ643" s="197"/>
      <c r="CR643" s="197"/>
      <c r="CS643" s="197"/>
      <c r="CT643" s="197"/>
      <c r="CU643" s="197"/>
      <c r="CV643" s="197"/>
      <c r="CW643" s="197"/>
      <c r="CX643" s="959"/>
      <c r="CY643" s="959"/>
      <c r="CZ643" s="959"/>
      <c r="DA643" s="959"/>
      <c r="DB643" s="959"/>
      <c r="DC643" s="891">
        <v>3077</v>
      </c>
      <c r="DD643" s="891" t="s">
        <v>3344</v>
      </c>
      <c r="DE643" s="891" t="s">
        <v>401</v>
      </c>
      <c r="DF643" s="891">
        <v>5</v>
      </c>
      <c r="DG643" s="959"/>
      <c r="DH643" s="959"/>
      <c r="ER643" s="905">
        <v>3500</v>
      </c>
      <c r="ES643" s="906" t="s">
        <v>631</v>
      </c>
      <c r="ET643" s="2686">
        <v>5</v>
      </c>
      <c r="EV643" s="985"/>
      <c r="EW643" s="985"/>
      <c r="EX643" s="387"/>
      <c r="EY643" s="939"/>
      <c r="EZ643" s="886"/>
    </row>
    <row r="644" spans="88:156">
      <c r="CJ644" s="197"/>
      <c r="CK644" s="197"/>
      <c r="CL644" s="197"/>
      <c r="CM644" s="213"/>
      <c r="CN644" s="213"/>
      <c r="CO644" s="197"/>
      <c r="CP644" s="197"/>
      <c r="CQ644" s="197"/>
      <c r="CR644" s="197"/>
      <c r="CS644" s="197"/>
      <c r="CT644" s="197"/>
      <c r="CU644" s="197"/>
      <c r="CV644" s="197"/>
      <c r="CW644" s="197"/>
      <c r="CX644" s="959"/>
      <c r="CY644" s="959"/>
      <c r="CZ644" s="959"/>
      <c r="DA644" s="959"/>
      <c r="DB644" s="959"/>
      <c r="DC644" s="891">
        <v>3078</v>
      </c>
      <c r="DD644" s="891" t="s">
        <v>3345</v>
      </c>
      <c r="DE644" s="891" t="s">
        <v>401</v>
      </c>
      <c r="DF644" s="891">
        <v>5</v>
      </c>
      <c r="DG644" s="959"/>
      <c r="DH644" s="959"/>
      <c r="ER644" s="905">
        <v>3501</v>
      </c>
      <c r="ES644" s="906" t="s">
        <v>3778</v>
      </c>
      <c r="ET644" s="2686">
        <v>5</v>
      </c>
      <c r="EV644" s="985"/>
      <c r="EW644" s="985"/>
      <c r="EX644" s="387"/>
      <c r="EY644" s="939"/>
      <c r="EZ644" s="886"/>
    </row>
    <row r="645" spans="88:156">
      <c r="CJ645" s="197"/>
      <c r="CK645" s="197"/>
      <c r="CL645" s="197"/>
      <c r="CM645" s="213"/>
      <c r="CN645" s="213"/>
      <c r="CO645" s="197"/>
      <c r="CP645" s="197"/>
      <c r="CQ645" s="197"/>
      <c r="CR645" s="197"/>
      <c r="CS645" s="197"/>
      <c r="CT645" s="197"/>
      <c r="CU645" s="197"/>
      <c r="CV645" s="197"/>
      <c r="CW645" s="197"/>
      <c r="CX645" s="959"/>
      <c r="CY645" s="959"/>
      <c r="CZ645" s="959"/>
      <c r="DA645" s="959"/>
      <c r="DB645" s="959"/>
      <c r="DC645" s="891">
        <v>3082</v>
      </c>
      <c r="DD645" s="891" t="s">
        <v>988</v>
      </c>
      <c r="DE645" s="891" t="s">
        <v>401</v>
      </c>
      <c r="DF645" s="891">
        <v>6</v>
      </c>
      <c r="DG645" s="959"/>
      <c r="DH645" s="959"/>
      <c r="ER645" s="905">
        <v>3508</v>
      </c>
      <c r="ES645" s="906" t="s">
        <v>632</v>
      </c>
      <c r="ET645" s="2686">
        <v>5</v>
      </c>
      <c r="EV645" s="985"/>
      <c r="EW645" s="985"/>
      <c r="EX645" s="387"/>
      <c r="EY645" s="939"/>
      <c r="EZ645" s="886"/>
    </row>
    <row r="646" spans="88:156">
      <c r="CJ646" s="197"/>
      <c r="CK646" s="197"/>
      <c r="CL646" s="197"/>
      <c r="CM646" s="213"/>
      <c r="CN646" s="213"/>
      <c r="CO646" s="197"/>
      <c r="CP646" s="197"/>
      <c r="CQ646" s="197"/>
      <c r="CR646" s="197"/>
      <c r="CS646" s="197"/>
      <c r="CT646" s="197"/>
      <c r="CU646" s="197"/>
      <c r="CV646" s="197"/>
      <c r="CW646" s="197"/>
      <c r="CX646" s="959"/>
      <c r="CY646" s="959"/>
      <c r="CZ646" s="959"/>
      <c r="DA646" s="959"/>
      <c r="DB646" s="959"/>
      <c r="DC646" s="891">
        <v>3100</v>
      </c>
      <c r="DD646" s="891" t="s">
        <v>3346</v>
      </c>
      <c r="DE646" s="891" t="s">
        <v>401</v>
      </c>
      <c r="DF646" s="891">
        <v>5</v>
      </c>
      <c r="DG646" s="959"/>
      <c r="DH646" s="959"/>
      <c r="ER646" s="905">
        <v>3508</v>
      </c>
      <c r="ES646" s="906" t="s">
        <v>3778</v>
      </c>
      <c r="ET646" s="2686">
        <v>5</v>
      </c>
      <c r="EV646" s="985"/>
      <c r="EW646" s="985"/>
      <c r="EX646" s="387"/>
      <c r="EY646" s="939"/>
      <c r="EZ646" s="886"/>
    </row>
    <row r="647" spans="88:156">
      <c r="CJ647" s="197"/>
      <c r="CK647" s="197"/>
      <c r="CL647" s="197"/>
      <c r="CM647" s="213"/>
      <c r="CN647" s="213"/>
      <c r="CO647" s="197"/>
      <c r="CP647" s="197"/>
      <c r="CQ647" s="197"/>
      <c r="CR647" s="197"/>
      <c r="CS647" s="197"/>
      <c r="CT647" s="197"/>
      <c r="CU647" s="197"/>
      <c r="CV647" s="197"/>
      <c r="CW647" s="197"/>
      <c r="CX647" s="959"/>
      <c r="CY647" s="959"/>
      <c r="CZ647" s="959"/>
      <c r="DA647" s="959"/>
      <c r="DB647" s="959"/>
      <c r="DC647" s="891">
        <v>3102</v>
      </c>
      <c r="DD647" s="891" t="s">
        <v>3346</v>
      </c>
      <c r="DE647" s="891" t="s">
        <v>401</v>
      </c>
      <c r="DF647" s="891">
        <v>5</v>
      </c>
      <c r="DG647" s="959"/>
      <c r="DH647" s="959"/>
      <c r="ER647" s="905">
        <v>3509</v>
      </c>
      <c r="ES647" s="930" t="s">
        <v>633</v>
      </c>
      <c r="ET647" s="2686">
        <v>9</v>
      </c>
      <c r="EV647" s="985"/>
      <c r="EW647" s="985"/>
      <c r="EX647" s="387"/>
      <c r="EY647" s="939"/>
      <c r="EZ647" s="886"/>
    </row>
    <row r="648" spans="88:156">
      <c r="CJ648" s="197"/>
      <c r="CK648" s="197"/>
      <c r="CL648" s="197"/>
      <c r="CM648" s="213"/>
      <c r="CN648" s="213"/>
      <c r="CO648" s="197"/>
      <c r="CP648" s="197"/>
      <c r="CQ648" s="197"/>
      <c r="CR648" s="197"/>
      <c r="CS648" s="197"/>
      <c r="CT648" s="197"/>
      <c r="CU648" s="197"/>
      <c r="CV648" s="197"/>
      <c r="CW648" s="197"/>
      <c r="CX648" s="959"/>
      <c r="CY648" s="959"/>
      <c r="CZ648" s="959"/>
      <c r="DA648" s="959"/>
      <c r="DB648" s="959"/>
      <c r="DC648" s="891">
        <v>3104</v>
      </c>
      <c r="DD648" s="891" t="s">
        <v>3347</v>
      </c>
      <c r="DE648" s="891" t="s">
        <v>401</v>
      </c>
      <c r="DF648" s="891">
        <v>5</v>
      </c>
      <c r="DG648" s="959"/>
      <c r="DH648" s="959"/>
      <c r="ER648" s="905">
        <v>3510</v>
      </c>
      <c r="ES648" s="906" t="s">
        <v>634</v>
      </c>
      <c r="ET648" s="2686">
        <v>5</v>
      </c>
      <c r="EV648" s="985"/>
      <c r="EW648" s="985"/>
      <c r="EX648" s="387"/>
      <c r="EY648" s="939"/>
      <c r="EZ648" s="886"/>
    </row>
    <row r="649" spans="88:156">
      <c r="CJ649" s="197"/>
      <c r="CK649" s="197"/>
      <c r="CL649" s="197"/>
      <c r="CM649" s="213"/>
      <c r="CN649" s="213"/>
      <c r="CO649" s="197"/>
      <c r="CP649" s="197"/>
      <c r="CQ649" s="197"/>
      <c r="CR649" s="197"/>
      <c r="CS649" s="197"/>
      <c r="CT649" s="197"/>
      <c r="CU649" s="197"/>
      <c r="CV649" s="197"/>
      <c r="CW649" s="197"/>
      <c r="CX649" s="959"/>
      <c r="CY649" s="959"/>
      <c r="CZ649" s="959"/>
      <c r="DA649" s="959"/>
      <c r="DB649" s="959"/>
      <c r="DC649" s="891">
        <v>3109</v>
      </c>
      <c r="DD649" s="891" t="s">
        <v>3348</v>
      </c>
      <c r="DE649" s="891" t="s">
        <v>401</v>
      </c>
      <c r="DF649" s="891">
        <v>6</v>
      </c>
      <c r="DG649" s="959"/>
      <c r="DH649" s="959"/>
      <c r="ER649" s="894">
        <v>3510</v>
      </c>
      <c r="ES649" s="906" t="s">
        <v>3778</v>
      </c>
      <c r="ET649" s="2686">
        <v>5</v>
      </c>
      <c r="EV649" s="985"/>
      <c r="EW649" s="985"/>
      <c r="EX649" s="387"/>
      <c r="EY649" s="939"/>
      <c r="EZ649" s="886"/>
    </row>
    <row r="650" spans="88:156">
      <c r="CJ650" s="197"/>
      <c r="CK650" s="197"/>
      <c r="CL650" s="197"/>
      <c r="CM650" s="213"/>
      <c r="CN650" s="213"/>
      <c r="CO650" s="197"/>
      <c r="CP650" s="197"/>
      <c r="CQ650" s="197"/>
      <c r="CR650" s="197"/>
      <c r="CS650" s="197"/>
      <c r="CT650" s="197"/>
      <c r="CU650" s="197"/>
      <c r="CV650" s="197"/>
      <c r="CW650" s="197"/>
      <c r="CX650" s="959"/>
      <c r="CY650" s="959"/>
      <c r="CZ650" s="959"/>
      <c r="DA650" s="959"/>
      <c r="DB650" s="959"/>
      <c r="DC650" s="891">
        <v>3121</v>
      </c>
      <c r="DD650" s="891" t="s">
        <v>3349</v>
      </c>
      <c r="DE650" s="891" t="s">
        <v>401</v>
      </c>
      <c r="DF650" s="891">
        <v>6</v>
      </c>
      <c r="DG650" s="959"/>
      <c r="DH650" s="959"/>
      <c r="ER650" s="905">
        <v>3511</v>
      </c>
      <c r="ES650" s="930" t="s">
        <v>635</v>
      </c>
      <c r="ET650" s="2686">
        <v>9</v>
      </c>
      <c r="EV650" s="985"/>
      <c r="EW650" s="985"/>
      <c r="EX650" s="387"/>
      <c r="EY650" s="939"/>
      <c r="EZ650" s="886"/>
    </row>
    <row r="651" spans="88:156">
      <c r="CJ651" s="197"/>
      <c r="CK651" s="197"/>
      <c r="CL651" s="197"/>
      <c r="CM651" s="213"/>
      <c r="CN651" s="213"/>
      <c r="CO651" s="197"/>
      <c r="CP651" s="197"/>
      <c r="CQ651" s="197"/>
      <c r="CR651" s="197"/>
      <c r="CS651" s="197"/>
      <c r="CT651" s="197"/>
      <c r="CU651" s="197"/>
      <c r="CV651" s="197"/>
      <c r="CW651" s="197"/>
      <c r="CX651" s="959"/>
      <c r="CY651" s="959"/>
      <c r="CZ651" s="959"/>
      <c r="DA651" s="959"/>
      <c r="DB651" s="959"/>
      <c r="DC651" s="891">
        <v>3123</v>
      </c>
      <c r="DD651" s="891" t="s">
        <v>3350</v>
      </c>
      <c r="DE651" s="891" t="s">
        <v>401</v>
      </c>
      <c r="DF651" s="891">
        <v>6</v>
      </c>
      <c r="DG651" s="959"/>
      <c r="DH651" s="959"/>
      <c r="ER651" s="905">
        <v>3515</v>
      </c>
      <c r="ES651" s="906" t="s">
        <v>636</v>
      </c>
      <c r="ET651" s="2687">
        <v>5</v>
      </c>
      <c r="EV651" s="988"/>
      <c r="EW651" s="985"/>
      <c r="EX651" s="387"/>
      <c r="EY651" s="939"/>
      <c r="EZ651" s="886"/>
    </row>
    <row r="652" spans="88:156">
      <c r="CJ652" s="197"/>
      <c r="CK652" s="197"/>
      <c r="CL652" s="197"/>
      <c r="CM652" s="213"/>
      <c r="CN652" s="213"/>
      <c r="CO652" s="197"/>
      <c r="CP652" s="197"/>
      <c r="CQ652" s="197"/>
      <c r="CR652" s="197"/>
      <c r="CS652" s="197"/>
      <c r="CT652" s="197"/>
      <c r="CU652" s="197"/>
      <c r="CV652" s="197"/>
      <c r="CW652" s="197"/>
      <c r="CX652" s="959"/>
      <c r="CY652" s="959"/>
      <c r="CZ652" s="959"/>
      <c r="DA652" s="959"/>
      <c r="DB652" s="959"/>
      <c r="DC652" s="891">
        <v>3124</v>
      </c>
      <c r="DD652" s="891" t="s">
        <v>3351</v>
      </c>
      <c r="DE652" s="891" t="s">
        <v>401</v>
      </c>
      <c r="DF652" s="891">
        <v>6</v>
      </c>
      <c r="DG652" s="959"/>
      <c r="DH652" s="959"/>
      <c r="ER652" s="905">
        <v>3515</v>
      </c>
      <c r="ES652" s="906" t="s">
        <v>3778</v>
      </c>
      <c r="ET652" s="2686">
        <v>5</v>
      </c>
      <c r="EV652" s="985"/>
      <c r="EW652" s="985"/>
      <c r="EX652" s="387"/>
      <c r="EY652" s="939"/>
      <c r="EZ652" s="886"/>
    </row>
    <row r="653" spans="88:156">
      <c r="CJ653" s="197"/>
      <c r="CK653" s="197"/>
      <c r="CL653" s="197"/>
      <c r="CM653" s="213"/>
      <c r="CN653" s="213"/>
      <c r="CO653" s="197"/>
      <c r="CP653" s="197"/>
      <c r="CQ653" s="197"/>
      <c r="CR653" s="197"/>
      <c r="CS653" s="197"/>
      <c r="CT653" s="197"/>
      <c r="CU653" s="197"/>
      <c r="CV653" s="197"/>
      <c r="CW653" s="197"/>
      <c r="CX653" s="959"/>
      <c r="CY653" s="959"/>
      <c r="CZ653" s="959"/>
      <c r="DA653" s="959"/>
      <c r="DB653" s="959"/>
      <c r="DC653" s="891">
        <v>3125</v>
      </c>
      <c r="DD653" s="891" t="s">
        <v>3352</v>
      </c>
      <c r="DE653" s="891" t="s">
        <v>401</v>
      </c>
      <c r="DF653" s="891">
        <v>6</v>
      </c>
      <c r="DG653" s="959"/>
      <c r="DH653" s="959"/>
      <c r="ER653" s="905">
        <v>3516</v>
      </c>
      <c r="ES653" s="906" t="s">
        <v>239</v>
      </c>
      <c r="ET653" s="2686">
        <v>5</v>
      </c>
      <c r="EV653" s="985"/>
      <c r="EW653" s="985"/>
      <c r="EX653" s="387"/>
      <c r="EY653" s="939"/>
      <c r="EZ653" s="886"/>
    </row>
    <row r="654" spans="88:156">
      <c r="CJ654" s="197"/>
      <c r="CK654" s="197"/>
      <c r="CL654" s="197"/>
      <c r="CM654" s="213"/>
      <c r="CN654" s="213"/>
      <c r="CO654" s="197"/>
      <c r="CP654" s="197"/>
      <c r="CQ654" s="197"/>
      <c r="CR654" s="197"/>
      <c r="CS654" s="197"/>
      <c r="CT654" s="197"/>
      <c r="CU654" s="197"/>
      <c r="CV654" s="197"/>
      <c r="CW654" s="197"/>
      <c r="CX654" s="959"/>
      <c r="CY654" s="959"/>
      <c r="CZ654" s="959"/>
      <c r="DA654" s="959"/>
      <c r="DB654" s="959"/>
      <c r="DC654" s="891">
        <v>3126</v>
      </c>
      <c r="DD654" s="891" t="s">
        <v>3353</v>
      </c>
      <c r="DE654" s="891" t="s">
        <v>401</v>
      </c>
      <c r="DF654" s="891">
        <v>6</v>
      </c>
      <c r="DG654" s="959"/>
      <c r="DH654" s="959"/>
      <c r="ER654" s="905">
        <v>3516</v>
      </c>
      <c r="ES654" s="906" t="s">
        <v>3778</v>
      </c>
      <c r="ET654" s="2686">
        <v>5</v>
      </c>
      <c r="EV654" s="985"/>
      <c r="EW654" s="985"/>
      <c r="EX654" s="387"/>
      <c r="EY654" s="939"/>
      <c r="EZ654" s="886"/>
    </row>
    <row r="655" spans="88:156">
      <c r="CJ655" s="197"/>
      <c r="CK655" s="197"/>
      <c r="CL655" s="197"/>
      <c r="CM655" s="213"/>
      <c r="CN655" s="213"/>
      <c r="CO655" s="197"/>
      <c r="CP655" s="197"/>
      <c r="CQ655" s="197"/>
      <c r="CR655" s="197"/>
      <c r="CS655" s="197"/>
      <c r="CT655" s="197"/>
      <c r="CU655" s="197"/>
      <c r="CV655" s="197"/>
      <c r="CW655" s="197"/>
      <c r="CX655" s="959"/>
      <c r="CY655" s="959"/>
      <c r="CZ655" s="959"/>
      <c r="DA655" s="959"/>
      <c r="DB655" s="959"/>
      <c r="DC655" s="891">
        <v>3127</v>
      </c>
      <c r="DD655" s="891" t="s">
        <v>3354</v>
      </c>
      <c r="DE655" s="891" t="s">
        <v>401</v>
      </c>
      <c r="DF655" s="891">
        <v>5</v>
      </c>
      <c r="DG655" s="959"/>
      <c r="DH655" s="959"/>
      <c r="ER655" s="905">
        <v>3517</v>
      </c>
      <c r="ES655" s="906" t="s">
        <v>240</v>
      </c>
      <c r="ET655" s="2686">
        <v>5</v>
      </c>
      <c r="EV655" s="985"/>
      <c r="EW655" s="985"/>
      <c r="EX655" s="387"/>
      <c r="EY655" s="939"/>
      <c r="EZ655" s="886"/>
    </row>
    <row r="656" spans="88:156">
      <c r="CJ656" s="197"/>
      <c r="CK656" s="197"/>
      <c r="CL656" s="197"/>
      <c r="CM656" s="213"/>
      <c r="CN656" s="213"/>
      <c r="CO656" s="197"/>
      <c r="CP656" s="197"/>
      <c r="CQ656" s="197"/>
      <c r="CR656" s="197"/>
      <c r="CS656" s="197"/>
      <c r="CT656" s="197"/>
      <c r="CU656" s="197"/>
      <c r="CV656" s="197"/>
      <c r="CW656" s="197"/>
      <c r="CX656" s="959"/>
      <c r="CY656" s="959"/>
      <c r="CZ656" s="959"/>
      <c r="DA656" s="959"/>
      <c r="DB656" s="959"/>
      <c r="DC656" s="891">
        <v>3128</v>
      </c>
      <c r="DD656" s="891" t="s">
        <v>3294</v>
      </c>
      <c r="DE656" s="891" t="s">
        <v>401</v>
      </c>
      <c r="DF656" s="891">
        <v>5</v>
      </c>
      <c r="DG656" s="959"/>
      <c r="DH656" s="959"/>
      <c r="ER656" s="905">
        <v>3517</v>
      </c>
      <c r="ES656" s="906" t="s">
        <v>3778</v>
      </c>
      <c r="ET656" s="2686">
        <v>5</v>
      </c>
      <c r="EV656" s="985"/>
      <c r="EW656" s="985"/>
      <c r="EX656" s="387"/>
      <c r="EY656" s="939"/>
      <c r="EZ656" s="886"/>
    </row>
    <row r="657" spans="88:156">
      <c r="CJ657" s="197"/>
      <c r="CK657" s="197"/>
      <c r="CL657" s="197"/>
      <c r="CM657" s="213"/>
      <c r="CN657" s="213"/>
      <c r="CO657" s="197"/>
      <c r="CP657" s="197"/>
      <c r="CQ657" s="197"/>
      <c r="CR657" s="197"/>
      <c r="CS657" s="197"/>
      <c r="CT657" s="197"/>
      <c r="CU657" s="197"/>
      <c r="CV657" s="197"/>
      <c r="CW657" s="197"/>
      <c r="CX657" s="959"/>
      <c r="CY657" s="959"/>
      <c r="CZ657" s="959"/>
      <c r="DA657" s="959"/>
      <c r="DB657" s="959"/>
      <c r="DC657" s="891">
        <v>3129</v>
      </c>
      <c r="DD657" s="891" t="s">
        <v>3295</v>
      </c>
      <c r="DE657" s="891" t="s">
        <v>401</v>
      </c>
      <c r="DF657" s="891">
        <v>6</v>
      </c>
      <c r="DG657" s="959"/>
      <c r="DH657" s="959"/>
      <c r="ER657" s="905">
        <v>3518</v>
      </c>
      <c r="ES657" s="906" t="s">
        <v>3783</v>
      </c>
      <c r="ET657" s="2686">
        <v>5</v>
      </c>
      <c r="EV657" s="985"/>
      <c r="EW657" s="985"/>
      <c r="EX657" s="387"/>
      <c r="EY657" s="939"/>
      <c r="EZ657" s="886"/>
    </row>
    <row r="658" spans="88:156">
      <c r="CJ658" s="197"/>
      <c r="CK658" s="197"/>
      <c r="CL658" s="197"/>
      <c r="CM658" s="213"/>
      <c r="CN658" s="213"/>
      <c r="CO658" s="197"/>
      <c r="CP658" s="197"/>
      <c r="CQ658" s="197"/>
      <c r="CR658" s="197"/>
      <c r="CS658" s="197"/>
      <c r="CT658" s="197"/>
      <c r="CU658" s="197"/>
      <c r="CV658" s="197"/>
      <c r="CW658" s="197"/>
      <c r="CX658" s="959"/>
      <c r="CY658" s="959"/>
      <c r="CZ658" s="959"/>
      <c r="DA658" s="959"/>
      <c r="DB658" s="959"/>
      <c r="DC658" s="891">
        <v>3131</v>
      </c>
      <c r="DD658" s="891" t="s">
        <v>3296</v>
      </c>
      <c r="DE658" s="891" t="s">
        <v>401</v>
      </c>
      <c r="DF658" s="891">
        <v>5</v>
      </c>
      <c r="DG658" s="959"/>
      <c r="DH658" s="959"/>
      <c r="ER658" s="905">
        <v>3518</v>
      </c>
      <c r="ES658" s="906" t="s">
        <v>3778</v>
      </c>
      <c r="ET658" s="2686">
        <v>5</v>
      </c>
      <c r="EV658" s="985"/>
      <c r="EW658" s="985"/>
      <c r="EX658" s="387"/>
      <c r="EY658" s="939"/>
      <c r="EZ658" s="886"/>
    </row>
    <row r="659" spans="88:156">
      <c r="CJ659" s="197"/>
      <c r="CK659" s="197"/>
      <c r="CL659" s="197"/>
      <c r="CM659" s="213"/>
      <c r="CN659" s="213"/>
      <c r="CO659" s="197"/>
      <c r="CP659" s="197"/>
      <c r="CQ659" s="197"/>
      <c r="CR659" s="197"/>
      <c r="CS659" s="197"/>
      <c r="CT659" s="197"/>
      <c r="CU659" s="197"/>
      <c r="CV659" s="197"/>
      <c r="CW659" s="197"/>
      <c r="CX659" s="959"/>
      <c r="CY659" s="959"/>
      <c r="CZ659" s="959"/>
      <c r="DA659" s="959"/>
      <c r="DB659" s="959"/>
      <c r="DC659" s="891">
        <v>3132</v>
      </c>
      <c r="DD659" s="891" t="s">
        <v>3297</v>
      </c>
      <c r="DE659" s="891" t="s">
        <v>401</v>
      </c>
      <c r="DF659" s="891">
        <v>6</v>
      </c>
      <c r="DG659" s="959"/>
      <c r="DH659" s="959"/>
      <c r="ER659" s="905">
        <v>3519</v>
      </c>
      <c r="ES659" s="930" t="s">
        <v>241</v>
      </c>
      <c r="ET659" s="2686">
        <v>9</v>
      </c>
      <c r="EV659" s="985"/>
      <c r="EW659" s="985"/>
      <c r="EX659" s="387"/>
      <c r="EY659" s="939"/>
      <c r="EZ659" s="886"/>
    </row>
    <row r="660" spans="88:156">
      <c r="CJ660" s="197"/>
      <c r="CK660" s="197"/>
      <c r="CL660" s="197"/>
      <c r="CM660" s="213"/>
      <c r="CN660" s="213"/>
      <c r="CO660" s="197"/>
      <c r="CP660" s="197"/>
      <c r="CQ660" s="197"/>
      <c r="CR660" s="197"/>
      <c r="CS660" s="197"/>
      <c r="CT660" s="197"/>
      <c r="CU660" s="197"/>
      <c r="CV660" s="197"/>
      <c r="CW660" s="197"/>
      <c r="CX660" s="959"/>
      <c r="CY660" s="959"/>
      <c r="CZ660" s="959"/>
      <c r="DA660" s="959"/>
      <c r="DB660" s="959"/>
      <c r="DC660" s="891">
        <v>3133</v>
      </c>
      <c r="DD660" s="891" t="s">
        <v>3298</v>
      </c>
      <c r="DE660" s="891" t="s">
        <v>401</v>
      </c>
      <c r="DF660" s="891">
        <v>6</v>
      </c>
      <c r="DG660" s="959"/>
      <c r="DH660" s="959"/>
      <c r="ER660" s="905">
        <v>3519</v>
      </c>
      <c r="ES660" s="906" t="s">
        <v>3778</v>
      </c>
      <c r="ET660" s="2686">
        <v>5</v>
      </c>
      <c r="EV660" s="985"/>
      <c r="EW660" s="985"/>
      <c r="EX660" s="387"/>
      <c r="EY660" s="939"/>
      <c r="EZ660" s="886"/>
    </row>
    <row r="661" spans="88:156">
      <c r="CJ661" s="197"/>
      <c r="CK661" s="197"/>
      <c r="CL661" s="197"/>
      <c r="CM661" s="213"/>
      <c r="CN661" s="213"/>
      <c r="CO661" s="197"/>
      <c r="CP661" s="197"/>
      <c r="CQ661" s="197"/>
      <c r="CR661" s="197"/>
      <c r="CS661" s="197"/>
      <c r="CT661" s="197"/>
      <c r="CU661" s="197"/>
      <c r="CV661" s="197"/>
      <c r="CW661" s="197"/>
      <c r="CX661" s="959"/>
      <c r="CY661" s="959"/>
      <c r="CZ661" s="959"/>
      <c r="DA661" s="959"/>
      <c r="DB661" s="959"/>
      <c r="DC661" s="891">
        <v>3134</v>
      </c>
      <c r="DD661" s="891" t="s">
        <v>3299</v>
      </c>
      <c r="DE661" s="891" t="s">
        <v>401</v>
      </c>
      <c r="DF661" s="891">
        <v>6</v>
      </c>
      <c r="DG661" s="959"/>
      <c r="DH661" s="959"/>
      <c r="ER661" s="905">
        <v>3521</v>
      </c>
      <c r="ES661" s="930" t="s">
        <v>242</v>
      </c>
      <c r="ET661" s="2686">
        <v>5</v>
      </c>
      <c r="EV661" s="985"/>
      <c r="EW661" s="985"/>
      <c r="EX661" s="387"/>
      <c r="EY661" s="939"/>
      <c r="EZ661" s="886"/>
    </row>
    <row r="662" spans="88:156">
      <c r="CJ662" s="197"/>
      <c r="CK662" s="197"/>
      <c r="CL662" s="197"/>
      <c r="CM662" s="213"/>
      <c r="CN662" s="213"/>
      <c r="CO662" s="197"/>
      <c r="CP662" s="197"/>
      <c r="CQ662" s="197"/>
      <c r="CR662" s="197"/>
      <c r="CS662" s="197"/>
      <c r="CT662" s="197"/>
      <c r="CU662" s="197"/>
      <c r="CV662" s="197"/>
      <c r="CW662" s="197"/>
      <c r="CX662" s="959"/>
      <c r="CY662" s="959"/>
      <c r="CZ662" s="959"/>
      <c r="DA662" s="959"/>
      <c r="DB662" s="959"/>
      <c r="DC662" s="891">
        <v>3135</v>
      </c>
      <c r="DD662" s="891" t="s">
        <v>3300</v>
      </c>
      <c r="DE662" s="891" t="s">
        <v>401</v>
      </c>
      <c r="DF662" s="891">
        <v>6</v>
      </c>
      <c r="DG662" s="959"/>
      <c r="DH662" s="959"/>
      <c r="ER662" s="905">
        <v>3521</v>
      </c>
      <c r="ES662" s="906" t="s">
        <v>3778</v>
      </c>
      <c r="ET662" s="2686">
        <v>5</v>
      </c>
      <c r="EV662" s="985"/>
      <c r="EW662" s="985"/>
      <c r="EX662" s="387"/>
      <c r="EY662" s="939"/>
      <c r="EZ662" s="886"/>
    </row>
    <row r="663" spans="88:156">
      <c r="CJ663" s="197"/>
      <c r="CK663" s="197"/>
      <c r="CL663" s="197"/>
      <c r="CM663" s="213"/>
      <c r="CN663" s="213"/>
      <c r="CO663" s="197"/>
      <c r="CP663" s="197"/>
      <c r="CQ663" s="197"/>
      <c r="CR663" s="197"/>
      <c r="CS663" s="197"/>
      <c r="CT663" s="197"/>
      <c r="CU663" s="197"/>
      <c r="CV663" s="197"/>
      <c r="CW663" s="197"/>
      <c r="CX663" s="959"/>
      <c r="CY663" s="959"/>
      <c r="CZ663" s="959"/>
      <c r="DA663" s="959"/>
      <c r="DB663" s="959"/>
      <c r="DC663" s="891">
        <v>3136</v>
      </c>
      <c r="DD663" s="891" t="s">
        <v>3301</v>
      </c>
      <c r="DE663" s="891" t="s">
        <v>401</v>
      </c>
      <c r="DF663" s="891">
        <v>5</v>
      </c>
      <c r="DG663" s="959"/>
      <c r="DH663" s="959"/>
      <c r="ER663" s="905">
        <v>3524</v>
      </c>
      <c r="ES663" s="906" t="s">
        <v>3778</v>
      </c>
      <c r="ET663" s="2686">
        <v>5</v>
      </c>
      <c r="EV663" s="985"/>
      <c r="EW663" s="985"/>
      <c r="EX663" s="387"/>
      <c r="EY663" s="939"/>
      <c r="EZ663" s="886"/>
    </row>
    <row r="664" spans="88:156">
      <c r="CJ664" s="197"/>
      <c r="CK664" s="197"/>
      <c r="CL664" s="197"/>
      <c r="CM664" s="213"/>
      <c r="CN664" s="213"/>
      <c r="CO664" s="197"/>
      <c r="CP664" s="197"/>
      <c r="CQ664" s="197"/>
      <c r="CR664" s="197"/>
      <c r="CS664" s="197"/>
      <c r="CT664" s="197"/>
      <c r="CU664" s="197"/>
      <c r="CV664" s="197"/>
      <c r="CW664" s="197"/>
      <c r="CX664" s="959"/>
      <c r="CY664" s="959"/>
      <c r="CZ664" s="959"/>
      <c r="DA664" s="959"/>
      <c r="DB664" s="959"/>
      <c r="DC664" s="891">
        <v>3137</v>
      </c>
      <c r="DD664" s="891" t="s">
        <v>3302</v>
      </c>
      <c r="DE664" s="891" t="s">
        <v>401</v>
      </c>
      <c r="DF664" s="891">
        <v>5</v>
      </c>
      <c r="DG664" s="959"/>
      <c r="DH664" s="959"/>
      <c r="ER664" s="905">
        <v>3525</v>
      </c>
      <c r="ES664" s="906" t="s">
        <v>3778</v>
      </c>
      <c r="ET664" s="2686">
        <v>5</v>
      </c>
      <c r="EV664" s="985"/>
      <c r="EW664" s="985"/>
      <c r="EX664" s="387"/>
      <c r="EY664" s="939"/>
      <c r="EZ664" s="886"/>
    </row>
    <row r="665" spans="88:156">
      <c r="CJ665" s="197"/>
      <c r="CK665" s="197"/>
      <c r="CL665" s="197"/>
      <c r="CM665" s="213"/>
      <c r="CN665" s="213"/>
      <c r="CO665" s="197"/>
      <c r="CP665" s="197"/>
      <c r="CQ665" s="197"/>
      <c r="CR665" s="197"/>
      <c r="CS665" s="197"/>
      <c r="CT665" s="197"/>
      <c r="CU665" s="197"/>
      <c r="CV665" s="197"/>
      <c r="CW665" s="197"/>
      <c r="CX665" s="959"/>
      <c r="CY665" s="959"/>
      <c r="CZ665" s="959"/>
      <c r="DA665" s="959"/>
      <c r="DB665" s="959"/>
      <c r="DC665" s="891">
        <v>3138</v>
      </c>
      <c r="DD665" s="891" t="s">
        <v>3303</v>
      </c>
      <c r="DE665" s="891" t="s">
        <v>401</v>
      </c>
      <c r="DF665" s="891">
        <v>5</v>
      </c>
      <c r="DG665" s="959"/>
      <c r="DH665" s="959"/>
      <c r="ER665" s="905">
        <v>3526</v>
      </c>
      <c r="ES665" s="906" t="s">
        <v>3778</v>
      </c>
      <c r="ET665" s="2686">
        <v>5</v>
      </c>
      <c r="EV665" s="985"/>
      <c r="EW665" s="985"/>
      <c r="EX665" s="387"/>
      <c r="EY665" s="939"/>
      <c r="EZ665" s="886"/>
    </row>
    <row r="666" spans="88:156">
      <c r="CJ666" s="197"/>
      <c r="CK666" s="197"/>
      <c r="CL666" s="197"/>
      <c r="CM666" s="213"/>
      <c r="CN666" s="213"/>
      <c r="CO666" s="197"/>
      <c r="CP666" s="197"/>
      <c r="CQ666" s="197"/>
      <c r="CR666" s="197"/>
      <c r="CS666" s="197"/>
      <c r="CT666" s="197"/>
      <c r="CU666" s="197"/>
      <c r="CV666" s="197"/>
      <c r="CW666" s="197"/>
      <c r="CX666" s="959"/>
      <c r="CY666" s="959"/>
      <c r="CZ666" s="959"/>
      <c r="DA666" s="959"/>
      <c r="DB666" s="959"/>
      <c r="DC666" s="891">
        <v>3141</v>
      </c>
      <c r="DD666" s="891" t="s">
        <v>3304</v>
      </c>
      <c r="DE666" s="891" t="s">
        <v>401</v>
      </c>
      <c r="DF666" s="891">
        <v>5</v>
      </c>
      <c r="DG666" s="959"/>
      <c r="DH666" s="959"/>
      <c r="ER666" s="905">
        <v>3527</v>
      </c>
      <c r="ES666" s="906" t="s">
        <v>3778</v>
      </c>
      <c r="ET666" s="2686">
        <v>5</v>
      </c>
      <c r="EV666" s="985"/>
      <c r="EW666" s="985"/>
      <c r="EX666" s="387"/>
      <c r="EY666" s="939"/>
      <c r="EZ666" s="886"/>
    </row>
    <row r="667" spans="88:156">
      <c r="CJ667" s="197"/>
      <c r="CK667" s="197"/>
      <c r="CL667" s="197"/>
      <c r="CM667" s="213"/>
      <c r="CN667" s="213"/>
      <c r="CO667" s="197"/>
      <c r="CP667" s="197"/>
      <c r="CQ667" s="197"/>
      <c r="CR667" s="197"/>
      <c r="CS667" s="197"/>
      <c r="CT667" s="197"/>
      <c r="CU667" s="197"/>
      <c r="CV667" s="197"/>
      <c r="CW667" s="197"/>
      <c r="CX667" s="959"/>
      <c r="CY667" s="959"/>
      <c r="CZ667" s="959"/>
      <c r="DA667" s="959"/>
      <c r="DB667" s="959"/>
      <c r="DC667" s="891">
        <v>3142</v>
      </c>
      <c r="DD667" s="891" t="s">
        <v>3305</v>
      </c>
      <c r="DE667" s="891" t="s">
        <v>401</v>
      </c>
      <c r="DF667" s="891">
        <v>6</v>
      </c>
      <c r="DG667" s="959"/>
      <c r="DH667" s="959"/>
      <c r="ER667" s="905">
        <v>3528</v>
      </c>
      <c r="ES667" s="906" t="s">
        <v>3778</v>
      </c>
      <c r="ET667" s="2686">
        <v>5</v>
      </c>
      <c r="EV667" s="985"/>
      <c r="EW667" s="985"/>
      <c r="EX667" s="387"/>
      <c r="EY667" s="939"/>
      <c r="EZ667" s="886"/>
    </row>
    <row r="668" spans="88:156">
      <c r="CJ668" s="197"/>
      <c r="CK668" s="197"/>
      <c r="CL668" s="197"/>
      <c r="CM668" s="213"/>
      <c r="CN668" s="213"/>
      <c r="CO668" s="197"/>
      <c r="CP668" s="197"/>
      <c r="CQ668" s="197"/>
      <c r="CR668" s="197"/>
      <c r="CS668" s="197"/>
      <c r="CT668" s="197"/>
      <c r="CU668" s="197"/>
      <c r="CV668" s="197"/>
      <c r="CW668" s="197"/>
      <c r="CX668" s="959"/>
      <c r="CY668" s="959"/>
      <c r="CZ668" s="959"/>
      <c r="DA668" s="959"/>
      <c r="DB668" s="959"/>
      <c r="DC668" s="891">
        <v>3143</v>
      </c>
      <c r="DD668" s="891" t="s">
        <v>3306</v>
      </c>
      <c r="DE668" s="891" t="s">
        <v>401</v>
      </c>
      <c r="DF668" s="891">
        <v>6</v>
      </c>
      <c r="DG668" s="959"/>
      <c r="DH668" s="959"/>
      <c r="ER668" s="905">
        <v>3529</v>
      </c>
      <c r="ES668" s="906" t="s">
        <v>3778</v>
      </c>
      <c r="ET668" s="2686">
        <v>5</v>
      </c>
      <c r="EV668" s="985"/>
      <c r="EW668" s="985"/>
      <c r="EX668" s="387"/>
      <c r="EY668" s="939"/>
      <c r="EZ668" s="886"/>
    </row>
    <row r="669" spans="88:156">
      <c r="CJ669" s="197"/>
      <c r="CK669" s="197"/>
      <c r="CL669" s="197"/>
      <c r="CM669" s="213"/>
      <c r="CN669" s="213"/>
      <c r="CO669" s="197"/>
      <c r="CP669" s="197"/>
      <c r="CQ669" s="197"/>
      <c r="CR669" s="197"/>
      <c r="CS669" s="197"/>
      <c r="CT669" s="197"/>
      <c r="CU669" s="197"/>
      <c r="CV669" s="197"/>
      <c r="CW669" s="197"/>
      <c r="CX669" s="959"/>
      <c r="CY669" s="959"/>
      <c r="CZ669" s="959"/>
      <c r="DA669" s="959"/>
      <c r="DB669" s="959"/>
      <c r="DC669" s="891">
        <v>3144</v>
      </c>
      <c r="DD669" s="891" t="s">
        <v>3307</v>
      </c>
      <c r="DE669" s="891" t="s">
        <v>401</v>
      </c>
      <c r="DF669" s="891">
        <v>6</v>
      </c>
      <c r="DG669" s="959"/>
      <c r="DH669" s="959"/>
      <c r="ER669" s="905">
        <v>3530</v>
      </c>
      <c r="ES669" s="906" t="s">
        <v>3778</v>
      </c>
      <c r="ET669" s="2686">
        <v>5</v>
      </c>
      <c r="EV669" s="985"/>
      <c r="EW669" s="985"/>
      <c r="EX669" s="387"/>
      <c r="EY669" s="939"/>
      <c r="EZ669" s="886"/>
    </row>
    <row r="670" spans="88:156">
      <c r="CJ670" s="197"/>
      <c r="CK670" s="197"/>
      <c r="CL670" s="197"/>
      <c r="CM670" s="213"/>
      <c r="CN670" s="213"/>
      <c r="CO670" s="197"/>
      <c r="CP670" s="197"/>
      <c r="CQ670" s="197"/>
      <c r="CR670" s="197"/>
      <c r="CS670" s="197"/>
      <c r="CT670" s="197"/>
      <c r="CU670" s="197"/>
      <c r="CV670" s="197"/>
      <c r="CW670" s="197"/>
      <c r="CX670" s="959"/>
      <c r="CY670" s="959"/>
      <c r="CZ670" s="959"/>
      <c r="DA670" s="959"/>
      <c r="DB670" s="959"/>
      <c r="DC670" s="891">
        <v>3145</v>
      </c>
      <c r="DD670" s="891" t="s">
        <v>3309</v>
      </c>
      <c r="DE670" s="891" t="s">
        <v>401</v>
      </c>
      <c r="DF670" s="891">
        <v>6</v>
      </c>
      <c r="DG670" s="959"/>
      <c r="DH670" s="959"/>
      <c r="ER670" s="905">
        <v>3531</v>
      </c>
      <c r="ES670" s="906" t="s">
        <v>3778</v>
      </c>
      <c r="ET670" s="2686">
        <v>5</v>
      </c>
      <c r="EV670" s="985"/>
      <c r="EW670" s="985"/>
      <c r="EX670" s="387"/>
      <c r="EY670" s="939"/>
      <c r="EZ670" s="886"/>
    </row>
    <row r="671" spans="88:156">
      <c r="CJ671" s="197"/>
      <c r="CK671" s="197"/>
      <c r="CL671" s="197"/>
      <c r="CM671" s="213"/>
      <c r="CN671" s="213"/>
      <c r="CO671" s="197"/>
      <c r="CP671" s="197"/>
      <c r="CQ671" s="197"/>
      <c r="CR671" s="197"/>
      <c r="CS671" s="197"/>
      <c r="CT671" s="197"/>
      <c r="CU671" s="197"/>
      <c r="CV671" s="197"/>
      <c r="CW671" s="197"/>
      <c r="CX671" s="959"/>
      <c r="CY671" s="959"/>
      <c r="CZ671" s="959"/>
      <c r="DA671" s="959"/>
      <c r="DB671" s="959"/>
      <c r="DC671" s="891">
        <v>3146</v>
      </c>
      <c r="DD671" s="891" t="s">
        <v>3310</v>
      </c>
      <c r="DE671" s="891" t="s">
        <v>401</v>
      </c>
      <c r="DF671" s="891">
        <v>6</v>
      </c>
      <c r="DG671" s="959"/>
      <c r="DH671" s="959"/>
      <c r="ER671" s="905">
        <v>3532</v>
      </c>
      <c r="ES671" s="906" t="s">
        <v>3778</v>
      </c>
      <c r="ET671" s="2686">
        <v>5</v>
      </c>
      <c r="EV671" s="985"/>
      <c r="EW671" s="985"/>
      <c r="EX671" s="387"/>
      <c r="EY671" s="939"/>
      <c r="EZ671" s="886"/>
    </row>
    <row r="672" spans="88:156">
      <c r="CJ672" s="197"/>
      <c r="CK672" s="197"/>
      <c r="CL672" s="197"/>
      <c r="CM672" s="213"/>
      <c r="CN672" s="213"/>
      <c r="CO672" s="197"/>
      <c r="CP672" s="197"/>
      <c r="CQ672" s="197"/>
      <c r="CR672" s="197"/>
      <c r="CS672" s="197"/>
      <c r="CT672" s="197"/>
      <c r="CU672" s="197"/>
      <c r="CV672" s="197"/>
      <c r="CW672" s="197"/>
      <c r="CX672" s="959"/>
      <c r="CY672" s="959"/>
      <c r="CZ672" s="959"/>
      <c r="DA672" s="959"/>
      <c r="DB672" s="959"/>
      <c r="DC672" s="891">
        <v>3147</v>
      </c>
      <c r="DD672" s="891" t="s">
        <v>3355</v>
      </c>
      <c r="DE672" s="891" t="s">
        <v>427</v>
      </c>
      <c r="DF672" s="891">
        <v>5</v>
      </c>
      <c r="DG672" s="959"/>
      <c r="DH672" s="959"/>
      <c r="ER672" s="905">
        <v>3533</v>
      </c>
      <c r="ES672" s="906" t="s">
        <v>3778</v>
      </c>
      <c r="ET672" s="2686">
        <v>5</v>
      </c>
      <c r="EV672" s="985"/>
      <c r="EW672" s="985"/>
      <c r="EX672" s="387"/>
      <c r="EY672" s="939"/>
      <c r="EZ672" s="886"/>
    </row>
    <row r="673" spans="88:156">
      <c r="CJ673" s="197"/>
      <c r="CK673" s="197"/>
      <c r="CL673" s="197"/>
      <c r="CM673" s="213"/>
      <c r="CN673" s="213"/>
      <c r="CO673" s="197"/>
      <c r="CP673" s="197"/>
      <c r="CQ673" s="197"/>
      <c r="CR673" s="197"/>
      <c r="CS673" s="197"/>
      <c r="CT673" s="197"/>
      <c r="CU673" s="197"/>
      <c r="CV673" s="197"/>
      <c r="CW673" s="197"/>
      <c r="CX673" s="959"/>
      <c r="CY673" s="959"/>
      <c r="CZ673" s="959"/>
      <c r="DA673" s="959"/>
      <c r="DB673" s="959"/>
      <c r="DC673" s="891">
        <v>3151</v>
      </c>
      <c r="DD673" s="891" t="s">
        <v>3356</v>
      </c>
      <c r="DE673" s="891" t="s">
        <v>427</v>
      </c>
      <c r="DF673" s="891">
        <v>5</v>
      </c>
      <c r="DG673" s="959"/>
      <c r="DH673" s="959"/>
      <c r="ER673" s="905">
        <v>3534</v>
      </c>
      <c r="ES673" s="906" t="s">
        <v>3778</v>
      </c>
      <c r="ET673" s="2686">
        <v>5</v>
      </c>
      <c r="EV673" s="985"/>
      <c r="EW673" s="985"/>
      <c r="EX673" s="387"/>
      <c r="EY673" s="939"/>
      <c r="EZ673" s="886"/>
    </row>
    <row r="674" spans="88:156">
      <c r="CJ674" s="197"/>
      <c r="CK674" s="197"/>
      <c r="CL674" s="197"/>
      <c r="CM674" s="213"/>
      <c r="CN674" s="213"/>
      <c r="CO674" s="197"/>
      <c r="CP674" s="197"/>
      <c r="CQ674" s="197"/>
      <c r="CR674" s="197"/>
      <c r="CS674" s="197"/>
      <c r="CT674" s="197"/>
      <c r="CU674" s="197"/>
      <c r="CV674" s="197"/>
      <c r="CW674" s="197"/>
      <c r="CX674" s="959"/>
      <c r="CY674" s="959"/>
      <c r="CZ674" s="959"/>
      <c r="DA674" s="959"/>
      <c r="DB674" s="959"/>
      <c r="DC674" s="891">
        <v>3152</v>
      </c>
      <c r="DD674" s="891" t="s">
        <v>3357</v>
      </c>
      <c r="DE674" s="891" t="s">
        <v>2807</v>
      </c>
      <c r="DF674" s="891">
        <v>5</v>
      </c>
      <c r="DG674" s="959"/>
      <c r="DH674" s="959"/>
      <c r="ER674" s="905">
        <v>3535</v>
      </c>
      <c r="ES674" s="906" t="s">
        <v>3778</v>
      </c>
      <c r="ET674" s="2686">
        <v>5</v>
      </c>
      <c r="EV674" s="985"/>
      <c r="EW674" s="985"/>
      <c r="EX674" s="387"/>
      <c r="EY674" s="939"/>
      <c r="EZ674" s="886"/>
    </row>
    <row r="675" spans="88:156">
      <c r="CJ675" s="197"/>
      <c r="CK675" s="197"/>
      <c r="CL675" s="197"/>
      <c r="CM675" s="213"/>
      <c r="CN675" s="213"/>
      <c r="CO675" s="197"/>
      <c r="CP675" s="197"/>
      <c r="CQ675" s="197"/>
      <c r="CR675" s="197"/>
      <c r="CS675" s="197"/>
      <c r="CT675" s="197"/>
      <c r="CU675" s="197"/>
      <c r="CV675" s="197"/>
      <c r="CW675" s="197"/>
      <c r="CX675" s="959"/>
      <c r="CY675" s="959"/>
      <c r="CZ675" s="959"/>
      <c r="DA675" s="959"/>
      <c r="DB675" s="959"/>
      <c r="DC675" s="891">
        <v>3153</v>
      </c>
      <c r="DD675" s="891" t="s">
        <v>3358</v>
      </c>
      <c r="DE675" s="891" t="s">
        <v>428</v>
      </c>
      <c r="DF675" s="891">
        <v>6</v>
      </c>
      <c r="DG675" s="959"/>
      <c r="DH675" s="959"/>
      <c r="ER675" s="905">
        <v>3551</v>
      </c>
      <c r="ES675" s="906" t="s">
        <v>3786</v>
      </c>
      <c r="ET675" s="2686">
        <v>9</v>
      </c>
      <c r="EV675" s="985"/>
      <c r="EW675" s="985"/>
      <c r="EX675" s="387"/>
      <c r="EY675" s="939"/>
      <c r="EZ675" s="886"/>
    </row>
    <row r="676" spans="88:156">
      <c r="CJ676" s="197"/>
      <c r="CK676" s="197"/>
      <c r="CL676" s="197"/>
      <c r="CM676" s="213"/>
      <c r="CN676" s="213"/>
      <c r="CO676" s="197"/>
      <c r="CP676" s="197"/>
      <c r="CQ676" s="197"/>
      <c r="CR676" s="197"/>
      <c r="CS676" s="197"/>
      <c r="CT676" s="197"/>
      <c r="CU676" s="197"/>
      <c r="CV676" s="197"/>
      <c r="CW676" s="197"/>
      <c r="CX676" s="959"/>
      <c r="CY676" s="959"/>
      <c r="CZ676" s="959"/>
      <c r="DA676" s="959"/>
      <c r="DB676" s="959"/>
      <c r="DC676" s="891">
        <v>3154</v>
      </c>
      <c r="DD676" s="891" t="s">
        <v>3359</v>
      </c>
      <c r="DE676" s="891" t="s">
        <v>2808</v>
      </c>
      <c r="DF676" s="891">
        <v>6</v>
      </c>
      <c r="DG676" s="959"/>
      <c r="DH676" s="959"/>
      <c r="ER676" s="905">
        <v>3552</v>
      </c>
      <c r="ES676" s="906" t="s">
        <v>3787</v>
      </c>
      <c r="ET676" s="2686">
        <v>9</v>
      </c>
      <c r="EV676" s="985"/>
      <c r="EW676" s="985"/>
      <c r="EX676" s="387"/>
      <c r="EY676" s="939"/>
      <c r="EZ676" s="886"/>
    </row>
    <row r="677" spans="88:156">
      <c r="CJ677" s="197"/>
      <c r="CK677" s="197"/>
      <c r="CL677" s="197"/>
      <c r="CM677" s="213"/>
      <c r="CN677" s="213"/>
      <c r="CO677" s="197"/>
      <c r="CP677" s="197"/>
      <c r="CQ677" s="197"/>
      <c r="CR677" s="197"/>
      <c r="CS677" s="197"/>
      <c r="CT677" s="197"/>
      <c r="CU677" s="197"/>
      <c r="CV677" s="197"/>
      <c r="CW677" s="197"/>
      <c r="CX677" s="959"/>
      <c r="CY677" s="959"/>
      <c r="CZ677" s="959"/>
      <c r="DA677" s="959"/>
      <c r="DB677" s="959"/>
      <c r="DC677" s="891">
        <v>3155</v>
      </c>
      <c r="DD677" s="891" t="s">
        <v>3360</v>
      </c>
      <c r="DE677" s="891" t="s">
        <v>423</v>
      </c>
      <c r="DF677" s="891">
        <v>6</v>
      </c>
      <c r="DG677" s="959"/>
      <c r="DH677" s="959"/>
      <c r="ER677" s="905">
        <v>3553</v>
      </c>
      <c r="ES677" s="906" t="s">
        <v>3788</v>
      </c>
      <c r="ET677" s="2686">
        <v>9</v>
      </c>
      <c r="EV677" s="985"/>
      <c r="EW677" s="985"/>
      <c r="EX677" s="387"/>
      <c r="EY677" s="939"/>
      <c r="EZ677" s="886"/>
    </row>
    <row r="678" spans="88:156">
      <c r="CJ678" s="197"/>
      <c r="CK678" s="197"/>
      <c r="CL678" s="197"/>
      <c r="CM678" s="213"/>
      <c r="CN678" s="213"/>
      <c r="CO678" s="197"/>
      <c r="CP678" s="197"/>
      <c r="CQ678" s="197"/>
      <c r="CR678" s="197"/>
      <c r="CS678" s="197"/>
      <c r="CT678" s="197"/>
      <c r="CU678" s="197"/>
      <c r="CV678" s="197"/>
      <c r="CW678" s="197"/>
      <c r="CX678" s="959"/>
      <c r="CY678" s="959"/>
      <c r="CZ678" s="959"/>
      <c r="DA678" s="959"/>
      <c r="DB678" s="959"/>
      <c r="DC678" s="891">
        <v>3161</v>
      </c>
      <c r="DD678" s="891" t="s">
        <v>3361</v>
      </c>
      <c r="DE678" s="891" t="s">
        <v>421</v>
      </c>
      <c r="DF678" s="891">
        <v>5</v>
      </c>
      <c r="DG678" s="959"/>
      <c r="DH678" s="959"/>
      <c r="ER678" s="905">
        <v>3554</v>
      </c>
      <c r="ES678" s="906" t="s">
        <v>3789</v>
      </c>
      <c r="ET678" s="2686">
        <v>6</v>
      </c>
      <c r="EV678" s="985"/>
      <c r="EW678" s="985"/>
      <c r="EX678" s="387"/>
      <c r="EY678" s="939"/>
      <c r="EZ678" s="886"/>
    </row>
    <row r="679" spans="88:156">
      <c r="CJ679" s="197"/>
      <c r="CK679" s="197"/>
      <c r="CL679" s="197"/>
      <c r="CM679" s="213"/>
      <c r="CN679" s="213"/>
      <c r="CO679" s="197"/>
      <c r="CP679" s="197"/>
      <c r="CQ679" s="197"/>
      <c r="CR679" s="197"/>
      <c r="CS679" s="197"/>
      <c r="CT679" s="197"/>
      <c r="CU679" s="197"/>
      <c r="CV679" s="197"/>
      <c r="CW679" s="197"/>
      <c r="CX679" s="959"/>
      <c r="CY679" s="959"/>
      <c r="CZ679" s="959"/>
      <c r="DA679" s="959"/>
      <c r="DB679" s="959"/>
      <c r="DC679" s="891">
        <v>3162</v>
      </c>
      <c r="DD679" s="891" t="s">
        <v>3362</v>
      </c>
      <c r="DE679" s="891" t="s">
        <v>421</v>
      </c>
      <c r="DF679" s="891">
        <v>6</v>
      </c>
      <c r="DG679" s="959"/>
      <c r="DH679" s="959"/>
      <c r="ER679" s="905">
        <v>3555</v>
      </c>
      <c r="ES679" s="906" t="s">
        <v>3790</v>
      </c>
      <c r="ET679" s="2686">
        <v>9</v>
      </c>
      <c r="EV679" s="985"/>
      <c r="EW679" s="985"/>
      <c r="EX679" s="387"/>
      <c r="EY679" s="939"/>
      <c r="EZ679" s="886"/>
    </row>
    <row r="680" spans="88:156">
      <c r="CJ680" s="197"/>
      <c r="CK680" s="197"/>
      <c r="CL680" s="197"/>
      <c r="CM680" s="213"/>
      <c r="CN680" s="213"/>
      <c r="CO680" s="197"/>
      <c r="CP680" s="197"/>
      <c r="CQ680" s="197"/>
      <c r="CR680" s="197"/>
      <c r="CS680" s="197"/>
      <c r="CT680" s="197"/>
      <c r="CU680" s="197"/>
      <c r="CV680" s="197"/>
      <c r="CW680" s="197"/>
      <c r="CX680" s="959"/>
      <c r="CY680" s="959"/>
      <c r="CZ680" s="959"/>
      <c r="DA680" s="959"/>
      <c r="DB680" s="959"/>
      <c r="DC680" s="891">
        <v>3163</v>
      </c>
      <c r="DD680" s="891" t="s">
        <v>3363</v>
      </c>
      <c r="DE680" s="891" t="s">
        <v>412</v>
      </c>
      <c r="DF680" s="891">
        <v>6</v>
      </c>
      <c r="DG680" s="959"/>
      <c r="DH680" s="959"/>
      <c r="ER680" s="905">
        <v>3556</v>
      </c>
      <c r="ES680" s="906" t="s">
        <v>3791</v>
      </c>
      <c r="ET680" s="2686">
        <v>9</v>
      </c>
      <c r="EV680" s="985"/>
      <c r="EW680" s="985"/>
      <c r="EX680" s="387"/>
      <c r="EY680" s="939"/>
      <c r="EZ680" s="886"/>
    </row>
    <row r="681" spans="88:156">
      <c r="CJ681" s="197"/>
      <c r="CK681" s="197"/>
      <c r="CL681" s="197"/>
      <c r="CM681" s="213"/>
      <c r="CN681" s="213"/>
      <c r="CO681" s="197"/>
      <c r="CP681" s="197"/>
      <c r="CQ681" s="197"/>
      <c r="CR681" s="197"/>
      <c r="CS681" s="197"/>
      <c r="CT681" s="197"/>
      <c r="CU681" s="197"/>
      <c r="CV681" s="197"/>
      <c r="CW681" s="197"/>
      <c r="CX681" s="959"/>
      <c r="CY681" s="959"/>
      <c r="CZ681" s="959"/>
      <c r="DA681" s="959"/>
      <c r="DB681" s="959"/>
      <c r="DC681" s="891">
        <v>3165</v>
      </c>
      <c r="DD681" s="891" t="s">
        <v>3364</v>
      </c>
      <c r="DE681" s="891" t="s">
        <v>412</v>
      </c>
      <c r="DF681" s="891">
        <v>6</v>
      </c>
      <c r="DG681" s="959"/>
      <c r="DH681" s="959"/>
      <c r="ER681" s="905">
        <v>3557</v>
      </c>
      <c r="ES681" s="906" t="s">
        <v>3792</v>
      </c>
      <c r="ET681" s="2686">
        <v>9</v>
      </c>
      <c r="EV681" s="985"/>
      <c r="EW681" s="985"/>
      <c r="EX681" s="387"/>
      <c r="EY681" s="939"/>
      <c r="EZ681" s="886"/>
    </row>
    <row r="682" spans="88:156">
      <c r="CJ682" s="197"/>
      <c r="CK682" s="197"/>
      <c r="CL682" s="197"/>
      <c r="CM682" s="213"/>
      <c r="CN682" s="213"/>
      <c r="CO682" s="197"/>
      <c r="CP682" s="197"/>
      <c r="CQ682" s="197"/>
      <c r="CR682" s="197"/>
      <c r="CS682" s="197"/>
      <c r="CT682" s="197"/>
      <c r="CU682" s="197"/>
      <c r="CV682" s="197"/>
      <c r="CW682" s="197"/>
      <c r="CX682" s="959"/>
      <c r="CY682" s="959"/>
      <c r="CZ682" s="959"/>
      <c r="DA682" s="959"/>
      <c r="DB682" s="959"/>
      <c r="DC682" s="891">
        <v>3170</v>
      </c>
      <c r="DD682" s="891" t="s">
        <v>3365</v>
      </c>
      <c r="DE682" s="891" t="s">
        <v>412</v>
      </c>
      <c r="DF682" s="891">
        <v>6</v>
      </c>
      <c r="DG682" s="959"/>
      <c r="DH682" s="959"/>
      <c r="ER682" s="905">
        <v>3559</v>
      </c>
      <c r="ES682" s="906" t="s">
        <v>3793</v>
      </c>
      <c r="ET682" s="2686">
        <v>9</v>
      </c>
      <c r="EV682" s="985"/>
      <c r="EW682" s="985"/>
      <c r="EX682" s="387"/>
      <c r="EY682" s="939"/>
      <c r="EZ682" s="886"/>
    </row>
    <row r="683" spans="88:156">
      <c r="CJ683" s="197"/>
      <c r="CK683" s="197"/>
      <c r="CL683" s="197"/>
      <c r="CM683" s="213"/>
      <c r="CN683" s="213"/>
      <c r="CO683" s="197"/>
      <c r="CP683" s="197"/>
      <c r="CQ683" s="197"/>
      <c r="CR683" s="197"/>
      <c r="CS683" s="197"/>
      <c r="CT683" s="197"/>
      <c r="CU683" s="197"/>
      <c r="CV683" s="197"/>
      <c r="CW683" s="197"/>
      <c r="CX683" s="959"/>
      <c r="CY683" s="959"/>
      <c r="CZ683" s="959"/>
      <c r="DA683" s="959"/>
      <c r="DB683" s="959"/>
      <c r="DC683" s="891">
        <v>3175</v>
      </c>
      <c r="DD683" s="891" t="s">
        <v>3366</v>
      </c>
      <c r="DE683" s="891" t="s">
        <v>406</v>
      </c>
      <c r="DF683" s="891">
        <v>6</v>
      </c>
      <c r="DG683" s="959"/>
      <c r="DH683" s="959"/>
      <c r="ER683" s="905">
        <v>3561</v>
      </c>
      <c r="ES683" s="906" t="s">
        <v>3794</v>
      </c>
      <c r="ET683" s="2686">
        <v>9</v>
      </c>
      <c r="EV683" s="985"/>
      <c r="EW683" s="985"/>
      <c r="EX683" s="387"/>
      <c r="EY683" s="939"/>
      <c r="EZ683" s="886"/>
    </row>
    <row r="684" spans="88:156">
      <c r="CJ684" s="197"/>
      <c r="CK684" s="197"/>
      <c r="CL684" s="197"/>
      <c r="CM684" s="213"/>
      <c r="CN684" s="213"/>
      <c r="CO684" s="197"/>
      <c r="CP684" s="197"/>
      <c r="CQ684" s="197"/>
      <c r="CR684" s="197"/>
      <c r="CS684" s="197"/>
      <c r="CT684" s="197"/>
      <c r="CU684" s="197"/>
      <c r="CV684" s="197"/>
      <c r="CW684" s="197"/>
      <c r="CX684" s="959"/>
      <c r="CY684" s="959"/>
      <c r="CZ684" s="959"/>
      <c r="DA684" s="959"/>
      <c r="DB684" s="959"/>
      <c r="DC684" s="891">
        <v>3176</v>
      </c>
      <c r="DD684" s="891" t="s">
        <v>3367</v>
      </c>
      <c r="DE684" s="891" t="s">
        <v>410</v>
      </c>
      <c r="DF684" s="891">
        <v>6</v>
      </c>
      <c r="DG684" s="959"/>
      <c r="DH684" s="959"/>
      <c r="ER684" s="905">
        <v>3562</v>
      </c>
      <c r="ES684" s="906" t="s">
        <v>3795</v>
      </c>
      <c r="ET684" s="2686">
        <v>9</v>
      </c>
      <c r="EV684" s="985"/>
      <c r="EW684" s="985"/>
      <c r="EX684" s="387"/>
      <c r="EY684" s="939"/>
      <c r="EZ684" s="886"/>
    </row>
    <row r="685" spans="88:156">
      <c r="CJ685" s="197"/>
      <c r="CK685" s="197"/>
      <c r="CL685" s="197"/>
      <c r="CM685" s="213"/>
      <c r="CN685" s="213"/>
      <c r="CO685" s="197"/>
      <c r="CP685" s="197"/>
      <c r="CQ685" s="197"/>
      <c r="CR685" s="197"/>
      <c r="CS685" s="197"/>
      <c r="CT685" s="197"/>
      <c r="CU685" s="197"/>
      <c r="CV685" s="197"/>
      <c r="CW685" s="197"/>
      <c r="CX685" s="959"/>
      <c r="CY685" s="959"/>
      <c r="CZ685" s="959"/>
      <c r="DA685" s="959"/>
      <c r="DB685" s="959"/>
      <c r="DC685" s="891">
        <v>3177</v>
      </c>
      <c r="DD685" s="891" t="s">
        <v>3368</v>
      </c>
      <c r="DE685" s="891" t="s">
        <v>410</v>
      </c>
      <c r="DF685" s="891">
        <v>6</v>
      </c>
      <c r="DG685" s="959"/>
      <c r="DH685" s="959"/>
      <c r="ER685" s="905">
        <v>3563</v>
      </c>
      <c r="ES685" s="906" t="s">
        <v>3796</v>
      </c>
      <c r="ET685" s="2686">
        <v>9</v>
      </c>
      <c r="EV685" s="985"/>
      <c r="EW685" s="985"/>
      <c r="EX685" s="387"/>
      <c r="EY685" s="939"/>
      <c r="EZ685" s="886"/>
    </row>
    <row r="686" spans="88:156">
      <c r="CJ686" s="197"/>
      <c r="CK686" s="197"/>
      <c r="CL686" s="197"/>
      <c r="CM686" s="213"/>
      <c r="CN686" s="213"/>
      <c r="CO686" s="197"/>
      <c r="CP686" s="197"/>
      <c r="CQ686" s="197"/>
      <c r="CR686" s="197"/>
      <c r="CS686" s="197"/>
      <c r="CT686" s="197"/>
      <c r="CU686" s="197"/>
      <c r="CV686" s="197"/>
      <c r="CW686" s="197"/>
      <c r="CX686" s="959"/>
      <c r="CY686" s="959"/>
      <c r="CZ686" s="959"/>
      <c r="DA686" s="959"/>
      <c r="DB686" s="959"/>
      <c r="DC686" s="891">
        <v>3178</v>
      </c>
      <c r="DD686" s="891" t="s">
        <v>3369</v>
      </c>
      <c r="DE686" s="891" t="s">
        <v>412</v>
      </c>
      <c r="DF686" s="891">
        <v>6</v>
      </c>
      <c r="DG686" s="959"/>
      <c r="DH686" s="959"/>
      <c r="ER686" s="905">
        <v>3564</v>
      </c>
      <c r="ES686" s="906" t="s">
        <v>3797</v>
      </c>
      <c r="ET686" s="2686">
        <v>9</v>
      </c>
      <c r="EV686" s="985"/>
      <c r="EW686" s="985"/>
      <c r="EX686" s="387"/>
      <c r="EY686" s="939"/>
      <c r="EZ686" s="886"/>
    </row>
    <row r="687" spans="88:156">
      <c r="CJ687" s="197"/>
      <c r="CK687" s="197"/>
      <c r="CL687" s="197"/>
      <c r="CM687" s="213"/>
      <c r="CN687" s="213"/>
      <c r="CO687" s="197"/>
      <c r="CP687" s="197"/>
      <c r="CQ687" s="197"/>
      <c r="CR687" s="197"/>
      <c r="CS687" s="197"/>
      <c r="CT687" s="197"/>
      <c r="CU687" s="197"/>
      <c r="CV687" s="197"/>
      <c r="CW687" s="197"/>
      <c r="CX687" s="959"/>
      <c r="CY687" s="959"/>
      <c r="CZ687" s="959"/>
      <c r="DA687" s="959"/>
      <c r="DB687" s="959"/>
      <c r="DC687" s="891">
        <v>3179</v>
      </c>
      <c r="DD687" s="891" t="s">
        <v>3370</v>
      </c>
      <c r="DE687" s="891" t="s">
        <v>410</v>
      </c>
      <c r="DF687" s="891">
        <v>6</v>
      </c>
      <c r="DG687" s="959"/>
      <c r="DH687" s="959"/>
      <c r="ER687" s="905">
        <v>3565</v>
      </c>
      <c r="ES687" s="906" t="s">
        <v>3798</v>
      </c>
      <c r="ET687" s="2686">
        <v>9</v>
      </c>
      <c r="EV687" s="985"/>
      <c r="EW687" s="985"/>
      <c r="EX687" s="387"/>
      <c r="EY687" s="939"/>
      <c r="EZ687" s="886"/>
    </row>
    <row r="688" spans="88:156">
      <c r="CJ688" s="197"/>
      <c r="CK688" s="197"/>
      <c r="CL688" s="197"/>
      <c r="CM688" s="213"/>
      <c r="CN688" s="213"/>
      <c r="CO688" s="197"/>
      <c r="CP688" s="197"/>
      <c r="CQ688" s="197"/>
      <c r="CR688" s="197"/>
      <c r="CS688" s="197"/>
      <c r="CT688" s="197"/>
      <c r="CU688" s="197"/>
      <c r="CV688" s="197"/>
      <c r="CW688" s="197"/>
      <c r="CX688" s="959"/>
      <c r="CY688" s="959"/>
      <c r="CZ688" s="959"/>
      <c r="DA688" s="959"/>
      <c r="DB688" s="959"/>
      <c r="DC688" s="891">
        <v>3181</v>
      </c>
      <c r="DD688" s="891" t="s">
        <v>3371</v>
      </c>
      <c r="DE688" s="891" t="s">
        <v>412</v>
      </c>
      <c r="DF688" s="891">
        <v>5</v>
      </c>
      <c r="DG688" s="959"/>
      <c r="DH688" s="959"/>
      <c r="ER688" s="905">
        <v>3571</v>
      </c>
      <c r="ES688" s="906" t="s">
        <v>3799</v>
      </c>
      <c r="ET688" s="2686">
        <v>9</v>
      </c>
      <c r="EV688" s="985"/>
      <c r="EW688" s="985"/>
      <c r="EX688" s="387"/>
      <c r="EY688" s="939"/>
      <c r="EZ688" s="886"/>
    </row>
    <row r="689" spans="88:156">
      <c r="CJ689" s="197"/>
      <c r="CK689" s="197"/>
      <c r="CL689" s="197"/>
      <c r="CM689" s="213"/>
      <c r="CN689" s="213"/>
      <c r="CO689" s="197"/>
      <c r="CP689" s="197"/>
      <c r="CQ689" s="197"/>
      <c r="CR689" s="197"/>
      <c r="CS689" s="197"/>
      <c r="CT689" s="197"/>
      <c r="CU689" s="197"/>
      <c r="CV689" s="197"/>
      <c r="CW689" s="197"/>
      <c r="CX689" s="959"/>
      <c r="CY689" s="959"/>
      <c r="CZ689" s="959"/>
      <c r="DA689" s="959"/>
      <c r="DB689" s="959"/>
      <c r="DC689" s="891">
        <v>3182</v>
      </c>
      <c r="DD689" s="891" t="s">
        <v>3372</v>
      </c>
      <c r="DE689" s="891" t="s">
        <v>406</v>
      </c>
      <c r="DF689" s="891">
        <v>5</v>
      </c>
      <c r="DG689" s="959"/>
      <c r="DH689" s="959"/>
      <c r="ER689" s="905">
        <v>3572</v>
      </c>
      <c r="ES689" s="906" t="s">
        <v>3800</v>
      </c>
      <c r="ET689" s="2686">
        <v>9</v>
      </c>
      <c r="EV689" s="985"/>
      <c r="EW689" s="985"/>
      <c r="EX689" s="387"/>
      <c r="EY689" s="939"/>
      <c r="EZ689" s="886"/>
    </row>
    <row r="690" spans="88:156">
      <c r="CJ690" s="197"/>
      <c r="CK690" s="197"/>
      <c r="CL690" s="197"/>
      <c r="CM690" s="213"/>
      <c r="CN690" s="213"/>
      <c r="CO690" s="197"/>
      <c r="CP690" s="197"/>
      <c r="CQ690" s="197"/>
      <c r="CR690" s="197"/>
      <c r="CS690" s="197"/>
      <c r="CT690" s="197"/>
      <c r="CU690" s="197"/>
      <c r="CV690" s="197"/>
      <c r="CW690" s="197"/>
      <c r="CX690" s="959"/>
      <c r="CY690" s="959"/>
      <c r="CZ690" s="959"/>
      <c r="DA690" s="959"/>
      <c r="DB690" s="959"/>
      <c r="DC690" s="891">
        <v>3183</v>
      </c>
      <c r="DD690" s="891" t="s">
        <v>3373</v>
      </c>
      <c r="DE690" s="891" t="s">
        <v>423</v>
      </c>
      <c r="DF690" s="891">
        <v>5</v>
      </c>
      <c r="DG690" s="959"/>
      <c r="DH690" s="959"/>
      <c r="ER690" s="905">
        <v>3573</v>
      </c>
      <c r="ES690" s="906" t="s">
        <v>3801</v>
      </c>
      <c r="ET690" s="2686">
        <v>9</v>
      </c>
      <c r="EV690" s="985"/>
      <c r="EW690" s="985"/>
      <c r="EX690" s="387"/>
      <c r="EY690" s="939"/>
      <c r="EZ690" s="886"/>
    </row>
    <row r="691" spans="88:156">
      <c r="CJ691" s="197"/>
      <c r="CK691" s="197"/>
      <c r="CL691" s="197"/>
      <c r="CM691" s="213"/>
      <c r="CN691" s="213"/>
      <c r="CO691" s="197"/>
      <c r="CP691" s="197"/>
      <c r="CQ691" s="197"/>
      <c r="CR691" s="197"/>
      <c r="CS691" s="197"/>
      <c r="CT691" s="197"/>
      <c r="CU691" s="197"/>
      <c r="CV691" s="197"/>
      <c r="CW691" s="197"/>
      <c r="CX691" s="959"/>
      <c r="CY691" s="959"/>
      <c r="CZ691" s="959"/>
      <c r="DA691" s="959"/>
      <c r="DB691" s="959"/>
      <c r="DC691" s="891">
        <v>3184</v>
      </c>
      <c r="DD691" s="891" t="s">
        <v>3374</v>
      </c>
      <c r="DE691" s="891" t="s">
        <v>412</v>
      </c>
      <c r="DF691" s="891">
        <v>5</v>
      </c>
      <c r="DG691" s="959"/>
      <c r="DH691" s="959"/>
      <c r="ER691" s="905">
        <v>3574</v>
      </c>
      <c r="ES691" s="906" t="s">
        <v>3802</v>
      </c>
      <c r="ET691" s="2686">
        <v>9</v>
      </c>
      <c r="EV691" s="985"/>
      <c r="EW691" s="985"/>
      <c r="EX691" s="387"/>
      <c r="EY691" s="939"/>
      <c r="EZ691" s="886"/>
    </row>
    <row r="692" spans="88:156">
      <c r="CJ692" s="197"/>
      <c r="CK692" s="197"/>
      <c r="CL692" s="197"/>
      <c r="CM692" s="213"/>
      <c r="CN692" s="213"/>
      <c r="CO692" s="197"/>
      <c r="CP692" s="197"/>
      <c r="CQ692" s="197"/>
      <c r="CR692" s="197"/>
      <c r="CS692" s="197"/>
      <c r="CT692" s="197"/>
      <c r="CU692" s="197"/>
      <c r="CV692" s="197"/>
      <c r="CW692" s="197"/>
      <c r="CX692" s="959"/>
      <c r="CY692" s="959"/>
      <c r="CZ692" s="959"/>
      <c r="DA692" s="959"/>
      <c r="DB692" s="959"/>
      <c r="DC692" s="891">
        <v>3185</v>
      </c>
      <c r="DD692" s="891" t="s">
        <v>3529</v>
      </c>
      <c r="DE692" s="891" t="s">
        <v>421</v>
      </c>
      <c r="DF692" s="891">
        <v>5</v>
      </c>
      <c r="DG692" s="959"/>
      <c r="DH692" s="959"/>
      <c r="ER692" s="905">
        <v>3575</v>
      </c>
      <c r="ES692" s="906" t="s">
        <v>3803</v>
      </c>
      <c r="ET692" s="2686">
        <v>9</v>
      </c>
      <c r="EV692" s="985"/>
      <c r="EW692" s="985"/>
      <c r="EX692" s="387"/>
      <c r="EY692" s="939"/>
      <c r="EZ692" s="886"/>
    </row>
    <row r="693" spans="88:156">
      <c r="CJ693" s="197"/>
      <c r="CK693" s="197"/>
      <c r="CL693" s="197"/>
      <c r="CM693" s="213"/>
      <c r="CN693" s="213"/>
      <c r="CO693" s="197"/>
      <c r="CP693" s="197"/>
      <c r="CQ693" s="197"/>
      <c r="CR693" s="197"/>
      <c r="CS693" s="197"/>
      <c r="CT693" s="197"/>
      <c r="CU693" s="197"/>
      <c r="CV693" s="197"/>
      <c r="CW693" s="197"/>
      <c r="CX693" s="959"/>
      <c r="CY693" s="959"/>
      <c r="CZ693" s="959"/>
      <c r="DA693" s="959"/>
      <c r="DB693" s="959"/>
      <c r="DC693" s="891">
        <v>3186</v>
      </c>
      <c r="DD693" s="891" t="s">
        <v>3530</v>
      </c>
      <c r="DE693" s="891" t="s">
        <v>417</v>
      </c>
      <c r="DF693" s="891">
        <v>5</v>
      </c>
      <c r="DG693" s="959"/>
      <c r="DH693" s="959"/>
      <c r="ER693" s="905">
        <v>3576</v>
      </c>
      <c r="ES693" s="906" t="s">
        <v>243</v>
      </c>
      <c r="ET693" s="2686">
        <v>9</v>
      </c>
      <c r="EV693" s="985"/>
      <c r="EW693" s="985"/>
      <c r="EX693" s="387"/>
      <c r="EY693" s="939"/>
      <c r="EZ693" s="886"/>
    </row>
    <row r="694" spans="88:156">
      <c r="CJ694" s="197"/>
      <c r="CK694" s="197"/>
      <c r="CL694" s="197"/>
      <c r="CM694" s="213"/>
      <c r="CN694" s="213"/>
      <c r="CO694" s="197"/>
      <c r="CP694" s="197"/>
      <c r="CQ694" s="197"/>
      <c r="CR694" s="197"/>
      <c r="CS694" s="197"/>
      <c r="CT694" s="197"/>
      <c r="CU694" s="197"/>
      <c r="CV694" s="197"/>
      <c r="CW694" s="197"/>
      <c r="CX694" s="959"/>
      <c r="CY694" s="959"/>
      <c r="CZ694" s="959"/>
      <c r="DA694" s="959"/>
      <c r="DB694" s="959"/>
      <c r="DC694" s="891">
        <v>3187</v>
      </c>
      <c r="DD694" s="891" t="s">
        <v>3531</v>
      </c>
      <c r="DE694" s="891" t="s">
        <v>402</v>
      </c>
      <c r="DF694" s="891">
        <v>6</v>
      </c>
      <c r="DG694" s="959"/>
      <c r="DH694" s="959"/>
      <c r="ER694" s="905">
        <v>3577</v>
      </c>
      <c r="ES694" s="906" t="s">
        <v>3805</v>
      </c>
      <c r="ET694" s="2686">
        <v>9</v>
      </c>
      <c r="EV694" s="985"/>
      <c r="EW694" s="985"/>
      <c r="EX694" s="387"/>
      <c r="EY694" s="939"/>
      <c r="EZ694" s="886"/>
    </row>
    <row r="695" spans="88:156">
      <c r="CJ695" s="197"/>
      <c r="CK695" s="197"/>
      <c r="CL695" s="197"/>
      <c r="CM695" s="213"/>
      <c r="CN695" s="213"/>
      <c r="CO695" s="197"/>
      <c r="CP695" s="197"/>
      <c r="CQ695" s="197"/>
      <c r="CR695" s="197"/>
      <c r="CS695" s="197"/>
      <c r="CT695" s="197"/>
      <c r="CU695" s="197"/>
      <c r="CV695" s="197"/>
      <c r="CW695" s="197"/>
      <c r="CX695" s="959"/>
      <c r="CY695" s="959"/>
      <c r="CZ695" s="959"/>
      <c r="DA695" s="959"/>
      <c r="DB695" s="959"/>
      <c r="DC695" s="891">
        <v>3188</v>
      </c>
      <c r="DD695" s="891" t="s">
        <v>3532</v>
      </c>
      <c r="DE695" s="891" t="s">
        <v>428</v>
      </c>
      <c r="DF695" s="891">
        <v>6</v>
      </c>
      <c r="DG695" s="959"/>
      <c r="DH695" s="959"/>
      <c r="ER695" s="905">
        <v>3578</v>
      </c>
      <c r="ES695" s="906" t="s">
        <v>244</v>
      </c>
      <c r="ET695" s="2686">
        <v>9</v>
      </c>
      <c r="EV695" s="985"/>
      <c r="EW695" s="985"/>
      <c r="EX695" s="387"/>
      <c r="EY695" s="939"/>
      <c r="EZ695" s="886"/>
    </row>
    <row r="696" spans="88:156">
      <c r="CJ696" s="197"/>
      <c r="CK696" s="197"/>
      <c r="CL696" s="197"/>
      <c r="CM696" s="213"/>
      <c r="CN696" s="213"/>
      <c r="CO696" s="197"/>
      <c r="CP696" s="197"/>
      <c r="CQ696" s="197"/>
      <c r="CR696" s="197"/>
      <c r="CS696" s="197"/>
      <c r="CT696" s="197"/>
      <c r="CU696" s="197"/>
      <c r="CV696" s="197"/>
      <c r="CW696" s="197"/>
      <c r="CX696" s="959"/>
      <c r="CY696" s="959"/>
      <c r="CZ696" s="959"/>
      <c r="DA696" s="959"/>
      <c r="DB696" s="959"/>
      <c r="DC696" s="891">
        <v>3200</v>
      </c>
      <c r="DD696" s="891" t="s">
        <v>3533</v>
      </c>
      <c r="DE696" s="891" t="s">
        <v>418</v>
      </c>
      <c r="DF696" s="891">
        <v>6</v>
      </c>
      <c r="DG696" s="959"/>
      <c r="DH696" s="959"/>
      <c r="ER696" s="905">
        <v>3578</v>
      </c>
      <c r="ES696" s="906" t="s">
        <v>245</v>
      </c>
      <c r="ET696" s="2686">
        <v>9</v>
      </c>
      <c r="EV696" s="985"/>
      <c r="EW696" s="985"/>
      <c r="EX696" s="387"/>
      <c r="EY696" s="939"/>
      <c r="EZ696" s="886"/>
    </row>
    <row r="697" spans="88:156">
      <c r="CJ697" s="197"/>
      <c r="CK697" s="197"/>
      <c r="CL697" s="197"/>
      <c r="CM697" s="213"/>
      <c r="CN697" s="213"/>
      <c r="CO697" s="197"/>
      <c r="CP697" s="197"/>
      <c r="CQ697" s="197"/>
      <c r="CR697" s="197"/>
      <c r="CS697" s="197"/>
      <c r="CT697" s="197"/>
      <c r="CU697" s="197"/>
      <c r="CV697" s="197"/>
      <c r="CW697" s="197"/>
      <c r="CX697" s="959"/>
      <c r="CY697" s="959"/>
      <c r="CZ697" s="959"/>
      <c r="DA697" s="959"/>
      <c r="DB697" s="959"/>
      <c r="DC697" s="891">
        <v>3211</v>
      </c>
      <c r="DD697" s="891" t="s">
        <v>3534</v>
      </c>
      <c r="DE697" s="891" t="s">
        <v>418</v>
      </c>
      <c r="DF697" s="891">
        <v>6</v>
      </c>
      <c r="DG697" s="959"/>
      <c r="DH697" s="959"/>
      <c r="ER697" s="905">
        <v>3579</v>
      </c>
      <c r="ES697" s="906" t="s">
        <v>2416</v>
      </c>
      <c r="ET697" s="2686">
        <v>9</v>
      </c>
      <c r="EV697" s="985"/>
      <c r="EW697" s="985"/>
      <c r="EX697" s="387"/>
      <c r="EY697" s="939"/>
      <c r="EZ697" s="886"/>
    </row>
    <row r="698" spans="88:156">
      <c r="CJ698" s="197"/>
      <c r="CK698" s="197"/>
      <c r="CL698" s="197"/>
      <c r="CM698" s="213"/>
      <c r="CN698" s="213"/>
      <c r="CO698" s="197"/>
      <c r="CP698" s="197"/>
      <c r="CQ698" s="197"/>
      <c r="CR698" s="197"/>
      <c r="CS698" s="197"/>
      <c r="CT698" s="197"/>
      <c r="CU698" s="197"/>
      <c r="CV698" s="197"/>
      <c r="CW698" s="197"/>
      <c r="CX698" s="959"/>
      <c r="CY698" s="959"/>
      <c r="CZ698" s="959"/>
      <c r="DA698" s="959"/>
      <c r="DB698" s="959"/>
      <c r="DC698" s="891">
        <v>3212</v>
      </c>
      <c r="DD698" s="891" t="s">
        <v>3535</v>
      </c>
      <c r="DE698" s="891" t="s">
        <v>418</v>
      </c>
      <c r="DF698" s="891">
        <v>6</v>
      </c>
      <c r="DG698" s="959"/>
      <c r="DH698" s="959"/>
      <c r="ER698" s="905">
        <v>3580</v>
      </c>
      <c r="ES698" s="906" t="s">
        <v>2418</v>
      </c>
      <c r="ET698" s="2686">
        <v>9</v>
      </c>
      <c r="EV698" s="985"/>
      <c r="EW698" s="985"/>
      <c r="EX698" s="387"/>
      <c r="EY698" s="939"/>
      <c r="EZ698" s="886"/>
    </row>
    <row r="699" spans="88:156">
      <c r="CJ699" s="197"/>
      <c r="CK699" s="197"/>
      <c r="CL699" s="197"/>
      <c r="CM699" s="213"/>
      <c r="CN699" s="213"/>
      <c r="CO699" s="197"/>
      <c r="CP699" s="197"/>
      <c r="CQ699" s="197"/>
      <c r="CR699" s="197"/>
      <c r="CS699" s="197"/>
      <c r="CT699" s="197"/>
      <c r="CU699" s="197"/>
      <c r="CV699" s="197"/>
      <c r="CW699" s="197"/>
      <c r="CX699" s="959"/>
      <c r="CY699" s="959"/>
      <c r="CZ699" s="959"/>
      <c r="DA699" s="959"/>
      <c r="DB699" s="959"/>
      <c r="DC699" s="891">
        <v>3213</v>
      </c>
      <c r="DD699" s="891" t="s">
        <v>3536</v>
      </c>
      <c r="DE699" s="891" t="s">
        <v>418</v>
      </c>
      <c r="DF699" s="891">
        <v>6</v>
      </c>
      <c r="DG699" s="959"/>
      <c r="DH699" s="959"/>
      <c r="ER699" s="905">
        <v>3585</v>
      </c>
      <c r="ES699" s="906" t="s">
        <v>246</v>
      </c>
      <c r="ET699" s="2686">
        <v>9</v>
      </c>
      <c r="EV699" s="985"/>
      <c r="EW699" s="985"/>
      <c r="EX699" s="387"/>
      <c r="EY699" s="939"/>
      <c r="EZ699" s="886"/>
    </row>
    <row r="700" spans="88:156">
      <c r="CJ700" s="197"/>
      <c r="CK700" s="197"/>
      <c r="CL700" s="197"/>
      <c r="CM700" s="213"/>
      <c r="CN700" s="213"/>
      <c r="CO700" s="197"/>
      <c r="CP700" s="197"/>
      <c r="CQ700" s="197"/>
      <c r="CR700" s="197"/>
      <c r="CS700" s="197"/>
      <c r="CT700" s="197"/>
      <c r="CU700" s="197"/>
      <c r="CV700" s="197"/>
      <c r="CW700" s="197"/>
      <c r="CX700" s="959"/>
      <c r="CY700" s="959"/>
      <c r="CZ700" s="959"/>
      <c r="DA700" s="959"/>
      <c r="DB700" s="959"/>
      <c r="DC700" s="891">
        <v>3214</v>
      </c>
      <c r="DD700" s="891" t="s">
        <v>3537</v>
      </c>
      <c r="DE700" s="891" t="s">
        <v>418</v>
      </c>
      <c r="DF700" s="891">
        <v>6</v>
      </c>
      <c r="DG700" s="959"/>
      <c r="DH700" s="959"/>
      <c r="ER700" s="905">
        <v>3586</v>
      </c>
      <c r="ES700" s="906" t="s">
        <v>2419</v>
      </c>
      <c r="ET700" s="2686">
        <v>9</v>
      </c>
      <c r="EV700" s="985"/>
      <c r="EW700" s="985"/>
      <c r="EX700" s="387"/>
      <c r="EY700" s="939"/>
      <c r="EZ700" s="886"/>
    </row>
    <row r="701" spans="88:156">
      <c r="CJ701" s="197"/>
      <c r="CK701" s="197"/>
      <c r="CL701" s="197"/>
      <c r="CM701" s="213"/>
      <c r="CN701" s="213"/>
      <c r="CO701" s="197"/>
      <c r="CP701" s="197"/>
      <c r="CQ701" s="197"/>
      <c r="CR701" s="197"/>
      <c r="CS701" s="197"/>
      <c r="CT701" s="197"/>
      <c r="CU701" s="197"/>
      <c r="CV701" s="197"/>
      <c r="CW701" s="197"/>
      <c r="CX701" s="959"/>
      <c r="CY701" s="959"/>
      <c r="CZ701" s="959"/>
      <c r="DA701" s="959"/>
      <c r="DB701" s="959"/>
      <c r="DC701" s="891">
        <v>3221</v>
      </c>
      <c r="DD701" s="891" t="s">
        <v>994</v>
      </c>
      <c r="DE701" s="891" t="s">
        <v>418</v>
      </c>
      <c r="DF701" s="891">
        <v>6</v>
      </c>
      <c r="DG701" s="959"/>
      <c r="DH701" s="959"/>
      <c r="ER701" s="905">
        <v>3587</v>
      </c>
      <c r="ES701" s="906" t="s">
        <v>2420</v>
      </c>
      <c r="ET701" s="2686">
        <v>9</v>
      </c>
      <c r="EV701" s="985"/>
      <c r="EW701" s="985"/>
      <c r="EX701" s="387"/>
      <c r="EY701" s="939"/>
      <c r="EZ701" s="886"/>
    </row>
    <row r="702" spans="88:156">
      <c r="CJ702" s="197"/>
      <c r="CK702" s="197"/>
      <c r="CL702" s="197"/>
      <c r="CM702" s="213"/>
      <c r="CN702" s="213"/>
      <c r="CO702" s="197"/>
      <c r="CP702" s="197"/>
      <c r="CQ702" s="197"/>
      <c r="CR702" s="197"/>
      <c r="CS702" s="197"/>
      <c r="CT702" s="197"/>
      <c r="CU702" s="197"/>
      <c r="CV702" s="197"/>
      <c r="CW702" s="197"/>
      <c r="CX702" s="959"/>
      <c r="CY702" s="959"/>
      <c r="CZ702" s="959"/>
      <c r="DA702" s="959"/>
      <c r="DB702" s="959"/>
      <c r="DC702" s="891">
        <v>3231</v>
      </c>
      <c r="DD702" s="891" t="s">
        <v>995</v>
      </c>
      <c r="DE702" s="891" t="s">
        <v>418</v>
      </c>
      <c r="DF702" s="891">
        <v>6</v>
      </c>
      <c r="DG702" s="959"/>
      <c r="DH702" s="959"/>
      <c r="ER702" s="905">
        <v>3588</v>
      </c>
      <c r="ES702" s="906" t="s">
        <v>2421</v>
      </c>
      <c r="ET702" s="2686">
        <v>9</v>
      </c>
      <c r="EV702" s="985"/>
      <c r="EW702" s="985"/>
      <c r="EX702" s="387"/>
      <c r="EY702" s="939"/>
      <c r="EZ702" s="886"/>
    </row>
    <row r="703" spans="88:156">
      <c r="CJ703" s="197"/>
      <c r="CK703" s="197"/>
      <c r="CL703" s="197"/>
      <c r="CM703" s="213"/>
      <c r="CN703" s="213"/>
      <c r="CO703" s="197"/>
      <c r="CP703" s="197"/>
      <c r="CQ703" s="197"/>
      <c r="CR703" s="197"/>
      <c r="CS703" s="197"/>
      <c r="CT703" s="197"/>
      <c r="CU703" s="197"/>
      <c r="CV703" s="197"/>
      <c r="CW703" s="197"/>
      <c r="CX703" s="959"/>
      <c r="CY703" s="959"/>
      <c r="CZ703" s="959"/>
      <c r="DA703" s="959"/>
      <c r="DB703" s="959"/>
      <c r="DC703" s="891">
        <v>3232</v>
      </c>
      <c r="DD703" s="891" t="s">
        <v>996</v>
      </c>
      <c r="DE703" s="891" t="s">
        <v>421</v>
      </c>
      <c r="DF703" s="891">
        <v>6</v>
      </c>
      <c r="DG703" s="959"/>
      <c r="DH703" s="959"/>
      <c r="ER703" s="905">
        <v>3589</v>
      </c>
      <c r="ES703" s="906" t="s">
        <v>2422</v>
      </c>
      <c r="ET703" s="2686">
        <v>9</v>
      </c>
      <c r="EV703" s="985"/>
      <c r="EW703" s="985"/>
      <c r="EX703" s="387"/>
      <c r="EY703" s="939"/>
      <c r="EZ703" s="886"/>
    </row>
    <row r="704" spans="88:156">
      <c r="CJ704" s="197"/>
      <c r="CK704" s="197"/>
      <c r="CL704" s="197"/>
      <c r="CM704" s="213"/>
      <c r="CN704" s="213"/>
      <c r="CO704" s="197"/>
      <c r="CP704" s="197"/>
      <c r="CQ704" s="197"/>
      <c r="CR704" s="197"/>
      <c r="CS704" s="197"/>
      <c r="CT704" s="197"/>
      <c r="CU704" s="197"/>
      <c r="CV704" s="197"/>
      <c r="CW704" s="197"/>
      <c r="CX704" s="959"/>
      <c r="CY704" s="959"/>
      <c r="CZ704" s="959"/>
      <c r="DA704" s="959"/>
      <c r="DB704" s="959"/>
      <c r="DC704" s="891">
        <v>3233</v>
      </c>
      <c r="DD704" s="891" t="s">
        <v>997</v>
      </c>
      <c r="DE704" s="891" t="s">
        <v>421</v>
      </c>
      <c r="DF704" s="891">
        <v>6</v>
      </c>
      <c r="DG704" s="959"/>
      <c r="DH704" s="959"/>
      <c r="ER704" s="905">
        <v>3591</v>
      </c>
      <c r="ES704" s="906" t="s">
        <v>2423</v>
      </c>
      <c r="ET704" s="2686">
        <v>9</v>
      </c>
      <c r="EV704" s="985"/>
      <c r="EW704" s="985"/>
      <c r="EX704" s="387"/>
      <c r="EY704" s="939"/>
      <c r="EZ704" s="886"/>
    </row>
    <row r="705" spans="88:156">
      <c r="CJ705" s="197"/>
      <c r="CK705" s="197"/>
      <c r="CL705" s="197"/>
      <c r="CM705" s="213"/>
      <c r="CN705" s="213"/>
      <c r="CO705" s="197"/>
      <c r="CP705" s="197"/>
      <c r="CQ705" s="197"/>
      <c r="CR705" s="197"/>
      <c r="CS705" s="197"/>
      <c r="CT705" s="197"/>
      <c r="CU705" s="197"/>
      <c r="CV705" s="197"/>
      <c r="CW705" s="197"/>
      <c r="CX705" s="959"/>
      <c r="CY705" s="959"/>
      <c r="CZ705" s="959"/>
      <c r="DA705" s="959"/>
      <c r="DB705" s="959"/>
      <c r="DC705" s="891">
        <v>3234</v>
      </c>
      <c r="DD705" s="891" t="s">
        <v>998</v>
      </c>
      <c r="DE705" s="891" t="s">
        <v>421</v>
      </c>
      <c r="DF705" s="891">
        <v>6</v>
      </c>
      <c r="DG705" s="959"/>
      <c r="DH705" s="959"/>
      <c r="ER705" s="905">
        <v>3592</v>
      </c>
      <c r="ES705" s="906" t="s">
        <v>2424</v>
      </c>
      <c r="ET705" s="2686">
        <v>9</v>
      </c>
      <c r="EV705" s="985"/>
      <c r="EW705" s="985"/>
      <c r="EX705" s="387"/>
      <c r="EY705" s="939"/>
      <c r="EZ705" s="886"/>
    </row>
    <row r="706" spans="88:156">
      <c r="CJ706" s="197"/>
      <c r="CK706" s="197"/>
      <c r="CL706" s="197"/>
      <c r="CM706" s="213"/>
      <c r="CN706" s="213"/>
      <c r="CO706" s="197"/>
      <c r="CP706" s="197"/>
      <c r="CQ706" s="197"/>
      <c r="CR706" s="197"/>
      <c r="CS706" s="197"/>
      <c r="CT706" s="197"/>
      <c r="CU706" s="197"/>
      <c r="CV706" s="197"/>
      <c r="CW706" s="197"/>
      <c r="CX706" s="959"/>
      <c r="CY706" s="959"/>
      <c r="CZ706" s="959"/>
      <c r="DA706" s="959"/>
      <c r="DB706" s="959"/>
      <c r="DC706" s="891">
        <v>3235</v>
      </c>
      <c r="DD706" s="891" t="s">
        <v>999</v>
      </c>
      <c r="DE706" s="891" t="s">
        <v>421</v>
      </c>
      <c r="DF706" s="891">
        <v>5</v>
      </c>
      <c r="DG706" s="959"/>
      <c r="DH706" s="959"/>
      <c r="ER706" s="905">
        <v>3593</v>
      </c>
      <c r="ES706" s="906" t="s">
        <v>2425</v>
      </c>
      <c r="ET706" s="2686">
        <v>9</v>
      </c>
      <c r="EV706" s="985"/>
      <c r="EW706" s="985"/>
      <c r="EX706" s="387"/>
      <c r="EY706" s="939"/>
      <c r="EZ706" s="886"/>
    </row>
    <row r="707" spans="88:156">
      <c r="CJ707" s="197"/>
      <c r="CK707" s="197"/>
      <c r="CL707" s="197"/>
      <c r="CM707" s="213"/>
      <c r="CN707" s="213"/>
      <c r="CO707" s="197"/>
      <c r="CP707" s="197"/>
      <c r="CQ707" s="197"/>
      <c r="CR707" s="197"/>
      <c r="CS707" s="197"/>
      <c r="CT707" s="197"/>
      <c r="CU707" s="197"/>
      <c r="CV707" s="197"/>
      <c r="CW707" s="197"/>
      <c r="CX707" s="959"/>
      <c r="CY707" s="959"/>
      <c r="CZ707" s="959"/>
      <c r="DA707" s="959"/>
      <c r="DB707" s="959"/>
      <c r="DC707" s="891">
        <v>3240</v>
      </c>
      <c r="DD707" s="891" t="s">
        <v>1000</v>
      </c>
      <c r="DE707" s="891" t="s">
        <v>421</v>
      </c>
      <c r="DF707" s="891">
        <v>6</v>
      </c>
      <c r="DG707" s="959"/>
      <c r="DH707" s="959"/>
      <c r="ER707" s="905">
        <v>3594</v>
      </c>
      <c r="ES707" s="906" t="s">
        <v>2426</v>
      </c>
      <c r="ET707" s="2686">
        <v>9</v>
      </c>
      <c r="EV707" s="985"/>
      <c r="EW707" s="985"/>
      <c r="EX707" s="387"/>
      <c r="EY707" s="939"/>
      <c r="EZ707" s="886"/>
    </row>
    <row r="708" spans="88:156">
      <c r="CJ708" s="197"/>
      <c r="CK708" s="197"/>
      <c r="CL708" s="197"/>
      <c r="CM708" s="213"/>
      <c r="CN708" s="213"/>
      <c r="CO708" s="197"/>
      <c r="CP708" s="197"/>
      <c r="CQ708" s="197"/>
      <c r="CR708" s="197"/>
      <c r="CS708" s="197"/>
      <c r="CT708" s="197"/>
      <c r="CU708" s="197"/>
      <c r="CV708" s="197"/>
      <c r="CW708" s="197"/>
      <c r="CX708" s="959"/>
      <c r="CY708" s="959"/>
      <c r="CZ708" s="959"/>
      <c r="DA708" s="959"/>
      <c r="DB708" s="959"/>
      <c r="DC708" s="891">
        <v>3242</v>
      </c>
      <c r="DD708" s="891" t="s">
        <v>1001</v>
      </c>
      <c r="DE708" s="891" t="s">
        <v>2808</v>
      </c>
      <c r="DF708" s="891">
        <v>6</v>
      </c>
      <c r="DG708" s="959"/>
      <c r="DH708" s="959"/>
      <c r="ER708" s="905">
        <v>3595</v>
      </c>
      <c r="ES708" s="906" t="s">
        <v>2427</v>
      </c>
      <c r="ET708" s="2686">
        <v>9</v>
      </c>
      <c r="EV708" s="985"/>
      <c r="EW708" s="985"/>
      <c r="EX708" s="387"/>
      <c r="EY708" s="939"/>
      <c r="EZ708" s="886"/>
    </row>
    <row r="709" spans="88:156">
      <c r="CJ709" s="197"/>
      <c r="CK709" s="197"/>
      <c r="CL709" s="197"/>
      <c r="CM709" s="213"/>
      <c r="CN709" s="213"/>
      <c r="CO709" s="197"/>
      <c r="CP709" s="197"/>
      <c r="CQ709" s="197"/>
      <c r="CR709" s="197"/>
      <c r="CS709" s="197"/>
      <c r="CT709" s="197"/>
      <c r="CU709" s="197"/>
      <c r="CV709" s="197"/>
      <c r="CW709" s="197"/>
      <c r="CX709" s="959"/>
      <c r="CY709" s="959"/>
      <c r="CZ709" s="959"/>
      <c r="DA709" s="959"/>
      <c r="DB709" s="959"/>
      <c r="DC709" s="891">
        <v>3243</v>
      </c>
      <c r="DD709" s="891" t="s">
        <v>1002</v>
      </c>
      <c r="DE709" s="891" t="s">
        <v>421</v>
      </c>
      <c r="DF709" s="891">
        <v>6</v>
      </c>
      <c r="DG709" s="959"/>
      <c r="DH709" s="959"/>
      <c r="ER709" s="905">
        <v>3596</v>
      </c>
      <c r="ES709" s="906" t="s">
        <v>2428</v>
      </c>
      <c r="ET709" s="2686">
        <v>9</v>
      </c>
      <c r="EV709" s="985"/>
      <c r="EW709" s="985"/>
      <c r="EX709" s="387"/>
      <c r="EY709" s="939"/>
      <c r="EZ709" s="886"/>
    </row>
    <row r="710" spans="88:156">
      <c r="CJ710" s="197"/>
      <c r="CK710" s="197"/>
      <c r="CL710" s="197"/>
      <c r="CM710" s="213"/>
      <c r="CN710" s="213"/>
      <c r="CO710" s="197"/>
      <c r="CP710" s="197"/>
      <c r="CQ710" s="197"/>
      <c r="CR710" s="197"/>
      <c r="CS710" s="197"/>
      <c r="CT710" s="197"/>
      <c r="CU710" s="197"/>
      <c r="CV710" s="197"/>
      <c r="CW710" s="197"/>
      <c r="CX710" s="959"/>
      <c r="CY710" s="959"/>
      <c r="CZ710" s="959"/>
      <c r="DA710" s="959"/>
      <c r="DB710" s="959"/>
      <c r="DC710" s="891">
        <v>3244</v>
      </c>
      <c r="DD710" s="891" t="s">
        <v>1003</v>
      </c>
      <c r="DE710" s="891" t="s">
        <v>404</v>
      </c>
      <c r="DF710" s="891">
        <v>5</v>
      </c>
      <c r="DG710" s="959"/>
      <c r="DH710" s="959"/>
      <c r="ER710" s="905">
        <v>3597</v>
      </c>
      <c r="ES710" s="906" t="s">
        <v>2429</v>
      </c>
      <c r="ET710" s="2686">
        <v>9</v>
      </c>
      <c r="EV710" s="985"/>
      <c r="EW710" s="985"/>
      <c r="EX710" s="387"/>
      <c r="EY710" s="939"/>
      <c r="EZ710" s="886"/>
    </row>
    <row r="711" spans="88:156">
      <c r="CJ711" s="197"/>
      <c r="CK711" s="197"/>
      <c r="CL711" s="197"/>
      <c r="CM711" s="213"/>
      <c r="CN711" s="213"/>
      <c r="CO711" s="197"/>
      <c r="CP711" s="197"/>
      <c r="CQ711" s="197"/>
      <c r="CR711" s="197"/>
      <c r="CS711" s="197"/>
      <c r="CT711" s="197"/>
      <c r="CU711" s="197"/>
      <c r="CV711" s="197"/>
      <c r="CW711" s="197"/>
      <c r="CX711" s="959"/>
      <c r="CY711" s="959"/>
      <c r="CZ711" s="959"/>
      <c r="DA711" s="959"/>
      <c r="DB711" s="959"/>
      <c r="DC711" s="891">
        <v>3245</v>
      </c>
      <c r="DD711" s="891" t="s">
        <v>1004</v>
      </c>
      <c r="DE711" s="891" t="s">
        <v>412</v>
      </c>
      <c r="DF711" s="891">
        <v>6</v>
      </c>
      <c r="DG711" s="959"/>
      <c r="DH711" s="959"/>
      <c r="ER711" s="905">
        <v>3598</v>
      </c>
      <c r="ES711" s="906" t="s">
        <v>2430</v>
      </c>
      <c r="ET711" s="2686">
        <v>9</v>
      </c>
      <c r="EV711" s="985"/>
      <c r="EW711" s="985"/>
      <c r="EX711" s="387"/>
      <c r="EY711" s="939"/>
      <c r="EZ711" s="886"/>
    </row>
    <row r="712" spans="88:156">
      <c r="CJ712" s="197"/>
      <c r="CK712" s="197"/>
      <c r="CL712" s="197"/>
      <c r="CM712" s="213"/>
      <c r="CN712" s="213"/>
      <c r="CO712" s="197"/>
      <c r="CP712" s="197"/>
      <c r="CQ712" s="197"/>
      <c r="CR712" s="197"/>
      <c r="CS712" s="197"/>
      <c r="CT712" s="197"/>
      <c r="CU712" s="197"/>
      <c r="CV712" s="197"/>
      <c r="CW712" s="197"/>
      <c r="CX712" s="959"/>
      <c r="CY712" s="959"/>
      <c r="CZ712" s="959"/>
      <c r="DA712" s="959"/>
      <c r="DB712" s="959"/>
      <c r="DC712" s="891">
        <v>3246</v>
      </c>
      <c r="DD712" s="891" t="s">
        <v>1005</v>
      </c>
      <c r="DE712" s="891" t="s">
        <v>435</v>
      </c>
      <c r="DF712" s="891">
        <v>6</v>
      </c>
      <c r="DG712" s="959"/>
      <c r="DH712" s="959"/>
      <c r="ER712" s="905">
        <v>3599</v>
      </c>
      <c r="ES712" s="906" t="s">
        <v>2431</v>
      </c>
      <c r="ET712" s="2686">
        <v>9</v>
      </c>
      <c r="EV712" s="985"/>
      <c r="EW712" s="985"/>
      <c r="EX712" s="387"/>
      <c r="EY712" s="939"/>
      <c r="EZ712" s="886"/>
    </row>
    <row r="713" spans="88:156">
      <c r="CJ713" s="197"/>
      <c r="CK713" s="197"/>
      <c r="CL713" s="197"/>
      <c r="CM713" s="213"/>
      <c r="CN713" s="213"/>
      <c r="CO713" s="197"/>
      <c r="CP713" s="197"/>
      <c r="CQ713" s="197"/>
      <c r="CR713" s="197"/>
      <c r="CS713" s="197"/>
      <c r="CT713" s="197"/>
      <c r="CU713" s="197"/>
      <c r="CV713" s="197"/>
      <c r="CW713" s="197"/>
      <c r="CX713" s="959"/>
      <c r="CY713" s="959"/>
      <c r="CZ713" s="959"/>
      <c r="DA713" s="959"/>
      <c r="DB713" s="959"/>
      <c r="DC713" s="891">
        <v>3247</v>
      </c>
      <c r="DD713" s="891" t="s">
        <v>1006</v>
      </c>
      <c r="DE713" s="891" t="s">
        <v>417</v>
      </c>
      <c r="DF713" s="891">
        <v>6</v>
      </c>
      <c r="DG713" s="959"/>
      <c r="DH713" s="959"/>
      <c r="ER713" s="905">
        <v>3600</v>
      </c>
      <c r="ES713" s="906" t="s">
        <v>2432</v>
      </c>
      <c r="ET713" s="2686">
        <v>9</v>
      </c>
      <c r="EV713" s="985"/>
      <c r="EW713" s="985"/>
      <c r="EX713" s="387"/>
      <c r="EY713" s="939"/>
      <c r="EZ713" s="886"/>
    </row>
    <row r="714" spans="88:156">
      <c r="CJ714" s="197"/>
      <c r="CK714" s="197"/>
      <c r="CL714" s="197"/>
      <c r="CM714" s="213"/>
      <c r="CN714" s="213"/>
      <c r="CO714" s="197"/>
      <c r="CP714" s="197"/>
      <c r="CQ714" s="197"/>
      <c r="CR714" s="197"/>
      <c r="CS714" s="197"/>
      <c r="CT714" s="197"/>
      <c r="CU714" s="197"/>
      <c r="CV714" s="197"/>
      <c r="CW714" s="197"/>
      <c r="CX714" s="959"/>
      <c r="CY714" s="959"/>
      <c r="CZ714" s="959"/>
      <c r="DA714" s="959"/>
      <c r="DB714" s="959"/>
      <c r="DC714" s="891">
        <v>3248</v>
      </c>
      <c r="DD714" s="891" t="s">
        <v>1007</v>
      </c>
      <c r="DE714" s="891" t="s">
        <v>406</v>
      </c>
      <c r="DF714" s="891">
        <v>6</v>
      </c>
      <c r="DG714" s="959"/>
      <c r="DH714" s="959"/>
      <c r="ER714" s="905">
        <v>3603</v>
      </c>
      <c r="ES714" s="906" t="s">
        <v>526</v>
      </c>
      <c r="ET714" s="2686">
        <v>9</v>
      </c>
      <c r="EV714" s="985"/>
      <c r="EW714" s="985"/>
      <c r="EX714" s="387"/>
      <c r="EY714" s="939"/>
      <c r="EZ714" s="886"/>
    </row>
    <row r="715" spans="88:156">
      <c r="CJ715" s="197"/>
      <c r="CK715" s="197"/>
      <c r="CL715" s="197"/>
      <c r="CM715" s="213"/>
      <c r="CN715" s="213"/>
      <c r="CO715" s="197"/>
      <c r="CP715" s="197"/>
      <c r="CQ715" s="197"/>
      <c r="CR715" s="197"/>
      <c r="CS715" s="197"/>
      <c r="CT715" s="197"/>
      <c r="CU715" s="197"/>
      <c r="CV715" s="197"/>
      <c r="CW715" s="197"/>
      <c r="CX715" s="959"/>
      <c r="CY715" s="959"/>
      <c r="CZ715" s="959"/>
      <c r="DA715" s="959"/>
      <c r="DB715" s="959"/>
      <c r="DC715" s="891">
        <v>3250</v>
      </c>
      <c r="DD715" s="891" t="s">
        <v>1008</v>
      </c>
      <c r="DE715" s="891" t="s">
        <v>433</v>
      </c>
      <c r="DF715" s="891">
        <v>6</v>
      </c>
      <c r="DG715" s="959"/>
      <c r="DH715" s="959"/>
      <c r="ER715" s="905">
        <v>3604</v>
      </c>
      <c r="ES715" s="906" t="s">
        <v>925</v>
      </c>
      <c r="ET715" s="2686">
        <v>9</v>
      </c>
      <c r="EV715" s="985"/>
      <c r="EW715" s="985"/>
      <c r="EX715" s="387"/>
      <c r="EY715" s="939"/>
      <c r="EZ715" s="886"/>
    </row>
    <row r="716" spans="88:156">
      <c r="CJ716" s="197"/>
      <c r="CK716" s="197"/>
      <c r="CL716" s="197"/>
      <c r="CM716" s="213"/>
      <c r="CN716" s="213"/>
      <c r="CO716" s="197"/>
      <c r="CP716" s="197"/>
      <c r="CQ716" s="197"/>
      <c r="CR716" s="197"/>
      <c r="CS716" s="197"/>
      <c r="CT716" s="197"/>
      <c r="CU716" s="197"/>
      <c r="CV716" s="197"/>
      <c r="CW716" s="197"/>
      <c r="CX716" s="959"/>
      <c r="CY716" s="959"/>
      <c r="CZ716" s="959"/>
      <c r="DA716" s="959"/>
      <c r="DB716" s="959"/>
      <c r="DC716" s="891">
        <v>3252</v>
      </c>
      <c r="DD716" s="891" t="s">
        <v>1009</v>
      </c>
      <c r="DE716" s="891" t="s">
        <v>433</v>
      </c>
      <c r="DF716" s="891">
        <v>6</v>
      </c>
      <c r="DG716" s="959"/>
      <c r="DH716" s="959"/>
      <c r="ER716" s="905">
        <v>3608</v>
      </c>
      <c r="ES716" s="906" t="s">
        <v>2435</v>
      </c>
      <c r="ET716" s="2686">
        <v>9</v>
      </c>
      <c r="EV716" s="985"/>
      <c r="EW716" s="985"/>
      <c r="EX716" s="387"/>
      <c r="EY716" s="939"/>
      <c r="EZ716" s="886"/>
    </row>
    <row r="717" spans="88:156">
      <c r="CJ717" s="197"/>
      <c r="CK717" s="197"/>
      <c r="CL717" s="197"/>
      <c r="CM717" s="213"/>
      <c r="CN717" s="213"/>
      <c r="CO717" s="197"/>
      <c r="CP717" s="197"/>
      <c r="CQ717" s="197"/>
      <c r="CR717" s="197"/>
      <c r="CS717" s="197"/>
      <c r="CT717" s="197"/>
      <c r="CU717" s="197"/>
      <c r="CV717" s="197"/>
      <c r="CW717" s="197"/>
      <c r="CX717" s="959"/>
      <c r="CY717" s="959"/>
      <c r="CZ717" s="959"/>
      <c r="DA717" s="959"/>
      <c r="DB717" s="959"/>
      <c r="DC717" s="891">
        <v>3253</v>
      </c>
      <c r="DD717" s="891" t="s">
        <v>1010</v>
      </c>
      <c r="DE717" s="891" t="s">
        <v>402</v>
      </c>
      <c r="DF717" s="891">
        <v>6</v>
      </c>
      <c r="DG717" s="959"/>
      <c r="DH717" s="959"/>
      <c r="ER717" s="905">
        <v>3621</v>
      </c>
      <c r="ES717" s="905" t="s">
        <v>2436</v>
      </c>
      <c r="ET717" s="2686">
        <v>9</v>
      </c>
      <c r="EV717" s="985"/>
      <c r="EW717" s="985"/>
      <c r="EX717" s="387"/>
      <c r="EY717" s="939"/>
      <c r="EZ717" s="886"/>
    </row>
    <row r="718" spans="88:156">
      <c r="CJ718" s="197"/>
      <c r="CK718" s="197"/>
      <c r="CL718" s="197"/>
      <c r="CM718" s="213"/>
      <c r="CN718" s="213"/>
      <c r="CO718" s="197"/>
      <c r="CP718" s="197"/>
      <c r="CQ718" s="197"/>
      <c r="CR718" s="197"/>
      <c r="CS718" s="197"/>
      <c r="CT718" s="197"/>
      <c r="CU718" s="197"/>
      <c r="CV718" s="197"/>
      <c r="CW718" s="197"/>
      <c r="CX718" s="959"/>
      <c r="CY718" s="959"/>
      <c r="CZ718" s="959"/>
      <c r="DA718" s="959"/>
      <c r="DB718" s="959"/>
      <c r="DC718" s="891">
        <v>3254</v>
      </c>
      <c r="DD718" s="891" t="s">
        <v>1011</v>
      </c>
      <c r="DE718" s="891" t="s">
        <v>419</v>
      </c>
      <c r="DF718" s="891">
        <v>6</v>
      </c>
      <c r="DG718" s="959"/>
      <c r="DH718" s="959"/>
      <c r="ER718" s="905">
        <v>3622</v>
      </c>
      <c r="ES718" s="906" t="s">
        <v>2437</v>
      </c>
      <c r="ET718" s="2686">
        <v>9</v>
      </c>
      <c r="EV718" s="985"/>
      <c r="EW718" s="985"/>
      <c r="EX718" s="387"/>
      <c r="EY718" s="939"/>
      <c r="EZ718" s="886"/>
    </row>
    <row r="719" spans="88:156">
      <c r="CJ719" s="197"/>
      <c r="CK719" s="197"/>
      <c r="CL719" s="197"/>
      <c r="CM719" s="213"/>
      <c r="CN719" s="213"/>
      <c r="CO719" s="197"/>
      <c r="CP719" s="197"/>
      <c r="CQ719" s="197"/>
      <c r="CR719" s="197"/>
      <c r="CS719" s="197"/>
      <c r="CT719" s="197"/>
      <c r="CU719" s="197"/>
      <c r="CV719" s="197"/>
      <c r="CW719" s="197"/>
      <c r="CX719" s="959"/>
      <c r="CY719" s="959"/>
      <c r="CZ719" s="959"/>
      <c r="DA719" s="959"/>
      <c r="DB719" s="959"/>
      <c r="DC719" s="891">
        <v>3255</v>
      </c>
      <c r="DD719" s="891" t="s">
        <v>1012</v>
      </c>
      <c r="DE719" s="891" t="s">
        <v>417</v>
      </c>
      <c r="DF719" s="891">
        <v>5</v>
      </c>
      <c r="DG719" s="959"/>
      <c r="DH719" s="959"/>
      <c r="ER719" s="905">
        <v>3623</v>
      </c>
      <c r="ES719" s="906" t="s">
        <v>3280</v>
      </c>
      <c r="ET719" s="2686">
        <v>9</v>
      </c>
      <c r="EV719" s="985"/>
      <c r="EW719" s="985"/>
      <c r="EX719" s="387"/>
      <c r="EY719" s="939"/>
      <c r="EZ719" s="886"/>
    </row>
    <row r="720" spans="88:156">
      <c r="CJ720" s="197"/>
      <c r="CK720" s="197"/>
      <c r="CL720" s="197"/>
      <c r="CM720" s="213"/>
      <c r="CN720" s="213"/>
      <c r="CO720" s="197"/>
      <c r="CP720" s="197"/>
      <c r="CQ720" s="197"/>
      <c r="CR720" s="197"/>
      <c r="CS720" s="197"/>
      <c r="CT720" s="197"/>
      <c r="CU720" s="197"/>
      <c r="CV720" s="197"/>
      <c r="CW720" s="197"/>
      <c r="CX720" s="959"/>
      <c r="CY720" s="959"/>
      <c r="CZ720" s="959"/>
      <c r="DA720" s="959"/>
      <c r="DB720" s="959"/>
      <c r="DC720" s="891">
        <v>3256</v>
      </c>
      <c r="DD720" s="891" t="s">
        <v>1013</v>
      </c>
      <c r="DE720" s="891" t="s">
        <v>428</v>
      </c>
      <c r="DF720" s="891">
        <v>6</v>
      </c>
      <c r="DG720" s="959"/>
      <c r="DH720" s="959"/>
      <c r="ER720" s="905">
        <v>3625</v>
      </c>
      <c r="ES720" s="906" t="s">
        <v>926</v>
      </c>
      <c r="ET720" s="2686">
        <v>9</v>
      </c>
      <c r="EV720" s="985"/>
      <c r="EW720" s="985"/>
      <c r="EX720" s="387"/>
      <c r="EY720" s="939"/>
      <c r="EZ720" s="886"/>
    </row>
    <row r="721" spans="88:156">
      <c r="CJ721" s="197"/>
      <c r="CK721" s="197"/>
      <c r="CL721" s="197"/>
      <c r="CM721" s="213"/>
      <c r="CN721" s="213"/>
      <c r="CO721" s="197"/>
      <c r="CP721" s="197"/>
      <c r="CQ721" s="197"/>
      <c r="CR721" s="197"/>
      <c r="CS721" s="197"/>
      <c r="CT721" s="197"/>
      <c r="CU721" s="197"/>
      <c r="CV721" s="197"/>
      <c r="CW721" s="197"/>
      <c r="CX721" s="959"/>
      <c r="CY721" s="959"/>
      <c r="CZ721" s="959"/>
      <c r="DA721" s="959"/>
      <c r="DB721" s="959"/>
      <c r="DC721" s="891">
        <v>3257</v>
      </c>
      <c r="DD721" s="891" t="s">
        <v>1014</v>
      </c>
      <c r="DE721" s="891" t="s">
        <v>419</v>
      </c>
      <c r="DF721" s="891">
        <v>6</v>
      </c>
      <c r="DG721" s="959"/>
      <c r="DH721" s="959"/>
      <c r="ER721" s="905">
        <v>3626</v>
      </c>
      <c r="ES721" s="906" t="s">
        <v>3282</v>
      </c>
      <c r="ET721" s="2686">
        <v>9</v>
      </c>
      <c r="EV721" s="985"/>
      <c r="EW721" s="985"/>
      <c r="EX721" s="387"/>
      <c r="EY721" s="939"/>
      <c r="EZ721" s="886"/>
    </row>
    <row r="722" spans="88:156">
      <c r="CJ722" s="197"/>
      <c r="CK722" s="197"/>
      <c r="CL722" s="197"/>
      <c r="CM722" s="213"/>
      <c r="CN722" s="213"/>
      <c r="CO722" s="197"/>
      <c r="CP722" s="197"/>
      <c r="CQ722" s="197"/>
      <c r="CR722" s="197"/>
      <c r="CS722" s="197"/>
      <c r="CT722" s="197"/>
      <c r="CU722" s="197"/>
      <c r="CV722" s="197"/>
      <c r="CW722" s="197"/>
      <c r="CX722" s="959"/>
      <c r="CY722" s="959"/>
      <c r="CZ722" s="959"/>
      <c r="DA722" s="959"/>
      <c r="DB722" s="959"/>
      <c r="DC722" s="891">
        <v>3258</v>
      </c>
      <c r="DD722" s="891" t="s">
        <v>1015</v>
      </c>
      <c r="DE722" s="891" t="s">
        <v>423</v>
      </c>
      <c r="DF722" s="891">
        <v>6</v>
      </c>
      <c r="DG722" s="959"/>
      <c r="DH722" s="959"/>
      <c r="ER722" s="905">
        <v>3627</v>
      </c>
      <c r="ES722" s="906" t="s">
        <v>927</v>
      </c>
      <c r="ET722" s="2686">
        <v>9</v>
      </c>
      <c r="EV722" s="985"/>
      <c r="EW722" s="985"/>
      <c r="EX722" s="387"/>
      <c r="EY722" s="939"/>
      <c r="EZ722" s="886"/>
    </row>
    <row r="723" spans="88:156">
      <c r="CJ723" s="197"/>
      <c r="CK723" s="197"/>
      <c r="CL723" s="197"/>
      <c r="CM723" s="213"/>
      <c r="CN723" s="213"/>
      <c r="CO723" s="197"/>
      <c r="CP723" s="197"/>
      <c r="CQ723" s="197"/>
      <c r="CR723" s="197"/>
      <c r="CS723" s="197"/>
      <c r="CT723" s="197"/>
      <c r="CU723" s="197"/>
      <c r="CV723" s="197"/>
      <c r="CW723" s="197"/>
      <c r="CX723" s="959"/>
      <c r="CY723" s="959"/>
      <c r="CZ723" s="959"/>
      <c r="DA723" s="959"/>
      <c r="DB723" s="959"/>
      <c r="DC723" s="891">
        <v>3259</v>
      </c>
      <c r="DD723" s="891" t="s">
        <v>1016</v>
      </c>
      <c r="DE723" s="891" t="s">
        <v>421</v>
      </c>
      <c r="DF723" s="891">
        <v>6</v>
      </c>
      <c r="DG723" s="959"/>
      <c r="DH723" s="959"/>
      <c r="ER723" s="905">
        <v>3627</v>
      </c>
      <c r="ES723" s="906" t="s">
        <v>928</v>
      </c>
      <c r="ET723" s="2686">
        <v>9</v>
      </c>
      <c r="EV723" s="985"/>
      <c r="EW723" s="985"/>
      <c r="EX723" s="387"/>
      <c r="EY723" s="939"/>
      <c r="EZ723" s="886"/>
    </row>
    <row r="724" spans="88:156">
      <c r="CJ724" s="197"/>
      <c r="CK724" s="197"/>
      <c r="CL724" s="197"/>
      <c r="CM724" s="213"/>
      <c r="CN724" s="213"/>
      <c r="CO724" s="197"/>
      <c r="CP724" s="197"/>
      <c r="CQ724" s="197"/>
      <c r="CR724" s="197"/>
      <c r="CS724" s="197"/>
      <c r="CT724" s="197"/>
      <c r="CU724" s="197"/>
      <c r="CV724" s="197"/>
      <c r="CW724" s="197"/>
      <c r="CX724" s="959"/>
      <c r="CY724" s="959"/>
      <c r="CZ724" s="959"/>
      <c r="DA724" s="959"/>
      <c r="DB724" s="959"/>
      <c r="DC724" s="891">
        <v>3261</v>
      </c>
      <c r="DD724" s="891" t="s">
        <v>1017</v>
      </c>
      <c r="DE724" s="891" t="s">
        <v>402</v>
      </c>
      <c r="DF724" s="891">
        <v>6</v>
      </c>
      <c r="DG724" s="959"/>
      <c r="DH724" s="959"/>
      <c r="ER724" s="905">
        <v>3630</v>
      </c>
      <c r="ES724" s="906" t="s">
        <v>3284</v>
      </c>
      <c r="ET724" s="2686">
        <v>9</v>
      </c>
      <c r="EV724" s="985"/>
      <c r="EW724" s="985"/>
      <c r="EX724" s="387"/>
      <c r="EY724" s="939"/>
      <c r="EZ724" s="886"/>
    </row>
    <row r="725" spans="88:156">
      <c r="CJ725" s="197"/>
      <c r="CK725" s="197"/>
      <c r="CL725" s="197"/>
      <c r="CM725" s="213"/>
      <c r="CN725" s="213"/>
      <c r="CO725" s="197"/>
      <c r="CP725" s="197"/>
      <c r="CQ725" s="197"/>
      <c r="CR725" s="197"/>
      <c r="CS725" s="197"/>
      <c r="CT725" s="197"/>
      <c r="CU725" s="197"/>
      <c r="CV725" s="197"/>
      <c r="CW725" s="197"/>
      <c r="CX725" s="959"/>
      <c r="CY725" s="959"/>
      <c r="CZ725" s="959"/>
      <c r="DA725" s="959"/>
      <c r="DB725" s="959"/>
      <c r="DC725" s="891">
        <v>3262</v>
      </c>
      <c r="DD725" s="891" t="s">
        <v>1018</v>
      </c>
      <c r="DE725" s="891" t="s">
        <v>402</v>
      </c>
      <c r="DF725" s="891">
        <v>6</v>
      </c>
      <c r="DG725" s="959"/>
      <c r="DH725" s="959"/>
      <c r="ER725" s="905">
        <v>3635</v>
      </c>
      <c r="ES725" s="906" t="s">
        <v>3285</v>
      </c>
      <c r="ET725" s="2686">
        <v>9</v>
      </c>
      <c r="EV725" s="985"/>
      <c r="EW725" s="985"/>
      <c r="EX725" s="387"/>
      <c r="EY725" s="939"/>
      <c r="EZ725" s="886"/>
    </row>
    <row r="726" spans="88:156">
      <c r="CJ726" s="197"/>
      <c r="CK726" s="197"/>
      <c r="CL726" s="197"/>
      <c r="CM726" s="213"/>
      <c r="CN726" s="213"/>
      <c r="CO726" s="197"/>
      <c r="CP726" s="197"/>
      <c r="CQ726" s="197"/>
      <c r="CR726" s="197"/>
      <c r="CS726" s="197"/>
      <c r="CT726" s="197"/>
      <c r="CU726" s="197"/>
      <c r="CV726" s="197"/>
      <c r="CW726" s="197"/>
      <c r="CX726" s="959"/>
      <c r="CY726" s="959"/>
      <c r="CZ726" s="959"/>
      <c r="DA726" s="959"/>
      <c r="DB726" s="959"/>
      <c r="DC726" s="891">
        <v>3263</v>
      </c>
      <c r="DD726" s="891" t="s">
        <v>1019</v>
      </c>
      <c r="DE726" s="891" t="s">
        <v>402</v>
      </c>
      <c r="DF726" s="891">
        <v>6</v>
      </c>
      <c r="DG726" s="959"/>
      <c r="DH726" s="959"/>
      <c r="ER726" s="905">
        <v>3636</v>
      </c>
      <c r="ES726" s="906" t="s">
        <v>929</v>
      </c>
      <c r="ET726" s="2686">
        <v>9</v>
      </c>
      <c r="EV726" s="985"/>
      <c r="EW726" s="985"/>
      <c r="EX726" s="387"/>
      <c r="EY726" s="939"/>
      <c r="EZ726" s="886"/>
    </row>
    <row r="727" spans="88:156">
      <c r="CJ727" s="197"/>
      <c r="CK727" s="197"/>
      <c r="CL727" s="197"/>
      <c r="CM727" s="213"/>
      <c r="CN727" s="213"/>
      <c r="CO727" s="197"/>
      <c r="CP727" s="197"/>
      <c r="CQ727" s="197"/>
      <c r="CR727" s="197"/>
      <c r="CS727" s="197"/>
      <c r="CT727" s="197"/>
      <c r="CU727" s="197"/>
      <c r="CV727" s="197"/>
      <c r="CW727" s="197"/>
      <c r="CX727" s="959"/>
      <c r="CY727" s="959"/>
      <c r="CZ727" s="959"/>
      <c r="DA727" s="959"/>
      <c r="DB727" s="959"/>
      <c r="DC727" s="891">
        <v>3264</v>
      </c>
      <c r="DD727" s="891" t="s">
        <v>1020</v>
      </c>
      <c r="DE727" s="891" t="s">
        <v>431</v>
      </c>
      <c r="DF727" s="891">
        <v>6</v>
      </c>
      <c r="DG727" s="959"/>
      <c r="DH727" s="959"/>
      <c r="ER727" s="905">
        <v>3636</v>
      </c>
      <c r="ES727" s="906" t="s">
        <v>930</v>
      </c>
      <c r="ET727" s="2686">
        <v>9</v>
      </c>
      <c r="EV727" s="985"/>
      <c r="EW727" s="985"/>
      <c r="EX727" s="387"/>
      <c r="EY727" s="939"/>
      <c r="EZ727" s="886"/>
    </row>
    <row r="728" spans="88:156">
      <c r="CJ728" s="197"/>
      <c r="CK728" s="197"/>
      <c r="CL728" s="197"/>
      <c r="CM728" s="213"/>
      <c r="CN728" s="213"/>
      <c r="CO728" s="197"/>
      <c r="CP728" s="197"/>
      <c r="CQ728" s="197"/>
      <c r="CR728" s="197"/>
      <c r="CS728" s="197"/>
      <c r="CT728" s="197"/>
      <c r="CU728" s="197"/>
      <c r="CV728" s="197"/>
      <c r="CW728" s="197"/>
      <c r="CX728" s="959"/>
      <c r="CY728" s="959"/>
      <c r="CZ728" s="959"/>
      <c r="DA728" s="959"/>
      <c r="DB728" s="959"/>
      <c r="DC728" s="891">
        <v>3265</v>
      </c>
      <c r="DD728" s="891" t="s">
        <v>1021</v>
      </c>
      <c r="DE728" s="891" t="s">
        <v>433</v>
      </c>
      <c r="DF728" s="891">
        <v>6</v>
      </c>
      <c r="DG728" s="959"/>
      <c r="DH728" s="959"/>
      <c r="ER728" s="905">
        <v>3641</v>
      </c>
      <c r="ES728" s="906" t="s">
        <v>3287</v>
      </c>
      <c r="ET728" s="2686">
        <v>9</v>
      </c>
      <c r="EV728" s="985"/>
      <c r="EW728" s="985"/>
      <c r="EX728" s="387"/>
      <c r="EY728" s="939"/>
      <c r="EZ728" s="886"/>
    </row>
    <row r="729" spans="88:156">
      <c r="CJ729" s="197"/>
      <c r="CK729" s="197"/>
      <c r="CL729" s="197"/>
      <c r="CM729" s="213"/>
      <c r="CN729" s="213"/>
      <c r="CO729" s="197"/>
      <c r="CP729" s="197"/>
      <c r="CQ729" s="197"/>
      <c r="CR729" s="197"/>
      <c r="CS729" s="197"/>
      <c r="CT729" s="197"/>
      <c r="CU729" s="197"/>
      <c r="CV729" s="197"/>
      <c r="CW729" s="197"/>
      <c r="CX729" s="959"/>
      <c r="CY729" s="959"/>
      <c r="CZ729" s="959"/>
      <c r="DA729" s="959"/>
      <c r="DB729" s="959"/>
      <c r="DC729" s="891">
        <v>3271</v>
      </c>
      <c r="DD729" s="891" t="s">
        <v>1022</v>
      </c>
      <c r="DE729" s="891" t="s">
        <v>431</v>
      </c>
      <c r="DF729" s="891">
        <v>6</v>
      </c>
      <c r="DG729" s="959"/>
      <c r="DH729" s="959"/>
      <c r="ER729" s="905">
        <v>3642</v>
      </c>
      <c r="ES729" s="906" t="s">
        <v>3288</v>
      </c>
      <c r="ET729" s="2686">
        <v>9</v>
      </c>
      <c r="EV729" s="985"/>
      <c r="EW729" s="985"/>
      <c r="EX729" s="387"/>
      <c r="EY729" s="939"/>
      <c r="EZ729" s="886"/>
    </row>
    <row r="730" spans="88:156">
      <c r="CJ730" s="197"/>
      <c r="CK730" s="197"/>
      <c r="CL730" s="197"/>
      <c r="CM730" s="213"/>
      <c r="CN730" s="213"/>
      <c r="CO730" s="197"/>
      <c r="CP730" s="197"/>
      <c r="CQ730" s="197"/>
      <c r="CR730" s="197"/>
      <c r="CS730" s="197"/>
      <c r="CT730" s="197"/>
      <c r="CU730" s="197"/>
      <c r="CV730" s="197"/>
      <c r="CW730" s="197"/>
      <c r="CX730" s="959"/>
      <c r="CY730" s="959"/>
      <c r="CZ730" s="959"/>
      <c r="DA730" s="959"/>
      <c r="DB730" s="959"/>
      <c r="DC730" s="891">
        <v>3272</v>
      </c>
      <c r="DD730" s="891" t="s">
        <v>1022</v>
      </c>
      <c r="DE730" s="891" t="s">
        <v>421</v>
      </c>
      <c r="DF730" s="891">
        <v>6</v>
      </c>
      <c r="DG730" s="959"/>
      <c r="DH730" s="959"/>
      <c r="ER730" s="905">
        <v>3643</v>
      </c>
      <c r="ES730" s="906" t="s">
        <v>3289</v>
      </c>
      <c r="ET730" s="2686">
        <v>9</v>
      </c>
      <c r="EV730" s="985"/>
      <c r="EW730" s="985"/>
      <c r="EX730" s="387"/>
      <c r="EY730" s="939"/>
      <c r="EZ730" s="886"/>
    </row>
    <row r="731" spans="88:156">
      <c r="CJ731" s="197"/>
      <c r="CK731" s="197"/>
      <c r="CL731" s="197"/>
      <c r="CM731" s="213"/>
      <c r="CN731" s="213"/>
      <c r="CO731" s="197"/>
      <c r="CP731" s="197"/>
      <c r="CQ731" s="197"/>
      <c r="CR731" s="197"/>
      <c r="CS731" s="197"/>
      <c r="CT731" s="197"/>
      <c r="CU731" s="197"/>
      <c r="CV731" s="197"/>
      <c r="CW731" s="197"/>
      <c r="CX731" s="959"/>
      <c r="CY731" s="959"/>
      <c r="CZ731" s="959"/>
      <c r="DA731" s="959"/>
      <c r="DB731" s="959"/>
      <c r="DC731" s="891">
        <v>3273</v>
      </c>
      <c r="DD731" s="891" t="s">
        <v>1023</v>
      </c>
      <c r="DE731" s="891" t="s">
        <v>410</v>
      </c>
      <c r="DF731" s="891">
        <v>6</v>
      </c>
      <c r="DG731" s="959"/>
      <c r="DH731" s="959"/>
      <c r="ER731" s="905">
        <v>3644</v>
      </c>
      <c r="ES731" s="906" t="s">
        <v>3290</v>
      </c>
      <c r="ET731" s="2686">
        <v>9</v>
      </c>
      <c r="EV731" s="985"/>
      <c r="EW731" s="985"/>
      <c r="EX731" s="387"/>
      <c r="EY731" s="939"/>
      <c r="EZ731" s="886"/>
    </row>
    <row r="732" spans="88:156">
      <c r="CJ732" s="197"/>
      <c r="CK732" s="197"/>
      <c r="CL732" s="197"/>
      <c r="CM732" s="213"/>
      <c r="CN732" s="213"/>
      <c r="CO732" s="197"/>
      <c r="CP732" s="197"/>
      <c r="CQ732" s="197"/>
      <c r="CR732" s="197"/>
      <c r="CS732" s="197"/>
      <c r="CT732" s="197"/>
      <c r="CU732" s="197"/>
      <c r="CV732" s="197"/>
      <c r="CW732" s="197"/>
      <c r="CX732" s="959"/>
      <c r="CY732" s="959"/>
      <c r="CZ732" s="959"/>
      <c r="DA732" s="959"/>
      <c r="DB732" s="959"/>
      <c r="DC732" s="891">
        <v>3274</v>
      </c>
      <c r="DD732" s="891" t="s">
        <v>1024</v>
      </c>
      <c r="DE732" s="891" t="s">
        <v>406</v>
      </c>
      <c r="DF732" s="891">
        <v>6</v>
      </c>
      <c r="DG732" s="959"/>
      <c r="DH732" s="959"/>
      <c r="ER732" s="905">
        <v>3645</v>
      </c>
      <c r="ES732" s="906" t="s">
        <v>3375</v>
      </c>
      <c r="ET732" s="2686">
        <v>9</v>
      </c>
      <c r="EV732" s="985"/>
      <c r="EW732" s="985"/>
      <c r="EX732" s="387"/>
      <c r="EY732" s="939"/>
      <c r="EZ732" s="886"/>
    </row>
    <row r="733" spans="88:156">
      <c r="CJ733" s="197"/>
      <c r="CK733" s="197"/>
      <c r="CL733" s="197"/>
      <c r="CM733" s="213"/>
      <c r="CN733" s="213"/>
      <c r="CO733" s="197"/>
      <c r="CP733" s="197"/>
      <c r="CQ733" s="197"/>
      <c r="CR733" s="197"/>
      <c r="CS733" s="197"/>
      <c r="CT733" s="197"/>
      <c r="CU733" s="197"/>
      <c r="CV733" s="197"/>
      <c r="CW733" s="197"/>
      <c r="CX733" s="959"/>
      <c r="CY733" s="959"/>
      <c r="CZ733" s="959"/>
      <c r="DA733" s="959"/>
      <c r="DB733" s="959"/>
      <c r="DC733" s="891">
        <v>3275</v>
      </c>
      <c r="DD733" s="891" t="s">
        <v>1025</v>
      </c>
      <c r="DE733" s="891" t="s">
        <v>431</v>
      </c>
      <c r="DF733" s="891">
        <v>6</v>
      </c>
      <c r="DG733" s="959"/>
      <c r="DH733" s="959"/>
      <c r="ER733" s="905">
        <v>3646</v>
      </c>
      <c r="ES733" s="906" t="s">
        <v>3376</v>
      </c>
      <c r="ET733" s="2686">
        <v>9</v>
      </c>
      <c r="EV733" s="985"/>
      <c r="EW733" s="985"/>
      <c r="EX733" s="387"/>
      <c r="EY733" s="939"/>
      <c r="EZ733" s="886"/>
    </row>
    <row r="734" spans="88:156">
      <c r="CJ734" s="197"/>
      <c r="CK734" s="197"/>
      <c r="CL734" s="197"/>
      <c r="CM734" s="213"/>
      <c r="CN734" s="213"/>
      <c r="CO734" s="197"/>
      <c r="CP734" s="197"/>
      <c r="CQ734" s="197"/>
      <c r="CR734" s="197"/>
      <c r="CS734" s="197"/>
      <c r="CT734" s="197"/>
      <c r="CU734" s="197"/>
      <c r="CV734" s="197"/>
      <c r="CW734" s="197"/>
      <c r="CX734" s="959"/>
      <c r="CY734" s="959"/>
      <c r="CZ734" s="959"/>
      <c r="DA734" s="959"/>
      <c r="DB734" s="959"/>
      <c r="DC734" s="891">
        <v>3281</v>
      </c>
      <c r="DD734" s="891" t="s">
        <v>1026</v>
      </c>
      <c r="DE734" s="891" t="s">
        <v>432</v>
      </c>
      <c r="DF734" s="891">
        <v>6</v>
      </c>
      <c r="DG734" s="959"/>
      <c r="DH734" s="959"/>
      <c r="ER734" s="905">
        <v>3647</v>
      </c>
      <c r="ES734" s="906" t="s">
        <v>3377</v>
      </c>
      <c r="ET734" s="2686">
        <v>9</v>
      </c>
      <c r="EV734" s="985"/>
      <c r="EW734" s="985"/>
      <c r="EX734" s="387"/>
      <c r="EY734" s="939"/>
      <c r="EZ734" s="886"/>
    </row>
    <row r="735" spans="88:156">
      <c r="CJ735" s="197"/>
      <c r="CK735" s="197"/>
      <c r="CL735" s="197"/>
      <c r="CM735" s="213"/>
      <c r="CN735" s="213"/>
      <c r="CO735" s="197"/>
      <c r="CP735" s="197"/>
      <c r="CQ735" s="197"/>
      <c r="CR735" s="197"/>
      <c r="CS735" s="197"/>
      <c r="CT735" s="197"/>
      <c r="CU735" s="197"/>
      <c r="CV735" s="197"/>
      <c r="CW735" s="197"/>
      <c r="CX735" s="959"/>
      <c r="CY735" s="959"/>
      <c r="CZ735" s="959"/>
      <c r="DA735" s="959"/>
      <c r="DB735" s="959"/>
      <c r="DC735" s="891">
        <v>3282</v>
      </c>
      <c r="DD735" s="891" t="s">
        <v>1027</v>
      </c>
      <c r="DE735" s="891" t="s">
        <v>417</v>
      </c>
      <c r="DF735" s="891">
        <v>6</v>
      </c>
      <c r="DG735" s="959"/>
      <c r="DH735" s="959"/>
      <c r="ER735" s="905">
        <v>3648</v>
      </c>
      <c r="ES735" s="906" t="s">
        <v>931</v>
      </c>
      <c r="ET735" s="2686">
        <v>9</v>
      </c>
      <c r="EV735" s="985"/>
      <c r="EW735" s="985"/>
      <c r="EX735" s="387"/>
      <c r="EY735" s="939"/>
      <c r="EZ735" s="886"/>
    </row>
    <row r="736" spans="88:156">
      <c r="CJ736" s="197"/>
      <c r="CK736" s="197"/>
      <c r="CL736" s="197"/>
      <c r="CM736" s="213"/>
      <c r="CN736" s="213"/>
      <c r="CO736" s="197"/>
      <c r="CP736" s="197"/>
      <c r="CQ736" s="197"/>
      <c r="CR736" s="197"/>
      <c r="CS736" s="197"/>
      <c r="CT736" s="197"/>
      <c r="CU736" s="197"/>
      <c r="CV736" s="197"/>
      <c r="CW736" s="197"/>
      <c r="CX736" s="959"/>
      <c r="CY736" s="959"/>
      <c r="CZ736" s="959"/>
      <c r="DA736" s="959"/>
      <c r="DB736" s="959"/>
      <c r="DC736" s="891">
        <v>3283</v>
      </c>
      <c r="DD736" s="891" t="s">
        <v>1028</v>
      </c>
      <c r="DE736" s="891" t="s">
        <v>433</v>
      </c>
      <c r="DF736" s="891">
        <v>6</v>
      </c>
      <c r="DG736" s="959"/>
      <c r="DH736" s="959"/>
      <c r="ER736" s="905">
        <v>3648</v>
      </c>
      <c r="ES736" s="906" t="s">
        <v>932</v>
      </c>
      <c r="ET736" s="2686">
        <v>9</v>
      </c>
      <c r="EV736" s="985"/>
      <c r="EW736" s="985"/>
      <c r="EX736" s="387"/>
      <c r="EY736" s="939"/>
      <c r="EZ736" s="886"/>
    </row>
    <row r="737" spans="88:156">
      <c r="CJ737" s="197"/>
      <c r="CK737" s="197"/>
      <c r="CL737" s="197"/>
      <c r="CM737" s="213"/>
      <c r="CN737" s="213"/>
      <c r="CO737" s="197"/>
      <c r="CP737" s="197"/>
      <c r="CQ737" s="197"/>
      <c r="CR737" s="197"/>
      <c r="CS737" s="197"/>
      <c r="CT737" s="197"/>
      <c r="CU737" s="197"/>
      <c r="CV737" s="197"/>
      <c r="CW737" s="197"/>
      <c r="CX737" s="959"/>
      <c r="CY737" s="959"/>
      <c r="CZ737" s="959"/>
      <c r="DA737" s="959"/>
      <c r="DB737" s="959"/>
      <c r="DC737" s="891">
        <v>3284</v>
      </c>
      <c r="DD737" s="891" t="s">
        <v>1029</v>
      </c>
      <c r="DE737" s="891" t="s">
        <v>406</v>
      </c>
      <c r="DF737" s="891">
        <v>6</v>
      </c>
      <c r="DG737" s="959"/>
      <c r="DH737" s="959"/>
      <c r="ER737" s="905">
        <v>3648</v>
      </c>
      <c r="ES737" s="906" t="s">
        <v>933</v>
      </c>
      <c r="ET737" s="2686">
        <v>9</v>
      </c>
      <c r="EV737" s="985"/>
      <c r="EW737" s="985"/>
      <c r="EX737" s="387"/>
      <c r="EY737" s="939"/>
      <c r="EZ737" s="886"/>
    </row>
    <row r="738" spans="88:156">
      <c r="CJ738" s="197"/>
      <c r="CK738" s="197"/>
      <c r="CL738" s="197"/>
      <c r="CM738" s="213"/>
      <c r="CN738" s="213"/>
      <c r="CO738" s="197"/>
      <c r="CP738" s="197"/>
      <c r="CQ738" s="197"/>
      <c r="CR738" s="197"/>
      <c r="CS738" s="197"/>
      <c r="CT738" s="197"/>
      <c r="CU738" s="197"/>
      <c r="CV738" s="197"/>
      <c r="CW738" s="197"/>
      <c r="CX738" s="959"/>
      <c r="CY738" s="959"/>
      <c r="CZ738" s="959"/>
      <c r="DA738" s="959"/>
      <c r="DB738" s="959"/>
      <c r="DC738" s="891">
        <v>3291</v>
      </c>
      <c r="DD738" s="891" t="s">
        <v>1030</v>
      </c>
      <c r="DE738" s="891" t="s">
        <v>428</v>
      </c>
      <c r="DF738" s="891">
        <v>6</v>
      </c>
      <c r="DG738" s="959"/>
      <c r="DH738" s="959"/>
      <c r="ER738" s="905">
        <v>3651</v>
      </c>
      <c r="ES738" s="905" t="s">
        <v>1407</v>
      </c>
      <c r="ET738" s="2686">
        <v>9</v>
      </c>
      <c r="EV738" s="985"/>
      <c r="EW738" s="985"/>
      <c r="EX738" s="387"/>
      <c r="EY738" s="939"/>
      <c r="EZ738" s="886"/>
    </row>
    <row r="739" spans="88:156">
      <c r="CJ739" s="197"/>
      <c r="CK739" s="197"/>
      <c r="CL739" s="197"/>
      <c r="CM739" s="213"/>
      <c r="CN739" s="213"/>
      <c r="CO739" s="197"/>
      <c r="CP739" s="197"/>
      <c r="CQ739" s="197"/>
      <c r="CR739" s="197"/>
      <c r="CS739" s="197"/>
      <c r="CT739" s="197"/>
      <c r="CU739" s="197"/>
      <c r="CV739" s="197"/>
      <c r="CW739" s="197"/>
      <c r="CX739" s="959"/>
      <c r="CY739" s="959"/>
      <c r="CZ739" s="959"/>
      <c r="DA739" s="959"/>
      <c r="DB739" s="959"/>
      <c r="DC739" s="891">
        <v>3292</v>
      </c>
      <c r="DD739" s="891" t="s">
        <v>1031</v>
      </c>
      <c r="DE739" s="891" t="s">
        <v>420</v>
      </c>
      <c r="DF739" s="891">
        <v>6</v>
      </c>
      <c r="DG739" s="959"/>
      <c r="DH739" s="959"/>
      <c r="ER739" s="905">
        <v>3652</v>
      </c>
      <c r="ES739" s="906" t="s">
        <v>1408</v>
      </c>
      <c r="ET739" s="2686">
        <v>9</v>
      </c>
      <c r="EV739" s="985"/>
      <c r="EW739" s="985"/>
      <c r="EX739" s="387"/>
      <c r="EY739" s="939"/>
      <c r="EZ739" s="886"/>
    </row>
    <row r="740" spans="88:156">
      <c r="CJ740" s="197"/>
      <c r="CK740" s="197"/>
      <c r="CL740" s="197"/>
      <c r="CM740" s="213"/>
      <c r="CN740" s="213"/>
      <c r="CO740" s="197"/>
      <c r="CP740" s="197"/>
      <c r="CQ740" s="197"/>
      <c r="CR740" s="197"/>
      <c r="CS740" s="197"/>
      <c r="CT740" s="197"/>
      <c r="CU740" s="197"/>
      <c r="CV740" s="197"/>
      <c r="CW740" s="197"/>
      <c r="CX740" s="959"/>
      <c r="CY740" s="959"/>
      <c r="CZ740" s="959"/>
      <c r="DA740" s="959"/>
      <c r="DB740" s="959"/>
      <c r="DC740" s="891">
        <v>3293</v>
      </c>
      <c r="DD740" s="891" t="s">
        <v>1032</v>
      </c>
      <c r="DE740" s="891" t="s">
        <v>427</v>
      </c>
      <c r="DF740" s="891">
        <v>6</v>
      </c>
      <c r="DG740" s="959"/>
      <c r="DH740" s="959"/>
      <c r="ER740" s="905">
        <v>3653</v>
      </c>
      <c r="ES740" s="906" t="s">
        <v>1409</v>
      </c>
      <c r="ET740" s="2686">
        <v>9</v>
      </c>
      <c r="EV740" s="985"/>
      <c r="EW740" s="985"/>
      <c r="EX740" s="387"/>
      <c r="EY740" s="939"/>
      <c r="EZ740" s="886"/>
    </row>
    <row r="741" spans="88:156">
      <c r="CJ741" s="197"/>
      <c r="CK741" s="197"/>
      <c r="CL741" s="197"/>
      <c r="CM741" s="213"/>
      <c r="CN741" s="213"/>
      <c r="CO741" s="197"/>
      <c r="CP741" s="197"/>
      <c r="CQ741" s="197"/>
      <c r="CR741" s="197"/>
      <c r="CS741" s="197"/>
      <c r="CT741" s="197"/>
      <c r="CU741" s="197"/>
      <c r="CV741" s="197"/>
      <c r="CW741" s="197"/>
      <c r="CX741" s="959"/>
      <c r="CY741" s="959"/>
      <c r="CZ741" s="959"/>
      <c r="DA741" s="959"/>
      <c r="DB741" s="959"/>
      <c r="DC741" s="891">
        <v>3294</v>
      </c>
      <c r="DD741" s="891" t="s">
        <v>1033</v>
      </c>
      <c r="DE741" s="891" t="s">
        <v>428</v>
      </c>
      <c r="DF741" s="891">
        <v>6</v>
      </c>
      <c r="DG741" s="959"/>
      <c r="DH741" s="959"/>
      <c r="ER741" s="905">
        <v>3654</v>
      </c>
      <c r="ES741" s="906" t="s">
        <v>1410</v>
      </c>
      <c r="ET741" s="2686">
        <v>9</v>
      </c>
      <c r="EV741" s="985"/>
      <c r="EW741" s="985"/>
      <c r="EX741" s="387"/>
      <c r="EY741" s="939"/>
      <c r="EZ741" s="886"/>
    </row>
    <row r="742" spans="88:156">
      <c r="CJ742" s="197"/>
      <c r="CK742" s="197"/>
      <c r="CL742" s="197"/>
      <c r="CM742" s="213"/>
      <c r="CN742" s="213"/>
      <c r="CO742" s="197"/>
      <c r="CP742" s="197"/>
      <c r="CQ742" s="197"/>
      <c r="CR742" s="197"/>
      <c r="CS742" s="197"/>
      <c r="CT742" s="197"/>
      <c r="CU742" s="197"/>
      <c r="CV742" s="197"/>
      <c r="CW742" s="197"/>
      <c r="CX742" s="959"/>
      <c r="CY742" s="959"/>
      <c r="CZ742" s="959"/>
      <c r="DA742" s="959"/>
      <c r="DB742" s="959"/>
      <c r="DC742" s="891">
        <v>3295</v>
      </c>
      <c r="DD742" s="891" t="s">
        <v>1034</v>
      </c>
      <c r="DE742" s="891" t="s">
        <v>427</v>
      </c>
      <c r="DF742" s="891">
        <v>6</v>
      </c>
      <c r="DG742" s="959"/>
      <c r="DH742" s="959"/>
      <c r="ER742" s="905">
        <v>3655</v>
      </c>
      <c r="ES742" s="906" t="s">
        <v>1411</v>
      </c>
      <c r="ET742" s="2686">
        <v>9</v>
      </c>
      <c r="EV742" s="985"/>
      <c r="EW742" s="985"/>
      <c r="EX742" s="387"/>
      <c r="EY742" s="939"/>
      <c r="EZ742" s="886"/>
    </row>
    <row r="743" spans="88:156">
      <c r="CJ743" s="197"/>
      <c r="CK743" s="197"/>
      <c r="CL743" s="197"/>
      <c r="CM743" s="213"/>
      <c r="CN743" s="213"/>
      <c r="CO743" s="197"/>
      <c r="CP743" s="197"/>
      <c r="CQ743" s="197"/>
      <c r="CR743" s="197"/>
      <c r="CS743" s="197"/>
      <c r="CT743" s="197"/>
      <c r="CU743" s="197"/>
      <c r="CV743" s="197"/>
      <c r="CW743" s="197"/>
      <c r="CX743" s="959"/>
      <c r="CY743" s="959"/>
      <c r="CZ743" s="959"/>
      <c r="DA743" s="959"/>
      <c r="DB743" s="959"/>
      <c r="DC743" s="891">
        <v>3296</v>
      </c>
      <c r="DD743" s="891" t="s">
        <v>1035</v>
      </c>
      <c r="DE743" s="891" t="s">
        <v>432</v>
      </c>
      <c r="DF743" s="891">
        <v>6</v>
      </c>
      <c r="DG743" s="959"/>
      <c r="DH743" s="959"/>
      <c r="ER743" s="905">
        <v>3656</v>
      </c>
      <c r="ES743" s="906" t="s">
        <v>934</v>
      </c>
      <c r="ET743" s="2686">
        <v>9</v>
      </c>
      <c r="EV743" s="985"/>
      <c r="EW743" s="985"/>
      <c r="EX743" s="387"/>
      <c r="EY743" s="939"/>
      <c r="EZ743" s="886"/>
    </row>
    <row r="744" spans="88:156">
      <c r="CJ744" s="197"/>
      <c r="CK744" s="197"/>
      <c r="CL744" s="197"/>
      <c r="CM744" s="213"/>
      <c r="CN744" s="213"/>
      <c r="CO744" s="197"/>
      <c r="CP744" s="197"/>
      <c r="CQ744" s="197"/>
      <c r="CR744" s="197"/>
      <c r="CS744" s="197"/>
      <c r="CT744" s="197"/>
      <c r="CU744" s="197"/>
      <c r="CV744" s="197"/>
      <c r="CW744" s="197"/>
      <c r="CX744" s="959"/>
      <c r="CY744" s="959"/>
      <c r="CZ744" s="959"/>
      <c r="DA744" s="959"/>
      <c r="DB744" s="959"/>
      <c r="DC744" s="891">
        <v>3300</v>
      </c>
      <c r="DD744" s="891" t="s">
        <v>1036</v>
      </c>
      <c r="DE744" s="891" t="s">
        <v>404</v>
      </c>
      <c r="DF744" s="891">
        <v>6</v>
      </c>
      <c r="DG744" s="959"/>
      <c r="DH744" s="959"/>
      <c r="ER744" s="905">
        <v>3656</v>
      </c>
      <c r="ES744" s="906" t="s">
        <v>935</v>
      </c>
      <c r="ET744" s="2686">
        <v>9</v>
      </c>
      <c r="EV744" s="985"/>
      <c r="EW744" s="985"/>
      <c r="EX744" s="387"/>
      <c r="EY744" s="939"/>
      <c r="EZ744" s="886"/>
    </row>
    <row r="745" spans="88:156">
      <c r="CJ745" s="197"/>
      <c r="CK745" s="197"/>
      <c r="CL745" s="197"/>
      <c r="CM745" s="213"/>
      <c r="CN745" s="213"/>
      <c r="CO745" s="197"/>
      <c r="CP745" s="197"/>
      <c r="CQ745" s="197"/>
      <c r="CR745" s="197"/>
      <c r="CS745" s="197"/>
      <c r="CT745" s="197"/>
      <c r="CU745" s="197"/>
      <c r="CV745" s="197"/>
      <c r="CW745" s="197"/>
      <c r="CX745" s="959"/>
      <c r="CY745" s="959"/>
      <c r="CZ745" s="959"/>
      <c r="DA745" s="959"/>
      <c r="DB745" s="959"/>
      <c r="DC745" s="891">
        <v>3304</v>
      </c>
      <c r="DD745" s="891" t="s">
        <v>1037</v>
      </c>
      <c r="DE745" s="891" t="s">
        <v>420</v>
      </c>
      <c r="DF745" s="891">
        <v>5</v>
      </c>
      <c r="DG745" s="959"/>
      <c r="DH745" s="959"/>
      <c r="ER745" s="905">
        <v>3657</v>
      </c>
      <c r="ES745" s="906" t="s">
        <v>1413</v>
      </c>
      <c r="ET745" s="2686">
        <v>9</v>
      </c>
      <c r="EV745" s="985"/>
      <c r="EW745" s="985"/>
      <c r="EX745" s="387"/>
      <c r="EY745" s="939"/>
      <c r="EZ745" s="886"/>
    </row>
    <row r="746" spans="88:156">
      <c r="CJ746" s="197"/>
      <c r="CK746" s="197"/>
      <c r="CL746" s="197"/>
      <c r="CM746" s="213"/>
      <c r="CN746" s="213"/>
      <c r="CO746" s="197"/>
      <c r="CP746" s="197"/>
      <c r="CQ746" s="197"/>
      <c r="CR746" s="197"/>
      <c r="CS746" s="197"/>
      <c r="CT746" s="197"/>
      <c r="CU746" s="197"/>
      <c r="CV746" s="197"/>
      <c r="CW746" s="197"/>
      <c r="CX746" s="959"/>
      <c r="CY746" s="959"/>
      <c r="CZ746" s="959"/>
      <c r="DA746" s="959"/>
      <c r="DB746" s="959"/>
      <c r="DC746" s="891">
        <v>3321</v>
      </c>
      <c r="DD746" s="891" t="s">
        <v>1038</v>
      </c>
      <c r="DE746" s="891" t="s">
        <v>427</v>
      </c>
      <c r="DF746" s="891">
        <v>5</v>
      </c>
      <c r="DG746" s="959"/>
      <c r="DH746" s="959"/>
      <c r="ER746" s="905">
        <v>3658</v>
      </c>
      <c r="ES746" s="906" t="s">
        <v>1414</v>
      </c>
      <c r="ET746" s="2686">
        <v>9</v>
      </c>
      <c r="EV746" s="985"/>
      <c r="EW746" s="985"/>
      <c r="EX746" s="387"/>
      <c r="EY746" s="939"/>
      <c r="EZ746" s="886"/>
    </row>
    <row r="747" spans="88:156">
      <c r="CJ747" s="197"/>
      <c r="CK747" s="197"/>
      <c r="CL747" s="197"/>
      <c r="CM747" s="213"/>
      <c r="CN747" s="213"/>
      <c r="CO747" s="197"/>
      <c r="CP747" s="197"/>
      <c r="CQ747" s="197"/>
      <c r="CR747" s="197"/>
      <c r="CS747" s="197"/>
      <c r="CT747" s="197"/>
      <c r="CU747" s="197"/>
      <c r="CV747" s="197"/>
      <c r="CW747" s="197"/>
      <c r="CX747" s="959"/>
      <c r="CY747" s="959"/>
      <c r="CZ747" s="959"/>
      <c r="DA747" s="959"/>
      <c r="DB747" s="959"/>
      <c r="DC747" s="891">
        <v>3322</v>
      </c>
      <c r="DD747" s="891" t="s">
        <v>1039</v>
      </c>
      <c r="DE747" s="891" t="s">
        <v>406</v>
      </c>
      <c r="DF747" s="891">
        <v>5</v>
      </c>
      <c r="DG747" s="959"/>
      <c r="DH747" s="959"/>
      <c r="ER747" s="905">
        <v>3659</v>
      </c>
      <c r="ES747" s="906" t="s">
        <v>1415</v>
      </c>
      <c r="ET747" s="2686">
        <v>9</v>
      </c>
      <c r="EV747" s="985"/>
      <c r="EW747" s="985"/>
      <c r="EX747" s="387"/>
      <c r="EY747" s="939"/>
      <c r="EZ747" s="886"/>
    </row>
    <row r="748" spans="88:156">
      <c r="CJ748" s="197"/>
      <c r="CK748" s="197"/>
      <c r="CL748" s="197"/>
      <c r="CM748" s="213"/>
      <c r="CN748" s="213"/>
      <c r="CO748" s="197"/>
      <c r="CP748" s="197"/>
      <c r="CQ748" s="197"/>
      <c r="CR748" s="197"/>
      <c r="CS748" s="197"/>
      <c r="CT748" s="197"/>
      <c r="CU748" s="197"/>
      <c r="CV748" s="197"/>
      <c r="CW748" s="197"/>
      <c r="CX748" s="959"/>
      <c r="CY748" s="959"/>
      <c r="CZ748" s="959"/>
      <c r="DA748" s="959"/>
      <c r="DB748" s="959"/>
      <c r="DC748" s="891">
        <v>3323</v>
      </c>
      <c r="DD748" s="891" t="s">
        <v>1040</v>
      </c>
      <c r="DE748" s="891" t="s">
        <v>2808</v>
      </c>
      <c r="DF748" s="891">
        <v>5</v>
      </c>
      <c r="DG748" s="959"/>
      <c r="DH748" s="959"/>
      <c r="ER748" s="905">
        <v>3661</v>
      </c>
      <c r="ES748" s="906" t="s">
        <v>1416</v>
      </c>
      <c r="ET748" s="2686">
        <v>9</v>
      </c>
      <c r="EV748" s="985"/>
      <c r="EW748" s="985"/>
      <c r="EX748" s="387"/>
      <c r="EY748" s="939"/>
      <c r="EZ748" s="886"/>
    </row>
    <row r="749" spans="88:156">
      <c r="CJ749" s="197"/>
      <c r="CK749" s="197"/>
      <c r="CL749" s="197"/>
      <c r="CM749" s="213"/>
      <c r="CN749" s="213"/>
      <c r="CO749" s="197"/>
      <c r="CP749" s="197"/>
      <c r="CQ749" s="197"/>
      <c r="CR749" s="197"/>
      <c r="CS749" s="197"/>
      <c r="CT749" s="197"/>
      <c r="CU749" s="197"/>
      <c r="CV749" s="197"/>
      <c r="CW749" s="197"/>
      <c r="CX749" s="959"/>
      <c r="CY749" s="959"/>
      <c r="CZ749" s="959"/>
      <c r="DA749" s="959"/>
      <c r="DB749" s="959"/>
      <c r="DC749" s="891">
        <v>3324</v>
      </c>
      <c r="DD749" s="891" t="s">
        <v>1041</v>
      </c>
      <c r="DE749" s="891" t="s">
        <v>428</v>
      </c>
      <c r="DF749" s="891">
        <v>5</v>
      </c>
      <c r="DG749" s="959"/>
      <c r="DH749" s="959"/>
      <c r="ER749" s="905">
        <v>3662</v>
      </c>
      <c r="ES749" s="906" t="s">
        <v>936</v>
      </c>
      <c r="ET749" s="2686">
        <v>9</v>
      </c>
      <c r="EV749" s="985"/>
      <c r="EW749" s="985"/>
      <c r="EX749" s="387"/>
      <c r="EY749" s="939"/>
      <c r="EZ749" s="886"/>
    </row>
    <row r="750" spans="88:156">
      <c r="CJ750" s="197"/>
      <c r="CK750" s="197"/>
      <c r="CL750" s="197"/>
      <c r="CM750" s="213"/>
      <c r="CN750" s="213"/>
      <c r="CO750" s="197"/>
      <c r="CP750" s="197"/>
      <c r="CQ750" s="197"/>
      <c r="CR750" s="197"/>
      <c r="CS750" s="197"/>
      <c r="CT750" s="197"/>
      <c r="CU750" s="197"/>
      <c r="CV750" s="197"/>
      <c r="CW750" s="197"/>
      <c r="CX750" s="959"/>
      <c r="CY750" s="959"/>
      <c r="CZ750" s="959"/>
      <c r="DA750" s="959"/>
      <c r="DB750" s="959"/>
      <c r="DC750" s="891">
        <v>3325</v>
      </c>
      <c r="DD750" s="891" t="s">
        <v>1042</v>
      </c>
      <c r="DE750" s="891" t="s">
        <v>419</v>
      </c>
      <c r="DF750" s="891">
        <v>5</v>
      </c>
      <c r="DG750" s="959"/>
      <c r="DH750" s="959"/>
      <c r="ER750" s="905">
        <v>3663</v>
      </c>
      <c r="ES750" s="906" t="s">
        <v>1418</v>
      </c>
      <c r="ET750" s="2686">
        <v>9</v>
      </c>
      <c r="EV750" s="985"/>
      <c r="EW750" s="985"/>
      <c r="EX750" s="387"/>
      <c r="EY750" s="939"/>
      <c r="EZ750" s="886"/>
    </row>
    <row r="751" spans="88:156">
      <c r="CJ751" s="197"/>
      <c r="CK751" s="197"/>
      <c r="CL751" s="197"/>
      <c r="CM751" s="213"/>
      <c r="CN751" s="213"/>
      <c r="CO751" s="197"/>
      <c r="CP751" s="197"/>
      <c r="CQ751" s="197"/>
      <c r="CR751" s="197"/>
      <c r="CS751" s="197"/>
      <c r="CT751" s="197"/>
      <c r="CU751" s="197"/>
      <c r="CV751" s="197"/>
      <c r="CW751" s="197"/>
      <c r="CX751" s="959"/>
      <c r="CY751" s="959"/>
      <c r="CZ751" s="959"/>
      <c r="DA751" s="959"/>
      <c r="DB751" s="959"/>
      <c r="DC751" s="891">
        <v>3326</v>
      </c>
      <c r="DD751" s="891" t="s">
        <v>1043</v>
      </c>
      <c r="DE751" s="891" t="s">
        <v>421</v>
      </c>
      <c r="DF751" s="891">
        <v>5</v>
      </c>
      <c r="DG751" s="959"/>
      <c r="DH751" s="959"/>
      <c r="ER751" s="905">
        <v>3664</v>
      </c>
      <c r="ES751" s="906" t="s">
        <v>1419</v>
      </c>
      <c r="ET751" s="2686">
        <v>9</v>
      </c>
      <c r="EV751" s="985"/>
      <c r="EW751" s="985"/>
      <c r="EX751" s="387"/>
      <c r="EY751" s="939"/>
      <c r="EZ751" s="886"/>
    </row>
    <row r="752" spans="88:156">
      <c r="CJ752" s="197"/>
      <c r="CK752" s="197"/>
      <c r="CL752" s="197"/>
      <c r="CM752" s="213"/>
      <c r="CN752" s="213"/>
      <c r="CO752" s="197"/>
      <c r="CP752" s="197"/>
      <c r="CQ752" s="197"/>
      <c r="CR752" s="197"/>
      <c r="CS752" s="197"/>
      <c r="CT752" s="197"/>
      <c r="CU752" s="197"/>
      <c r="CV752" s="197"/>
      <c r="CW752" s="197"/>
      <c r="CX752" s="959"/>
      <c r="CY752" s="959"/>
      <c r="CZ752" s="959"/>
      <c r="DA752" s="959"/>
      <c r="DB752" s="959"/>
      <c r="DC752" s="891">
        <v>3327</v>
      </c>
      <c r="DD752" s="891" t="s">
        <v>1044</v>
      </c>
      <c r="DE752" s="891" t="s">
        <v>421</v>
      </c>
      <c r="DF752" s="891">
        <v>6</v>
      </c>
      <c r="DG752" s="959"/>
      <c r="DH752" s="959"/>
      <c r="ER752" s="905">
        <v>3671</v>
      </c>
      <c r="ES752" s="906" t="s">
        <v>937</v>
      </c>
      <c r="ET752" s="2686">
        <v>9</v>
      </c>
      <c r="EV752" s="985"/>
      <c r="EW752" s="985"/>
      <c r="EX752" s="387"/>
      <c r="EY752" s="939"/>
      <c r="EZ752" s="886"/>
    </row>
    <row r="753" spans="88:156">
      <c r="CJ753" s="197"/>
      <c r="CK753" s="197"/>
      <c r="CL753" s="197"/>
      <c r="CM753" s="213"/>
      <c r="CN753" s="213"/>
      <c r="CO753" s="197"/>
      <c r="CP753" s="197"/>
      <c r="CQ753" s="197"/>
      <c r="CR753" s="197"/>
      <c r="CS753" s="197"/>
      <c r="CT753" s="197"/>
      <c r="CU753" s="197"/>
      <c r="CV753" s="197"/>
      <c r="CW753" s="197"/>
      <c r="CX753" s="959"/>
      <c r="CY753" s="959"/>
      <c r="CZ753" s="959"/>
      <c r="DA753" s="959"/>
      <c r="DB753" s="959"/>
      <c r="DC753" s="891">
        <v>3328</v>
      </c>
      <c r="DD753" s="891" t="s">
        <v>1045</v>
      </c>
      <c r="DE753" s="891" t="s">
        <v>420</v>
      </c>
      <c r="DF753" s="891">
        <v>5</v>
      </c>
      <c r="DG753" s="959"/>
      <c r="DH753" s="959"/>
      <c r="ER753" s="905">
        <v>3672</v>
      </c>
      <c r="ES753" s="906" t="s">
        <v>938</v>
      </c>
      <c r="ET753" s="2686">
        <v>9</v>
      </c>
      <c r="EV753" s="985"/>
      <c r="EW753" s="985"/>
      <c r="EX753" s="387"/>
      <c r="EY753" s="939"/>
      <c r="EZ753" s="886"/>
    </row>
    <row r="754" spans="88:156">
      <c r="CJ754" s="197"/>
      <c r="CK754" s="197"/>
      <c r="CL754" s="197"/>
      <c r="CM754" s="213"/>
      <c r="CN754" s="213"/>
      <c r="CO754" s="197"/>
      <c r="CP754" s="197"/>
      <c r="CQ754" s="197"/>
      <c r="CR754" s="197"/>
      <c r="CS754" s="197"/>
      <c r="CT754" s="197"/>
      <c r="CU754" s="197"/>
      <c r="CV754" s="197"/>
      <c r="CW754" s="197"/>
      <c r="CX754" s="959"/>
      <c r="CY754" s="959"/>
      <c r="CZ754" s="959"/>
      <c r="DA754" s="959"/>
      <c r="DB754" s="959"/>
      <c r="DC754" s="891">
        <v>3331</v>
      </c>
      <c r="DD754" s="891" t="s">
        <v>1046</v>
      </c>
      <c r="DE754" s="891" t="s">
        <v>418</v>
      </c>
      <c r="DF754" s="891">
        <v>6</v>
      </c>
      <c r="DG754" s="959"/>
      <c r="DH754" s="959"/>
      <c r="ER754" s="905">
        <v>3700</v>
      </c>
      <c r="ES754" s="906" t="s">
        <v>1421</v>
      </c>
      <c r="ET754" s="2686">
        <v>9</v>
      </c>
      <c r="EV754" s="985"/>
      <c r="EW754" s="985"/>
      <c r="EX754" s="387"/>
      <c r="EY754" s="939"/>
      <c r="EZ754" s="886"/>
    </row>
    <row r="755" spans="88:156">
      <c r="CJ755" s="197"/>
      <c r="CK755" s="197"/>
      <c r="CL755" s="197"/>
      <c r="CM755" s="213"/>
      <c r="CN755" s="213"/>
      <c r="CO755" s="197"/>
      <c r="CP755" s="197"/>
      <c r="CQ755" s="197"/>
      <c r="CR755" s="197"/>
      <c r="CS755" s="197"/>
      <c r="CT755" s="197"/>
      <c r="CU755" s="197"/>
      <c r="CV755" s="197"/>
      <c r="CW755" s="197"/>
      <c r="CX755" s="959"/>
      <c r="CY755" s="959"/>
      <c r="CZ755" s="959"/>
      <c r="DA755" s="959"/>
      <c r="DB755" s="959"/>
      <c r="DC755" s="891">
        <v>3332</v>
      </c>
      <c r="DD755" s="891" t="s">
        <v>1047</v>
      </c>
      <c r="DE755" s="891" t="s">
        <v>421</v>
      </c>
      <c r="DF755" s="891">
        <v>5</v>
      </c>
      <c r="DG755" s="959"/>
      <c r="DH755" s="959"/>
      <c r="ER755" s="905">
        <v>3704</v>
      </c>
      <c r="ES755" s="906" t="s">
        <v>939</v>
      </c>
      <c r="ET755" s="2686">
        <v>9</v>
      </c>
      <c r="EV755" s="985"/>
      <c r="EW755" s="985"/>
      <c r="EX755" s="387"/>
      <c r="EY755" s="939"/>
      <c r="EZ755" s="886"/>
    </row>
    <row r="756" spans="88:156">
      <c r="CJ756" s="197"/>
      <c r="CK756" s="197"/>
      <c r="CL756" s="197"/>
      <c r="CM756" s="213"/>
      <c r="CN756" s="213"/>
      <c r="CO756" s="197"/>
      <c r="CP756" s="197"/>
      <c r="CQ756" s="197"/>
      <c r="CR756" s="197"/>
      <c r="CS756" s="197"/>
      <c r="CT756" s="197"/>
      <c r="CU756" s="197"/>
      <c r="CV756" s="197"/>
      <c r="CW756" s="197"/>
      <c r="CX756" s="959"/>
      <c r="CY756" s="959"/>
      <c r="CZ756" s="959"/>
      <c r="DA756" s="959"/>
      <c r="DB756" s="959"/>
      <c r="DC756" s="891">
        <v>3333</v>
      </c>
      <c r="DD756" s="891" t="s">
        <v>1048</v>
      </c>
      <c r="DE756" s="891" t="s">
        <v>431</v>
      </c>
      <c r="DF756" s="891">
        <v>5</v>
      </c>
      <c r="DG756" s="959"/>
      <c r="DH756" s="959"/>
      <c r="ER756" s="905">
        <v>3711</v>
      </c>
      <c r="ES756" s="906" t="s">
        <v>909</v>
      </c>
      <c r="ET756" s="2686">
        <v>9</v>
      </c>
      <c r="EV756" s="985"/>
      <c r="EW756" s="985"/>
      <c r="EX756" s="387"/>
      <c r="EY756" s="939"/>
      <c r="EZ756" s="886"/>
    </row>
    <row r="757" spans="88:156">
      <c r="CJ757" s="197"/>
      <c r="CK757" s="197"/>
      <c r="CL757" s="197"/>
      <c r="CM757" s="213"/>
      <c r="CN757" s="213"/>
      <c r="CO757" s="197"/>
      <c r="CP757" s="197"/>
      <c r="CQ757" s="197"/>
      <c r="CR757" s="197"/>
      <c r="CS757" s="197"/>
      <c r="CT757" s="197"/>
      <c r="CU757" s="197"/>
      <c r="CV757" s="197"/>
      <c r="CW757" s="197"/>
      <c r="CX757" s="959"/>
      <c r="CY757" s="959"/>
      <c r="CZ757" s="959"/>
      <c r="DA757" s="959"/>
      <c r="DB757" s="959"/>
      <c r="DC757" s="891">
        <v>3334</v>
      </c>
      <c r="DD757" s="891" t="s">
        <v>1049</v>
      </c>
      <c r="DE757" s="891" t="s">
        <v>428</v>
      </c>
      <c r="DF757" s="891">
        <v>5</v>
      </c>
      <c r="DG757" s="959"/>
      <c r="DH757" s="959"/>
      <c r="ER757" s="905">
        <v>3712</v>
      </c>
      <c r="ES757" s="906" t="s">
        <v>940</v>
      </c>
      <c r="ET757" s="2686">
        <v>9</v>
      </c>
      <c r="EV757" s="985"/>
      <c r="EW757" s="985"/>
      <c r="EX757" s="387"/>
      <c r="EY757" s="939"/>
      <c r="EZ757" s="886"/>
    </row>
    <row r="758" spans="88:156">
      <c r="CJ758" s="197"/>
      <c r="CK758" s="197"/>
      <c r="CL758" s="197"/>
      <c r="CM758" s="213"/>
      <c r="CN758" s="213"/>
      <c r="CO758" s="197"/>
      <c r="CP758" s="197"/>
      <c r="CQ758" s="197"/>
      <c r="CR758" s="197"/>
      <c r="CS758" s="197"/>
      <c r="CT758" s="197"/>
      <c r="CU758" s="197"/>
      <c r="CV758" s="197"/>
      <c r="CW758" s="197"/>
      <c r="CX758" s="959"/>
      <c r="CY758" s="959"/>
      <c r="CZ758" s="959"/>
      <c r="DA758" s="959"/>
      <c r="DB758" s="959"/>
      <c r="DC758" s="891">
        <v>3335</v>
      </c>
      <c r="DD758" s="891" t="s">
        <v>1050</v>
      </c>
      <c r="DE758" s="891" t="s">
        <v>428</v>
      </c>
      <c r="DF758" s="891">
        <v>5</v>
      </c>
      <c r="DG758" s="959"/>
      <c r="DH758" s="959"/>
      <c r="ER758" s="905">
        <v>3712</v>
      </c>
      <c r="ES758" s="906" t="s">
        <v>941</v>
      </c>
      <c r="ET758" s="2686">
        <v>9</v>
      </c>
      <c r="EV758" s="985"/>
      <c r="EW758" s="985"/>
      <c r="EX758" s="387"/>
      <c r="EY758" s="939"/>
      <c r="EZ758" s="886"/>
    </row>
    <row r="759" spans="88:156">
      <c r="CJ759" s="197"/>
      <c r="CK759" s="197"/>
      <c r="CL759" s="197"/>
      <c r="CM759" s="213"/>
      <c r="CN759" s="213"/>
      <c r="CO759" s="197"/>
      <c r="CP759" s="197"/>
      <c r="CQ759" s="197"/>
      <c r="CR759" s="197"/>
      <c r="CS759" s="197"/>
      <c r="CT759" s="197"/>
      <c r="CU759" s="197"/>
      <c r="CV759" s="197"/>
      <c r="CW759" s="197"/>
      <c r="CX759" s="959"/>
      <c r="CY759" s="959"/>
      <c r="CZ759" s="959"/>
      <c r="DA759" s="959"/>
      <c r="DB759" s="959"/>
      <c r="DC759" s="891">
        <v>3336</v>
      </c>
      <c r="DD759" s="891" t="s">
        <v>1051</v>
      </c>
      <c r="DE759" s="891" t="s">
        <v>428</v>
      </c>
      <c r="DF759" s="891">
        <v>4</v>
      </c>
      <c r="DG759" s="959"/>
      <c r="DH759" s="959"/>
      <c r="ER759" s="905">
        <v>3713</v>
      </c>
      <c r="ES759" s="906" t="s">
        <v>911</v>
      </c>
      <c r="ET759" s="2686">
        <v>9</v>
      </c>
      <c r="EV759" s="985"/>
      <c r="EW759" s="985"/>
      <c r="EX759" s="387"/>
      <c r="EY759" s="939"/>
      <c r="EZ759" s="886"/>
    </row>
    <row r="760" spans="88:156">
      <c r="CJ760" s="197"/>
      <c r="CK760" s="197"/>
      <c r="CL760" s="197"/>
      <c r="CM760" s="213"/>
      <c r="CN760" s="213"/>
      <c r="CO760" s="197"/>
      <c r="CP760" s="197"/>
      <c r="CQ760" s="197"/>
      <c r="CR760" s="197"/>
      <c r="CS760" s="197"/>
      <c r="CT760" s="197"/>
      <c r="CU760" s="197"/>
      <c r="CV760" s="197"/>
      <c r="CW760" s="197"/>
      <c r="CX760" s="959"/>
      <c r="CY760" s="959"/>
      <c r="CZ760" s="959"/>
      <c r="DA760" s="959"/>
      <c r="DB760" s="959"/>
      <c r="DC760" s="891">
        <v>3337</v>
      </c>
      <c r="DD760" s="891" t="s">
        <v>1052</v>
      </c>
      <c r="DE760" s="891" t="s">
        <v>427</v>
      </c>
      <c r="DF760" s="891">
        <v>4</v>
      </c>
      <c r="DG760" s="959"/>
      <c r="DH760" s="959"/>
      <c r="ER760" s="905">
        <v>3714</v>
      </c>
      <c r="ES760" s="906" t="s">
        <v>942</v>
      </c>
      <c r="ET760" s="2686">
        <v>9</v>
      </c>
      <c r="EV760" s="985"/>
      <c r="EW760" s="985"/>
      <c r="EX760" s="387"/>
      <c r="EY760" s="939"/>
      <c r="EZ760" s="886"/>
    </row>
    <row r="761" spans="88:156">
      <c r="CJ761" s="197"/>
      <c r="CK761" s="197"/>
      <c r="CL761" s="197"/>
      <c r="CM761" s="213"/>
      <c r="CN761" s="213"/>
      <c r="CO761" s="197"/>
      <c r="CP761" s="197"/>
      <c r="CQ761" s="197"/>
      <c r="CR761" s="197"/>
      <c r="CS761" s="197"/>
      <c r="CT761" s="197"/>
      <c r="CU761" s="197"/>
      <c r="CV761" s="197"/>
      <c r="CW761" s="197"/>
      <c r="CX761" s="959"/>
      <c r="CY761" s="959"/>
      <c r="CZ761" s="959"/>
      <c r="DA761" s="959"/>
      <c r="DB761" s="959"/>
      <c r="DC761" s="891">
        <v>3338</v>
      </c>
      <c r="DD761" s="891" t="s">
        <v>1053</v>
      </c>
      <c r="DE761" s="891" t="s">
        <v>421</v>
      </c>
      <c r="DF761" s="891">
        <v>4</v>
      </c>
      <c r="DG761" s="959"/>
      <c r="DH761" s="959"/>
      <c r="ER761" s="905">
        <v>3715</v>
      </c>
      <c r="ES761" s="906" t="s">
        <v>913</v>
      </c>
      <c r="ET761" s="2686">
        <v>9</v>
      </c>
      <c r="EV761" s="985"/>
      <c r="EW761" s="985"/>
      <c r="EX761" s="387"/>
      <c r="EY761" s="939"/>
      <c r="EZ761" s="886"/>
    </row>
    <row r="762" spans="88:156">
      <c r="CJ762" s="197"/>
      <c r="CK762" s="197"/>
      <c r="CL762" s="197"/>
      <c r="CM762" s="213"/>
      <c r="CN762" s="213"/>
      <c r="CO762" s="197"/>
      <c r="CP762" s="197"/>
      <c r="CQ762" s="197"/>
      <c r="CR762" s="197"/>
      <c r="CS762" s="197"/>
      <c r="CT762" s="197"/>
      <c r="CU762" s="197"/>
      <c r="CV762" s="197"/>
      <c r="CW762" s="197"/>
      <c r="CX762" s="959"/>
      <c r="CY762" s="959"/>
      <c r="CZ762" s="959"/>
      <c r="DA762" s="959"/>
      <c r="DB762" s="959"/>
      <c r="DC762" s="891">
        <v>3341</v>
      </c>
      <c r="DD762" s="891" t="s">
        <v>1054</v>
      </c>
      <c r="DE762" s="891" t="s">
        <v>412</v>
      </c>
      <c r="DF762" s="891">
        <v>5</v>
      </c>
      <c r="DG762" s="959"/>
      <c r="DH762" s="959"/>
      <c r="ER762" s="905">
        <v>3716</v>
      </c>
      <c r="ES762" s="906" t="s">
        <v>943</v>
      </c>
      <c r="ET762" s="2686">
        <v>9</v>
      </c>
      <c r="EV762" s="985"/>
      <c r="EW762" s="985"/>
      <c r="EX762" s="387"/>
      <c r="EY762" s="939"/>
      <c r="EZ762" s="886"/>
    </row>
    <row r="763" spans="88:156">
      <c r="CJ763" s="197"/>
      <c r="CK763" s="197"/>
      <c r="CL763" s="197"/>
      <c r="CM763" s="213"/>
      <c r="CN763" s="213"/>
      <c r="CO763" s="197"/>
      <c r="CP763" s="197"/>
      <c r="CQ763" s="197"/>
      <c r="CR763" s="197"/>
      <c r="CS763" s="197"/>
      <c r="CT763" s="197"/>
      <c r="CU763" s="197"/>
      <c r="CV763" s="197"/>
      <c r="CW763" s="197"/>
      <c r="CX763" s="959"/>
      <c r="CY763" s="959"/>
      <c r="CZ763" s="959"/>
      <c r="DA763" s="959"/>
      <c r="DB763" s="959"/>
      <c r="DC763" s="891">
        <v>3343</v>
      </c>
      <c r="DD763" s="891" t="s">
        <v>1055</v>
      </c>
      <c r="DE763" s="891" t="s">
        <v>420</v>
      </c>
      <c r="DF763" s="891">
        <v>5</v>
      </c>
      <c r="DG763" s="959"/>
      <c r="DH763" s="959"/>
      <c r="ER763" s="905">
        <v>3716</v>
      </c>
      <c r="ES763" s="906" t="s">
        <v>944</v>
      </c>
      <c r="ET763" s="2686">
        <v>9</v>
      </c>
      <c r="EV763" s="985"/>
      <c r="EW763" s="985"/>
      <c r="EX763" s="387"/>
      <c r="EY763" s="939"/>
      <c r="EZ763" s="886"/>
    </row>
    <row r="764" spans="88:156">
      <c r="CJ764" s="197"/>
      <c r="CK764" s="197"/>
      <c r="CL764" s="197"/>
      <c r="CM764" s="213"/>
      <c r="CN764" s="213"/>
      <c r="CO764" s="197"/>
      <c r="CP764" s="197"/>
      <c r="CQ764" s="197"/>
      <c r="CR764" s="197"/>
      <c r="CS764" s="197"/>
      <c r="CT764" s="197"/>
      <c r="CU764" s="197"/>
      <c r="CV764" s="197"/>
      <c r="CW764" s="197"/>
      <c r="CX764" s="959"/>
      <c r="CY764" s="959"/>
      <c r="CZ764" s="959"/>
      <c r="DA764" s="959"/>
      <c r="DB764" s="959"/>
      <c r="DC764" s="891">
        <v>3344</v>
      </c>
      <c r="DD764" s="891" t="s">
        <v>1056</v>
      </c>
      <c r="DE764" s="891" t="s">
        <v>404</v>
      </c>
      <c r="DF764" s="891">
        <v>5</v>
      </c>
      <c r="DG764" s="959"/>
      <c r="DH764" s="959"/>
      <c r="ER764" s="905">
        <v>3717</v>
      </c>
      <c r="ES764" s="906" t="s">
        <v>915</v>
      </c>
      <c r="ET764" s="2686">
        <v>9</v>
      </c>
      <c r="EV764" s="985"/>
      <c r="EW764" s="985"/>
      <c r="EX764" s="387"/>
      <c r="EY764" s="939"/>
      <c r="EZ764" s="886"/>
    </row>
    <row r="765" spans="88:156">
      <c r="CJ765" s="197"/>
      <c r="CK765" s="197"/>
      <c r="CL765" s="197"/>
      <c r="CM765" s="213"/>
      <c r="CN765" s="213"/>
      <c r="CO765" s="197"/>
      <c r="CP765" s="197"/>
      <c r="CQ765" s="197"/>
      <c r="CR765" s="197"/>
      <c r="CS765" s="197"/>
      <c r="CT765" s="197"/>
      <c r="CU765" s="197"/>
      <c r="CV765" s="197"/>
      <c r="CW765" s="197"/>
      <c r="CX765" s="959"/>
      <c r="CY765" s="959"/>
      <c r="CZ765" s="959"/>
      <c r="DA765" s="959"/>
      <c r="DB765" s="959"/>
      <c r="DC765" s="891">
        <v>3345</v>
      </c>
      <c r="DD765" s="891" t="s">
        <v>1057</v>
      </c>
      <c r="DE765" s="891" t="s">
        <v>421</v>
      </c>
      <c r="DF765" s="891">
        <v>5</v>
      </c>
      <c r="DG765" s="959"/>
      <c r="DH765" s="959"/>
      <c r="ER765" s="905">
        <v>3718</v>
      </c>
      <c r="ES765" s="906" t="s">
        <v>916</v>
      </c>
      <c r="ET765" s="2686">
        <v>9</v>
      </c>
      <c r="EV765" s="985"/>
      <c r="EW765" s="985"/>
      <c r="EX765" s="387"/>
      <c r="EY765" s="939"/>
      <c r="EZ765" s="886"/>
    </row>
    <row r="766" spans="88:156">
      <c r="CJ766" s="197"/>
      <c r="CK766" s="197"/>
      <c r="CL766" s="197"/>
      <c r="CM766" s="213"/>
      <c r="CN766" s="213"/>
      <c r="CO766" s="197"/>
      <c r="CP766" s="197"/>
      <c r="CQ766" s="197"/>
      <c r="CR766" s="197"/>
      <c r="CS766" s="197"/>
      <c r="CT766" s="197"/>
      <c r="CU766" s="197"/>
      <c r="CV766" s="197"/>
      <c r="CW766" s="197"/>
      <c r="CX766" s="959"/>
      <c r="CY766" s="959"/>
      <c r="CZ766" s="959"/>
      <c r="DA766" s="959"/>
      <c r="DB766" s="959"/>
      <c r="DC766" s="891">
        <v>3346</v>
      </c>
      <c r="DD766" s="891" t="s">
        <v>1058</v>
      </c>
      <c r="DE766" s="891" t="s">
        <v>417</v>
      </c>
      <c r="DF766" s="891">
        <v>5</v>
      </c>
      <c r="DG766" s="959"/>
      <c r="DH766" s="959"/>
      <c r="ER766" s="905">
        <v>3720</v>
      </c>
      <c r="ES766" s="906" t="s">
        <v>945</v>
      </c>
      <c r="ET766" s="2686">
        <v>9</v>
      </c>
      <c r="EV766" s="985"/>
      <c r="EW766" s="985"/>
      <c r="EX766" s="387"/>
      <c r="EY766" s="939"/>
      <c r="EZ766" s="886"/>
    </row>
    <row r="767" spans="88:156">
      <c r="CJ767" s="197"/>
      <c r="CK767" s="197"/>
      <c r="CL767" s="197"/>
      <c r="CM767" s="213"/>
      <c r="CN767" s="213"/>
      <c r="CO767" s="197"/>
      <c r="CP767" s="197"/>
      <c r="CQ767" s="197"/>
      <c r="CR767" s="197"/>
      <c r="CS767" s="197"/>
      <c r="CT767" s="197"/>
      <c r="CU767" s="197"/>
      <c r="CV767" s="197"/>
      <c r="CW767" s="197"/>
      <c r="CX767" s="959"/>
      <c r="CY767" s="959"/>
      <c r="CZ767" s="959"/>
      <c r="DA767" s="959"/>
      <c r="DB767" s="959"/>
      <c r="DC767" s="891">
        <v>3347</v>
      </c>
      <c r="DD767" s="891" t="s">
        <v>1059</v>
      </c>
      <c r="DE767" s="891" t="s">
        <v>406</v>
      </c>
      <c r="DF767" s="891">
        <v>5</v>
      </c>
      <c r="DG767" s="959"/>
      <c r="DH767" s="959"/>
      <c r="ER767" s="905">
        <v>3720</v>
      </c>
      <c r="ES767" s="906" t="s">
        <v>946</v>
      </c>
      <c r="ET767" s="2686">
        <v>9</v>
      </c>
      <c r="EV767" s="985"/>
      <c r="EW767" s="985"/>
      <c r="EX767" s="387"/>
      <c r="EY767" s="939"/>
      <c r="EZ767" s="886"/>
    </row>
    <row r="768" spans="88:156">
      <c r="CJ768" s="197"/>
      <c r="CK768" s="197"/>
      <c r="CL768" s="197"/>
      <c r="CM768" s="213"/>
      <c r="CN768" s="213"/>
      <c r="CO768" s="197"/>
      <c r="CP768" s="197"/>
      <c r="CQ768" s="197"/>
      <c r="CR768" s="197"/>
      <c r="CS768" s="197"/>
      <c r="CT768" s="197"/>
      <c r="CU768" s="197"/>
      <c r="CV768" s="197"/>
      <c r="CW768" s="197"/>
      <c r="CX768" s="959"/>
      <c r="CY768" s="959"/>
      <c r="CZ768" s="959"/>
      <c r="DA768" s="959"/>
      <c r="DB768" s="959"/>
      <c r="DC768" s="891">
        <v>3348</v>
      </c>
      <c r="DD768" s="891" t="s">
        <v>1060</v>
      </c>
      <c r="DE768" s="891" t="s">
        <v>423</v>
      </c>
      <c r="DF768" s="891">
        <v>5</v>
      </c>
      <c r="DG768" s="959"/>
      <c r="DH768" s="959"/>
      <c r="ER768" s="905">
        <v>3721</v>
      </c>
      <c r="ES768" s="906" t="s">
        <v>947</v>
      </c>
      <c r="ET768" s="2686">
        <v>9</v>
      </c>
      <c r="EV768" s="985"/>
      <c r="EW768" s="985"/>
      <c r="EX768" s="387"/>
      <c r="EY768" s="939"/>
      <c r="EZ768" s="886"/>
    </row>
    <row r="769" spans="88:156">
      <c r="CJ769" s="197"/>
      <c r="CK769" s="197"/>
      <c r="CL769" s="197"/>
      <c r="CM769" s="213"/>
      <c r="CN769" s="213"/>
      <c r="CO769" s="197"/>
      <c r="CP769" s="197"/>
      <c r="CQ769" s="197"/>
      <c r="CR769" s="197"/>
      <c r="CS769" s="197"/>
      <c r="CT769" s="197"/>
      <c r="CU769" s="197"/>
      <c r="CV769" s="197"/>
      <c r="CW769" s="197"/>
      <c r="CX769" s="959"/>
      <c r="CY769" s="959"/>
      <c r="CZ769" s="959"/>
      <c r="DA769" s="959"/>
      <c r="DB769" s="959"/>
      <c r="DC769" s="891">
        <v>3349</v>
      </c>
      <c r="DD769" s="891" t="s">
        <v>1061</v>
      </c>
      <c r="DE769" s="891" t="s">
        <v>412</v>
      </c>
      <c r="DF769" s="891">
        <v>4</v>
      </c>
      <c r="DG769" s="959"/>
      <c r="DH769" s="959"/>
      <c r="ER769" s="905">
        <v>3721</v>
      </c>
      <c r="ES769" s="906" t="s">
        <v>948</v>
      </c>
      <c r="ET769" s="2686">
        <v>9</v>
      </c>
      <c r="EV769" s="985"/>
      <c r="EW769" s="985"/>
      <c r="EX769" s="387"/>
      <c r="EY769" s="939"/>
      <c r="EZ769" s="886"/>
    </row>
    <row r="770" spans="88:156">
      <c r="CJ770" s="197"/>
      <c r="CK770" s="197"/>
      <c r="CL770" s="197"/>
      <c r="CM770" s="213"/>
      <c r="CN770" s="213"/>
      <c r="CO770" s="197"/>
      <c r="CP770" s="197"/>
      <c r="CQ770" s="197"/>
      <c r="CR770" s="197"/>
      <c r="CS770" s="197"/>
      <c r="CT770" s="197"/>
      <c r="CU770" s="197"/>
      <c r="CV770" s="197"/>
      <c r="CW770" s="197"/>
      <c r="CX770" s="959"/>
      <c r="CY770" s="959"/>
      <c r="CZ770" s="959"/>
      <c r="DA770" s="959"/>
      <c r="DB770" s="959"/>
      <c r="DC770" s="891">
        <v>3350</v>
      </c>
      <c r="DD770" s="891" t="s">
        <v>1062</v>
      </c>
      <c r="DE770" s="891" t="s">
        <v>412</v>
      </c>
      <c r="DF770" s="891">
        <v>6</v>
      </c>
      <c r="DG770" s="959"/>
      <c r="DH770" s="959"/>
      <c r="ER770" s="905">
        <v>3721</v>
      </c>
      <c r="ES770" s="906" t="s">
        <v>949</v>
      </c>
      <c r="ET770" s="2686">
        <v>9</v>
      </c>
      <c r="EV770" s="985"/>
      <c r="EW770" s="985"/>
      <c r="EX770" s="387"/>
      <c r="EY770" s="939"/>
      <c r="EZ770" s="886"/>
    </row>
    <row r="771" spans="88:156">
      <c r="CJ771" s="197"/>
      <c r="CK771" s="197"/>
      <c r="CL771" s="197"/>
      <c r="CM771" s="213"/>
      <c r="CN771" s="213"/>
      <c r="CO771" s="197"/>
      <c r="CP771" s="197"/>
      <c r="CQ771" s="197"/>
      <c r="CR771" s="197"/>
      <c r="CS771" s="197"/>
      <c r="CT771" s="197"/>
      <c r="CU771" s="197"/>
      <c r="CV771" s="197"/>
      <c r="CW771" s="197"/>
      <c r="CX771" s="959"/>
      <c r="CY771" s="959"/>
      <c r="CZ771" s="959"/>
      <c r="DA771" s="959"/>
      <c r="DB771" s="959"/>
      <c r="DC771" s="891">
        <v>3351</v>
      </c>
      <c r="DD771" s="891" t="s">
        <v>1063</v>
      </c>
      <c r="DE771" s="891" t="s">
        <v>2808</v>
      </c>
      <c r="DF771" s="891">
        <v>6</v>
      </c>
      <c r="DG771" s="959"/>
      <c r="DH771" s="959"/>
      <c r="ER771" s="905">
        <v>3722</v>
      </c>
      <c r="ES771" s="906" t="s">
        <v>1101</v>
      </c>
      <c r="ET771" s="2686">
        <v>9</v>
      </c>
      <c r="EV771" s="985"/>
      <c r="EW771" s="985"/>
      <c r="EX771" s="387"/>
      <c r="EY771" s="939"/>
      <c r="EZ771" s="886"/>
    </row>
    <row r="772" spans="88:156">
      <c r="CJ772" s="197"/>
      <c r="CK772" s="197"/>
      <c r="CL772" s="197"/>
      <c r="CM772" s="213"/>
      <c r="CN772" s="213"/>
      <c r="CO772" s="197"/>
      <c r="CP772" s="197"/>
      <c r="CQ772" s="197"/>
      <c r="CR772" s="197"/>
      <c r="CS772" s="197"/>
      <c r="CT772" s="197"/>
      <c r="CU772" s="197"/>
      <c r="CV772" s="197"/>
      <c r="CW772" s="197"/>
      <c r="CX772" s="959"/>
      <c r="CY772" s="959"/>
      <c r="CZ772" s="959"/>
      <c r="DA772" s="959"/>
      <c r="DB772" s="959"/>
      <c r="DC772" s="891">
        <v>3352</v>
      </c>
      <c r="DD772" s="891" t="s">
        <v>1064</v>
      </c>
      <c r="DE772" s="891" t="s">
        <v>2808</v>
      </c>
      <c r="DF772" s="891">
        <v>6</v>
      </c>
      <c r="DG772" s="959"/>
      <c r="DH772" s="959"/>
      <c r="ER772" s="905">
        <v>3723</v>
      </c>
      <c r="ES772" s="906" t="s">
        <v>1102</v>
      </c>
      <c r="ET772" s="2686">
        <v>9</v>
      </c>
      <c r="EV772" s="985"/>
      <c r="EW772" s="985"/>
      <c r="EX772" s="387"/>
      <c r="EY772" s="939"/>
      <c r="EZ772" s="886"/>
    </row>
    <row r="773" spans="88:156">
      <c r="CJ773" s="197"/>
      <c r="CK773" s="197"/>
      <c r="CL773" s="197"/>
      <c r="CM773" s="213"/>
      <c r="CN773" s="213"/>
      <c r="CO773" s="197"/>
      <c r="CP773" s="197"/>
      <c r="CQ773" s="197"/>
      <c r="CR773" s="197"/>
      <c r="CS773" s="197"/>
      <c r="CT773" s="197"/>
      <c r="CU773" s="197"/>
      <c r="CV773" s="197"/>
      <c r="CW773" s="197"/>
      <c r="CX773" s="959"/>
      <c r="CY773" s="959"/>
      <c r="CZ773" s="959"/>
      <c r="DA773" s="959"/>
      <c r="DB773" s="959"/>
      <c r="DC773" s="891">
        <v>3353</v>
      </c>
      <c r="DD773" s="891" t="s">
        <v>1065</v>
      </c>
      <c r="DE773" s="891" t="s">
        <v>2808</v>
      </c>
      <c r="DF773" s="891">
        <v>6</v>
      </c>
      <c r="DG773" s="959"/>
      <c r="DH773" s="959"/>
      <c r="ER773" s="905">
        <v>3724</v>
      </c>
      <c r="ES773" s="906" t="s">
        <v>950</v>
      </c>
      <c r="ET773" s="2686">
        <v>9</v>
      </c>
      <c r="EV773" s="985"/>
      <c r="EW773" s="985"/>
      <c r="EX773" s="387"/>
      <c r="EY773" s="939"/>
      <c r="EZ773" s="886"/>
    </row>
    <row r="774" spans="88:156">
      <c r="CJ774" s="197"/>
      <c r="CK774" s="197"/>
      <c r="CL774" s="197"/>
      <c r="CM774" s="213"/>
      <c r="CN774" s="213"/>
      <c r="CO774" s="197"/>
      <c r="CP774" s="197"/>
      <c r="CQ774" s="197"/>
      <c r="CR774" s="197"/>
      <c r="CS774" s="197"/>
      <c r="CT774" s="197"/>
      <c r="CU774" s="197"/>
      <c r="CV774" s="197"/>
      <c r="CW774" s="197"/>
      <c r="CX774" s="959"/>
      <c r="CY774" s="959"/>
      <c r="CZ774" s="959"/>
      <c r="DA774" s="959"/>
      <c r="DB774" s="959"/>
      <c r="DC774" s="891">
        <v>3354</v>
      </c>
      <c r="DD774" s="891" t="s">
        <v>874</v>
      </c>
      <c r="DE774" s="891" t="s">
        <v>404</v>
      </c>
      <c r="DF774" s="891">
        <v>6</v>
      </c>
      <c r="DG774" s="959"/>
      <c r="DH774" s="959"/>
      <c r="ER774" s="905">
        <v>3724</v>
      </c>
      <c r="ES774" s="906" t="s">
        <v>951</v>
      </c>
      <c r="ET774" s="2686">
        <v>9</v>
      </c>
      <c r="EV774" s="985"/>
      <c r="EW774" s="985"/>
      <c r="EX774" s="387"/>
      <c r="EY774" s="939"/>
      <c r="EZ774" s="886"/>
    </row>
    <row r="775" spans="88:156">
      <c r="CJ775" s="197"/>
      <c r="CK775" s="197"/>
      <c r="CL775" s="197"/>
      <c r="CM775" s="213"/>
      <c r="CN775" s="213"/>
      <c r="CO775" s="197"/>
      <c r="CP775" s="197"/>
      <c r="CQ775" s="197"/>
      <c r="CR775" s="197"/>
      <c r="CS775" s="197"/>
      <c r="CT775" s="197"/>
      <c r="CU775" s="197"/>
      <c r="CV775" s="197"/>
      <c r="CW775" s="197"/>
      <c r="CX775" s="959"/>
      <c r="CY775" s="959"/>
      <c r="CZ775" s="959"/>
      <c r="DA775" s="959"/>
      <c r="DB775" s="959"/>
      <c r="DC775" s="891">
        <v>3355</v>
      </c>
      <c r="DD775" s="891" t="s">
        <v>875</v>
      </c>
      <c r="DE775" s="891" t="s">
        <v>406</v>
      </c>
      <c r="DF775" s="891">
        <v>6</v>
      </c>
      <c r="DG775" s="959"/>
      <c r="DH775" s="959"/>
      <c r="ER775" s="905">
        <v>3724</v>
      </c>
      <c r="ES775" s="906" t="s">
        <v>952</v>
      </c>
      <c r="ET775" s="2686">
        <v>9</v>
      </c>
      <c r="EV775" s="985"/>
      <c r="EW775" s="985"/>
      <c r="EX775" s="387"/>
      <c r="EY775" s="939"/>
      <c r="EZ775" s="886"/>
    </row>
    <row r="776" spans="88:156">
      <c r="CJ776" s="197"/>
      <c r="CK776" s="197"/>
      <c r="CL776" s="197"/>
      <c r="CM776" s="213"/>
      <c r="CN776" s="213"/>
      <c r="CO776" s="197"/>
      <c r="CP776" s="197"/>
      <c r="CQ776" s="197"/>
      <c r="CR776" s="197"/>
      <c r="CS776" s="197"/>
      <c r="CT776" s="197"/>
      <c r="CU776" s="197"/>
      <c r="CV776" s="197"/>
      <c r="CW776" s="197"/>
      <c r="CX776" s="959"/>
      <c r="CY776" s="959"/>
      <c r="CZ776" s="959"/>
      <c r="DA776" s="959"/>
      <c r="DB776" s="959"/>
      <c r="DC776" s="891">
        <v>3356</v>
      </c>
      <c r="DD776" s="891" t="s">
        <v>876</v>
      </c>
      <c r="DE776" s="891" t="s">
        <v>412</v>
      </c>
      <c r="DF776" s="891">
        <v>6</v>
      </c>
      <c r="DG776" s="959"/>
      <c r="DH776" s="959"/>
      <c r="ER776" s="905">
        <v>3726</v>
      </c>
      <c r="ES776" s="906" t="s">
        <v>1106</v>
      </c>
      <c r="ET776" s="2686">
        <v>9</v>
      </c>
      <c r="EV776" s="985"/>
      <c r="EW776" s="985"/>
      <c r="EX776" s="387"/>
      <c r="EY776" s="939"/>
      <c r="EZ776" s="886"/>
    </row>
    <row r="777" spans="88:156">
      <c r="CJ777" s="197"/>
      <c r="CK777" s="197"/>
      <c r="CL777" s="197"/>
      <c r="CM777" s="213"/>
      <c r="CN777" s="213"/>
      <c r="CO777" s="197"/>
      <c r="CP777" s="197"/>
      <c r="CQ777" s="197"/>
      <c r="CR777" s="197"/>
      <c r="CS777" s="197"/>
      <c r="CT777" s="197"/>
      <c r="CU777" s="197"/>
      <c r="CV777" s="197"/>
      <c r="CW777" s="197"/>
      <c r="CX777" s="959"/>
      <c r="CY777" s="959"/>
      <c r="CZ777" s="959"/>
      <c r="DA777" s="959"/>
      <c r="DB777" s="959"/>
      <c r="DC777" s="891">
        <v>3357</v>
      </c>
      <c r="DD777" s="891" t="s">
        <v>877</v>
      </c>
      <c r="DE777" s="891" t="s">
        <v>432</v>
      </c>
      <c r="DF777" s="891">
        <v>6</v>
      </c>
      <c r="DG777" s="959"/>
      <c r="DH777" s="959"/>
      <c r="ER777" s="905">
        <v>3726</v>
      </c>
      <c r="ES777" s="906" t="s">
        <v>953</v>
      </c>
      <c r="ET777" s="2686">
        <v>9</v>
      </c>
      <c r="EV777" s="985"/>
      <c r="EW777" s="985"/>
      <c r="EX777" s="387"/>
      <c r="EY777" s="939"/>
      <c r="EZ777" s="886"/>
    </row>
    <row r="778" spans="88:156">
      <c r="CJ778" s="197"/>
      <c r="CK778" s="197"/>
      <c r="CL778" s="197"/>
      <c r="CM778" s="213"/>
      <c r="CN778" s="213"/>
      <c r="CO778" s="197"/>
      <c r="CP778" s="197"/>
      <c r="CQ778" s="197"/>
      <c r="CR778" s="197"/>
      <c r="CS778" s="197"/>
      <c r="CT778" s="197"/>
      <c r="CU778" s="197"/>
      <c r="CV778" s="197"/>
      <c r="CW778" s="197"/>
      <c r="CX778" s="959"/>
      <c r="CY778" s="959"/>
      <c r="CZ778" s="959"/>
      <c r="DA778" s="959"/>
      <c r="DB778" s="959"/>
      <c r="DC778" s="891">
        <v>3358</v>
      </c>
      <c r="DD778" s="891" t="s">
        <v>878</v>
      </c>
      <c r="DE778" s="891" t="s">
        <v>432</v>
      </c>
      <c r="DF778" s="891">
        <v>6</v>
      </c>
      <c r="DG778" s="959"/>
      <c r="DH778" s="959"/>
      <c r="ER778" s="905">
        <v>3726</v>
      </c>
      <c r="ES778" s="906" t="s">
        <v>954</v>
      </c>
      <c r="ET778" s="2686">
        <v>9</v>
      </c>
      <c r="EV778" s="985"/>
      <c r="EW778" s="985"/>
      <c r="EX778" s="387"/>
      <c r="EY778" s="939"/>
      <c r="EZ778" s="886"/>
    </row>
    <row r="779" spans="88:156">
      <c r="CJ779" s="197"/>
      <c r="CK779" s="197"/>
      <c r="CL779" s="197"/>
      <c r="CM779" s="213"/>
      <c r="CN779" s="213"/>
      <c r="CO779" s="197"/>
      <c r="CP779" s="197"/>
      <c r="CQ779" s="197"/>
      <c r="CR779" s="197"/>
      <c r="CS779" s="197"/>
      <c r="CT779" s="197"/>
      <c r="CU779" s="197"/>
      <c r="CV779" s="197"/>
      <c r="CW779" s="197"/>
      <c r="CX779" s="959"/>
      <c r="CY779" s="959"/>
      <c r="CZ779" s="959"/>
      <c r="DA779" s="959"/>
      <c r="DB779" s="959"/>
      <c r="DC779" s="891">
        <v>3359</v>
      </c>
      <c r="DD779" s="891" t="s">
        <v>879</v>
      </c>
      <c r="DE779" s="891" t="s">
        <v>406</v>
      </c>
      <c r="DF779" s="891">
        <v>6</v>
      </c>
      <c r="DG779" s="959"/>
      <c r="DH779" s="959"/>
      <c r="ER779" s="905">
        <v>3728</v>
      </c>
      <c r="ES779" s="906" t="s">
        <v>955</v>
      </c>
      <c r="ET779" s="2686">
        <v>9</v>
      </c>
      <c r="EV779" s="985"/>
      <c r="EW779" s="985"/>
      <c r="EX779" s="387"/>
      <c r="EY779" s="939"/>
      <c r="EZ779" s="886"/>
    </row>
    <row r="780" spans="88:156">
      <c r="CJ780" s="197"/>
      <c r="CK780" s="197"/>
      <c r="CL780" s="197"/>
      <c r="CM780" s="213"/>
      <c r="CN780" s="213"/>
      <c r="CO780" s="197"/>
      <c r="CP780" s="197"/>
      <c r="CQ780" s="197"/>
      <c r="CR780" s="197"/>
      <c r="CS780" s="197"/>
      <c r="CT780" s="197"/>
      <c r="CU780" s="197"/>
      <c r="CV780" s="197"/>
      <c r="CW780" s="197"/>
      <c r="CX780" s="959"/>
      <c r="CY780" s="959"/>
      <c r="CZ780" s="959"/>
      <c r="DA780" s="959"/>
      <c r="DB780" s="959"/>
      <c r="DC780" s="891">
        <v>3360</v>
      </c>
      <c r="DD780" s="891" t="s">
        <v>410</v>
      </c>
      <c r="DE780" s="891" t="s">
        <v>419</v>
      </c>
      <c r="DF780" s="891">
        <v>6</v>
      </c>
      <c r="DG780" s="959"/>
      <c r="DH780" s="959"/>
      <c r="ER780" s="905">
        <v>3728</v>
      </c>
      <c r="ES780" s="906" t="s">
        <v>956</v>
      </c>
      <c r="ET780" s="2686">
        <v>9</v>
      </c>
      <c r="EV780" s="985"/>
      <c r="EW780" s="985"/>
      <c r="EX780" s="387"/>
      <c r="EY780" s="939"/>
      <c r="EZ780" s="886"/>
    </row>
    <row r="781" spans="88:156">
      <c r="CJ781" s="197"/>
      <c r="CK781" s="197"/>
      <c r="CL781" s="197"/>
      <c r="CM781" s="213"/>
      <c r="CN781" s="213"/>
      <c r="CO781" s="197"/>
      <c r="CP781" s="197"/>
      <c r="CQ781" s="197"/>
      <c r="CR781" s="197"/>
      <c r="CS781" s="197"/>
      <c r="CT781" s="197"/>
      <c r="CU781" s="197"/>
      <c r="CV781" s="197"/>
      <c r="CW781" s="197"/>
      <c r="CX781" s="959"/>
      <c r="CY781" s="959"/>
      <c r="CZ781" s="959"/>
      <c r="DA781" s="959"/>
      <c r="DB781" s="959"/>
      <c r="DC781" s="891">
        <v>3368</v>
      </c>
      <c r="DD781" s="891" t="s">
        <v>880</v>
      </c>
      <c r="DE781" s="891" t="s">
        <v>432</v>
      </c>
      <c r="DF781" s="891">
        <v>6</v>
      </c>
      <c r="DG781" s="959"/>
      <c r="DH781" s="959"/>
      <c r="ER781" s="905">
        <v>3729</v>
      </c>
      <c r="ES781" s="906" t="s">
        <v>1108</v>
      </c>
      <c r="ET781" s="2686">
        <v>9</v>
      </c>
      <c r="EV781" s="985"/>
      <c r="EW781" s="985"/>
      <c r="EX781" s="387"/>
      <c r="EY781" s="939"/>
      <c r="EZ781" s="886"/>
    </row>
    <row r="782" spans="88:156">
      <c r="CJ782" s="197"/>
      <c r="CK782" s="197"/>
      <c r="CL782" s="197"/>
      <c r="CM782" s="213"/>
      <c r="CN782" s="213"/>
      <c r="CO782" s="197"/>
      <c r="CP782" s="197"/>
      <c r="CQ782" s="197"/>
      <c r="CR782" s="197"/>
      <c r="CS782" s="197"/>
      <c r="CT782" s="197"/>
      <c r="CU782" s="197"/>
      <c r="CV782" s="197"/>
      <c r="CW782" s="197"/>
      <c r="CX782" s="959"/>
      <c r="CY782" s="959"/>
      <c r="CZ782" s="959"/>
      <c r="DA782" s="959"/>
      <c r="DB782" s="959"/>
      <c r="DC782" s="891">
        <v>3369</v>
      </c>
      <c r="DD782" s="891" t="s">
        <v>881</v>
      </c>
      <c r="DE782" s="891" t="s">
        <v>2808</v>
      </c>
      <c r="DF782" s="891">
        <v>6</v>
      </c>
      <c r="DG782" s="959"/>
      <c r="DH782" s="959"/>
      <c r="ER782" s="905">
        <v>3731</v>
      </c>
      <c r="ES782" s="906" t="s">
        <v>957</v>
      </c>
      <c r="ET782" s="2686">
        <v>9</v>
      </c>
      <c r="EV782" s="985"/>
      <c r="EW782" s="985"/>
      <c r="EX782" s="387"/>
      <c r="EY782" s="939"/>
      <c r="EZ782" s="886"/>
    </row>
    <row r="783" spans="88:156">
      <c r="CJ783" s="197"/>
      <c r="CK783" s="197"/>
      <c r="CL783" s="197"/>
      <c r="CM783" s="213"/>
      <c r="CN783" s="213"/>
      <c r="CO783" s="197"/>
      <c r="CP783" s="197"/>
      <c r="CQ783" s="197"/>
      <c r="CR783" s="197"/>
      <c r="CS783" s="197"/>
      <c r="CT783" s="197"/>
      <c r="CU783" s="197"/>
      <c r="CV783" s="197"/>
      <c r="CW783" s="197"/>
      <c r="CX783" s="959"/>
      <c r="CY783" s="959"/>
      <c r="CZ783" s="959"/>
      <c r="DA783" s="959"/>
      <c r="DB783" s="959"/>
      <c r="DC783" s="891">
        <v>3371</v>
      </c>
      <c r="DD783" s="891" t="s">
        <v>882</v>
      </c>
      <c r="DE783" s="891" t="s">
        <v>419</v>
      </c>
      <c r="DF783" s="891">
        <v>6</v>
      </c>
      <c r="DG783" s="959"/>
      <c r="DH783" s="959"/>
      <c r="ER783" s="905">
        <v>3732</v>
      </c>
      <c r="ES783" s="906" t="s">
        <v>1110</v>
      </c>
      <c r="ET783" s="2686">
        <v>9</v>
      </c>
      <c r="EV783" s="985"/>
      <c r="EW783" s="985"/>
      <c r="EX783" s="387"/>
      <c r="EY783" s="939"/>
      <c r="EZ783" s="886"/>
    </row>
    <row r="784" spans="88:156">
      <c r="CJ784" s="197"/>
      <c r="CK784" s="197"/>
      <c r="CL784" s="197"/>
      <c r="CM784" s="213"/>
      <c r="CN784" s="213"/>
      <c r="CO784" s="197"/>
      <c r="CP784" s="197"/>
      <c r="CQ784" s="197"/>
      <c r="CR784" s="197"/>
      <c r="CS784" s="197"/>
      <c r="CT784" s="197"/>
      <c r="CU784" s="197"/>
      <c r="CV784" s="197"/>
      <c r="CW784" s="197"/>
      <c r="CX784" s="959"/>
      <c r="CY784" s="959"/>
      <c r="CZ784" s="959"/>
      <c r="DA784" s="959"/>
      <c r="DB784" s="959"/>
      <c r="DC784" s="891">
        <v>3372</v>
      </c>
      <c r="DD784" s="891" t="s">
        <v>883</v>
      </c>
      <c r="DE784" s="891" t="s">
        <v>418</v>
      </c>
      <c r="DF784" s="891">
        <v>6</v>
      </c>
      <c r="DG784" s="959"/>
      <c r="DH784" s="959"/>
      <c r="ER784" s="905">
        <v>3733</v>
      </c>
      <c r="ES784" s="906" t="s">
        <v>1111</v>
      </c>
      <c r="ET784" s="2686">
        <v>9</v>
      </c>
      <c r="EV784" s="985"/>
      <c r="EW784" s="985"/>
      <c r="EX784" s="387"/>
      <c r="EY784" s="939"/>
      <c r="EZ784" s="886"/>
    </row>
    <row r="785" spans="88:156">
      <c r="CJ785" s="197"/>
      <c r="CK785" s="197"/>
      <c r="CL785" s="197"/>
      <c r="CM785" s="213"/>
      <c r="CN785" s="213"/>
      <c r="CO785" s="197"/>
      <c r="CP785" s="197"/>
      <c r="CQ785" s="197"/>
      <c r="CR785" s="197"/>
      <c r="CS785" s="197"/>
      <c r="CT785" s="197"/>
      <c r="CU785" s="197"/>
      <c r="CV785" s="197"/>
      <c r="CW785" s="197"/>
      <c r="CX785" s="959"/>
      <c r="CY785" s="959"/>
      <c r="CZ785" s="959"/>
      <c r="DA785" s="959"/>
      <c r="DB785" s="959"/>
      <c r="DC785" s="891">
        <v>3373</v>
      </c>
      <c r="DD785" s="891" t="s">
        <v>884</v>
      </c>
      <c r="DE785" s="891" t="s">
        <v>435</v>
      </c>
      <c r="DF785" s="891">
        <v>6</v>
      </c>
      <c r="DG785" s="959"/>
      <c r="DH785" s="959"/>
      <c r="ER785" s="905">
        <v>3734</v>
      </c>
      <c r="ES785" s="906" t="s">
        <v>1112</v>
      </c>
      <c r="ET785" s="2686">
        <v>9</v>
      </c>
      <c r="EV785" s="985"/>
      <c r="EW785" s="985"/>
      <c r="EX785" s="387"/>
      <c r="EY785" s="939"/>
      <c r="EZ785" s="886"/>
    </row>
    <row r="786" spans="88:156">
      <c r="CJ786" s="197"/>
      <c r="CK786" s="197"/>
      <c r="CL786" s="197"/>
      <c r="CM786" s="213"/>
      <c r="CN786" s="213"/>
      <c r="CO786" s="197"/>
      <c r="CP786" s="197"/>
      <c r="CQ786" s="197"/>
      <c r="CR786" s="197"/>
      <c r="CS786" s="197"/>
      <c r="CT786" s="197"/>
      <c r="CU786" s="197"/>
      <c r="CV786" s="197"/>
      <c r="CW786" s="197"/>
      <c r="CX786" s="959"/>
      <c r="CY786" s="959"/>
      <c r="CZ786" s="959"/>
      <c r="DA786" s="959"/>
      <c r="DB786" s="959"/>
      <c r="DC786" s="891">
        <v>3374</v>
      </c>
      <c r="DD786" s="891" t="s">
        <v>885</v>
      </c>
      <c r="DE786" s="891" t="s">
        <v>427</v>
      </c>
      <c r="DF786" s="891">
        <v>6</v>
      </c>
      <c r="DG786" s="959"/>
      <c r="DH786" s="959"/>
      <c r="ER786" s="905">
        <v>3735</v>
      </c>
      <c r="ES786" s="906" t="s">
        <v>958</v>
      </c>
      <c r="ET786" s="2686">
        <v>9</v>
      </c>
      <c r="EV786" s="985"/>
      <c r="EW786" s="985"/>
      <c r="EX786" s="387"/>
      <c r="EY786" s="939"/>
      <c r="EZ786" s="886"/>
    </row>
    <row r="787" spans="88:156">
      <c r="CJ787" s="197"/>
      <c r="CK787" s="197"/>
      <c r="CL787" s="197"/>
      <c r="CM787" s="213"/>
      <c r="CN787" s="213"/>
      <c r="CO787" s="197"/>
      <c r="CP787" s="197"/>
      <c r="CQ787" s="197"/>
      <c r="CR787" s="197"/>
      <c r="CS787" s="197"/>
      <c r="CT787" s="197"/>
      <c r="CU787" s="197"/>
      <c r="CV787" s="197"/>
      <c r="CW787" s="197"/>
      <c r="CX787" s="959"/>
      <c r="CY787" s="959"/>
      <c r="CZ787" s="959"/>
      <c r="DA787" s="959"/>
      <c r="DB787" s="959"/>
      <c r="DC787" s="891">
        <v>3375</v>
      </c>
      <c r="DD787" s="891" t="s">
        <v>886</v>
      </c>
      <c r="DE787" s="891" t="s">
        <v>435</v>
      </c>
      <c r="DF787" s="891">
        <v>6</v>
      </c>
      <c r="DG787" s="959"/>
      <c r="DH787" s="959"/>
      <c r="ER787" s="905">
        <v>3735</v>
      </c>
      <c r="ES787" s="906" t="s">
        <v>959</v>
      </c>
      <c r="ET787" s="2686">
        <v>9</v>
      </c>
      <c r="EV787" s="985"/>
      <c r="EW787" s="985"/>
      <c r="EX787" s="387"/>
      <c r="EY787" s="939"/>
      <c r="EZ787" s="886"/>
    </row>
    <row r="788" spans="88:156">
      <c r="CJ788" s="197"/>
      <c r="CK788" s="197"/>
      <c r="CL788" s="197"/>
      <c r="CM788" s="213"/>
      <c r="CN788" s="213"/>
      <c r="CO788" s="197"/>
      <c r="CP788" s="197"/>
      <c r="CQ788" s="197"/>
      <c r="CR788" s="197"/>
      <c r="CS788" s="197"/>
      <c r="CT788" s="197"/>
      <c r="CU788" s="197"/>
      <c r="CV788" s="197"/>
      <c r="CW788" s="197"/>
      <c r="CX788" s="959"/>
      <c r="CY788" s="959"/>
      <c r="CZ788" s="959"/>
      <c r="DA788" s="959"/>
      <c r="DB788" s="959"/>
      <c r="DC788" s="891">
        <v>3377</v>
      </c>
      <c r="DD788" s="891" t="s">
        <v>887</v>
      </c>
      <c r="DE788" s="891" t="s">
        <v>417</v>
      </c>
      <c r="DF788" s="891">
        <v>6</v>
      </c>
      <c r="DG788" s="959"/>
      <c r="DH788" s="959"/>
      <c r="ER788" s="905">
        <v>3735</v>
      </c>
      <c r="ES788" s="906" t="s">
        <v>960</v>
      </c>
      <c r="ET788" s="2686">
        <v>9</v>
      </c>
      <c r="EV788" s="985"/>
      <c r="EW788" s="985"/>
      <c r="EX788" s="387"/>
      <c r="EY788" s="939"/>
      <c r="EZ788" s="886"/>
    </row>
    <row r="789" spans="88:156">
      <c r="CJ789" s="197"/>
      <c r="CK789" s="197"/>
      <c r="CL789" s="197"/>
      <c r="CM789" s="213"/>
      <c r="CN789" s="213"/>
      <c r="CO789" s="197"/>
      <c r="CP789" s="197"/>
      <c r="CQ789" s="197"/>
      <c r="CR789" s="197"/>
      <c r="CS789" s="197"/>
      <c r="CT789" s="197"/>
      <c r="CU789" s="197"/>
      <c r="CV789" s="197"/>
      <c r="CW789" s="197"/>
      <c r="CX789" s="959"/>
      <c r="CY789" s="959"/>
      <c r="CZ789" s="959"/>
      <c r="DA789" s="959"/>
      <c r="DB789" s="959"/>
      <c r="DC789" s="891">
        <v>3378</v>
      </c>
      <c r="DD789" s="891" t="s">
        <v>888</v>
      </c>
      <c r="DE789" s="891" t="s">
        <v>412</v>
      </c>
      <c r="DF789" s="891">
        <v>6</v>
      </c>
      <c r="DG789" s="959"/>
      <c r="DH789" s="959"/>
      <c r="ER789" s="905">
        <v>3741</v>
      </c>
      <c r="ES789" s="906" t="s">
        <v>1114</v>
      </c>
      <c r="ET789" s="2686">
        <v>9</v>
      </c>
      <c r="EV789" s="985"/>
      <c r="EW789" s="985"/>
      <c r="EX789" s="387"/>
      <c r="EY789" s="939"/>
      <c r="EZ789" s="886"/>
    </row>
    <row r="790" spans="88:156">
      <c r="CJ790" s="197"/>
      <c r="CK790" s="197"/>
      <c r="CL790" s="197"/>
      <c r="CM790" s="213"/>
      <c r="CN790" s="213"/>
      <c r="CO790" s="197"/>
      <c r="CP790" s="197"/>
      <c r="CQ790" s="197"/>
      <c r="CR790" s="197"/>
      <c r="CS790" s="197"/>
      <c r="CT790" s="197"/>
      <c r="CU790" s="197"/>
      <c r="CV790" s="197"/>
      <c r="CW790" s="197"/>
      <c r="CX790" s="959"/>
      <c r="CY790" s="959"/>
      <c r="CZ790" s="959"/>
      <c r="DA790" s="959"/>
      <c r="DB790" s="959"/>
      <c r="DC790" s="891">
        <v>3379</v>
      </c>
      <c r="DD790" s="891" t="s">
        <v>889</v>
      </c>
      <c r="DE790" s="891" t="s">
        <v>421</v>
      </c>
      <c r="DF790" s="891">
        <v>5</v>
      </c>
      <c r="DG790" s="959"/>
      <c r="DH790" s="959"/>
      <c r="ER790" s="905">
        <v>3742</v>
      </c>
      <c r="ES790" s="906" t="s">
        <v>1115</v>
      </c>
      <c r="ET790" s="2686">
        <v>9</v>
      </c>
      <c r="EV790" s="985"/>
      <c r="EW790" s="985"/>
      <c r="EX790" s="387"/>
      <c r="EY790" s="939"/>
      <c r="EZ790" s="886"/>
    </row>
    <row r="791" spans="88:156">
      <c r="CJ791" s="197"/>
      <c r="CK791" s="197"/>
      <c r="CL791" s="197"/>
      <c r="CM791" s="213"/>
      <c r="CN791" s="213"/>
      <c r="CO791" s="197"/>
      <c r="CP791" s="197"/>
      <c r="CQ791" s="197"/>
      <c r="CR791" s="197"/>
      <c r="CS791" s="197"/>
      <c r="CT791" s="197"/>
      <c r="CU791" s="197"/>
      <c r="CV791" s="197"/>
      <c r="CW791" s="197"/>
      <c r="CX791" s="959"/>
      <c r="CY791" s="959"/>
      <c r="CZ791" s="959"/>
      <c r="DA791" s="959"/>
      <c r="DB791" s="959"/>
      <c r="DC791" s="891">
        <v>3381</v>
      </c>
      <c r="DD791" s="891" t="s">
        <v>890</v>
      </c>
      <c r="DE791" s="891" t="s">
        <v>2808</v>
      </c>
      <c r="DF791" s="891">
        <v>6</v>
      </c>
      <c r="DG791" s="959"/>
      <c r="DH791" s="959"/>
      <c r="ER791" s="905">
        <v>3743</v>
      </c>
      <c r="ES791" s="906" t="s">
        <v>1116</v>
      </c>
      <c r="ET791" s="2686">
        <v>9</v>
      </c>
      <c r="EV791" s="985"/>
      <c r="EW791" s="985"/>
      <c r="EX791" s="387"/>
      <c r="EY791" s="939"/>
      <c r="EZ791" s="886"/>
    </row>
    <row r="792" spans="88:156">
      <c r="CJ792" s="197"/>
      <c r="CK792" s="197"/>
      <c r="CL792" s="197"/>
      <c r="CM792" s="213"/>
      <c r="CN792" s="213"/>
      <c r="CO792" s="197"/>
      <c r="CP792" s="197"/>
      <c r="CQ792" s="197"/>
      <c r="CR792" s="197"/>
      <c r="CS792" s="197"/>
      <c r="CT792" s="197"/>
      <c r="CU792" s="197"/>
      <c r="CV792" s="197"/>
      <c r="CW792" s="197"/>
      <c r="CX792" s="959"/>
      <c r="CY792" s="959"/>
      <c r="CZ792" s="959"/>
      <c r="DA792" s="959"/>
      <c r="DB792" s="959"/>
      <c r="DC792" s="891">
        <v>3382</v>
      </c>
      <c r="DD792" s="891" t="s">
        <v>891</v>
      </c>
      <c r="DE792" s="891" t="s">
        <v>412</v>
      </c>
      <c r="DF792" s="891">
        <v>6</v>
      </c>
      <c r="DG792" s="959"/>
      <c r="DH792" s="959"/>
      <c r="ER792" s="905">
        <v>3744</v>
      </c>
      <c r="ES792" s="906" t="s">
        <v>1117</v>
      </c>
      <c r="ET792" s="2686">
        <v>9</v>
      </c>
      <c r="EV792" s="985"/>
      <c r="EW792" s="985"/>
      <c r="EX792" s="387"/>
      <c r="EY792" s="939"/>
      <c r="EZ792" s="886"/>
    </row>
    <row r="793" spans="88:156">
      <c r="CJ793" s="197"/>
      <c r="CK793" s="197"/>
      <c r="CL793" s="197"/>
      <c r="CM793" s="213"/>
      <c r="CN793" s="213"/>
      <c r="CO793" s="197"/>
      <c r="CP793" s="197"/>
      <c r="CQ793" s="197"/>
      <c r="CR793" s="197"/>
      <c r="CS793" s="197"/>
      <c r="CT793" s="197"/>
      <c r="CU793" s="197"/>
      <c r="CV793" s="197"/>
      <c r="CW793" s="197"/>
      <c r="CX793" s="959"/>
      <c r="CY793" s="959"/>
      <c r="CZ793" s="959"/>
      <c r="DA793" s="959"/>
      <c r="DB793" s="959"/>
      <c r="DC793" s="891">
        <v>3383</v>
      </c>
      <c r="DD793" s="891" t="s">
        <v>892</v>
      </c>
      <c r="DE793" s="891" t="s">
        <v>412</v>
      </c>
      <c r="DF793" s="891">
        <v>6</v>
      </c>
      <c r="DG793" s="959"/>
      <c r="DH793" s="959"/>
      <c r="ER793" s="905">
        <v>3751</v>
      </c>
      <c r="ES793" s="906" t="s">
        <v>1118</v>
      </c>
      <c r="ET793" s="2686">
        <v>9</v>
      </c>
      <c r="EV793" s="985"/>
      <c r="EW793" s="985"/>
      <c r="EX793" s="387"/>
      <c r="EY793" s="939"/>
      <c r="EZ793" s="886"/>
    </row>
    <row r="794" spans="88:156">
      <c r="CJ794" s="197"/>
      <c r="CK794" s="197"/>
      <c r="CL794" s="197"/>
      <c r="CM794" s="213"/>
      <c r="CN794" s="213"/>
      <c r="CO794" s="197"/>
      <c r="CP794" s="197"/>
      <c r="CQ794" s="197"/>
      <c r="CR794" s="197"/>
      <c r="CS794" s="197"/>
      <c r="CT794" s="197"/>
      <c r="CU794" s="197"/>
      <c r="CV794" s="197"/>
      <c r="CW794" s="197"/>
      <c r="CX794" s="959"/>
      <c r="CY794" s="959"/>
      <c r="CZ794" s="959"/>
      <c r="DA794" s="959"/>
      <c r="DB794" s="959"/>
      <c r="DC794" s="891">
        <v>3384</v>
      </c>
      <c r="DD794" s="891" t="s">
        <v>893</v>
      </c>
      <c r="DE794" s="891" t="s">
        <v>2807</v>
      </c>
      <c r="DF794" s="891">
        <v>6</v>
      </c>
      <c r="DG794" s="959"/>
      <c r="DH794" s="959"/>
      <c r="ER794" s="905">
        <v>3752</v>
      </c>
      <c r="ES794" s="906" t="s">
        <v>961</v>
      </c>
      <c r="ET794" s="2686">
        <v>9</v>
      </c>
      <c r="EV794" s="985"/>
      <c r="EW794" s="985"/>
      <c r="EX794" s="387"/>
      <c r="EY794" s="939"/>
      <c r="EZ794" s="886"/>
    </row>
    <row r="795" spans="88:156">
      <c r="CJ795" s="197"/>
      <c r="CK795" s="197"/>
      <c r="CL795" s="197"/>
      <c r="CM795" s="213"/>
      <c r="CN795" s="213"/>
      <c r="CO795" s="197"/>
      <c r="CP795" s="197"/>
      <c r="CQ795" s="197"/>
      <c r="CR795" s="197"/>
      <c r="CS795" s="197"/>
      <c r="CT795" s="197"/>
      <c r="CU795" s="197"/>
      <c r="CV795" s="197"/>
      <c r="CW795" s="197"/>
      <c r="CX795" s="959"/>
      <c r="CY795" s="959"/>
      <c r="CZ795" s="959"/>
      <c r="DA795" s="959"/>
      <c r="DB795" s="959"/>
      <c r="DC795" s="891">
        <v>3385</v>
      </c>
      <c r="DD795" s="891" t="s">
        <v>894</v>
      </c>
      <c r="DE795" s="891" t="s">
        <v>402</v>
      </c>
      <c r="DF795" s="891">
        <v>6</v>
      </c>
      <c r="DG795" s="959"/>
      <c r="DH795" s="959"/>
      <c r="ER795" s="905">
        <v>3752</v>
      </c>
      <c r="ES795" s="906" t="s">
        <v>962</v>
      </c>
      <c r="ET795" s="2686">
        <v>9</v>
      </c>
      <c r="EV795" s="985"/>
      <c r="EW795" s="985"/>
      <c r="EX795" s="387"/>
      <c r="EY795" s="939"/>
      <c r="EZ795" s="886"/>
    </row>
    <row r="796" spans="88:156">
      <c r="CJ796" s="197"/>
      <c r="CK796" s="197"/>
      <c r="CL796" s="197"/>
      <c r="CM796" s="213"/>
      <c r="CN796" s="213"/>
      <c r="CO796" s="197"/>
      <c r="CP796" s="197"/>
      <c r="CQ796" s="197"/>
      <c r="CR796" s="197"/>
      <c r="CS796" s="197"/>
      <c r="CT796" s="197"/>
      <c r="CU796" s="197"/>
      <c r="CV796" s="197"/>
      <c r="CW796" s="197"/>
      <c r="CX796" s="959"/>
      <c r="CY796" s="959"/>
      <c r="CZ796" s="959"/>
      <c r="DA796" s="959"/>
      <c r="DB796" s="959"/>
      <c r="DC796" s="891">
        <v>3386</v>
      </c>
      <c r="DD796" s="891" t="s">
        <v>895</v>
      </c>
      <c r="DE796" s="891" t="s">
        <v>423</v>
      </c>
      <c r="DF796" s="891">
        <v>6</v>
      </c>
      <c r="DG796" s="959"/>
      <c r="DH796" s="959"/>
      <c r="ER796" s="905">
        <v>3753</v>
      </c>
      <c r="ES796" s="906" t="s">
        <v>963</v>
      </c>
      <c r="ET796" s="2686">
        <v>9</v>
      </c>
      <c r="EV796" s="985"/>
      <c r="EW796" s="985"/>
      <c r="EX796" s="387"/>
      <c r="EY796" s="939"/>
      <c r="EZ796" s="886"/>
    </row>
    <row r="797" spans="88:156">
      <c r="CJ797" s="197"/>
      <c r="CK797" s="197"/>
      <c r="CL797" s="197"/>
      <c r="CM797" s="213"/>
      <c r="CN797" s="213"/>
      <c r="CO797" s="197"/>
      <c r="CP797" s="197"/>
      <c r="CQ797" s="197"/>
      <c r="CR797" s="197"/>
      <c r="CS797" s="197"/>
      <c r="CT797" s="197"/>
      <c r="CU797" s="197"/>
      <c r="CV797" s="197"/>
      <c r="CW797" s="197"/>
      <c r="CX797" s="959"/>
      <c r="CY797" s="959"/>
      <c r="CZ797" s="959"/>
      <c r="DA797" s="959"/>
      <c r="DB797" s="959"/>
      <c r="DC797" s="891">
        <v>3387</v>
      </c>
      <c r="DD797" s="891" t="s">
        <v>896</v>
      </c>
      <c r="DE797" s="891" t="s">
        <v>412</v>
      </c>
      <c r="DF797" s="891">
        <v>6</v>
      </c>
      <c r="DG797" s="959"/>
      <c r="DH797" s="959"/>
      <c r="ER797" s="905">
        <v>3754</v>
      </c>
      <c r="ES797" s="906" t="s">
        <v>964</v>
      </c>
      <c r="ET797" s="2686">
        <v>9</v>
      </c>
      <c r="EV797" s="985"/>
      <c r="EW797" s="985"/>
      <c r="EX797" s="387"/>
      <c r="EY797" s="939"/>
      <c r="EZ797" s="886"/>
    </row>
    <row r="798" spans="88:156">
      <c r="CJ798" s="197"/>
      <c r="CK798" s="197"/>
      <c r="CL798" s="197"/>
      <c r="CM798" s="213"/>
      <c r="CN798" s="213"/>
      <c r="CO798" s="197"/>
      <c r="CP798" s="197"/>
      <c r="CQ798" s="197"/>
      <c r="CR798" s="197"/>
      <c r="CS798" s="197"/>
      <c r="CT798" s="197"/>
      <c r="CU798" s="197"/>
      <c r="CV798" s="197"/>
      <c r="CW798" s="197"/>
      <c r="CX798" s="959"/>
      <c r="CY798" s="959"/>
      <c r="CZ798" s="959"/>
      <c r="DA798" s="959"/>
      <c r="DB798" s="959"/>
      <c r="DC798" s="891">
        <v>3388</v>
      </c>
      <c r="DD798" s="891" t="s">
        <v>897</v>
      </c>
      <c r="DE798" s="891" t="s">
        <v>420</v>
      </c>
      <c r="DF798" s="891">
        <v>5</v>
      </c>
      <c r="DG798" s="959"/>
      <c r="DH798" s="959"/>
      <c r="ER798" s="905">
        <v>3754</v>
      </c>
      <c r="ES798" s="906" t="s">
        <v>965</v>
      </c>
      <c r="ET798" s="2686">
        <v>9</v>
      </c>
      <c r="EV798" s="985"/>
      <c r="EW798" s="985"/>
      <c r="EX798" s="387"/>
      <c r="EY798" s="939"/>
      <c r="EZ798" s="886"/>
    </row>
    <row r="799" spans="88:156">
      <c r="CJ799" s="197"/>
      <c r="CK799" s="197"/>
      <c r="CL799" s="197"/>
      <c r="CM799" s="213"/>
      <c r="CN799" s="213"/>
      <c r="CO799" s="197"/>
      <c r="CP799" s="197"/>
      <c r="CQ799" s="197"/>
      <c r="CR799" s="197"/>
      <c r="CS799" s="197"/>
      <c r="CT799" s="197"/>
      <c r="CU799" s="197"/>
      <c r="CV799" s="197"/>
      <c r="CW799" s="197"/>
      <c r="CX799" s="959"/>
      <c r="CY799" s="959"/>
      <c r="CZ799" s="959"/>
      <c r="DA799" s="959"/>
      <c r="DB799" s="959"/>
      <c r="DC799" s="891">
        <v>3390</v>
      </c>
      <c r="DD799" s="891" t="s">
        <v>898</v>
      </c>
      <c r="DE799" s="891" t="s">
        <v>427</v>
      </c>
      <c r="DF799" s="891">
        <v>6</v>
      </c>
      <c r="DG799" s="959"/>
      <c r="DH799" s="959"/>
      <c r="ER799" s="905">
        <v>3755</v>
      </c>
      <c r="ES799" s="906" t="s">
        <v>1122</v>
      </c>
      <c r="ET799" s="2686">
        <v>9</v>
      </c>
      <c r="EV799" s="985"/>
      <c r="EW799" s="985"/>
      <c r="EX799" s="387"/>
      <c r="EY799" s="939"/>
      <c r="EZ799" s="886"/>
    </row>
    <row r="800" spans="88:156">
      <c r="CJ800" s="197"/>
      <c r="CK800" s="197"/>
      <c r="CL800" s="197"/>
      <c r="CM800" s="213"/>
      <c r="CN800" s="213"/>
      <c r="CO800" s="197"/>
      <c r="CP800" s="197"/>
      <c r="CQ800" s="197"/>
      <c r="CR800" s="197"/>
      <c r="CS800" s="197"/>
      <c r="CT800" s="197"/>
      <c r="CU800" s="197"/>
      <c r="CV800" s="197"/>
      <c r="CW800" s="197"/>
      <c r="CX800" s="959"/>
      <c r="CY800" s="959"/>
      <c r="CZ800" s="959"/>
      <c r="DA800" s="959"/>
      <c r="DB800" s="959"/>
      <c r="DC800" s="891">
        <v>3394</v>
      </c>
      <c r="DD800" s="891" t="s">
        <v>899</v>
      </c>
      <c r="DE800" s="891" t="s">
        <v>423</v>
      </c>
      <c r="DF800" s="891">
        <v>5</v>
      </c>
      <c r="DG800" s="959"/>
      <c r="DH800" s="959"/>
      <c r="ER800" s="905">
        <v>3756</v>
      </c>
      <c r="ES800" s="906" t="s">
        <v>966</v>
      </c>
      <c r="ET800" s="2686">
        <v>9</v>
      </c>
      <c r="EV800" s="985"/>
      <c r="EW800" s="985"/>
      <c r="EX800" s="387"/>
      <c r="EY800" s="939"/>
      <c r="EZ800" s="886"/>
    </row>
    <row r="801" spans="88:156">
      <c r="CJ801" s="197"/>
      <c r="CK801" s="197"/>
      <c r="CL801" s="197"/>
      <c r="CM801" s="213"/>
      <c r="CN801" s="213"/>
      <c r="CO801" s="197"/>
      <c r="CP801" s="197"/>
      <c r="CQ801" s="197"/>
      <c r="CR801" s="197"/>
      <c r="CS801" s="197"/>
      <c r="CT801" s="197"/>
      <c r="CU801" s="197"/>
      <c r="CV801" s="197"/>
      <c r="CW801" s="197"/>
      <c r="CX801" s="959"/>
      <c r="CY801" s="959"/>
      <c r="CZ801" s="959"/>
      <c r="DA801" s="959"/>
      <c r="DB801" s="959"/>
      <c r="DC801" s="891">
        <v>3395</v>
      </c>
      <c r="DD801" s="891" t="s">
        <v>900</v>
      </c>
      <c r="DE801" s="891" t="s">
        <v>2807</v>
      </c>
      <c r="DF801" s="891">
        <v>6</v>
      </c>
      <c r="DG801" s="959"/>
      <c r="DH801" s="959"/>
      <c r="ER801" s="905">
        <v>3756</v>
      </c>
      <c r="ES801" s="906" t="s">
        <v>967</v>
      </c>
      <c r="ET801" s="2686">
        <v>9</v>
      </c>
      <c r="EV801" s="985"/>
      <c r="EW801" s="985"/>
      <c r="EX801" s="387"/>
      <c r="EY801" s="939"/>
      <c r="EZ801" s="886"/>
    </row>
    <row r="802" spans="88:156">
      <c r="CJ802" s="197"/>
      <c r="CK802" s="197"/>
      <c r="CL802" s="197"/>
      <c r="CM802" s="213"/>
      <c r="CN802" s="213"/>
      <c r="CO802" s="197"/>
      <c r="CP802" s="197"/>
      <c r="CQ802" s="197"/>
      <c r="CR802" s="197"/>
      <c r="CS802" s="197"/>
      <c r="CT802" s="197"/>
      <c r="CU802" s="197"/>
      <c r="CV802" s="197"/>
      <c r="CW802" s="197"/>
      <c r="CX802" s="959"/>
      <c r="CY802" s="959"/>
      <c r="CZ802" s="959"/>
      <c r="DA802" s="959"/>
      <c r="DB802" s="959"/>
      <c r="DC802" s="891">
        <v>3396</v>
      </c>
      <c r="DD802" s="891" t="s">
        <v>901</v>
      </c>
      <c r="DE802" s="891" t="s">
        <v>423</v>
      </c>
      <c r="DF802" s="891">
        <v>6</v>
      </c>
      <c r="DG802" s="959"/>
      <c r="DH802" s="959"/>
      <c r="ER802" s="905">
        <v>3757</v>
      </c>
      <c r="ES802" s="906" t="s">
        <v>968</v>
      </c>
      <c r="ET802" s="2686">
        <v>9</v>
      </c>
      <c r="EV802" s="985"/>
      <c r="EW802" s="985"/>
      <c r="EX802" s="387"/>
      <c r="EY802" s="939"/>
      <c r="EZ802" s="886"/>
    </row>
    <row r="803" spans="88:156">
      <c r="CJ803" s="197"/>
      <c r="CK803" s="197"/>
      <c r="CL803" s="197"/>
      <c r="CM803" s="213"/>
      <c r="CN803" s="213"/>
      <c r="CO803" s="197"/>
      <c r="CP803" s="197"/>
      <c r="CQ803" s="197"/>
      <c r="CR803" s="197"/>
      <c r="CS803" s="197"/>
      <c r="CT803" s="197"/>
      <c r="CU803" s="197"/>
      <c r="CV803" s="197"/>
      <c r="CW803" s="197"/>
      <c r="CX803" s="959"/>
      <c r="CY803" s="959"/>
      <c r="CZ803" s="959"/>
      <c r="DA803" s="959"/>
      <c r="DB803" s="959"/>
      <c r="DC803" s="891">
        <v>3397</v>
      </c>
      <c r="DD803" s="891" t="s">
        <v>902</v>
      </c>
      <c r="DE803" s="891" t="s">
        <v>431</v>
      </c>
      <c r="DF803" s="891">
        <v>6</v>
      </c>
      <c r="DG803" s="959"/>
      <c r="DH803" s="959"/>
      <c r="ER803" s="905">
        <v>3757</v>
      </c>
      <c r="ES803" s="906" t="s">
        <v>969</v>
      </c>
      <c r="ET803" s="2686">
        <v>9</v>
      </c>
      <c r="EV803" s="985"/>
      <c r="EW803" s="985"/>
      <c r="EX803" s="387"/>
      <c r="EY803" s="939"/>
      <c r="EZ803" s="886"/>
    </row>
    <row r="804" spans="88:156">
      <c r="CJ804" s="197"/>
      <c r="CK804" s="197"/>
      <c r="CL804" s="197"/>
      <c r="CM804" s="213"/>
      <c r="CN804" s="213"/>
      <c r="CO804" s="197"/>
      <c r="CP804" s="197"/>
      <c r="CQ804" s="197"/>
      <c r="CR804" s="197"/>
      <c r="CS804" s="197"/>
      <c r="CT804" s="197"/>
      <c r="CU804" s="197"/>
      <c r="CV804" s="197"/>
      <c r="CW804" s="197"/>
      <c r="CX804" s="959"/>
      <c r="CY804" s="959"/>
      <c r="CZ804" s="959"/>
      <c r="DA804" s="959"/>
      <c r="DB804" s="959"/>
      <c r="DC804" s="891">
        <v>3398</v>
      </c>
      <c r="DD804" s="891" t="s">
        <v>903</v>
      </c>
      <c r="DE804" s="891" t="s">
        <v>431</v>
      </c>
      <c r="DF804" s="891">
        <v>6</v>
      </c>
      <c r="DG804" s="959"/>
      <c r="DH804" s="959"/>
      <c r="ER804" s="905">
        <v>3757</v>
      </c>
      <c r="ES804" s="906" t="s">
        <v>175</v>
      </c>
      <c r="ET804" s="2686">
        <v>9</v>
      </c>
      <c r="EV804" s="985"/>
      <c r="EW804" s="985"/>
      <c r="EX804" s="387"/>
      <c r="EY804" s="939"/>
      <c r="EZ804" s="886"/>
    </row>
    <row r="805" spans="88:156">
      <c r="CJ805" s="197"/>
      <c r="CK805" s="197"/>
      <c r="CL805" s="197"/>
      <c r="CM805" s="213"/>
      <c r="CN805" s="213"/>
      <c r="CO805" s="197"/>
      <c r="CP805" s="197"/>
      <c r="CQ805" s="197"/>
      <c r="CR805" s="197"/>
      <c r="CS805" s="197"/>
      <c r="CT805" s="197"/>
      <c r="CU805" s="197"/>
      <c r="CV805" s="197"/>
      <c r="CW805" s="197"/>
      <c r="CX805" s="959"/>
      <c r="CY805" s="959"/>
      <c r="CZ805" s="959"/>
      <c r="DA805" s="959"/>
      <c r="DB805" s="959"/>
      <c r="DC805" s="891">
        <v>3399</v>
      </c>
      <c r="DD805" s="891" t="s">
        <v>904</v>
      </c>
      <c r="DE805" s="891" t="s">
        <v>431</v>
      </c>
      <c r="DF805" s="891">
        <v>5</v>
      </c>
      <c r="DG805" s="959"/>
      <c r="DH805" s="959"/>
      <c r="ER805" s="905">
        <v>3758</v>
      </c>
      <c r="ES805" s="906" t="s">
        <v>1125</v>
      </c>
      <c r="ET805" s="2686">
        <v>9</v>
      </c>
      <c r="EV805" s="985"/>
      <c r="EW805" s="985"/>
      <c r="EX805" s="387"/>
      <c r="EY805" s="939"/>
      <c r="EZ805" s="886"/>
    </row>
    <row r="806" spans="88:156">
      <c r="CJ806" s="197"/>
      <c r="CK806" s="197"/>
      <c r="CL806" s="197"/>
      <c r="CM806" s="213"/>
      <c r="CN806" s="213"/>
      <c r="CO806" s="197"/>
      <c r="CP806" s="197"/>
      <c r="CQ806" s="197"/>
      <c r="CR806" s="197"/>
      <c r="CS806" s="197"/>
      <c r="CT806" s="197"/>
      <c r="CU806" s="197"/>
      <c r="CV806" s="197"/>
      <c r="CW806" s="197"/>
      <c r="CX806" s="959"/>
      <c r="CY806" s="959"/>
      <c r="CZ806" s="959"/>
      <c r="DA806" s="959"/>
      <c r="DB806" s="959"/>
      <c r="DC806" s="891">
        <v>3400</v>
      </c>
      <c r="DD806" s="891" t="s">
        <v>905</v>
      </c>
      <c r="DE806" s="891" t="s">
        <v>431</v>
      </c>
      <c r="DF806" s="891">
        <v>5</v>
      </c>
      <c r="DG806" s="959"/>
      <c r="DH806" s="959"/>
      <c r="ER806" s="905">
        <v>3759</v>
      </c>
      <c r="ES806" s="906" t="s">
        <v>1126</v>
      </c>
      <c r="ET806" s="2686">
        <v>9</v>
      </c>
      <c r="EV806" s="985"/>
      <c r="EW806" s="985"/>
      <c r="EX806" s="387"/>
      <c r="EY806" s="939"/>
      <c r="EZ806" s="886"/>
    </row>
    <row r="807" spans="88:156">
      <c r="CJ807" s="197"/>
      <c r="CK807" s="197"/>
      <c r="CL807" s="197"/>
      <c r="CM807" s="213"/>
      <c r="CN807" s="213"/>
      <c r="CO807" s="197"/>
      <c r="CP807" s="197"/>
      <c r="CQ807" s="197"/>
      <c r="CR807" s="197"/>
      <c r="CS807" s="197"/>
      <c r="CT807" s="197"/>
      <c r="CU807" s="197"/>
      <c r="CV807" s="197"/>
      <c r="CW807" s="197"/>
      <c r="CX807" s="959"/>
      <c r="CY807" s="959"/>
      <c r="CZ807" s="959"/>
      <c r="DA807" s="959"/>
      <c r="DB807" s="959"/>
      <c r="DC807" s="891">
        <v>3411</v>
      </c>
      <c r="DD807" s="891" t="s">
        <v>906</v>
      </c>
      <c r="DE807" s="891" t="s">
        <v>432</v>
      </c>
      <c r="DF807" s="891">
        <v>5</v>
      </c>
      <c r="DG807" s="959"/>
      <c r="DH807" s="959"/>
      <c r="ER807" s="905">
        <v>3761</v>
      </c>
      <c r="ES807" s="906" t="s">
        <v>176</v>
      </c>
      <c r="ET807" s="2686">
        <v>9</v>
      </c>
      <c r="EV807" s="985"/>
      <c r="EW807" s="985"/>
      <c r="EX807" s="387"/>
      <c r="EY807" s="939"/>
      <c r="EZ807" s="886"/>
    </row>
    <row r="808" spans="88:156">
      <c r="CJ808" s="197"/>
      <c r="CK808" s="197"/>
      <c r="CL808" s="197"/>
      <c r="CM808" s="213"/>
      <c r="CN808" s="213"/>
      <c r="CO808" s="197"/>
      <c r="CP808" s="197"/>
      <c r="CQ808" s="197"/>
      <c r="CR808" s="197"/>
      <c r="CS808" s="197"/>
      <c r="CT808" s="197"/>
      <c r="CU808" s="197"/>
      <c r="CV808" s="197"/>
      <c r="CW808" s="197"/>
      <c r="CX808" s="959"/>
      <c r="CY808" s="959"/>
      <c r="CZ808" s="959"/>
      <c r="DA808" s="959"/>
      <c r="DB808" s="959"/>
      <c r="DC808" s="891">
        <v>3412</v>
      </c>
      <c r="DD808" s="891" t="s">
        <v>907</v>
      </c>
      <c r="DE808" s="891" t="s">
        <v>406</v>
      </c>
      <c r="DF808" s="891">
        <v>6</v>
      </c>
      <c r="DG808" s="959"/>
      <c r="DH808" s="959"/>
      <c r="ER808" s="905">
        <v>3761</v>
      </c>
      <c r="ES808" s="906" t="s">
        <v>177</v>
      </c>
      <c r="ET808" s="2686">
        <v>9</v>
      </c>
      <c r="EV808" s="985"/>
      <c r="EW808" s="985"/>
      <c r="EX808" s="387"/>
      <c r="EY808" s="939"/>
      <c r="EZ808" s="886"/>
    </row>
    <row r="809" spans="88:156">
      <c r="CJ809" s="197"/>
      <c r="CK809" s="197"/>
      <c r="CL809" s="197"/>
      <c r="CM809" s="213"/>
      <c r="CN809" s="213"/>
      <c r="CO809" s="197"/>
      <c r="CP809" s="197"/>
      <c r="CQ809" s="197"/>
      <c r="CR809" s="197"/>
      <c r="CS809" s="197"/>
      <c r="CT809" s="197"/>
      <c r="CU809" s="197"/>
      <c r="CV809" s="197"/>
      <c r="CW809" s="197"/>
      <c r="CX809" s="959"/>
      <c r="CY809" s="959"/>
      <c r="CZ809" s="959"/>
      <c r="DA809" s="959"/>
      <c r="DB809" s="959"/>
      <c r="DC809" s="891">
        <v>3413</v>
      </c>
      <c r="DD809" s="891" t="s">
        <v>908</v>
      </c>
      <c r="DE809" s="891" t="s">
        <v>419</v>
      </c>
      <c r="DF809" s="891">
        <v>5</v>
      </c>
      <c r="DG809" s="959"/>
      <c r="DH809" s="959"/>
      <c r="ER809" s="905">
        <v>3761</v>
      </c>
      <c r="ES809" s="906" t="s">
        <v>178</v>
      </c>
      <c r="ET809" s="2686">
        <v>9</v>
      </c>
      <c r="EV809" s="985"/>
      <c r="EW809" s="985"/>
      <c r="EX809" s="387"/>
      <c r="EY809" s="939"/>
      <c r="EZ809" s="886"/>
    </row>
    <row r="810" spans="88:156">
      <c r="CJ810" s="197"/>
      <c r="CK810" s="197"/>
      <c r="CL810" s="197"/>
      <c r="CM810" s="213"/>
      <c r="CN810" s="213"/>
      <c r="CO810" s="197"/>
      <c r="CP810" s="197"/>
      <c r="CQ810" s="197"/>
      <c r="CR810" s="197"/>
      <c r="CS810" s="197"/>
      <c r="CT810" s="197"/>
      <c r="CU810" s="197"/>
      <c r="CV810" s="197"/>
      <c r="CW810" s="197"/>
      <c r="CX810" s="959"/>
      <c r="CY810" s="959"/>
      <c r="CZ810" s="959"/>
      <c r="DA810" s="959"/>
      <c r="DB810" s="959"/>
      <c r="DC810" s="891">
        <v>3414</v>
      </c>
      <c r="DD810" s="891" t="s">
        <v>637</v>
      </c>
      <c r="DE810" s="891" t="s">
        <v>402</v>
      </c>
      <c r="DF810" s="891">
        <v>5</v>
      </c>
      <c r="DG810" s="959"/>
      <c r="DH810" s="959"/>
      <c r="ER810" s="905">
        <v>3762</v>
      </c>
      <c r="ES810" s="906" t="s">
        <v>1128</v>
      </c>
      <c r="ET810" s="2686">
        <v>9</v>
      </c>
      <c r="EV810" s="985"/>
      <c r="EW810" s="985"/>
      <c r="EX810" s="387"/>
      <c r="EY810" s="939"/>
      <c r="EZ810" s="886"/>
    </row>
    <row r="811" spans="88:156">
      <c r="CJ811" s="197"/>
      <c r="CK811" s="197"/>
      <c r="CL811" s="197"/>
      <c r="CM811" s="213"/>
      <c r="CN811" s="213"/>
      <c r="CO811" s="197"/>
      <c r="CP811" s="197"/>
      <c r="CQ811" s="197"/>
      <c r="CR811" s="197"/>
      <c r="CS811" s="197"/>
      <c r="CT811" s="197"/>
      <c r="CU811" s="197"/>
      <c r="CV811" s="197"/>
      <c r="CW811" s="197"/>
      <c r="CX811" s="959"/>
      <c r="CY811" s="959"/>
      <c r="CZ811" s="959"/>
      <c r="DA811" s="959"/>
      <c r="DB811" s="959"/>
      <c r="DC811" s="891">
        <v>3416</v>
      </c>
      <c r="DD811" s="891" t="s">
        <v>638</v>
      </c>
      <c r="DE811" s="891" t="s">
        <v>417</v>
      </c>
      <c r="DF811" s="891">
        <v>5</v>
      </c>
      <c r="DG811" s="959"/>
      <c r="DH811" s="959"/>
      <c r="ER811" s="905">
        <v>3763</v>
      </c>
      <c r="ES811" s="906" t="s">
        <v>1129</v>
      </c>
      <c r="ET811" s="2686">
        <v>9</v>
      </c>
      <c r="EV811" s="985"/>
      <c r="EW811" s="985"/>
      <c r="EX811" s="387"/>
      <c r="EY811" s="939"/>
      <c r="EZ811" s="886"/>
    </row>
    <row r="812" spans="88:156">
      <c r="CJ812" s="197"/>
      <c r="CK812" s="197"/>
      <c r="CL812" s="197"/>
      <c r="CM812" s="213"/>
      <c r="CN812" s="213"/>
      <c r="CO812" s="197"/>
      <c r="CP812" s="197"/>
      <c r="CQ812" s="197"/>
      <c r="CR812" s="197"/>
      <c r="CS812" s="197"/>
      <c r="CT812" s="197"/>
      <c r="CU812" s="197"/>
      <c r="CV812" s="197"/>
      <c r="CW812" s="197"/>
      <c r="CX812" s="959"/>
      <c r="CY812" s="959"/>
      <c r="CZ812" s="959"/>
      <c r="DA812" s="959"/>
      <c r="DB812" s="959"/>
      <c r="DC812" s="891">
        <v>3417</v>
      </c>
      <c r="DD812" s="891" t="s">
        <v>639</v>
      </c>
      <c r="DE812" s="891" t="s">
        <v>417</v>
      </c>
      <c r="DF812" s="891">
        <v>5</v>
      </c>
      <c r="DG812" s="959"/>
      <c r="DH812" s="959"/>
      <c r="ER812" s="905">
        <v>3764</v>
      </c>
      <c r="ES812" s="906" t="s">
        <v>1130</v>
      </c>
      <c r="ET812" s="2686">
        <v>9</v>
      </c>
      <c r="EV812" s="985"/>
      <c r="EW812" s="985"/>
      <c r="EX812" s="387"/>
      <c r="EY812" s="939"/>
      <c r="EZ812" s="886"/>
    </row>
    <row r="813" spans="88:156">
      <c r="CJ813" s="197"/>
      <c r="CK813" s="197"/>
      <c r="CL813" s="197"/>
      <c r="CM813" s="213"/>
      <c r="CN813" s="213"/>
      <c r="CO813" s="197"/>
      <c r="CP813" s="197"/>
      <c r="CQ813" s="197"/>
      <c r="CR813" s="197"/>
      <c r="CS813" s="197"/>
      <c r="CT813" s="197"/>
      <c r="CU813" s="197"/>
      <c r="CV813" s="197"/>
      <c r="CW813" s="197"/>
      <c r="CX813" s="959"/>
      <c r="CY813" s="959"/>
      <c r="CZ813" s="959"/>
      <c r="DA813" s="959"/>
      <c r="DB813" s="959"/>
      <c r="DC813" s="891">
        <v>3418</v>
      </c>
      <c r="DD813" s="891" t="s">
        <v>640</v>
      </c>
      <c r="DE813" s="891" t="s">
        <v>433</v>
      </c>
      <c r="DF813" s="891">
        <v>5</v>
      </c>
      <c r="DG813" s="959"/>
      <c r="DH813" s="959"/>
      <c r="ER813" s="905">
        <v>3765</v>
      </c>
      <c r="ES813" s="906" t="s">
        <v>179</v>
      </c>
      <c r="ET813" s="2686">
        <v>9</v>
      </c>
      <c r="EV813" s="985"/>
      <c r="EW813" s="985"/>
      <c r="EX813" s="387"/>
      <c r="EY813" s="939"/>
      <c r="EZ813" s="886"/>
    </row>
    <row r="814" spans="88:156">
      <c r="CJ814" s="197"/>
      <c r="CK814" s="197"/>
      <c r="CL814" s="197"/>
      <c r="CM814" s="213"/>
      <c r="CN814" s="213"/>
      <c r="CO814" s="197"/>
      <c r="CP814" s="197"/>
      <c r="CQ814" s="197"/>
      <c r="CR814" s="197"/>
      <c r="CS814" s="197"/>
      <c r="CT814" s="197"/>
      <c r="CU814" s="197"/>
      <c r="CV814" s="197"/>
      <c r="CW814" s="197"/>
      <c r="CX814" s="959"/>
      <c r="CY814" s="959"/>
      <c r="CZ814" s="959"/>
      <c r="DA814" s="959"/>
      <c r="DB814" s="959"/>
      <c r="DC814" s="891">
        <v>3421</v>
      </c>
      <c r="DD814" s="891" t="s">
        <v>641</v>
      </c>
      <c r="DE814" s="891" t="s">
        <v>419</v>
      </c>
      <c r="DF814" s="891">
        <v>6</v>
      </c>
      <c r="DG814" s="959"/>
      <c r="DH814" s="959"/>
      <c r="ER814" s="905">
        <v>3765</v>
      </c>
      <c r="ES814" s="906" t="s">
        <v>180</v>
      </c>
      <c r="ET814" s="2686">
        <v>9</v>
      </c>
      <c r="EV814" s="985"/>
      <c r="EW814" s="985"/>
      <c r="EX814" s="387"/>
      <c r="EY814" s="939"/>
      <c r="EZ814" s="886"/>
    </row>
    <row r="815" spans="88:156">
      <c r="CJ815" s="197"/>
      <c r="CK815" s="197"/>
      <c r="CL815" s="197"/>
      <c r="CM815" s="213"/>
      <c r="CN815" s="213"/>
      <c r="CO815" s="197"/>
      <c r="CP815" s="197"/>
      <c r="CQ815" s="197"/>
      <c r="CR815" s="197"/>
      <c r="CS815" s="197"/>
      <c r="CT815" s="197"/>
      <c r="CU815" s="197"/>
      <c r="CV815" s="197"/>
      <c r="CW815" s="197"/>
      <c r="CX815" s="959"/>
      <c r="CY815" s="959"/>
      <c r="CZ815" s="959"/>
      <c r="DA815" s="959"/>
      <c r="DB815" s="959"/>
      <c r="DC815" s="891">
        <v>3422</v>
      </c>
      <c r="DD815" s="891" t="s">
        <v>642</v>
      </c>
      <c r="DE815" s="891" t="s">
        <v>432</v>
      </c>
      <c r="DF815" s="891">
        <v>5</v>
      </c>
      <c r="DG815" s="959"/>
      <c r="DH815" s="959"/>
      <c r="ER815" s="905">
        <v>3765</v>
      </c>
      <c r="ES815" s="906" t="s">
        <v>181</v>
      </c>
      <c r="ET815" s="2686">
        <v>9</v>
      </c>
      <c r="EV815" s="985"/>
      <c r="EW815" s="985"/>
      <c r="EX815" s="387"/>
      <c r="EY815" s="939"/>
      <c r="EZ815" s="886"/>
    </row>
    <row r="816" spans="88:156">
      <c r="CJ816" s="197"/>
      <c r="CK816" s="197"/>
      <c r="CL816" s="197"/>
      <c r="CM816" s="213"/>
      <c r="CN816" s="213"/>
      <c r="CO816" s="197"/>
      <c r="CP816" s="197"/>
      <c r="CQ816" s="197"/>
      <c r="CR816" s="197"/>
      <c r="CS816" s="197"/>
      <c r="CT816" s="197"/>
      <c r="CU816" s="197"/>
      <c r="CV816" s="197"/>
      <c r="CW816" s="197"/>
      <c r="CX816" s="959"/>
      <c r="CY816" s="959"/>
      <c r="CZ816" s="959"/>
      <c r="DA816" s="959"/>
      <c r="DB816" s="959"/>
      <c r="DC816" s="891">
        <v>3423</v>
      </c>
      <c r="DD816" s="891" t="s">
        <v>3205</v>
      </c>
      <c r="DE816" s="891" t="s">
        <v>419</v>
      </c>
      <c r="DF816" s="891">
        <v>5</v>
      </c>
      <c r="DG816" s="959"/>
      <c r="DH816" s="959"/>
      <c r="ER816" s="905">
        <v>3767</v>
      </c>
      <c r="ES816" s="906" t="s">
        <v>1516</v>
      </c>
      <c r="ET816" s="2686">
        <v>9</v>
      </c>
      <c r="EV816" s="985"/>
      <c r="EW816" s="985"/>
      <c r="EX816" s="387"/>
      <c r="EY816" s="939"/>
      <c r="EZ816" s="886"/>
    </row>
    <row r="817" spans="88:156">
      <c r="CJ817" s="197"/>
      <c r="CK817" s="197"/>
      <c r="CL817" s="197"/>
      <c r="CM817" s="213"/>
      <c r="CN817" s="213"/>
      <c r="CO817" s="197"/>
      <c r="CP817" s="197"/>
      <c r="CQ817" s="197"/>
      <c r="CR817" s="197"/>
      <c r="CS817" s="197"/>
      <c r="CT817" s="197"/>
      <c r="CU817" s="197"/>
      <c r="CV817" s="197"/>
      <c r="CW817" s="197"/>
      <c r="CX817" s="959"/>
      <c r="CY817" s="959"/>
      <c r="CZ817" s="959"/>
      <c r="DA817" s="959"/>
      <c r="DB817" s="959"/>
      <c r="DC817" s="891">
        <v>3424</v>
      </c>
      <c r="DD817" s="891" t="s">
        <v>3206</v>
      </c>
      <c r="DE817" s="891" t="s">
        <v>434</v>
      </c>
      <c r="DF817" s="891">
        <v>5</v>
      </c>
      <c r="DG817" s="959"/>
      <c r="DH817" s="959"/>
      <c r="ER817" s="905">
        <v>3768</v>
      </c>
      <c r="ES817" s="906" t="s">
        <v>182</v>
      </c>
      <c r="ET817" s="2686">
        <v>9</v>
      </c>
      <c r="EV817" s="985"/>
      <c r="EW817" s="985"/>
      <c r="EX817" s="387"/>
      <c r="EY817" s="939"/>
      <c r="EZ817" s="886"/>
    </row>
    <row r="818" spans="88:156">
      <c r="CJ818" s="197"/>
      <c r="CK818" s="197"/>
      <c r="CL818" s="197"/>
      <c r="CM818" s="213"/>
      <c r="CN818" s="213"/>
      <c r="CO818" s="197"/>
      <c r="CP818" s="197"/>
      <c r="CQ818" s="197"/>
      <c r="CR818" s="197"/>
      <c r="CS818" s="197"/>
      <c r="CT818" s="197"/>
      <c r="CU818" s="197"/>
      <c r="CV818" s="197"/>
      <c r="CW818" s="197"/>
      <c r="CX818" s="959"/>
      <c r="CY818" s="959"/>
      <c r="CZ818" s="959"/>
      <c r="DA818" s="959"/>
      <c r="DB818" s="959"/>
      <c r="DC818" s="891">
        <v>3425</v>
      </c>
      <c r="DD818" s="891" t="s">
        <v>3207</v>
      </c>
      <c r="DE818" s="891" t="s">
        <v>423</v>
      </c>
      <c r="DF818" s="891">
        <v>5</v>
      </c>
      <c r="DG818" s="959"/>
      <c r="DH818" s="959"/>
      <c r="ER818" s="905">
        <v>3768</v>
      </c>
      <c r="ES818" s="906" t="s">
        <v>183</v>
      </c>
      <c r="ET818" s="2686">
        <v>9</v>
      </c>
      <c r="EV818" s="985"/>
      <c r="EW818" s="985"/>
      <c r="EX818" s="387"/>
      <c r="EY818" s="939"/>
      <c r="EZ818" s="886"/>
    </row>
    <row r="819" spans="88:156">
      <c r="CJ819" s="197"/>
      <c r="CK819" s="197"/>
      <c r="CL819" s="197"/>
      <c r="CM819" s="213"/>
      <c r="CN819" s="213"/>
      <c r="CO819" s="197"/>
      <c r="CP819" s="197"/>
      <c r="CQ819" s="197"/>
      <c r="CR819" s="197"/>
      <c r="CS819" s="197"/>
      <c r="CT819" s="197"/>
      <c r="CU819" s="197"/>
      <c r="CV819" s="197"/>
      <c r="CW819" s="197"/>
      <c r="CX819" s="959"/>
      <c r="CY819" s="959"/>
      <c r="CZ819" s="959"/>
      <c r="DA819" s="959"/>
      <c r="DB819" s="959"/>
      <c r="DC819" s="891">
        <v>3426</v>
      </c>
      <c r="DD819" s="891" t="s">
        <v>3208</v>
      </c>
      <c r="DE819" s="891" t="s">
        <v>423</v>
      </c>
      <c r="DF819" s="891">
        <v>5</v>
      </c>
      <c r="DG819" s="959"/>
      <c r="DH819" s="959"/>
      <c r="ER819" s="905">
        <v>3768</v>
      </c>
      <c r="ES819" s="906" t="s">
        <v>184</v>
      </c>
      <c r="ET819" s="2686">
        <v>9</v>
      </c>
      <c r="EV819" s="985"/>
      <c r="EW819" s="985"/>
      <c r="EX819" s="387"/>
      <c r="EY819" s="939"/>
      <c r="EZ819" s="886"/>
    </row>
    <row r="820" spans="88:156">
      <c r="CJ820" s="197"/>
      <c r="CK820" s="197"/>
      <c r="CL820" s="197"/>
      <c r="CM820" s="213"/>
      <c r="CN820" s="213"/>
      <c r="CO820" s="197"/>
      <c r="CP820" s="197"/>
      <c r="CQ820" s="197"/>
      <c r="CR820" s="197"/>
      <c r="CS820" s="197"/>
      <c r="CT820" s="197"/>
      <c r="CU820" s="197"/>
      <c r="CV820" s="197"/>
      <c r="CW820" s="197"/>
      <c r="CX820" s="959"/>
      <c r="CY820" s="959"/>
      <c r="CZ820" s="959"/>
      <c r="DA820" s="959"/>
      <c r="DB820" s="959"/>
      <c r="DC820" s="891">
        <v>3431</v>
      </c>
      <c r="DD820" s="891" t="s">
        <v>3209</v>
      </c>
      <c r="DE820" s="891" t="s">
        <v>432</v>
      </c>
      <c r="DF820" s="891">
        <v>5</v>
      </c>
      <c r="DG820" s="959"/>
      <c r="DH820" s="959"/>
      <c r="ER820" s="905">
        <v>3769</v>
      </c>
      <c r="ES820" s="906" t="s">
        <v>1518</v>
      </c>
      <c r="ET820" s="2686">
        <v>9</v>
      </c>
      <c r="EV820" s="985"/>
      <c r="EW820" s="985"/>
      <c r="EX820" s="387"/>
      <c r="EY820" s="939"/>
      <c r="EZ820" s="886"/>
    </row>
    <row r="821" spans="88:156">
      <c r="CJ821" s="197"/>
      <c r="CK821" s="197"/>
      <c r="CL821" s="197"/>
      <c r="CM821" s="213"/>
      <c r="CN821" s="213"/>
      <c r="CO821" s="197"/>
      <c r="CP821" s="197"/>
      <c r="CQ821" s="197"/>
      <c r="CR821" s="197"/>
      <c r="CS821" s="197"/>
      <c r="CT821" s="197"/>
      <c r="CU821" s="197"/>
      <c r="CV821" s="197"/>
      <c r="CW821" s="197"/>
      <c r="CX821" s="959"/>
      <c r="CY821" s="959"/>
      <c r="CZ821" s="959"/>
      <c r="DA821" s="959"/>
      <c r="DB821" s="959"/>
      <c r="DC821" s="891">
        <v>3432</v>
      </c>
      <c r="DD821" s="891" t="s">
        <v>3210</v>
      </c>
      <c r="DE821" s="891" t="s">
        <v>2807</v>
      </c>
      <c r="DF821" s="891">
        <v>4</v>
      </c>
      <c r="DG821" s="959"/>
      <c r="DH821" s="959"/>
      <c r="ER821" s="905">
        <v>3770</v>
      </c>
      <c r="ES821" s="906" t="s">
        <v>1519</v>
      </c>
      <c r="ET821" s="2686">
        <v>9</v>
      </c>
      <c r="EV821" s="985"/>
      <c r="EW821" s="985"/>
      <c r="EX821" s="387"/>
      <c r="EY821" s="939"/>
      <c r="EZ821" s="886"/>
    </row>
    <row r="822" spans="88:156">
      <c r="CJ822" s="197"/>
      <c r="CK822" s="197"/>
      <c r="CL822" s="197"/>
      <c r="CM822" s="213"/>
      <c r="CN822" s="213"/>
      <c r="CO822" s="197"/>
      <c r="CP822" s="197"/>
      <c r="CQ822" s="197"/>
      <c r="CR822" s="197"/>
      <c r="CS822" s="197"/>
      <c r="CT822" s="197"/>
      <c r="CU822" s="197"/>
      <c r="CV822" s="197"/>
      <c r="CW822" s="197"/>
      <c r="CX822" s="959"/>
      <c r="CY822" s="959"/>
      <c r="CZ822" s="959"/>
      <c r="DA822" s="959"/>
      <c r="DB822" s="959"/>
      <c r="DC822" s="891">
        <v>3433</v>
      </c>
      <c r="DD822" s="891" t="s">
        <v>3211</v>
      </c>
      <c r="DE822" s="891" t="s">
        <v>421</v>
      </c>
      <c r="DF822" s="891">
        <v>5</v>
      </c>
      <c r="DG822" s="959"/>
      <c r="DH822" s="959"/>
      <c r="ER822" s="905">
        <v>3773</v>
      </c>
      <c r="ES822" s="906" t="s">
        <v>185</v>
      </c>
      <c r="ET822" s="2686">
        <v>9</v>
      </c>
      <c r="EV822" s="985"/>
      <c r="EW822" s="985"/>
      <c r="EX822" s="387"/>
      <c r="EY822" s="939"/>
      <c r="EZ822" s="886"/>
    </row>
    <row r="823" spans="88:156">
      <c r="CJ823" s="197"/>
      <c r="CK823" s="197"/>
      <c r="CL823" s="197"/>
      <c r="CM823" s="213"/>
      <c r="CN823" s="213"/>
      <c r="CO823" s="197"/>
      <c r="CP823" s="197"/>
      <c r="CQ823" s="197"/>
      <c r="CR823" s="197"/>
      <c r="CS823" s="197"/>
      <c r="CT823" s="197"/>
      <c r="CU823" s="197"/>
      <c r="CV823" s="197"/>
      <c r="CW823" s="197"/>
      <c r="CX823" s="959"/>
      <c r="CY823" s="959"/>
      <c r="CZ823" s="959"/>
      <c r="DA823" s="959"/>
      <c r="DB823" s="959"/>
      <c r="DC823" s="891">
        <v>3434</v>
      </c>
      <c r="DD823" s="891" t="s">
        <v>3212</v>
      </c>
      <c r="DE823" s="891" t="s">
        <v>432</v>
      </c>
      <c r="DF823" s="891">
        <v>5</v>
      </c>
      <c r="DG823" s="959"/>
      <c r="DH823" s="959"/>
      <c r="ER823" s="905">
        <v>3773</v>
      </c>
      <c r="ES823" s="906" t="s">
        <v>186</v>
      </c>
      <c r="ET823" s="2686">
        <v>9</v>
      </c>
      <c r="EV823" s="985"/>
      <c r="EW823" s="985"/>
      <c r="EX823" s="387"/>
      <c r="EY823" s="939"/>
      <c r="EZ823" s="886"/>
    </row>
    <row r="824" spans="88:156">
      <c r="CJ824" s="197"/>
      <c r="CK824" s="197"/>
      <c r="CL824" s="197"/>
      <c r="CM824" s="213"/>
      <c r="CN824" s="213"/>
      <c r="CO824" s="197"/>
      <c r="CP824" s="197"/>
      <c r="CQ824" s="197"/>
      <c r="CR824" s="197"/>
      <c r="CS824" s="197"/>
      <c r="CT824" s="197"/>
      <c r="CU824" s="197"/>
      <c r="CV824" s="197"/>
      <c r="CW824" s="197"/>
      <c r="CX824" s="959"/>
      <c r="CY824" s="959"/>
      <c r="CZ824" s="959"/>
      <c r="DA824" s="959"/>
      <c r="DB824" s="959"/>
      <c r="DC824" s="891">
        <v>3441</v>
      </c>
      <c r="DD824" s="891" t="s">
        <v>3213</v>
      </c>
      <c r="DE824" s="891" t="s">
        <v>418</v>
      </c>
      <c r="DF824" s="891">
        <v>5</v>
      </c>
      <c r="DG824" s="959"/>
      <c r="DH824" s="959"/>
      <c r="ER824" s="905">
        <v>3775</v>
      </c>
      <c r="ES824" s="906" t="s">
        <v>1521</v>
      </c>
      <c r="ET824" s="2686">
        <v>9</v>
      </c>
      <c r="EV824" s="985"/>
      <c r="EW824" s="985"/>
      <c r="EX824" s="387"/>
      <c r="EY824" s="939"/>
      <c r="EZ824" s="886"/>
    </row>
    <row r="825" spans="88:156">
      <c r="CJ825" s="197"/>
      <c r="CK825" s="197"/>
      <c r="CL825" s="197"/>
      <c r="CM825" s="213"/>
      <c r="CN825" s="213"/>
      <c r="CO825" s="197"/>
      <c r="CP825" s="197"/>
      <c r="CQ825" s="197"/>
      <c r="CR825" s="197"/>
      <c r="CS825" s="197"/>
      <c r="CT825" s="197"/>
      <c r="CU825" s="197"/>
      <c r="CV825" s="197"/>
      <c r="CW825" s="197"/>
      <c r="CX825" s="959"/>
      <c r="CY825" s="959"/>
      <c r="CZ825" s="959"/>
      <c r="DA825" s="959"/>
      <c r="DB825" s="959"/>
      <c r="DC825" s="891">
        <v>3442</v>
      </c>
      <c r="DD825" s="891" t="s">
        <v>3214</v>
      </c>
      <c r="DE825" s="891" t="s">
        <v>421</v>
      </c>
      <c r="DF825" s="891">
        <v>5</v>
      </c>
      <c r="DG825" s="959"/>
      <c r="DH825" s="959"/>
      <c r="ER825" s="905">
        <v>3776</v>
      </c>
      <c r="ES825" s="906" t="s">
        <v>1522</v>
      </c>
      <c r="ET825" s="2686">
        <v>9</v>
      </c>
      <c r="EV825" s="985"/>
      <c r="EW825" s="985"/>
      <c r="EX825" s="387"/>
      <c r="EY825" s="939"/>
      <c r="EZ825" s="886"/>
    </row>
    <row r="826" spans="88:156">
      <c r="CJ826" s="197"/>
      <c r="CK826" s="197"/>
      <c r="CL826" s="197"/>
      <c r="CM826" s="213"/>
      <c r="CN826" s="213"/>
      <c r="CO826" s="197"/>
      <c r="CP826" s="197"/>
      <c r="CQ826" s="197"/>
      <c r="CR826" s="197"/>
      <c r="CS826" s="197"/>
      <c r="CT826" s="197"/>
      <c r="CU826" s="197"/>
      <c r="CV826" s="197"/>
      <c r="CW826" s="197"/>
      <c r="CX826" s="959"/>
      <c r="CY826" s="959"/>
      <c r="CZ826" s="959"/>
      <c r="DA826" s="959"/>
      <c r="DB826" s="959"/>
      <c r="DC826" s="891">
        <v>3443</v>
      </c>
      <c r="DD826" s="891" t="s">
        <v>3215</v>
      </c>
      <c r="DE826" s="891" t="s">
        <v>402</v>
      </c>
      <c r="DF826" s="891">
        <v>6</v>
      </c>
      <c r="DG826" s="959"/>
      <c r="DH826" s="959"/>
      <c r="ER826" s="905">
        <v>3777</v>
      </c>
      <c r="ES826" s="906" t="s">
        <v>479</v>
      </c>
      <c r="ET826" s="2686">
        <v>9</v>
      </c>
      <c r="EV826" s="985"/>
      <c r="EW826" s="985"/>
      <c r="EX826" s="387"/>
      <c r="EY826" s="939"/>
      <c r="EZ826" s="886"/>
    </row>
    <row r="827" spans="88:156">
      <c r="CJ827" s="197"/>
      <c r="CK827" s="197"/>
      <c r="CL827" s="197"/>
      <c r="CM827" s="213"/>
      <c r="CN827" s="213"/>
      <c r="CO827" s="197"/>
      <c r="CP827" s="197"/>
      <c r="CQ827" s="197"/>
      <c r="CR827" s="197"/>
      <c r="CS827" s="197"/>
      <c r="CT827" s="197"/>
      <c r="CU827" s="197"/>
      <c r="CV827" s="197"/>
      <c r="CW827" s="197"/>
      <c r="CX827" s="959"/>
      <c r="CY827" s="959"/>
      <c r="CZ827" s="959"/>
      <c r="DA827" s="959"/>
      <c r="DB827" s="959"/>
      <c r="DC827" s="891">
        <v>3444</v>
      </c>
      <c r="DD827" s="891" t="s">
        <v>3216</v>
      </c>
      <c r="DE827" s="891" t="s">
        <v>418</v>
      </c>
      <c r="DF827" s="891">
        <v>6</v>
      </c>
      <c r="DG827" s="959"/>
      <c r="DH827" s="959"/>
      <c r="ER827" s="905">
        <v>3778</v>
      </c>
      <c r="ES827" s="906" t="s">
        <v>480</v>
      </c>
      <c r="ET827" s="2686">
        <v>9</v>
      </c>
      <c r="EV827" s="985"/>
      <c r="EW827" s="985"/>
      <c r="EX827" s="387"/>
      <c r="EY827" s="939"/>
      <c r="EZ827" s="886"/>
    </row>
    <row r="828" spans="88:156">
      <c r="CJ828" s="197"/>
      <c r="CK828" s="197"/>
      <c r="CL828" s="197"/>
      <c r="CM828" s="213"/>
      <c r="CN828" s="213"/>
      <c r="CO828" s="197"/>
      <c r="CP828" s="197"/>
      <c r="CQ828" s="197"/>
      <c r="CR828" s="197"/>
      <c r="CS828" s="197"/>
      <c r="CT828" s="197"/>
      <c r="CU828" s="197"/>
      <c r="CV828" s="197"/>
      <c r="CW828" s="197"/>
      <c r="CX828" s="959"/>
      <c r="CY828" s="959"/>
      <c r="CZ828" s="959"/>
      <c r="DA828" s="959"/>
      <c r="DB828" s="959"/>
      <c r="DC828" s="891">
        <v>3450</v>
      </c>
      <c r="DD828" s="891" t="s">
        <v>3217</v>
      </c>
      <c r="DE828" s="891" t="s">
        <v>423</v>
      </c>
      <c r="DF828" s="891">
        <v>6</v>
      </c>
      <c r="DG828" s="959"/>
      <c r="DH828" s="959"/>
      <c r="ER828" s="905">
        <v>3779</v>
      </c>
      <c r="ES828" s="906" t="s">
        <v>481</v>
      </c>
      <c r="ET828" s="2686">
        <v>9</v>
      </c>
      <c r="EV828" s="985"/>
      <c r="EW828" s="985"/>
      <c r="EX828" s="387"/>
      <c r="EY828" s="939"/>
      <c r="EZ828" s="886"/>
    </row>
    <row r="829" spans="88:156">
      <c r="CJ829" s="197"/>
      <c r="CK829" s="197"/>
      <c r="CL829" s="197"/>
      <c r="CM829" s="213"/>
      <c r="CN829" s="213"/>
      <c r="CO829" s="197"/>
      <c r="CP829" s="197"/>
      <c r="CQ829" s="197"/>
      <c r="CR829" s="197"/>
      <c r="CS829" s="197"/>
      <c r="CT829" s="197"/>
      <c r="CU829" s="197"/>
      <c r="CV829" s="197"/>
      <c r="CW829" s="197"/>
      <c r="CX829" s="959"/>
      <c r="CY829" s="959"/>
      <c r="CZ829" s="959"/>
      <c r="DA829" s="959"/>
      <c r="DB829" s="959"/>
      <c r="DC829" s="891">
        <v>3458</v>
      </c>
      <c r="DD829" s="891" t="s">
        <v>3769</v>
      </c>
      <c r="DE829" s="891" t="s">
        <v>423</v>
      </c>
      <c r="DF829" s="891">
        <v>6</v>
      </c>
      <c r="DG829" s="959"/>
      <c r="DH829" s="959"/>
      <c r="ER829" s="905">
        <v>3780</v>
      </c>
      <c r="ES829" s="906" t="s">
        <v>187</v>
      </c>
      <c r="ET829" s="2686">
        <v>9</v>
      </c>
      <c r="EV829" s="985"/>
      <c r="EW829" s="985"/>
      <c r="EX829" s="387"/>
      <c r="EY829" s="939"/>
      <c r="EZ829" s="886"/>
    </row>
    <row r="830" spans="88:156">
      <c r="CJ830" s="197"/>
      <c r="CK830" s="197"/>
      <c r="CL830" s="197"/>
      <c r="CM830" s="213"/>
      <c r="CN830" s="213"/>
      <c r="CO830" s="197"/>
      <c r="CP830" s="197"/>
      <c r="CQ830" s="197"/>
      <c r="CR830" s="197"/>
      <c r="CS830" s="197"/>
      <c r="CT830" s="197"/>
      <c r="CU830" s="197"/>
      <c r="CV830" s="197"/>
      <c r="CW830" s="197"/>
      <c r="CX830" s="959"/>
      <c r="CY830" s="959"/>
      <c r="CZ830" s="959"/>
      <c r="DA830" s="959"/>
      <c r="DB830" s="959"/>
      <c r="DC830" s="891">
        <v>3459</v>
      </c>
      <c r="DD830" s="891" t="s">
        <v>3770</v>
      </c>
      <c r="DE830" s="891" t="s">
        <v>418</v>
      </c>
      <c r="DF830" s="891">
        <v>6</v>
      </c>
      <c r="DG830" s="959"/>
      <c r="DH830" s="959"/>
      <c r="ER830" s="905">
        <v>3780</v>
      </c>
      <c r="ES830" s="906" t="s">
        <v>188</v>
      </c>
      <c r="ET830" s="2686">
        <v>9</v>
      </c>
      <c r="EV830" s="985"/>
      <c r="EW830" s="985"/>
      <c r="EX830" s="387"/>
      <c r="EY830" s="939"/>
      <c r="EZ830" s="886"/>
    </row>
    <row r="831" spans="88:156">
      <c r="CJ831" s="197"/>
      <c r="CK831" s="197"/>
      <c r="CL831" s="197"/>
      <c r="CM831" s="213"/>
      <c r="CN831" s="213"/>
      <c r="CO831" s="197"/>
      <c r="CP831" s="197"/>
      <c r="CQ831" s="197"/>
      <c r="CR831" s="197"/>
      <c r="CS831" s="197"/>
      <c r="CT831" s="197"/>
      <c r="CU831" s="197"/>
      <c r="CV831" s="197"/>
      <c r="CW831" s="197"/>
      <c r="CX831" s="959"/>
      <c r="CY831" s="959"/>
      <c r="CZ831" s="959"/>
      <c r="DA831" s="959"/>
      <c r="DB831" s="959"/>
      <c r="DC831" s="891">
        <v>3461</v>
      </c>
      <c r="DD831" s="891" t="s">
        <v>3771</v>
      </c>
      <c r="DE831" s="891" t="s">
        <v>418</v>
      </c>
      <c r="DF831" s="891">
        <v>4</v>
      </c>
      <c r="DG831" s="959"/>
      <c r="DH831" s="959"/>
      <c r="ER831" s="905">
        <v>3780</v>
      </c>
      <c r="ES831" s="906" t="s">
        <v>189</v>
      </c>
      <c r="ET831" s="2686">
        <v>9</v>
      </c>
      <c r="EV831" s="985"/>
      <c r="EW831" s="985"/>
      <c r="EX831" s="387"/>
      <c r="EY831" s="939"/>
      <c r="EZ831" s="886"/>
    </row>
    <row r="832" spans="88:156">
      <c r="CJ832" s="197"/>
      <c r="CK832" s="197"/>
      <c r="CL832" s="197"/>
      <c r="CM832" s="213"/>
      <c r="CN832" s="213"/>
      <c r="CO832" s="197"/>
      <c r="CP832" s="197"/>
      <c r="CQ832" s="197"/>
      <c r="CR832" s="197"/>
      <c r="CS832" s="197"/>
      <c r="CT832" s="197"/>
      <c r="CU832" s="197"/>
      <c r="CV832" s="197"/>
      <c r="CW832" s="197"/>
      <c r="CX832" s="959"/>
      <c r="CY832" s="959"/>
      <c r="CZ832" s="959"/>
      <c r="DA832" s="959"/>
      <c r="DB832" s="959"/>
      <c r="DC832" s="891">
        <v>3462</v>
      </c>
      <c r="DD832" s="891" t="s">
        <v>3772</v>
      </c>
      <c r="DE832" s="891" t="s">
        <v>418</v>
      </c>
      <c r="DF832" s="891">
        <v>4</v>
      </c>
      <c r="DG832" s="959"/>
      <c r="DH832" s="959"/>
      <c r="ER832" s="905">
        <v>3780</v>
      </c>
      <c r="ES832" s="906" t="s">
        <v>190</v>
      </c>
      <c r="ET832" s="2686">
        <v>9</v>
      </c>
      <c r="EV832" s="985"/>
      <c r="EW832" s="985"/>
      <c r="EX832" s="387"/>
      <c r="EY832" s="939"/>
      <c r="EZ832" s="886"/>
    </row>
    <row r="833" spans="88:156">
      <c r="CJ833" s="197"/>
      <c r="CK833" s="197"/>
      <c r="CL833" s="197"/>
      <c r="CM833" s="213"/>
      <c r="CN833" s="213"/>
      <c r="CO833" s="197"/>
      <c r="CP833" s="197"/>
      <c r="CQ833" s="197"/>
      <c r="CR833" s="197"/>
      <c r="CS833" s="197"/>
      <c r="CT833" s="197"/>
      <c r="CU833" s="197"/>
      <c r="CV833" s="197"/>
      <c r="CW833" s="197"/>
      <c r="CX833" s="959"/>
      <c r="CY833" s="959"/>
      <c r="CZ833" s="959"/>
      <c r="DA833" s="959"/>
      <c r="DB833" s="959"/>
      <c r="DC833" s="891">
        <v>3463</v>
      </c>
      <c r="DD833" s="891" t="s">
        <v>3773</v>
      </c>
      <c r="DE833" s="891" t="s">
        <v>418</v>
      </c>
      <c r="DF833" s="891">
        <v>4</v>
      </c>
      <c r="DG833" s="959"/>
      <c r="DH833" s="959"/>
      <c r="ER833" s="905">
        <v>3783</v>
      </c>
      <c r="ES833" s="906" t="s">
        <v>191</v>
      </c>
      <c r="ET833" s="2686">
        <v>9</v>
      </c>
      <c r="EV833" s="985"/>
      <c r="EW833" s="985"/>
      <c r="EX833" s="387"/>
      <c r="EY833" s="939"/>
      <c r="EZ833" s="886"/>
    </row>
    <row r="834" spans="88:156">
      <c r="CJ834" s="197"/>
      <c r="CK834" s="197"/>
      <c r="CL834" s="197"/>
      <c r="CM834" s="213"/>
      <c r="CN834" s="213"/>
      <c r="CO834" s="197"/>
      <c r="CP834" s="197"/>
      <c r="CQ834" s="197"/>
      <c r="CR834" s="197"/>
      <c r="CS834" s="197"/>
      <c r="CT834" s="197"/>
      <c r="CU834" s="197"/>
      <c r="CV834" s="197"/>
      <c r="CW834" s="197"/>
      <c r="CX834" s="959"/>
      <c r="CY834" s="959"/>
      <c r="CZ834" s="959"/>
      <c r="DA834" s="959"/>
      <c r="DB834" s="959"/>
      <c r="DC834" s="891">
        <v>3464</v>
      </c>
      <c r="DD834" s="891" t="s">
        <v>3774</v>
      </c>
      <c r="DE834" s="891" t="s">
        <v>418</v>
      </c>
      <c r="DF834" s="891">
        <v>5</v>
      </c>
      <c r="DG834" s="959"/>
      <c r="DH834" s="959"/>
      <c r="ER834" s="905">
        <v>3786</v>
      </c>
      <c r="ES834" s="906" t="s">
        <v>192</v>
      </c>
      <c r="ET834" s="2686">
        <v>9</v>
      </c>
      <c r="EV834" s="985"/>
      <c r="EW834" s="985"/>
      <c r="EX834" s="387"/>
      <c r="EY834" s="939"/>
      <c r="EZ834" s="886"/>
    </row>
    <row r="835" spans="88:156">
      <c r="CJ835" s="197"/>
      <c r="CK835" s="197"/>
      <c r="CL835" s="197"/>
      <c r="CM835" s="213"/>
      <c r="CN835" s="213"/>
      <c r="CO835" s="197"/>
      <c r="CP835" s="197"/>
      <c r="CQ835" s="197"/>
      <c r="CR835" s="197"/>
      <c r="CS835" s="197"/>
      <c r="CT835" s="197"/>
      <c r="CU835" s="197"/>
      <c r="CV835" s="197"/>
      <c r="CW835" s="197"/>
      <c r="CX835" s="959"/>
      <c r="CY835" s="959"/>
      <c r="CZ835" s="959"/>
      <c r="DA835" s="959"/>
      <c r="DB835" s="959"/>
      <c r="DC835" s="891">
        <v>3465</v>
      </c>
      <c r="DD835" s="891" t="s">
        <v>3775</v>
      </c>
      <c r="DE835" s="891" t="s">
        <v>419</v>
      </c>
      <c r="DF835" s="891">
        <v>5</v>
      </c>
      <c r="DG835" s="959"/>
      <c r="DH835" s="959"/>
      <c r="ER835" s="905">
        <v>3786</v>
      </c>
      <c r="ES835" s="906" t="s">
        <v>193</v>
      </c>
      <c r="ET835" s="2686">
        <v>9</v>
      </c>
      <c r="EV835" s="985"/>
      <c r="EW835" s="985"/>
      <c r="EX835" s="387"/>
      <c r="EY835" s="939"/>
      <c r="EZ835" s="886"/>
    </row>
    <row r="836" spans="88:156">
      <c r="CJ836" s="197"/>
      <c r="CK836" s="197"/>
      <c r="CL836" s="197"/>
      <c r="CM836" s="213"/>
      <c r="CN836" s="213"/>
      <c r="CO836" s="197"/>
      <c r="CP836" s="197"/>
      <c r="CQ836" s="197"/>
      <c r="CR836" s="197"/>
      <c r="CS836" s="197"/>
      <c r="CT836" s="197"/>
      <c r="CU836" s="197"/>
      <c r="CV836" s="197"/>
      <c r="CW836" s="197"/>
      <c r="CX836" s="959"/>
      <c r="CY836" s="959"/>
      <c r="CZ836" s="959"/>
      <c r="DA836" s="959"/>
      <c r="DB836" s="959"/>
      <c r="DC836" s="891">
        <v>3466</v>
      </c>
      <c r="DD836" s="891" t="s">
        <v>3776</v>
      </c>
      <c r="DE836" s="891" t="s">
        <v>419</v>
      </c>
      <c r="DF836" s="891">
        <v>6</v>
      </c>
      <c r="DG836" s="959"/>
      <c r="DH836" s="959"/>
      <c r="ER836" s="905">
        <v>3786</v>
      </c>
      <c r="ES836" s="906" t="s">
        <v>194</v>
      </c>
      <c r="ET836" s="2686">
        <v>9</v>
      </c>
      <c r="EV836" s="985"/>
      <c r="EW836" s="985"/>
      <c r="EX836" s="387"/>
      <c r="EY836" s="939"/>
      <c r="EZ836" s="886"/>
    </row>
    <row r="837" spans="88:156">
      <c r="CJ837" s="197"/>
      <c r="CK837" s="197"/>
      <c r="CL837" s="197"/>
      <c r="CM837" s="213"/>
      <c r="CN837" s="213"/>
      <c r="CO837" s="197"/>
      <c r="CP837" s="197"/>
      <c r="CQ837" s="197"/>
      <c r="CR837" s="197"/>
      <c r="CS837" s="197"/>
      <c r="CT837" s="197"/>
      <c r="CU837" s="197"/>
      <c r="CV837" s="197"/>
      <c r="CW837" s="197"/>
      <c r="CX837" s="959"/>
      <c r="CY837" s="959"/>
      <c r="CZ837" s="959"/>
      <c r="DA837" s="959"/>
      <c r="DB837" s="959"/>
      <c r="DC837" s="891">
        <v>3467</v>
      </c>
      <c r="DD837" s="891" t="s">
        <v>3777</v>
      </c>
      <c r="DE837" s="891" t="s">
        <v>420</v>
      </c>
      <c r="DF837" s="891">
        <v>6</v>
      </c>
      <c r="DG837" s="959"/>
      <c r="DH837" s="959"/>
      <c r="ER837" s="905">
        <v>3786</v>
      </c>
      <c r="ES837" s="906" t="s">
        <v>195</v>
      </c>
      <c r="ET837" s="2686">
        <v>9</v>
      </c>
      <c r="EV837" s="985"/>
      <c r="EW837" s="985"/>
      <c r="EX837" s="387"/>
      <c r="EY837" s="939"/>
      <c r="EZ837" s="886"/>
    </row>
    <row r="838" spans="88:156">
      <c r="CJ838" s="197"/>
      <c r="CK838" s="197"/>
      <c r="CL838" s="197"/>
      <c r="CM838" s="213"/>
      <c r="CN838" s="213"/>
      <c r="CO838" s="197"/>
      <c r="CP838" s="197"/>
      <c r="CQ838" s="197"/>
      <c r="CR838" s="197"/>
      <c r="CS838" s="197"/>
      <c r="CT838" s="197"/>
      <c r="CU838" s="197"/>
      <c r="CV838" s="197"/>
      <c r="CW838" s="197"/>
      <c r="CX838" s="959"/>
      <c r="CY838" s="959"/>
      <c r="CZ838" s="959"/>
      <c r="DA838" s="959"/>
      <c r="DB838" s="959"/>
      <c r="DC838" s="891">
        <v>3500</v>
      </c>
      <c r="DD838" s="891" t="s">
        <v>3778</v>
      </c>
      <c r="DE838" s="891" t="s">
        <v>420</v>
      </c>
      <c r="DF838" s="891">
        <v>4</v>
      </c>
      <c r="DG838" s="959"/>
      <c r="DH838" s="959"/>
      <c r="ER838" s="905">
        <v>3787</v>
      </c>
      <c r="ES838" s="906" t="s">
        <v>485</v>
      </c>
      <c r="ET838" s="2686">
        <v>9</v>
      </c>
      <c r="EV838" s="985"/>
      <c r="EW838" s="985"/>
      <c r="EX838" s="387"/>
      <c r="EY838" s="939"/>
      <c r="EZ838" s="886"/>
    </row>
    <row r="839" spans="88:156">
      <c r="CJ839" s="197"/>
      <c r="CK839" s="197"/>
      <c r="CL839" s="197"/>
      <c r="CM839" s="213"/>
      <c r="CN839" s="213"/>
      <c r="CO839" s="197"/>
      <c r="CP839" s="197"/>
      <c r="CQ839" s="197"/>
      <c r="CR839" s="197"/>
      <c r="CS839" s="197"/>
      <c r="CT839" s="197"/>
      <c r="CU839" s="197"/>
      <c r="CV839" s="197"/>
      <c r="CW839" s="197"/>
      <c r="CX839" s="959"/>
      <c r="CY839" s="959"/>
      <c r="CZ839" s="959"/>
      <c r="DA839" s="959"/>
      <c r="DB839" s="959"/>
      <c r="DC839" s="891">
        <v>3501</v>
      </c>
      <c r="DD839" s="891" t="s">
        <v>3778</v>
      </c>
      <c r="DE839" s="891" t="s">
        <v>419</v>
      </c>
      <c r="DF839" s="891">
        <v>4</v>
      </c>
      <c r="DG839" s="959"/>
      <c r="DH839" s="959"/>
      <c r="ER839" s="905">
        <v>3791</v>
      </c>
      <c r="ES839" s="906" t="s">
        <v>486</v>
      </c>
      <c r="ET839" s="2686">
        <v>9</v>
      </c>
      <c r="EV839" s="985"/>
      <c r="EW839" s="985"/>
      <c r="EX839" s="387"/>
      <c r="EY839" s="939"/>
      <c r="EZ839" s="886"/>
    </row>
    <row r="840" spans="88:156">
      <c r="CJ840" s="197"/>
      <c r="CK840" s="197"/>
      <c r="CL840" s="197"/>
      <c r="CM840" s="213"/>
      <c r="CN840" s="213"/>
      <c r="CO840" s="197"/>
      <c r="CP840" s="197"/>
      <c r="CQ840" s="197"/>
      <c r="CR840" s="197"/>
      <c r="CS840" s="197"/>
      <c r="CT840" s="197"/>
      <c r="CU840" s="197"/>
      <c r="CV840" s="197"/>
      <c r="CW840" s="197"/>
      <c r="CX840" s="959"/>
      <c r="CY840" s="959"/>
      <c r="CZ840" s="959"/>
      <c r="DA840" s="959"/>
      <c r="DB840" s="959"/>
      <c r="DC840" s="891">
        <v>3508</v>
      </c>
      <c r="DD840" s="891" t="s">
        <v>3779</v>
      </c>
      <c r="DE840" s="891" t="s">
        <v>435</v>
      </c>
      <c r="DF840" s="891">
        <v>5</v>
      </c>
      <c r="DG840" s="959"/>
      <c r="DH840" s="959"/>
      <c r="ER840" s="905">
        <v>3792</v>
      </c>
      <c r="ES840" s="906" t="s">
        <v>487</v>
      </c>
      <c r="ET840" s="2686">
        <v>9</v>
      </c>
      <c r="EV840" s="985"/>
      <c r="EW840" s="985"/>
      <c r="EX840" s="387"/>
      <c r="EY840" s="939"/>
      <c r="EZ840" s="886"/>
    </row>
    <row r="841" spans="88:156">
      <c r="CJ841" s="197"/>
      <c r="CK841" s="197"/>
      <c r="CL841" s="197"/>
      <c r="CM841" s="213"/>
      <c r="CN841" s="213"/>
      <c r="CO841" s="197"/>
      <c r="CP841" s="197"/>
      <c r="CQ841" s="197"/>
      <c r="CR841" s="197"/>
      <c r="CS841" s="197"/>
      <c r="CT841" s="197"/>
      <c r="CU841" s="197"/>
      <c r="CV841" s="197"/>
      <c r="CW841" s="197"/>
      <c r="CX841" s="959"/>
      <c r="CY841" s="959"/>
      <c r="CZ841" s="959"/>
      <c r="DA841" s="959"/>
      <c r="DB841" s="959"/>
      <c r="DC841" s="891">
        <v>3509</v>
      </c>
      <c r="DD841" s="891" t="s">
        <v>3778</v>
      </c>
      <c r="DE841" s="891" t="s">
        <v>412</v>
      </c>
      <c r="DF841" s="891">
        <v>4</v>
      </c>
      <c r="DG841" s="959"/>
      <c r="DH841" s="959"/>
      <c r="ER841" s="905">
        <v>3793</v>
      </c>
      <c r="ES841" s="906" t="s">
        <v>488</v>
      </c>
      <c r="ET841" s="2686">
        <v>9</v>
      </c>
      <c r="EV841" s="985"/>
      <c r="EW841" s="985"/>
      <c r="EX841" s="387"/>
      <c r="EY841" s="939"/>
      <c r="EZ841" s="886"/>
    </row>
    <row r="842" spans="88:156">
      <c r="CJ842" s="197"/>
      <c r="CK842" s="197"/>
      <c r="CL842" s="197"/>
      <c r="CM842" s="213"/>
      <c r="CN842" s="213"/>
      <c r="CO842" s="197"/>
      <c r="CP842" s="197"/>
      <c r="CQ842" s="197"/>
      <c r="CR842" s="197"/>
      <c r="CS842" s="197"/>
      <c r="CT842" s="197"/>
      <c r="CU842" s="197"/>
      <c r="CV842" s="197"/>
      <c r="CW842" s="197"/>
      <c r="CX842" s="959"/>
      <c r="CY842" s="959"/>
      <c r="CZ842" s="959"/>
      <c r="DA842" s="959"/>
      <c r="DB842" s="959"/>
      <c r="DC842" s="891">
        <v>3510</v>
      </c>
      <c r="DD842" s="891" t="s">
        <v>3780</v>
      </c>
      <c r="DE842" s="891" t="s">
        <v>412</v>
      </c>
      <c r="DF842" s="891">
        <v>4</v>
      </c>
      <c r="DG842" s="959"/>
      <c r="DH842" s="959"/>
      <c r="ER842" s="905">
        <v>3794</v>
      </c>
      <c r="ES842" s="906" t="s">
        <v>196</v>
      </c>
      <c r="ET842" s="2686">
        <v>9</v>
      </c>
      <c r="EV842" s="985"/>
      <c r="EW842" s="985"/>
      <c r="EX842" s="387"/>
      <c r="EY842" s="939"/>
      <c r="EZ842" s="886"/>
    </row>
    <row r="843" spans="88:156">
      <c r="CJ843" s="197"/>
      <c r="CK843" s="197"/>
      <c r="CL843" s="197"/>
      <c r="CM843" s="213"/>
      <c r="CN843" s="213"/>
      <c r="CO843" s="197"/>
      <c r="CP843" s="197"/>
      <c r="CQ843" s="197"/>
      <c r="CR843" s="197"/>
      <c r="CS843" s="197"/>
      <c r="CT843" s="197"/>
      <c r="CU843" s="197"/>
      <c r="CV843" s="197"/>
      <c r="CW843" s="197"/>
      <c r="CX843" s="959"/>
      <c r="CY843" s="959"/>
      <c r="CZ843" s="959"/>
      <c r="DA843" s="959"/>
      <c r="DB843" s="959"/>
      <c r="DC843" s="891">
        <v>3511</v>
      </c>
      <c r="DD843" s="891" t="s">
        <v>3781</v>
      </c>
      <c r="DE843" s="891" t="s">
        <v>418</v>
      </c>
      <c r="DF843" s="891">
        <v>4</v>
      </c>
      <c r="DG843" s="959"/>
      <c r="DH843" s="959"/>
      <c r="ER843" s="905">
        <v>3794</v>
      </c>
      <c r="ES843" s="906" t="s">
        <v>197</v>
      </c>
      <c r="ET843" s="2686">
        <v>9</v>
      </c>
      <c r="EV843" s="985"/>
      <c r="EW843" s="985"/>
      <c r="EX843" s="387"/>
      <c r="EY843" s="939"/>
      <c r="EZ843" s="886"/>
    </row>
    <row r="844" spans="88:156">
      <c r="CJ844" s="197"/>
      <c r="CK844" s="197"/>
      <c r="CL844" s="197"/>
      <c r="CM844" s="213"/>
      <c r="CN844" s="213"/>
      <c r="CO844" s="197"/>
      <c r="CP844" s="197"/>
      <c r="CQ844" s="197"/>
      <c r="CR844" s="197"/>
      <c r="CS844" s="197"/>
      <c r="CT844" s="197"/>
      <c r="CU844" s="197"/>
      <c r="CV844" s="197"/>
      <c r="CW844" s="197"/>
      <c r="CX844" s="959"/>
      <c r="CY844" s="959"/>
      <c r="CZ844" s="959"/>
      <c r="DA844" s="959"/>
      <c r="DB844" s="959"/>
      <c r="DC844" s="891">
        <v>3515</v>
      </c>
      <c r="DD844" s="891" t="s">
        <v>3778</v>
      </c>
      <c r="DE844" s="891" t="s">
        <v>418</v>
      </c>
      <c r="DF844" s="891">
        <v>4</v>
      </c>
      <c r="DG844" s="959"/>
      <c r="DH844" s="959"/>
      <c r="ER844" s="905">
        <v>3795</v>
      </c>
      <c r="ES844" s="906" t="s">
        <v>198</v>
      </c>
      <c r="ET844" s="2686">
        <v>9</v>
      </c>
      <c r="EV844" s="985"/>
      <c r="EW844" s="985"/>
      <c r="EX844" s="387"/>
      <c r="EY844" s="939"/>
      <c r="EZ844" s="886"/>
    </row>
    <row r="845" spans="88:156">
      <c r="CJ845" s="197"/>
      <c r="CK845" s="197"/>
      <c r="CL845" s="197"/>
      <c r="CM845" s="213"/>
      <c r="CN845" s="213"/>
      <c r="CO845" s="197"/>
      <c r="CP845" s="197"/>
      <c r="CQ845" s="197"/>
      <c r="CR845" s="197"/>
      <c r="CS845" s="197"/>
      <c r="CT845" s="197"/>
      <c r="CU845" s="197"/>
      <c r="CV845" s="197"/>
      <c r="CW845" s="197"/>
      <c r="CX845" s="959"/>
      <c r="CY845" s="959"/>
      <c r="CZ845" s="959"/>
      <c r="DA845" s="959"/>
      <c r="DB845" s="959"/>
      <c r="DC845" s="891">
        <v>3516</v>
      </c>
      <c r="DD845" s="891" t="s">
        <v>3778</v>
      </c>
      <c r="DE845" s="891" t="s">
        <v>421</v>
      </c>
      <c r="DF845" s="891">
        <v>4</v>
      </c>
      <c r="DG845" s="959"/>
      <c r="DH845" s="959"/>
      <c r="ER845" s="905">
        <v>3795</v>
      </c>
      <c r="ES845" s="906" t="s">
        <v>199</v>
      </c>
      <c r="ET845" s="2686">
        <v>9</v>
      </c>
      <c r="EV845" s="985"/>
      <c r="EW845" s="985"/>
      <c r="EX845" s="387"/>
      <c r="EY845" s="939"/>
      <c r="EZ845" s="886"/>
    </row>
    <row r="846" spans="88:156">
      <c r="CJ846" s="197"/>
      <c r="CK846" s="197"/>
      <c r="CL846" s="197"/>
      <c r="CM846" s="213"/>
      <c r="CN846" s="213"/>
      <c r="CO846" s="197"/>
      <c r="CP846" s="197"/>
      <c r="CQ846" s="197"/>
      <c r="CR846" s="197"/>
      <c r="CS846" s="197"/>
      <c r="CT846" s="197"/>
      <c r="CU846" s="197"/>
      <c r="CV846" s="197"/>
      <c r="CW846" s="197"/>
      <c r="CX846" s="959"/>
      <c r="CY846" s="959"/>
      <c r="CZ846" s="959"/>
      <c r="DA846" s="959"/>
      <c r="DB846" s="959"/>
      <c r="DC846" s="891">
        <v>3517</v>
      </c>
      <c r="DD846" s="891" t="s">
        <v>3782</v>
      </c>
      <c r="DE846" s="891" t="s">
        <v>423</v>
      </c>
      <c r="DF846" s="891">
        <v>5</v>
      </c>
      <c r="DG846" s="959"/>
      <c r="DH846" s="959"/>
      <c r="ER846" s="905">
        <v>3796</v>
      </c>
      <c r="ES846" s="906" t="s">
        <v>2721</v>
      </c>
      <c r="ET846" s="2686">
        <v>9</v>
      </c>
      <c r="EV846" s="985"/>
      <c r="EW846" s="985"/>
      <c r="EX846" s="387"/>
      <c r="EY846" s="939"/>
      <c r="EZ846" s="886"/>
    </row>
    <row r="847" spans="88:156">
      <c r="CJ847" s="197"/>
      <c r="CK847" s="197"/>
      <c r="CL847" s="197"/>
      <c r="CM847" s="213"/>
      <c r="CN847" s="213"/>
      <c r="CO847" s="197"/>
      <c r="CP847" s="197"/>
      <c r="CQ847" s="197"/>
      <c r="CR847" s="197"/>
      <c r="CS847" s="197"/>
      <c r="CT847" s="197"/>
      <c r="CU847" s="197"/>
      <c r="CV847" s="197"/>
      <c r="CW847" s="197"/>
      <c r="CX847" s="959"/>
      <c r="CY847" s="959"/>
      <c r="CZ847" s="959"/>
      <c r="DA847" s="959"/>
      <c r="DB847" s="959"/>
      <c r="DC847" s="891">
        <v>3518</v>
      </c>
      <c r="DD847" s="891" t="s">
        <v>3783</v>
      </c>
      <c r="DE847" s="891" t="s">
        <v>428</v>
      </c>
      <c r="DF847" s="891">
        <v>5</v>
      </c>
      <c r="DG847" s="959"/>
      <c r="DH847" s="959"/>
      <c r="ER847" s="905">
        <v>3800</v>
      </c>
      <c r="ES847" s="906" t="s">
        <v>2722</v>
      </c>
      <c r="ET847" s="2686">
        <v>9</v>
      </c>
      <c r="EV847" s="985"/>
      <c r="EW847" s="985"/>
      <c r="EX847" s="387"/>
      <c r="EY847" s="939"/>
      <c r="EZ847" s="886"/>
    </row>
    <row r="848" spans="88:156">
      <c r="CJ848" s="197"/>
      <c r="CK848" s="197"/>
      <c r="CL848" s="197"/>
      <c r="CM848" s="213"/>
      <c r="CN848" s="213"/>
      <c r="CO848" s="197"/>
      <c r="CP848" s="197"/>
      <c r="CQ848" s="197"/>
      <c r="CR848" s="197"/>
      <c r="CS848" s="197"/>
      <c r="CT848" s="197"/>
      <c r="CU848" s="197"/>
      <c r="CV848" s="197"/>
      <c r="CW848" s="197"/>
      <c r="CX848" s="959"/>
      <c r="CY848" s="959"/>
      <c r="CZ848" s="959"/>
      <c r="DA848" s="959"/>
      <c r="DB848" s="959"/>
      <c r="DC848" s="891">
        <v>3519</v>
      </c>
      <c r="DD848" s="891" t="s">
        <v>3784</v>
      </c>
      <c r="DE848" s="891" t="s">
        <v>417</v>
      </c>
      <c r="DF848" s="891">
        <v>4</v>
      </c>
      <c r="DG848" s="959"/>
      <c r="DH848" s="959"/>
      <c r="ER848" s="905">
        <v>3809</v>
      </c>
      <c r="ES848" s="906" t="s">
        <v>200</v>
      </c>
      <c r="ET848" s="2686">
        <v>9</v>
      </c>
      <c r="EV848" s="985"/>
      <c r="EW848" s="985"/>
      <c r="EX848" s="387"/>
      <c r="EY848" s="939"/>
      <c r="EZ848" s="886"/>
    </row>
    <row r="849" spans="88:156">
      <c r="CJ849" s="197"/>
      <c r="CK849" s="197"/>
      <c r="CL849" s="197"/>
      <c r="CM849" s="213"/>
      <c r="CN849" s="213"/>
      <c r="CO849" s="197"/>
      <c r="CP849" s="197"/>
      <c r="CQ849" s="197"/>
      <c r="CR849" s="197"/>
      <c r="CS849" s="197"/>
      <c r="CT849" s="197"/>
      <c r="CU849" s="197"/>
      <c r="CV849" s="197"/>
      <c r="CW849" s="197"/>
      <c r="CX849" s="959"/>
      <c r="CY849" s="959"/>
      <c r="CZ849" s="959"/>
      <c r="DA849" s="959"/>
      <c r="DB849" s="959"/>
      <c r="DC849" s="891">
        <v>3521</v>
      </c>
      <c r="DD849" s="891" t="s">
        <v>3785</v>
      </c>
      <c r="DE849" s="891" t="s">
        <v>402</v>
      </c>
      <c r="DF849" s="891">
        <v>5</v>
      </c>
      <c r="DG849" s="959"/>
      <c r="DH849" s="959"/>
      <c r="ER849" s="905">
        <v>3809</v>
      </c>
      <c r="ES849" s="906" t="s">
        <v>3157</v>
      </c>
      <c r="ET849" s="2686">
        <v>9</v>
      </c>
      <c r="EV849" s="985"/>
      <c r="EW849" s="985"/>
      <c r="EX849" s="387"/>
      <c r="EY849" s="939"/>
      <c r="EZ849" s="886"/>
    </row>
    <row r="850" spans="88:156">
      <c r="CJ850" s="197"/>
      <c r="CK850" s="197"/>
      <c r="CL850" s="197"/>
      <c r="CM850" s="213"/>
      <c r="CN850" s="213"/>
      <c r="CO850" s="197"/>
      <c r="CP850" s="197"/>
      <c r="CQ850" s="197"/>
      <c r="CR850" s="197"/>
      <c r="CS850" s="197"/>
      <c r="CT850" s="197"/>
      <c r="CU850" s="197"/>
      <c r="CV850" s="197"/>
      <c r="CW850" s="197"/>
      <c r="CX850" s="959"/>
      <c r="CY850" s="959"/>
      <c r="CZ850" s="959"/>
      <c r="DA850" s="959"/>
      <c r="DB850" s="959"/>
      <c r="DC850" s="891">
        <v>3524</v>
      </c>
      <c r="DD850" s="891" t="s">
        <v>3778</v>
      </c>
      <c r="DE850" s="891" t="s">
        <v>434</v>
      </c>
      <c r="DF850" s="891">
        <v>4</v>
      </c>
      <c r="DG850" s="959"/>
      <c r="DH850" s="959"/>
      <c r="ER850" s="905">
        <v>3809</v>
      </c>
      <c r="ES850" s="906" t="s">
        <v>3158</v>
      </c>
      <c r="ET850" s="2686">
        <v>9</v>
      </c>
      <c r="EV850" s="985"/>
      <c r="EW850" s="985"/>
      <c r="EX850" s="387"/>
      <c r="EY850" s="939"/>
      <c r="EZ850" s="886"/>
    </row>
    <row r="851" spans="88:156">
      <c r="CJ851" s="197"/>
      <c r="CK851" s="197"/>
      <c r="CL851" s="197"/>
      <c r="CM851" s="213"/>
      <c r="CN851" s="213"/>
      <c r="CO851" s="197"/>
      <c r="CP851" s="197"/>
      <c r="CQ851" s="197"/>
      <c r="CR851" s="197"/>
      <c r="CS851" s="197"/>
      <c r="CT851" s="197"/>
      <c r="CU851" s="197"/>
      <c r="CV851" s="197"/>
      <c r="CW851" s="197"/>
      <c r="CX851" s="959"/>
      <c r="CY851" s="959"/>
      <c r="CZ851" s="959"/>
      <c r="DA851" s="959"/>
      <c r="DB851" s="959"/>
      <c r="DC851" s="891">
        <v>3525</v>
      </c>
      <c r="DD851" s="891" t="s">
        <v>3778</v>
      </c>
      <c r="DE851" s="891" t="s">
        <v>427</v>
      </c>
      <c r="DF851" s="891">
        <v>4</v>
      </c>
      <c r="DG851" s="959"/>
      <c r="DH851" s="959"/>
      <c r="ER851" s="905">
        <v>3811</v>
      </c>
      <c r="ES851" s="906" t="s">
        <v>2724</v>
      </c>
      <c r="ET851" s="2686">
        <v>9</v>
      </c>
      <c r="EV851" s="985"/>
      <c r="EW851" s="985"/>
      <c r="EX851" s="387"/>
      <c r="EY851" s="939"/>
      <c r="EZ851" s="886"/>
    </row>
    <row r="852" spans="88:156">
      <c r="CJ852" s="197"/>
      <c r="CK852" s="197"/>
      <c r="CL852" s="197"/>
      <c r="CM852" s="213"/>
      <c r="CN852" s="213"/>
      <c r="CO852" s="197"/>
      <c r="CP852" s="197"/>
      <c r="CQ852" s="197"/>
      <c r="CR852" s="197"/>
      <c r="CS852" s="197"/>
      <c r="CT852" s="197"/>
      <c r="CU852" s="197"/>
      <c r="CV852" s="197"/>
      <c r="CW852" s="197"/>
      <c r="CX852" s="959"/>
      <c r="CY852" s="959"/>
      <c r="CZ852" s="959"/>
      <c r="DA852" s="959"/>
      <c r="DB852" s="959"/>
      <c r="DC852" s="891">
        <v>3526</v>
      </c>
      <c r="DD852" s="891" t="s">
        <v>3778</v>
      </c>
      <c r="DE852" s="891" t="s">
        <v>2808</v>
      </c>
      <c r="DF852" s="891">
        <v>4</v>
      </c>
      <c r="DG852" s="959"/>
      <c r="DH852" s="959"/>
      <c r="ER852" s="905">
        <v>3812</v>
      </c>
      <c r="ES852" s="906" t="s">
        <v>3159</v>
      </c>
      <c r="ET852" s="2686">
        <v>9</v>
      </c>
      <c r="EV852" s="985"/>
      <c r="EW852" s="985"/>
      <c r="EX852" s="387"/>
      <c r="EY852" s="939"/>
      <c r="EZ852" s="886"/>
    </row>
    <row r="853" spans="88:156">
      <c r="CJ853" s="197"/>
      <c r="CK853" s="197"/>
      <c r="CL853" s="197"/>
      <c r="CM853" s="213"/>
      <c r="CN853" s="213"/>
      <c r="CO853" s="197"/>
      <c r="CP853" s="197"/>
      <c r="CQ853" s="197"/>
      <c r="CR853" s="197"/>
      <c r="CS853" s="197"/>
      <c r="CT853" s="197"/>
      <c r="CU853" s="197"/>
      <c r="CV853" s="197"/>
      <c r="CW853" s="197"/>
      <c r="CX853" s="959"/>
      <c r="CY853" s="959"/>
      <c r="CZ853" s="959"/>
      <c r="DA853" s="959"/>
      <c r="DB853" s="959"/>
      <c r="DC853" s="891">
        <v>3527</v>
      </c>
      <c r="DD853" s="891" t="s">
        <v>3778</v>
      </c>
      <c r="DE853" s="891" t="s">
        <v>434</v>
      </c>
      <c r="DF853" s="891">
        <v>4</v>
      </c>
      <c r="DG853" s="959"/>
      <c r="DH853" s="959"/>
      <c r="ER853" s="905">
        <v>3812</v>
      </c>
      <c r="ES853" s="906" t="s">
        <v>3160</v>
      </c>
      <c r="ET853" s="2686">
        <v>9</v>
      </c>
      <c r="EV853" s="985"/>
      <c r="EW853" s="985"/>
      <c r="EX853" s="387"/>
      <c r="EY853" s="939"/>
      <c r="EZ853" s="886"/>
    </row>
    <row r="854" spans="88:156">
      <c r="CJ854" s="197"/>
      <c r="CK854" s="197"/>
      <c r="CL854" s="197"/>
      <c r="CM854" s="213"/>
      <c r="CN854" s="213"/>
      <c r="CO854" s="197"/>
      <c r="CP854" s="197"/>
      <c r="CQ854" s="197"/>
      <c r="CR854" s="197"/>
      <c r="CS854" s="197"/>
      <c r="CT854" s="197"/>
      <c r="CU854" s="197"/>
      <c r="CV854" s="197"/>
      <c r="CW854" s="197"/>
      <c r="CX854" s="959"/>
      <c r="CY854" s="959"/>
      <c r="CZ854" s="959"/>
      <c r="DA854" s="959"/>
      <c r="DB854" s="959"/>
      <c r="DC854" s="891">
        <v>3528</v>
      </c>
      <c r="DD854" s="891" t="s">
        <v>3778</v>
      </c>
      <c r="DE854" s="891" t="s">
        <v>434</v>
      </c>
      <c r="DF854" s="891">
        <v>5</v>
      </c>
      <c r="DG854" s="959"/>
      <c r="DH854" s="959"/>
      <c r="ER854" s="905">
        <v>3813</v>
      </c>
      <c r="ES854" s="906" t="s">
        <v>2726</v>
      </c>
      <c r="ET854" s="2686">
        <v>9</v>
      </c>
      <c r="EV854" s="985"/>
      <c r="EW854" s="985"/>
      <c r="EX854" s="387"/>
      <c r="EY854" s="939"/>
      <c r="EZ854" s="886"/>
    </row>
    <row r="855" spans="88:156">
      <c r="CJ855" s="197"/>
      <c r="CK855" s="197"/>
      <c r="CL855" s="197"/>
      <c r="CM855" s="213"/>
      <c r="CN855" s="213"/>
      <c r="CO855" s="197"/>
      <c r="CP855" s="197"/>
      <c r="CQ855" s="197"/>
      <c r="CR855" s="197"/>
      <c r="CS855" s="197"/>
      <c r="CT855" s="197"/>
      <c r="CU855" s="197"/>
      <c r="CV855" s="197"/>
      <c r="CW855" s="197"/>
      <c r="CX855" s="959"/>
      <c r="CY855" s="959"/>
      <c r="CZ855" s="959"/>
      <c r="DA855" s="959"/>
      <c r="DB855" s="959"/>
      <c r="DC855" s="891">
        <v>3529</v>
      </c>
      <c r="DD855" s="891" t="s">
        <v>3778</v>
      </c>
      <c r="DE855" s="891" t="s">
        <v>434</v>
      </c>
      <c r="DF855" s="891">
        <v>4</v>
      </c>
      <c r="DG855" s="959"/>
      <c r="DH855" s="959"/>
      <c r="ER855" s="905">
        <v>3814</v>
      </c>
      <c r="ES855" s="906" t="s">
        <v>2727</v>
      </c>
      <c r="ET855" s="2686">
        <v>9</v>
      </c>
      <c r="EV855" s="985"/>
      <c r="EW855" s="985"/>
      <c r="EX855" s="387"/>
      <c r="EY855" s="939"/>
      <c r="EZ855" s="886"/>
    </row>
    <row r="856" spans="88:156">
      <c r="CJ856" s="197"/>
      <c r="CK856" s="197"/>
      <c r="CL856" s="197"/>
      <c r="CM856" s="213"/>
      <c r="CN856" s="213"/>
      <c r="CO856" s="197"/>
      <c r="CP856" s="197"/>
      <c r="CQ856" s="197"/>
      <c r="CR856" s="197"/>
      <c r="CS856" s="197"/>
      <c r="CT856" s="197"/>
      <c r="CU856" s="197"/>
      <c r="CV856" s="197"/>
      <c r="CW856" s="197"/>
      <c r="CX856" s="959"/>
      <c r="CY856" s="959"/>
      <c r="CZ856" s="959"/>
      <c r="DA856" s="959"/>
      <c r="DB856" s="959"/>
      <c r="DC856" s="891">
        <v>3530</v>
      </c>
      <c r="DD856" s="891" t="s">
        <v>3778</v>
      </c>
      <c r="DE856" s="891" t="s">
        <v>434</v>
      </c>
      <c r="DF856" s="891">
        <v>4</v>
      </c>
      <c r="DG856" s="959"/>
      <c r="DH856" s="959"/>
      <c r="ER856" s="905">
        <v>3815</v>
      </c>
      <c r="ES856" s="906" t="s">
        <v>3161</v>
      </c>
      <c r="ET856" s="2686">
        <v>9</v>
      </c>
      <c r="EV856" s="985"/>
      <c r="EW856" s="985"/>
      <c r="EX856" s="387"/>
      <c r="EY856" s="939"/>
      <c r="EZ856" s="886"/>
    </row>
    <row r="857" spans="88:156">
      <c r="CJ857" s="197"/>
      <c r="CK857" s="197"/>
      <c r="CL857" s="197"/>
      <c r="CM857" s="213"/>
      <c r="CN857" s="213"/>
      <c r="CO857" s="197"/>
      <c r="CP857" s="197"/>
      <c r="CQ857" s="197"/>
      <c r="CR857" s="197"/>
      <c r="CS857" s="197"/>
      <c r="CT857" s="197"/>
      <c r="CU857" s="197"/>
      <c r="CV857" s="197"/>
      <c r="CW857" s="197"/>
      <c r="CX857" s="959"/>
      <c r="CY857" s="959"/>
      <c r="CZ857" s="959"/>
      <c r="DA857" s="959"/>
      <c r="DB857" s="959"/>
      <c r="DC857" s="891">
        <v>3531</v>
      </c>
      <c r="DD857" s="891" t="s">
        <v>3778</v>
      </c>
      <c r="DE857" s="891" t="s">
        <v>434</v>
      </c>
      <c r="DF857" s="891">
        <v>4</v>
      </c>
      <c r="DG857" s="959"/>
      <c r="DH857" s="959"/>
      <c r="ER857" s="905">
        <v>3815</v>
      </c>
      <c r="ES857" s="906" t="s">
        <v>3162</v>
      </c>
      <c r="ET857" s="2686">
        <v>9</v>
      </c>
      <c r="EV857" s="985"/>
      <c r="EW857" s="985"/>
      <c r="EX857" s="387"/>
      <c r="EY857" s="939"/>
      <c r="EZ857" s="886"/>
    </row>
    <row r="858" spans="88:156">
      <c r="CJ858" s="197"/>
      <c r="CK858" s="197"/>
      <c r="CL858" s="197"/>
      <c r="CM858" s="213"/>
      <c r="CN858" s="213"/>
      <c r="CO858" s="197"/>
      <c r="CP858" s="197"/>
      <c r="CQ858" s="197"/>
      <c r="CR858" s="197"/>
      <c r="CS858" s="197"/>
      <c r="CT858" s="197"/>
      <c r="CU858" s="197"/>
      <c r="CV858" s="197"/>
      <c r="CW858" s="197"/>
      <c r="CX858" s="959"/>
      <c r="CY858" s="959"/>
      <c r="CZ858" s="959"/>
      <c r="DA858" s="959"/>
      <c r="DB858" s="959"/>
      <c r="DC858" s="891">
        <v>3532</v>
      </c>
      <c r="DD858" s="891" t="s">
        <v>3778</v>
      </c>
      <c r="DE858" s="891" t="s">
        <v>434</v>
      </c>
      <c r="DF858" s="891">
        <v>4</v>
      </c>
      <c r="DG858" s="959"/>
      <c r="DH858" s="959"/>
      <c r="ER858" s="905">
        <v>3816</v>
      </c>
      <c r="ES858" s="906" t="s">
        <v>2729</v>
      </c>
      <c r="ET858" s="2686">
        <v>9</v>
      </c>
      <c r="EV858" s="985"/>
      <c r="EW858" s="985"/>
      <c r="EX858" s="387"/>
      <c r="EY858" s="939"/>
      <c r="EZ858" s="886"/>
    </row>
    <row r="859" spans="88:156">
      <c r="CJ859" s="197"/>
      <c r="CK859" s="197"/>
      <c r="CL859" s="197"/>
      <c r="CM859" s="213"/>
      <c r="CN859" s="213"/>
      <c r="CO859" s="197"/>
      <c r="CP859" s="197"/>
      <c r="CQ859" s="197"/>
      <c r="CR859" s="197"/>
      <c r="CS859" s="197"/>
      <c r="CT859" s="197"/>
      <c r="CU859" s="197"/>
      <c r="CV859" s="197"/>
      <c r="CW859" s="197"/>
      <c r="CX859" s="959"/>
      <c r="CY859" s="959"/>
      <c r="CZ859" s="959"/>
      <c r="DA859" s="959"/>
      <c r="DB859" s="959"/>
      <c r="DC859" s="891">
        <v>3533</v>
      </c>
      <c r="DD859" s="891" t="s">
        <v>3778</v>
      </c>
      <c r="DE859" s="891" t="s">
        <v>434</v>
      </c>
      <c r="DF859" s="891">
        <v>4</v>
      </c>
      <c r="DG859" s="959"/>
      <c r="DH859" s="959"/>
      <c r="ER859" s="905">
        <v>3817</v>
      </c>
      <c r="ES859" s="906" t="s">
        <v>2730</v>
      </c>
      <c r="ET859" s="2686">
        <v>9</v>
      </c>
      <c r="EV859" s="985"/>
      <c r="EW859" s="985"/>
      <c r="EX859" s="387"/>
      <c r="EY859" s="939"/>
      <c r="EZ859" s="886"/>
    </row>
    <row r="860" spans="88:156">
      <c r="CJ860" s="197"/>
      <c r="CK860" s="197"/>
      <c r="CL860" s="197"/>
      <c r="CM860" s="213"/>
      <c r="CN860" s="213"/>
      <c r="CO860" s="197"/>
      <c r="CP860" s="197"/>
      <c r="CQ860" s="197"/>
      <c r="CR860" s="197"/>
      <c r="CS860" s="197"/>
      <c r="CT860" s="197"/>
      <c r="CU860" s="197"/>
      <c r="CV860" s="197"/>
      <c r="CW860" s="197"/>
      <c r="CX860" s="959"/>
      <c r="CY860" s="959"/>
      <c r="CZ860" s="959"/>
      <c r="DA860" s="959"/>
      <c r="DB860" s="959"/>
      <c r="DC860" s="891">
        <v>3534</v>
      </c>
      <c r="DD860" s="891" t="s">
        <v>3778</v>
      </c>
      <c r="DE860" s="891" t="s">
        <v>434</v>
      </c>
      <c r="DF860" s="891">
        <v>4</v>
      </c>
      <c r="DG860" s="959"/>
      <c r="DH860" s="959"/>
      <c r="ER860" s="905">
        <v>3821</v>
      </c>
      <c r="ES860" s="906" t="s">
        <v>3163</v>
      </c>
      <c r="ET860" s="2686">
        <v>9</v>
      </c>
      <c r="EV860" s="985"/>
      <c r="EW860" s="985"/>
      <c r="EX860" s="387"/>
      <c r="EY860" s="939"/>
      <c r="EZ860" s="886"/>
    </row>
    <row r="861" spans="88:156">
      <c r="CJ861" s="197"/>
      <c r="CK861" s="197"/>
      <c r="CL861" s="197"/>
      <c r="CM861" s="213"/>
      <c r="CN861" s="213"/>
      <c r="CO861" s="197"/>
      <c r="CP861" s="197"/>
      <c r="CQ861" s="197"/>
      <c r="CR861" s="197"/>
      <c r="CS861" s="197"/>
      <c r="CT861" s="197"/>
      <c r="CU861" s="197"/>
      <c r="CV861" s="197"/>
      <c r="CW861" s="197"/>
      <c r="CX861" s="959"/>
      <c r="CY861" s="959"/>
      <c r="CZ861" s="959"/>
      <c r="DA861" s="959"/>
      <c r="DB861" s="959"/>
      <c r="DC861" s="891">
        <v>3535</v>
      </c>
      <c r="DD861" s="891" t="s">
        <v>3778</v>
      </c>
      <c r="DE861" s="891" t="s">
        <v>434</v>
      </c>
      <c r="DF861" s="891">
        <v>4</v>
      </c>
      <c r="DG861" s="959"/>
      <c r="DH861" s="959"/>
      <c r="ER861" s="905">
        <v>3821</v>
      </c>
      <c r="ES861" s="906" t="s">
        <v>3164</v>
      </c>
      <c r="ET861" s="2686">
        <v>9</v>
      </c>
      <c r="EV861" s="985"/>
      <c r="EW861" s="985"/>
      <c r="EX861" s="387"/>
      <c r="EY861" s="939"/>
      <c r="EZ861" s="886"/>
    </row>
    <row r="862" spans="88:156">
      <c r="CJ862" s="197"/>
      <c r="CK862" s="197"/>
      <c r="CL862" s="197"/>
      <c r="CM862" s="213"/>
      <c r="CN862" s="213"/>
      <c r="CO862" s="197"/>
      <c r="CP862" s="197"/>
      <c r="CQ862" s="197"/>
      <c r="CR862" s="197"/>
      <c r="CS862" s="197"/>
      <c r="CT862" s="197"/>
      <c r="CU862" s="197"/>
      <c r="CV862" s="197"/>
      <c r="CW862" s="197"/>
      <c r="CX862" s="959"/>
      <c r="CY862" s="959"/>
      <c r="CZ862" s="959"/>
      <c r="DA862" s="959"/>
      <c r="DB862" s="959"/>
      <c r="DC862" s="891">
        <v>3551</v>
      </c>
      <c r="DD862" s="891" t="s">
        <v>3786</v>
      </c>
      <c r="DE862" s="891" t="s">
        <v>434</v>
      </c>
      <c r="DF862" s="891">
        <v>5</v>
      </c>
      <c r="DG862" s="959"/>
      <c r="DH862" s="959"/>
      <c r="ER862" s="905">
        <v>3821</v>
      </c>
      <c r="ES862" s="906" t="s">
        <v>3165</v>
      </c>
      <c r="ET862" s="2686">
        <v>9</v>
      </c>
      <c r="EV862" s="985"/>
      <c r="EW862" s="985"/>
      <c r="EX862" s="387"/>
      <c r="EY862" s="939"/>
      <c r="EZ862" s="886"/>
    </row>
    <row r="863" spans="88:156">
      <c r="CJ863" s="197"/>
      <c r="CK863" s="197"/>
      <c r="CL863" s="197"/>
      <c r="CM863" s="213"/>
      <c r="CN863" s="213"/>
      <c r="CO863" s="197"/>
      <c r="CP863" s="197"/>
      <c r="CQ863" s="197"/>
      <c r="CR863" s="197"/>
      <c r="CS863" s="197"/>
      <c r="CT863" s="197"/>
      <c r="CU863" s="197"/>
      <c r="CV863" s="197"/>
      <c r="CW863" s="197"/>
      <c r="CX863" s="959"/>
      <c r="CY863" s="959"/>
      <c r="CZ863" s="959"/>
      <c r="DA863" s="959"/>
      <c r="DB863" s="959"/>
      <c r="DC863" s="891">
        <v>3552</v>
      </c>
      <c r="DD863" s="891" t="s">
        <v>3787</v>
      </c>
      <c r="DE863" s="891" t="s">
        <v>434</v>
      </c>
      <c r="DF863" s="891">
        <v>5</v>
      </c>
      <c r="DG863" s="959"/>
      <c r="DH863" s="959"/>
      <c r="ER863" s="905">
        <v>3821</v>
      </c>
      <c r="ES863" s="906" t="s">
        <v>3166</v>
      </c>
      <c r="ET863" s="2686">
        <v>9</v>
      </c>
      <c r="EV863" s="985"/>
      <c r="EW863" s="985"/>
      <c r="EX863" s="387"/>
      <c r="EY863" s="939"/>
      <c r="EZ863" s="886"/>
    </row>
    <row r="864" spans="88:156">
      <c r="CJ864" s="197"/>
      <c r="CK864" s="197"/>
      <c r="CL864" s="197"/>
      <c r="CM864" s="213"/>
      <c r="CN864" s="213"/>
      <c r="CO864" s="197"/>
      <c r="CP864" s="197"/>
      <c r="CQ864" s="197"/>
      <c r="CR864" s="197"/>
      <c r="CS864" s="197"/>
      <c r="CT864" s="197"/>
      <c r="CU864" s="197"/>
      <c r="CV864" s="197"/>
      <c r="CW864" s="197"/>
      <c r="CX864" s="959"/>
      <c r="CY864" s="959"/>
      <c r="CZ864" s="959"/>
      <c r="DA864" s="959"/>
      <c r="DB864" s="959"/>
      <c r="DC864" s="891">
        <v>3553</v>
      </c>
      <c r="DD864" s="891" t="s">
        <v>3788</v>
      </c>
      <c r="DE864" s="891" t="s">
        <v>434</v>
      </c>
      <c r="DF864" s="891">
        <v>5</v>
      </c>
      <c r="DG864" s="959"/>
      <c r="DH864" s="959"/>
      <c r="ER864" s="905">
        <v>3821</v>
      </c>
      <c r="ES864" s="906" t="s">
        <v>3167</v>
      </c>
      <c r="ET864" s="2686">
        <v>9</v>
      </c>
      <c r="EV864" s="985"/>
      <c r="EW864" s="985"/>
      <c r="EX864" s="387"/>
      <c r="EY864" s="939"/>
      <c r="EZ864" s="886"/>
    </row>
    <row r="865" spans="88:156">
      <c r="CJ865" s="197"/>
      <c r="CK865" s="197"/>
      <c r="CL865" s="197"/>
      <c r="CM865" s="213"/>
      <c r="CN865" s="213"/>
      <c r="CO865" s="197"/>
      <c r="CP865" s="197"/>
      <c r="CQ865" s="197"/>
      <c r="CR865" s="197"/>
      <c r="CS865" s="197"/>
      <c r="CT865" s="197"/>
      <c r="CU865" s="197"/>
      <c r="CV865" s="197"/>
      <c r="CW865" s="197"/>
      <c r="CX865" s="959"/>
      <c r="CY865" s="959"/>
      <c r="CZ865" s="959"/>
      <c r="DA865" s="959"/>
      <c r="DB865" s="959"/>
      <c r="DC865" s="891">
        <v>3554</v>
      </c>
      <c r="DD865" s="891" t="s">
        <v>3789</v>
      </c>
      <c r="DE865" s="891" t="s">
        <v>434</v>
      </c>
      <c r="DF865" s="891">
        <v>5</v>
      </c>
      <c r="DG865" s="959"/>
      <c r="DH865" s="959"/>
      <c r="ER865" s="905">
        <v>3821</v>
      </c>
      <c r="ES865" s="906" t="s">
        <v>3168</v>
      </c>
      <c r="ET865" s="2686">
        <v>9</v>
      </c>
      <c r="EV865" s="985"/>
      <c r="EW865" s="985"/>
      <c r="EX865" s="387"/>
      <c r="EY865" s="939"/>
      <c r="EZ865" s="886"/>
    </row>
    <row r="866" spans="88:156">
      <c r="CJ866" s="197"/>
      <c r="CK866" s="197"/>
      <c r="CL866" s="197"/>
      <c r="CM866" s="213"/>
      <c r="CN866" s="213"/>
      <c r="CO866" s="197"/>
      <c r="CP866" s="197"/>
      <c r="CQ866" s="197"/>
      <c r="CR866" s="197"/>
      <c r="CS866" s="197"/>
      <c r="CT866" s="197"/>
      <c r="CU866" s="197"/>
      <c r="CV866" s="197"/>
      <c r="CW866" s="197"/>
      <c r="CX866" s="959"/>
      <c r="CY866" s="959"/>
      <c r="CZ866" s="959"/>
      <c r="DA866" s="959"/>
      <c r="DB866" s="959"/>
      <c r="DC866" s="891">
        <v>3555</v>
      </c>
      <c r="DD866" s="891" t="s">
        <v>3790</v>
      </c>
      <c r="DE866" s="891" t="s">
        <v>434</v>
      </c>
      <c r="DF866" s="891">
        <v>5</v>
      </c>
      <c r="DG866" s="959"/>
      <c r="DH866" s="959"/>
      <c r="ER866" s="905">
        <v>3821</v>
      </c>
      <c r="ES866" s="906" t="s">
        <v>3169</v>
      </c>
      <c r="ET866" s="2686">
        <v>9</v>
      </c>
      <c r="EV866" s="985"/>
      <c r="EW866" s="985"/>
      <c r="EX866" s="387"/>
      <c r="EY866" s="939"/>
      <c r="EZ866" s="886"/>
    </row>
    <row r="867" spans="88:156">
      <c r="CJ867" s="197"/>
      <c r="CK867" s="197"/>
      <c r="CL867" s="197"/>
      <c r="CM867" s="213"/>
      <c r="CN867" s="213"/>
      <c r="CO867" s="197"/>
      <c r="CP867" s="197"/>
      <c r="CQ867" s="197"/>
      <c r="CR867" s="197"/>
      <c r="CS867" s="197"/>
      <c r="CT867" s="197"/>
      <c r="CU867" s="197"/>
      <c r="CV867" s="197"/>
      <c r="CW867" s="197"/>
      <c r="CX867" s="959"/>
      <c r="CY867" s="959"/>
      <c r="CZ867" s="959"/>
      <c r="DA867" s="959"/>
      <c r="DB867" s="959"/>
      <c r="DC867" s="891">
        <v>3556</v>
      </c>
      <c r="DD867" s="891" t="s">
        <v>3791</v>
      </c>
      <c r="DE867" s="891" t="s">
        <v>434</v>
      </c>
      <c r="DF867" s="891">
        <v>4</v>
      </c>
      <c r="DG867" s="959"/>
      <c r="DH867" s="959"/>
      <c r="ER867" s="905">
        <v>3825</v>
      </c>
      <c r="ES867" s="906" t="s">
        <v>3170</v>
      </c>
      <c r="ET867" s="2686">
        <v>9</v>
      </c>
      <c r="EV867" s="985"/>
      <c r="EW867" s="985"/>
      <c r="EX867" s="387"/>
      <c r="EY867" s="939"/>
      <c r="EZ867" s="886"/>
    </row>
    <row r="868" spans="88:156">
      <c r="CJ868" s="197"/>
      <c r="CK868" s="197"/>
      <c r="CL868" s="197"/>
      <c r="CM868" s="213"/>
      <c r="CN868" s="213"/>
      <c r="CO868" s="197"/>
      <c r="CP868" s="197"/>
      <c r="CQ868" s="197"/>
      <c r="CR868" s="197"/>
      <c r="CS868" s="197"/>
      <c r="CT868" s="197"/>
      <c r="CU868" s="197"/>
      <c r="CV868" s="197"/>
      <c r="CW868" s="197"/>
      <c r="CX868" s="959"/>
      <c r="CY868" s="959"/>
      <c r="CZ868" s="959"/>
      <c r="DA868" s="959"/>
      <c r="DB868" s="959"/>
      <c r="DC868" s="891">
        <v>3557</v>
      </c>
      <c r="DD868" s="891" t="s">
        <v>3792</v>
      </c>
      <c r="DE868" s="891" t="s">
        <v>434</v>
      </c>
      <c r="DF868" s="891">
        <v>4</v>
      </c>
      <c r="DG868" s="959"/>
      <c r="DH868" s="959"/>
      <c r="ER868" s="905">
        <v>3825</v>
      </c>
      <c r="ES868" s="906" t="s">
        <v>3171</v>
      </c>
      <c r="ET868" s="2686">
        <v>9</v>
      </c>
      <c r="EV868" s="985"/>
      <c r="EW868" s="985"/>
      <c r="EX868" s="387"/>
      <c r="EY868" s="939"/>
      <c r="EZ868" s="886"/>
    </row>
    <row r="869" spans="88:156">
      <c r="CJ869" s="197"/>
      <c r="CK869" s="197"/>
      <c r="CL869" s="197"/>
      <c r="CM869" s="213"/>
      <c r="CN869" s="213"/>
      <c r="CO869" s="197"/>
      <c r="CP869" s="197"/>
      <c r="CQ869" s="197"/>
      <c r="CR869" s="197"/>
      <c r="CS869" s="197"/>
      <c r="CT869" s="197"/>
      <c r="CU869" s="197"/>
      <c r="CV869" s="197"/>
      <c r="CW869" s="197"/>
      <c r="CX869" s="959"/>
      <c r="CY869" s="959"/>
      <c r="CZ869" s="959"/>
      <c r="DA869" s="959"/>
      <c r="DB869" s="959"/>
      <c r="DC869" s="891">
        <v>3559</v>
      </c>
      <c r="DD869" s="891" t="s">
        <v>3793</v>
      </c>
      <c r="DE869" s="891" t="s">
        <v>434</v>
      </c>
      <c r="DF869" s="891">
        <v>5</v>
      </c>
      <c r="DG869" s="959"/>
      <c r="DH869" s="959"/>
      <c r="ER869" s="905">
        <v>3825</v>
      </c>
      <c r="ES869" s="906" t="s">
        <v>3172</v>
      </c>
      <c r="ET869" s="2686">
        <v>9</v>
      </c>
      <c r="EV869" s="985"/>
      <c r="EW869" s="985"/>
      <c r="EX869" s="387"/>
      <c r="EY869" s="939"/>
      <c r="EZ869" s="886"/>
    </row>
    <row r="870" spans="88:156">
      <c r="CJ870" s="197"/>
      <c r="CK870" s="197"/>
      <c r="CL870" s="197"/>
      <c r="CM870" s="213"/>
      <c r="CN870" s="213"/>
      <c r="CO870" s="197"/>
      <c r="CP870" s="197"/>
      <c r="CQ870" s="197"/>
      <c r="CR870" s="197"/>
      <c r="CS870" s="197"/>
      <c r="CT870" s="197"/>
      <c r="CU870" s="197"/>
      <c r="CV870" s="197"/>
      <c r="CW870" s="197"/>
      <c r="CX870" s="959"/>
      <c r="CY870" s="959"/>
      <c r="CZ870" s="959"/>
      <c r="DA870" s="959"/>
      <c r="DB870" s="959"/>
      <c r="DC870" s="891">
        <v>3561</v>
      </c>
      <c r="DD870" s="891" t="s">
        <v>3794</v>
      </c>
      <c r="DE870" s="891" t="s">
        <v>434</v>
      </c>
      <c r="DF870" s="891">
        <v>5</v>
      </c>
      <c r="DG870" s="959"/>
      <c r="DH870" s="959"/>
      <c r="ER870" s="905">
        <v>3826</v>
      </c>
      <c r="ES870" s="906" t="s">
        <v>2733</v>
      </c>
      <c r="ET870" s="2686">
        <v>9</v>
      </c>
      <c r="EV870" s="985"/>
      <c r="EW870" s="985"/>
      <c r="EX870" s="387"/>
      <c r="EY870" s="939"/>
      <c r="EZ870" s="886"/>
    </row>
    <row r="871" spans="88:156">
      <c r="CJ871" s="197"/>
      <c r="CK871" s="197"/>
      <c r="CL871" s="197"/>
      <c r="CM871" s="213"/>
      <c r="CN871" s="213"/>
      <c r="CO871" s="197"/>
      <c r="CP871" s="197"/>
      <c r="CQ871" s="197"/>
      <c r="CR871" s="197"/>
      <c r="CS871" s="197"/>
      <c r="CT871" s="197"/>
      <c r="CU871" s="197"/>
      <c r="CV871" s="197"/>
      <c r="CW871" s="197"/>
      <c r="CX871" s="959"/>
      <c r="CY871" s="959"/>
      <c r="CZ871" s="959"/>
      <c r="DA871" s="959"/>
      <c r="DB871" s="959"/>
      <c r="DC871" s="891">
        <v>3562</v>
      </c>
      <c r="DD871" s="891" t="s">
        <v>3795</v>
      </c>
      <c r="DE871" s="891" t="s">
        <v>434</v>
      </c>
      <c r="DF871" s="891">
        <v>5</v>
      </c>
      <c r="DG871" s="959"/>
      <c r="DH871" s="959"/>
      <c r="ER871" s="905">
        <v>3831</v>
      </c>
      <c r="ES871" s="906" t="s">
        <v>2734</v>
      </c>
      <c r="ET871" s="2686">
        <v>9</v>
      </c>
      <c r="EV871" s="985"/>
      <c r="EW871" s="985"/>
      <c r="EX871" s="387"/>
      <c r="EY871" s="939"/>
      <c r="EZ871" s="886"/>
    </row>
    <row r="872" spans="88:156">
      <c r="CJ872" s="197"/>
      <c r="CK872" s="197"/>
      <c r="CL872" s="197"/>
      <c r="CM872" s="213"/>
      <c r="CN872" s="213"/>
      <c r="CO872" s="197"/>
      <c r="CP872" s="197"/>
      <c r="CQ872" s="197"/>
      <c r="CR872" s="197"/>
      <c r="CS872" s="197"/>
      <c r="CT872" s="197"/>
      <c r="CU872" s="197"/>
      <c r="CV872" s="197"/>
      <c r="CW872" s="197"/>
      <c r="CX872" s="959"/>
      <c r="CY872" s="959"/>
      <c r="CZ872" s="959"/>
      <c r="DA872" s="959"/>
      <c r="DB872" s="959"/>
      <c r="DC872" s="891">
        <v>3563</v>
      </c>
      <c r="DD872" s="891" t="s">
        <v>3796</v>
      </c>
      <c r="DE872" s="891" t="s">
        <v>434</v>
      </c>
      <c r="DF872" s="891">
        <v>5</v>
      </c>
      <c r="DG872" s="959"/>
      <c r="DH872" s="959"/>
      <c r="ER872" s="905">
        <v>3832</v>
      </c>
      <c r="ES872" s="906" t="s">
        <v>2735</v>
      </c>
      <c r="ET872" s="2686">
        <v>9</v>
      </c>
      <c r="EV872" s="985"/>
      <c r="EW872" s="985"/>
      <c r="EX872" s="387"/>
      <c r="EY872" s="939"/>
      <c r="EZ872" s="886"/>
    </row>
    <row r="873" spans="88:156">
      <c r="CJ873" s="197"/>
      <c r="CK873" s="197"/>
      <c r="CL873" s="197"/>
      <c r="CM873" s="213"/>
      <c r="CN873" s="213"/>
      <c r="CO873" s="197"/>
      <c r="CP873" s="197"/>
      <c r="CQ873" s="197"/>
      <c r="CR873" s="197"/>
      <c r="CS873" s="197"/>
      <c r="CT873" s="197"/>
      <c r="CU873" s="197"/>
      <c r="CV873" s="197"/>
      <c r="CW873" s="197"/>
      <c r="CX873" s="959"/>
      <c r="CY873" s="959"/>
      <c r="CZ873" s="959"/>
      <c r="DA873" s="959"/>
      <c r="DB873" s="959"/>
      <c r="DC873" s="891">
        <v>3564</v>
      </c>
      <c r="DD873" s="891" t="s">
        <v>3797</v>
      </c>
      <c r="DE873" s="891" t="s">
        <v>434</v>
      </c>
      <c r="DF873" s="891">
        <v>5</v>
      </c>
      <c r="DG873" s="959"/>
      <c r="DH873" s="959"/>
      <c r="ER873" s="905">
        <v>3833</v>
      </c>
      <c r="ES873" s="906" t="s">
        <v>2736</v>
      </c>
      <c r="ET873" s="2686">
        <v>9</v>
      </c>
      <c r="EV873" s="985"/>
      <c r="EW873" s="985"/>
      <c r="EX873" s="387"/>
      <c r="EY873" s="939"/>
      <c r="EZ873" s="886"/>
    </row>
    <row r="874" spans="88:156">
      <c r="CJ874" s="197"/>
      <c r="CK874" s="197"/>
      <c r="CL874" s="197"/>
      <c r="CM874" s="213"/>
      <c r="CN874" s="213"/>
      <c r="CO874" s="197"/>
      <c r="CP874" s="197"/>
      <c r="CQ874" s="197"/>
      <c r="CR874" s="197"/>
      <c r="CS874" s="197"/>
      <c r="CT874" s="197"/>
      <c r="CU874" s="197"/>
      <c r="CV874" s="197"/>
      <c r="CW874" s="197"/>
      <c r="CX874" s="959"/>
      <c r="CY874" s="959"/>
      <c r="CZ874" s="959"/>
      <c r="DA874" s="959"/>
      <c r="DB874" s="959"/>
      <c r="DC874" s="891">
        <v>3565</v>
      </c>
      <c r="DD874" s="891" t="s">
        <v>3798</v>
      </c>
      <c r="DE874" s="891" t="s">
        <v>434</v>
      </c>
      <c r="DF874" s="891">
        <v>6</v>
      </c>
      <c r="DG874" s="959"/>
      <c r="DH874" s="959"/>
      <c r="ER874" s="905">
        <v>3834</v>
      </c>
      <c r="ES874" s="906" t="s">
        <v>3173</v>
      </c>
      <c r="ET874" s="2686">
        <v>9</v>
      </c>
      <c r="EV874" s="985"/>
      <c r="EW874" s="985"/>
      <c r="EX874" s="387"/>
      <c r="EY874" s="939"/>
      <c r="EZ874" s="886"/>
    </row>
    <row r="875" spans="88:156">
      <c r="CJ875" s="197"/>
      <c r="CK875" s="197"/>
      <c r="CL875" s="197"/>
      <c r="CM875" s="213"/>
      <c r="CN875" s="213"/>
      <c r="CO875" s="197"/>
      <c r="CP875" s="197"/>
      <c r="CQ875" s="197"/>
      <c r="CR875" s="197"/>
      <c r="CS875" s="197"/>
      <c r="CT875" s="197"/>
      <c r="CU875" s="197"/>
      <c r="CV875" s="197"/>
      <c r="CW875" s="197"/>
      <c r="CX875" s="959"/>
      <c r="CY875" s="959"/>
      <c r="CZ875" s="959"/>
      <c r="DA875" s="959"/>
      <c r="DB875" s="959"/>
      <c r="DC875" s="891">
        <v>3571</v>
      </c>
      <c r="DD875" s="891" t="s">
        <v>3799</v>
      </c>
      <c r="DE875" s="891" t="s">
        <v>434</v>
      </c>
      <c r="DF875" s="891">
        <v>5</v>
      </c>
      <c r="DG875" s="959"/>
      <c r="DH875" s="959"/>
      <c r="ER875" s="905">
        <v>3834</v>
      </c>
      <c r="ES875" s="906" t="s">
        <v>3174</v>
      </c>
      <c r="ET875" s="2686">
        <v>9</v>
      </c>
      <c r="EV875" s="985"/>
      <c r="EW875" s="985"/>
      <c r="EX875" s="387"/>
      <c r="EY875" s="939"/>
      <c r="EZ875" s="886"/>
    </row>
    <row r="876" spans="88:156">
      <c r="CJ876" s="197"/>
      <c r="CK876" s="197"/>
      <c r="CL876" s="197"/>
      <c r="CM876" s="213"/>
      <c r="CN876" s="213"/>
      <c r="CO876" s="197"/>
      <c r="CP876" s="197"/>
      <c r="CQ876" s="197"/>
      <c r="CR876" s="197"/>
      <c r="CS876" s="197"/>
      <c r="CT876" s="197"/>
      <c r="CU876" s="197"/>
      <c r="CV876" s="197"/>
      <c r="CW876" s="197"/>
      <c r="CX876" s="959"/>
      <c r="CY876" s="959"/>
      <c r="CZ876" s="959"/>
      <c r="DA876" s="959"/>
      <c r="DB876" s="959"/>
      <c r="DC876" s="891">
        <v>3572</v>
      </c>
      <c r="DD876" s="891" t="s">
        <v>3800</v>
      </c>
      <c r="DE876" s="891" t="s">
        <v>434</v>
      </c>
      <c r="DF876" s="891">
        <v>5</v>
      </c>
      <c r="DG876" s="959"/>
      <c r="DH876" s="959"/>
      <c r="ER876" s="905">
        <v>3836</v>
      </c>
      <c r="ES876" s="906" t="s">
        <v>2738</v>
      </c>
      <c r="ET876" s="2686">
        <v>9</v>
      </c>
      <c r="EV876" s="985"/>
      <c r="EW876" s="985"/>
      <c r="EX876" s="387"/>
      <c r="EY876" s="939"/>
      <c r="EZ876" s="886"/>
    </row>
    <row r="877" spans="88:156">
      <c r="CJ877" s="197"/>
      <c r="CK877" s="197"/>
      <c r="CL877" s="197"/>
      <c r="CM877" s="213"/>
      <c r="CN877" s="213"/>
      <c r="CO877" s="197"/>
      <c r="CP877" s="197"/>
      <c r="CQ877" s="197"/>
      <c r="CR877" s="197"/>
      <c r="CS877" s="197"/>
      <c r="CT877" s="197"/>
      <c r="CU877" s="197"/>
      <c r="CV877" s="197"/>
      <c r="CW877" s="197"/>
      <c r="CX877" s="959"/>
      <c r="CY877" s="959"/>
      <c r="CZ877" s="959"/>
      <c r="DA877" s="959"/>
      <c r="DB877" s="959"/>
      <c r="DC877" s="891">
        <v>3573</v>
      </c>
      <c r="DD877" s="891" t="s">
        <v>3801</v>
      </c>
      <c r="DE877" s="891" t="s">
        <v>434</v>
      </c>
      <c r="DF877" s="891">
        <v>5</v>
      </c>
      <c r="DG877" s="959"/>
      <c r="DH877" s="959"/>
      <c r="ER877" s="905">
        <v>3837</v>
      </c>
      <c r="ES877" s="906" t="s">
        <v>3175</v>
      </c>
      <c r="ET877" s="2686">
        <v>9</v>
      </c>
      <c r="EV877" s="985"/>
      <c r="EW877" s="985"/>
      <c r="EX877" s="387"/>
      <c r="EY877" s="939"/>
      <c r="EZ877" s="886"/>
    </row>
    <row r="878" spans="88:156">
      <c r="CJ878" s="197"/>
      <c r="CK878" s="197"/>
      <c r="CL878" s="197"/>
      <c r="CM878" s="213"/>
      <c r="CN878" s="213"/>
      <c r="CO878" s="197"/>
      <c r="CP878" s="197"/>
      <c r="CQ878" s="197"/>
      <c r="CR878" s="197"/>
      <c r="CS878" s="197"/>
      <c r="CT878" s="197"/>
      <c r="CU878" s="197"/>
      <c r="CV878" s="197"/>
      <c r="CW878" s="197"/>
      <c r="CX878" s="959"/>
      <c r="CY878" s="959"/>
      <c r="CZ878" s="959"/>
      <c r="DA878" s="959"/>
      <c r="DB878" s="959"/>
      <c r="DC878" s="891">
        <v>3574</v>
      </c>
      <c r="DD878" s="891" t="s">
        <v>3802</v>
      </c>
      <c r="DE878" s="891" t="s">
        <v>434</v>
      </c>
      <c r="DF878" s="891">
        <v>5</v>
      </c>
      <c r="DG878" s="959"/>
      <c r="DH878" s="959"/>
      <c r="ER878" s="905">
        <v>3837</v>
      </c>
      <c r="ES878" s="906" t="s">
        <v>3176</v>
      </c>
      <c r="ET878" s="2686">
        <v>9</v>
      </c>
      <c r="EV878" s="985"/>
      <c r="EW878" s="985"/>
      <c r="EX878" s="387"/>
      <c r="EY878" s="939"/>
      <c r="EZ878" s="886"/>
    </row>
    <row r="879" spans="88:156">
      <c r="CJ879" s="197"/>
      <c r="CK879" s="197"/>
      <c r="CL879" s="197"/>
      <c r="CM879" s="213"/>
      <c r="CN879" s="213"/>
      <c r="CO879" s="197"/>
      <c r="CP879" s="197"/>
      <c r="CQ879" s="197"/>
      <c r="CR879" s="197"/>
      <c r="CS879" s="197"/>
      <c r="CT879" s="197"/>
      <c r="CU879" s="197"/>
      <c r="CV879" s="197"/>
      <c r="CW879" s="197"/>
      <c r="CX879" s="959"/>
      <c r="CY879" s="959"/>
      <c r="CZ879" s="959"/>
      <c r="DA879" s="959"/>
      <c r="DB879" s="959"/>
      <c r="DC879" s="891">
        <v>3575</v>
      </c>
      <c r="DD879" s="891" t="s">
        <v>3803</v>
      </c>
      <c r="DE879" s="891" t="s">
        <v>434</v>
      </c>
      <c r="DF879" s="891">
        <v>5</v>
      </c>
      <c r="DG879" s="959"/>
      <c r="DH879" s="959"/>
      <c r="ER879" s="905">
        <v>3837</v>
      </c>
      <c r="ES879" s="906" t="s">
        <v>3177</v>
      </c>
      <c r="ET879" s="2686">
        <v>9</v>
      </c>
      <c r="EV879" s="985"/>
      <c r="EW879" s="985"/>
      <c r="EX879" s="387"/>
      <c r="EY879" s="939"/>
      <c r="EZ879" s="886"/>
    </row>
    <row r="880" spans="88:156">
      <c r="CJ880" s="197"/>
      <c r="CK880" s="197"/>
      <c r="CL880" s="197"/>
      <c r="CM880" s="213"/>
      <c r="CN880" s="213"/>
      <c r="CO880" s="197"/>
      <c r="CP880" s="197"/>
      <c r="CQ880" s="197"/>
      <c r="CR880" s="197"/>
      <c r="CS880" s="197"/>
      <c r="CT880" s="197"/>
      <c r="CU880" s="197"/>
      <c r="CV880" s="197"/>
      <c r="CW880" s="197"/>
      <c r="CX880" s="959"/>
      <c r="CY880" s="959"/>
      <c r="CZ880" s="959"/>
      <c r="DA880" s="959"/>
      <c r="DB880" s="959"/>
      <c r="DC880" s="891">
        <v>3576</v>
      </c>
      <c r="DD880" s="891" t="s">
        <v>3804</v>
      </c>
      <c r="DE880" s="891" t="s">
        <v>434</v>
      </c>
      <c r="DF880" s="891">
        <v>5</v>
      </c>
      <c r="DG880" s="959"/>
      <c r="DH880" s="959"/>
      <c r="ER880" s="905">
        <v>3837</v>
      </c>
      <c r="ES880" s="906" t="s">
        <v>3178</v>
      </c>
      <c r="ET880" s="2686">
        <v>9</v>
      </c>
      <c r="EV880" s="985"/>
      <c r="EW880" s="985"/>
      <c r="EX880" s="387"/>
      <c r="EY880" s="939"/>
      <c r="EZ880" s="886"/>
    </row>
    <row r="881" spans="88:156">
      <c r="CJ881" s="197"/>
      <c r="CK881" s="197"/>
      <c r="CL881" s="197"/>
      <c r="CM881" s="213"/>
      <c r="CN881" s="213"/>
      <c r="CO881" s="197"/>
      <c r="CP881" s="197"/>
      <c r="CQ881" s="197"/>
      <c r="CR881" s="197"/>
      <c r="CS881" s="197"/>
      <c r="CT881" s="197"/>
      <c r="CU881" s="197"/>
      <c r="CV881" s="197"/>
      <c r="CW881" s="197"/>
      <c r="CX881" s="959"/>
      <c r="CY881" s="959"/>
      <c r="CZ881" s="959"/>
      <c r="DA881" s="959"/>
      <c r="DB881" s="959"/>
      <c r="DC881" s="891">
        <v>3577</v>
      </c>
      <c r="DD881" s="891" t="s">
        <v>3805</v>
      </c>
      <c r="DE881" s="891" t="s">
        <v>434</v>
      </c>
      <c r="DF881" s="891">
        <v>5</v>
      </c>
      <c r="DG881" s="959"/>
      <c r="DH881" s="959"/>
      <c r="ER881" s="905">
        <v>3841</v>
      </c>
      <c r="ES881" s="906" t="s">
        <v>2740</v>
      </c>
      <c r="ET881" s="2686">
        <v>9</v>
      </c>
      <c r="EV881" s="985"/>
      <c r="EW881" s="985"/>
      <c r="EX881" s="387"/>
      <c r="EY881" s="939"/>
      <c r="EZ881" s="886"/>
    </row>
    <row r="882" spans="88:156">
      <c r="CJ882" s="197"/>
      <c r="CK882" s="197"/>
      <c r="CL882" s="197"/>
      <c r="CM882" s="213"/>
      <c r="CN882" s="213"/>
      <c r="CO882" s="197"/>
      <c r="CP882" s="197"/>
      <c r="CQ882" s="197"/>
      <c r="CR882" s="197"/>
      <c r="CS882" s="197"/>
      <c r="CT882" s="197"/>
      <c r="CU882" s="197"/>
      <c r="CV882" s="197"/>
      <c r="CW882" s="197"/>
      <c r="CX882" s="959"/>
      <c r="CY882" s="959"/>
      <c r="CZ882" s="959"/>
      <c r="DA882" s="959"/>
      <c r="DB882" s="959"/>
      <c r="DC882" s="891">
        <v>3578</v>
      </c>
      <c r="DD882" s="891" t="s">
        <v>3806</v>
      </c>
      <c r="DE882" s="891" t="s">
        <v>434</v>
      </c>
      <c r="DF882" s="891">
        <v>6</v>
      </c>
      <c r="DG882" s="959"/>
      <c r="DH882" s="959"/>
      <c r="ER882" s="905">
        <v>3842</v>
      </c>
      <c r="ES882" s="906" t="s">
        <v>2741</v>
      </c>
      <c r="ET882" s="2686">
        <v>9</v>
      </c>
      <c r="EV882" s="985"/>
      <c r="EW882" s="985"/>
      <c r="EX882" s="387"/>
      <c r="EY882" s="939"/>
      <c r="EZ882" s="886"/>
    </row>
    <row r="883" spans="88:156">
      <c r="CJ883" s="197"/>
      <c r="CK883" s="197"/>
      <c r="CL883" s="197"/>
      <c r="CM883" s="213"/>
      <c r="CN883" s="213"/>
      <c r="CO883" s="197"/>
      <c r="CP883" s="197"/>
      <c r="CQ883" s="197"/>
      <c r="CR883" s="197"/>
      <c r="CS883" s="197"/>
      <c r="CT883" s="197"/>
      <c r="CU883" s="197"/>
      <c r="CV883" s="197"/>
      <c r="CW883" s="197"/>
      <c r="CX883" s="959"/>
      <c r="CY883" s="959"/>
      <c r="CZ883" s="959"/>
      <c r="DA883" s="959"/>
      <c r="DB883" s="959"/>
      <c r="DC883" s="891">
        <v>3579</v>
      </c>
      <c r="DD883" s="891" t="s">
        <v>2416</v>
      </c>
      <c r="DE883" s="891" t="s">
        <v>434</v>
      </c>
      <c r="DF883" s="891">
        <v>6</v>
      </c>
      <c r="DG883" s="959"/>
      <c r="DH883" s="959"/>
      <c r="ER883" s="905">
        <v>3843</v>
      </c>
      <c r="ES883" s="906" t="s">
        <v>2742</v>
      </c>
      <c r="ET883" s="2686">
        <v>9</v>
      </c>
      <c r="EV883" s="985"/>
      <c r="EW883" s="985"/>
      <c r="EX883" s="387"/>
      <c r="EY883" s="939"/>
      <c r="EZ883" s="886"/>
    </row>
    <row r="884" spans="88:156">
      <c r="CJ884" s="197"/>
      <c r="CK884" s="197"/>
      <c r="CL884" s="197"/>
      <c r="CM884" s="213"/>
      <c r="CN884" s="213"/>
      <c r="CO884" s="197"/>
      <c r="CP884" s="197"/>
      <c r="CQ884" s="197"/>
      <c r="CR884" s="197"/>
      <c r="CS884" s="197"/>
      <c r="CT884" s="197"/>
      <c r="CU884" s="197"/>
      <c r="CV884" s="197"/>
      <c r="CW884" s="197"/>
      <c r="CX884" s="959"/>
      <c r="CY884" s="959"/>
      <c r="CZ884" s="959"/>
      <c r="DA884" s="959"/>
      <c r="DB884" s="959"/>
      <c r="DC884" s="891">
        <v>3580</v>
      </c>
      <c r="DD884" s="891" t="s">
        <v>2417</v>
      </c>
      <c r="DE884" s="891" t="s">
        <v>434</v>
      </c>
      <c r="DF884" s="891">
        <v>6</v>
      </c>
      <c r="DG884" s="959"/>
      <c r="DH884" s="959"/>
      <c r="ER884" s="905">
        <v>3844</v>
      </c>
      <c r="ES884" s="906" t="s">
        <v>4079</v>
      </c>
      <c r="ET884" s="2686">
        <v>9</v>
      </c>
      <c r="EV884" s="985"/>
      <c r="EW884" s="985"/>
      <c r="EX884" s="387"/>
      <c r="EY884" s="939"/>
      <c r="EZ884" s="886"/>
    </row>
    <row r="885" spans="88:156">
      <c r="CJ885" s="197"/>
      <c r="CK885" s="197"/>
      <c r="CL885" s="197"/>
      <c r="CM885" s="213"/>
      <c r="CN885" s="213"/>
      <c r="CO885" s="197"/>
      <c r="CP885" s="197"/>
      <c r="CQ885" s="197"/>
      <c r="CR885" s="197"/>
      <c r="CS885" s="197"/>
      <c r="CT885" s="197"/>
      <c r="CU885" s="197"/>
      <c r="CV885" s="197"/>
      <c r="CW885" s="197"/>
      <c r="CX885" s="959"/>
      <c r="CY885" s="959"/>
      <c r="CZ885" s="959"/>
      <c r="DA885" s="959"/>
      <c r="DB885" s="959"/>
      <c r="DC885" s="891">
        <v>3585</v>
      </c>
      <c r="DD885" s="891" t="s">
        <v>2418</v>
      </c>
      <c r="DE885" s="891" t="s">
        <v>434</v>
      </c>
      <c r="DF885" s="891">
        <v>6</v>
      </c>
      <c r="DG885" s="959"/>
      <c r="DH885" s="959"/>
      <c r="ER885" s="905">
        <v>3844</v>
      </c>
      <c r="ES885" s="906" t="s">
        <v>4080</v>
      </c>
      <c r="ET885" s="2686">
        <v>9</v>
      </c>
      <c r="EV885" s="985"/>
      <c r="EW885" s="985"/>
      <c r="EX885" s="387"/>
      <c r="EY885" s="939"/>
      <c r="EZ885" s="886"/>
    </row>
    <row r="886" spans="88:156">
      <c r="CJ886" s="197"/>
      <c r="CK886" s="197"/>
      <c r="CL886" s="197"/>
      <c r="CM886" s="213"/>
      <c r="CN886" s="213"/>
      <c r="CO886" s="197"/>
      <c r="CP886" s="197"/>
      <c r="CQ886" s="197"/>
      <c r="CR886" s="197"/>
      <c r="CS886" s="197"/>
      <c r="CT886" s="197"/>
      <c r="CU886" s="197"/>
      <c r="CV886" s="197"/>
      <c r="CW886" s="197"/>
      <c r="CX886" s="959"/>
      <c r="CY886" s="959"/>
      <c r="CZ886" s="959"/>
      <c r="DA886" s="959"/>
      <c r="DB886" s="959"/>
      <c r="DC886" s="891">
        <v>3586</v>
      </c>
      <c r="DD886" s="891" t="s">
        <v>2419</v>
      </c>
      <c r="DE886" s="891" t="s">
        <v>434</v>
      </c>
      <c r="DF886" s="891">
        <v>6</v>
      </c>
      <c r="DG886" s="959"/>
      <c r="DH886" s="959"/>
      <c r="ER886" s="905">
        <v>3846</v>
      </c>
      <c r="ES886" s="906" t="s">
        <v>4541</v>
      </c>
      <c r="ET886" s="2686">
        <v>9</v>
      </c>
      <c r="EV886" s="985"/>
      <c r="EW886" s="985"/>
      <c r="EX886" s="387"/>
      <c r="EY886" s="939"/>
      <c r="EZ886" s="886"/>
    </row>
    <row r="887" spans="88:156">
      <c r="CJ887" s="197"/>
      <c r="CK887" s="197"/>
      <c r="CL887" s="197"/>
      <c r="CM887" s="213"/>
      <c r="CN887" s="213"/>
      <c r="CO887" s="197"/>
      <c r="CP887" s="197"/>
      <c r="CQ887" s="197"/>
      <c r="CR887" s="197"/>
      <c r="CS887" s="197"/>
      <c r="CT887" s="197"/>
      <c r="CU887" s="197"/>
      <c r="CV887" s="197"/>
      <c r="CW887" s="197"/>
      <c r="CX887" s="959"/>
      <c r="CY887" s="959"/>
      <c r="CZ887" s="959"/>
      <c r="DA887" s="959"/>
      <c r="DB887" s="959"/>
      <c r="DC887" s="891">
        <v>3587</v>
      </c>
      <c r="DD887" s="891" t="s">
        <v>2420</v>
      </c>
      <c r="DE887" s="891" t="s">
        <v>434</v>
      </c>
      <c r="DF887" s="891">
        <v>6</v>
      </c>
      <c r="DG887" s="959"/>
      <c r="DH887" s="959"/>
      <c r="ER887" s="905">
        <v>3847</v>
      </c>
      <c r="ES887" s="906" t="s">
        <v>4542</v>
      </c>
      <c r="ET887" s="2686">
        <v>9</v>
      </c>
      <c r="EV887" s="985"/>
      <c r="EW887" s="985"/>
      <c r="EX887" s="387"/>
      <c r="EY887" s="939"/>
      <c r="EZ887" s="886"/>
    </row>
    <row r="888" spans="88:156">
      <c r="CJ888" s="197"/>
      <c r="CK888" s="197"/>
      <c r="CL888" s="197"/>
      <c r="CM888" s="213"/>
      <c r="CN888" s="213"/>
      <c r="CO888" s="197"/>
      <c r="CP888" s="197"/>
      <c r="CQ888" s="197"/>
      <c r="CR888" s="197"/>
      <c r="CS888" s="197"/>
      <c r="CT888" s="197"/>
      <c r="CU888" s="197"/>
      <c r="CV888" s="197"/>
      <c r="CW888" s="197"/>
      <c r="CX888" s="959"/>
      <c r="CY888" s="959"/>
      <c r="CZ888" s="959"/>
      <c r="DA888" s="959"/>
      <c r="DB888" s="959"/>
      <c r="DC888" s="891">
        <v>3588</v>
      </c>
      <c r="DD888" s="891" t="s">
        <v>2421</v>
      </c>
      <c r="DE888" s="891" t="s">
        <v>434</v>
      </c>
      <c r="DF888" s="891">
        <v>6</v>
      </c>
      <c r="DG888" s="959"/>
      <c r="DH888" s="959"/>
      <c r="ER888" s="905">
        <v>3848</v>
      </c>
      <c r="ES888" s="906" t="s">
        <v>4543</v>
      </c>
      <c r="ET888" s="2686">
        <v>9</v>
      </c>
      <c r="EV888" s="985"/>
      <c r="EW888" s="985"/>
      <c r="EX888" s="387"/>
      <c r="EY888" s="939"/>
      <c r="EZ888" s="886"/>
    </row>
    <row r="889" spans="88:156">
      <c r="CJ889" s="197"/>
      <c r="CK889" s="197"/>
      <c r="CL889" s="197"/>
      <c r="CM889" s="213"/>
      <c r="CN889" s="213"/>
      <c r="CO889" s="197"/>
      <c r="CP889" s="197"/>
      <c r="CQ889" s="197"/>
      <c r="CR889" s="197"/>
      <c r="CS889" s="197"/>
      <c r="CT889" s="197"/>
      <c r="CU889" s="197"/>
      <c r="CV889" s="197"/>
      <c r="CW889" s="197"/>
      <c r="CX889" s="959"/>
      <c r="CY889" s="959"/>
      <c r="CZ889" s="959"/>
      <c r="DA889" s="959"/>
      <c r="DB889" s="959"/>
      <c r="DC889" s="891">
        <v>3589</v>
      </c>
      <c r="DD889" s="891" t="s">
        <v>2422</v>
      </c>
      <c r="DE889" s="891" t="s">
        <v>434</v>
      </c>
      <c r="DF889" s="891">
        <v>6</v>
      </c>
      <c r="DG889" s="959"/>
      <c r="DH889" s="959"/>
      <c r="ER889" s="905">
        <v>3849</v>
      </c>
      <c r="ES889" s="906" t="s">
        <v>4544</v>
      </c>
      <c r="ET889" s="2686">
        <v>9</v>
      </c>
      <c r="EV889" s="985"/>
      <c r="EW889" s="985"/>
      <c r="EX889" s="387"/>
      <c r="EY889" s="939"/>
      <c r="EZ889" s="886"/>
    </row>
    <row r="890" spans="88:156">
      <c r="CJ890" s="197"/>
      <c r="CK890" s="197"/>
      <c r="CL890" s="197"/>
      <c r="CM890" s="213"/>
      <c r="CN890" s="213"/>
      <c r="CO890" s="197"/>
      <c r="CP890" s="197"/>
      <c r="CQ890" s="197"/>
      <c r="CR890" s="197"/>
      <c r="CS890" s="197"/>
      <c r="CT890" s="197"/>
      <c r="CU890" s="197"/>
      <c r="CV890" s="197"/>
      <c r="CW890" s="197"/>
      <c r="CX890" s="959"/>
      <c r="CY890" s="959"/>
      <c r="CZ890" s="959"/>
      <c r="DA890" s="959"/>
      <c r="DB890" s="959"/>
      <c r="DC890" s="891">
        <v>3591</v>
      </c>
      <c r="DD890" s="891" t="s">
        <v>2423</v>
      </c>
      <c r="DE890" s="891" t="s">
        <v>434</v>
      </c>
      <c r="DF890" s="891">
        <v>6</v>
      </c>
      <c r="DG890" s="959"/>
      <c r="DH890" s="959"/>
      <c r="ER890" s="905">
        <v>3851</v>
      </c>
      <c r="ES890" s="906" t="s">
        <v>4545</v>
      </c>
      <c r="ET890" s="2686">
        <v>9</v>
      </c>
      <c r="EV890" s="985"/>
      <c r="EW890" s="985"/>
      <c r="EX890" s="387"/>
      <c r="EY890" s="939"/>
      <c r="EZ890" s="886"/>
    </row>
    <row r="891" spans="88:156">
      <c r="CJ891" s="197"/>
      <c r="CK891" s="197"/>
      <c r="CL891" s="197"/>
      <c r="CM891" s="213"/>
      <c r="CN891" s="213"/>
      <c r="CO891" s="197"/>
      <c r="CP891" s="197"/>
      <c r="CQ891" s="197"/>
      <c r="CR891" s="197"/>
      <c r="CS891" s="197"/>
      <c r="CT891" s="197"/>
      <c r="CU891" s="197"/>
      <c r="CV891" s="197"/>
      <c r="CW891" s="197"/>
      <c r="CX891" s="959"/>
      <c r="CY891" s="959"/>
      <c r="CZ891" s="959"/>
      <c r="DA891" s="959"/>
      <c r="DB891" s="959"/>
      <c r="DC891" s="891">
        <v>3592</v>
      </c>
      <c r="DD891" s="891" t="s">
        <v>2424</v>
      </c>
      <c r="DE891" s="891" t="s">
        <v>434</v>
      </c>
      <c r="DF891" s="891">
        <v>6</v>
      </c>
      <c r="DG891" s="959"/>
      <c r="DH891" s="959"/>
      <c r="ER891" s="905">
        <v>3852</v>
      </c>
      <c r="ES891" s="906" t="s">
        <v>4546</v>
      </c>
      <c r="ET891" s="2686">
        <v>9</v>
      </c>
      <c r="EV891" s="985"/>
      <c r="EW891" s="985"/>
      <c r="EX891" s="387"/>
      <c r="EY891" s="939"/>
      <c r="EZ891" s="886"/>
    </row>
    <row r="892" spans="88:156">
      <c r="CJ892" s="197"/>
      <c r="CK892" s="197"/>
      <c r="CL892" s="197"/>
      <c r="CM892" s="213"/>
      <c r="CN892" s="213"/>
      <c r="CO892" s="197"/>
      <c r="CP892" s="197"/>
      <c r="CQ892" s="197"/>
      <c r="CR892" s="197"/>
      <c r="CS892" s="197"/>
      <c r="CT892" s="197"/>
      <c r="CU892" s="197"/>
      <c r="CV892" s="197"/>
      <c r="CW892" s="197"/>
      <c r="CX892" s="959"/>
      <c r="CY892" s="959"/>
      <c r="CZ892" s="959"/>
      <c r="DA892" s="959"/>
      <c r="DB892" s="959"/>
      <c r="DC892" s="891">
        <v>3593</v>
      </c>
      <c r="DD892" s="891" t="s">
        <v>2425</v>
      </c>
      <c r="DE892" s="891" t="s">
        <v>434</v>
      </c>
      <c r="DF892" s="891">
        <v>6</v>
      </c>
      <c r="DG892" s="959"/>
      <c r="DH892" s="959"/>
      <c r="ER892" s="905">
        <v>3853</v>
      </c>
      <c r="ES892" s="906" t="s">
        <v>4081</v>
      </c>
      <c r="ET892" s="2686">
        <v>9</v>
      </c>
      <c r="EV892" s="985"/>
      <c r="EW892" s="985"/>
      <c r="EX892" s="387"/>
      <c r="EY892" s="939"/>
      <c r="EZ892" s="886"/>
    </row>
    <row r="893" spans="88:156">
      <c r="CJ893" s="197"/>
      <c r="CK893" s="197"/>
      <c r="CL893" s="197"/>
      <c r="CM893" s="213"/>
      <c r="CN893" s="213"/>
      <c r="CO893" s="197"/>
      <c r="CP893" s="197"/>
      <c r="CQ893" s="197"/>
      <c r="CR893" s="197"/>
      <c r="CS893" s="197"/>
      <c r="CT893" s="197"/>
      <c r="CU893" s="197"/>
      <c r="CV893" s="197"/>
      <c r="CW893" s="197"/>
      <c r="CX893" s="959"/>
      <c r="CY893" s="959"/>
      <c r="CZ893" s="959"/>
      <c r="DA893" s="959"/>
      <c r="DB893" s="959"/>
      <c r="DC893" s="891">
        <v>3594</v>
      </c>
      <c r="DD893" s="891" t="s">
        <v>2426</v>
      </c>
      <c r="DE893" s="891" t="s">
        <v>434</v>
      </c>
      <c r="DF893" s="891">
        <v>5</v>
      </c>
      <c r="DG893" s="959"/>
      <c r="DH893" s="959"/>
      <c r="ER893" s="905">
        <v>3853</v>
      </c>
      <c r="ES893" s="906" t="s">
        <v>4082</v>
      </c>
      <c r="ET893" s="2686">
        <v>9</v>
      </c>
      <c r="EV893" s="985"/>
      <c r="EW893" s="985"/>
      <c r="EX893" s="387"/>
      <c r="EY893" s="939"/>
      <c r="EZ893" s="886"/>
    </row>
    <row r="894" spans="88:156">
      <c r="CJ894" s="197"/>
      <c r="CK894" s="197"/>
      <c r="CL894" s="197"/>
      <c r="CM894" s="213"/>
      <c r="CN894" s="213"/>
      <c r="CO894" s="197"/>
      <c r="CP894" s="197"/>
      <c r="CQ894" s="197"/>
      <c r="CR894" s="197"/>
      <c r="CS894" s="197"/>
      <c r="CT894" s="197"/>
      <c r="CU894" s="197"/>
      <c r="CV894" s="197"/>
      <c r="CW894" s="197"/>
      <c r="CX894" s="959"/>
      <c r="CY894" s="959"/>
      <c r="CZ894" s="959"/>
      <c r="DA894" s="959"/>
      <c r="DB894" s="959"/>
      <c r="DC894" s="891">
        <v>3595</v>
      </c>
      <c r="DD894" s="891" t="s">
        <v>2427</v>
      </c>
      <c r="DE894" s="891" t="s">
        <v>434</v>
      </c>
      <c r="DF894" s="891">
        <v>5</v>
      </c>
      <c r="DG894" s="959"/>
      <c r="DH894" s="959"/>
      <c r="ER894" s="905">
        <v>3854</v>
      </c>
      <c r="ES894" s="906" t="s">
        <v>4083</v>
      </c>
      <c r="ET894" s="2686">
        <v>9</v>
      </c>
      <c r="EV894" s="985"/>
      <c r="EW894" s="985"/>
      <c r="EX894" s="387"/>
      <c r="EY894" s="939"/>
      <c r="EZ894" s="886"/>
    </row>
    <row r="895" spans="88:156">
      <c r="CJ895" s="197"/>
      <c r="CK895" s="197"/>
      <c r="CL895" s="197"/>
      <c r="CM895" s="213"/>
      <c r="CN895" s="213"/>
      <c r="CO895" s="197"/>
      <c r="CP895" s="197"/>
      <c r="CQ895" s="197"/>
      <c r="CR895" s="197"/>
      <c r="CS895" s="197"/>
      <c r="CT895" s="197"/>
      <c r="CU895" s="197"/>
      <c r="CV895" s="197"/>
      <c r="CW895" s="197"/>
      <c r="CX895" s="959"/>
      <c r="CY895" s="959"/>
      <c r="CZ895" s="959"/>
      <c r="DA895" s="959"/>
      <c r="DB895" s="959"/>
      <c r="DC895" s="891">
        <v>3596</v>
      </c>
      <c r="DD895" s="891" t="s">
        <v>2428</v>
      </c>
      <c r="DE895" s="891" t="s">
        <v>412</v>
      </c>
      <c r="DF895" s="891">
        <v>5</v>
      </c>
      <c r="DG895" s="959"/>
      <c r="DH895" s="959"/>
      <c r="ER895" s="905">
        <v>3855</v>
      </c>
      <c r="ES895" s="906" t="s">
        <v>4549</v>
      </c>
      <c r="ET895" s="2686">
        <v>9</v>
      </c>
      <c r="EV895" s="985"/>
      <c r="EW895" s="985"/>
      <c r="EX895" s="387"/>
      <c r="EY895" s="939"/>
      <c r="EZ895" s="886"/>
    </row>
    <row r="896" spans="88:156">
      <c r="CJ896" s="197"/>
      <c r="CK896" s="197"/>
      <c r="CL896" s="197"/>
      <c r="CM896" s="213"/>
      <c r="CN896" s="213"/>
      <c r="CO896" s="197"/>
      <c r="CP896" s="197"/>
      <c r="CQ896" s="197"/>
      <c r="CR896" s="197"/>
      <c r="CS896" s="197"/>
      <c r="CT896" s="197"/>
      <c r="CU896" s="197"/>
      <c r="CV896" s="197"/>
      <c r="CW896" s="197"/>
      <c r="CX896" s="959"/>
      <c r="CY896" s="959"/>
      <c r="CZ896" s="959"/>
      <c r="DA896" s="959"/>
      <c r="DB896" s="959"/>
      <c r="DC896" s="891">
        <v>3597</v>
      </c>
      <c r="DD896" s="891" t="s">
        <v>2429</v>
      </c>
      <c r="DE896" s="891" t="s">
        <v>435</v>
      </c>
      <c r="DF896" s="891">
        <v>5</v>
      </c>
      <c r="DG896" s="959"/>
      <c r="DH896" s="959"/>
      <c r="ER896" s="905">
        <v>3860</v>
      </c>
      <c r="ES896" s="906" t="s">
        <v>4084</v>
      </c>
      <c r="ET896" s="2686">
        <v>9</v>
      </c>
      <c r="EV896" s="985"/>
      <c r="EW896" s="985"/>
      <c r="EX896" s="387"/>
      <c r="EY896" s="939"/>
      <c r="EZ896" s="886"/>
    </row>
    <row r="897" spans="88:156">
      <c r="CJ897" s="197"/>
      <c r="CK897" s="197"/>
      <c r="CL897" s="197"/>
      <c r="CM897" s="213"/>
      <c r="CN897" s="213"/>
      <c r="CO897" s="197"/>
      <c r="CP897" s="197"/>
      <c r="CQ897" s="197"/>
      <c r="CR897" s="197"/>
      <c r="CS897" s="197"/>
      <c r="CT897" s="197"/>
      <c r="CU897" s="197"/>
      <c r="CV897" s="197"/>
      <c r="CW897" s="197"/>
      <c r="CX897" s="959"/>
      <c r="CY897" s="959"/>
      <c r="CZ897" s="959"/>
      <c r="DA897" s="959"/>
      <c r="DB897" s="959"/>
      <c r="DC897" s="891">
        <v>3598</v>
      </c>
      <c r="DD897" s="891" t="s">
        <v>2430</v>
      </c>
      <c r="DE897" s="891" t="s">
        <v>412</v>
      </c>
      <c r="DF897" s="891">
        <v>6</v>
      </c>
      <c r="DG897" s="959"/>
      <c r="DH897" s="959"/>
      <c r="ER897" s="905">
        <v>3863</v>
      </c>
      <c r="ES897" s="906" t="s">
        <v>4551</v>
      </c>
      <c r="ET897" s="2686">
        <v>9</v>
      </c>
      <c r="EV897" s="985"/>
      <c r="EW897" s="985"/>
      <c r="EX897" s="387"/>
      <c r="EY897" s="939"/>
      <c r="EZ897" s="886"/>
    </row>
    <row r="898" spans="88:156">
      <c r="CJ898" s="197"/>
      <c r="CK898" s="197"/>
      <c r="CL898" s="197"/>
      <c r="CM898" s="213"/>
      <c r="CN898" s="213"/>
      <c r="CO898" s="197"/>
      <c r="CP898" s="197"/>
      <c r="CQ898" s="197"/>
      <c r="CR898" s="197"/>
      <c r="CS898" s="197"/>
      <c r="CT898" s="197"/>
      <c r="CU898" s="197"/>
      <c r="CV898" s="197"/>
      <c r="CW898" s="197"/>
      <c r="CX898" s="959"/>
      <c r="CY898" s="959"/>
      <c r="CZ898" s="959"/>
      <c r="DA898" s="959"/>
      <c r="DB898" s="959"/>
      <c r="DC898" s="891">
        <v>3599</v>
      </c>
      <c r="DD898" s="891" t="s">
        <v>2431</v>
      </c>
      <c r="DE898" s="891" t="s">
        <v>402</v>
      </c>
      <c r="DF898" s="891">
        <v>6</v>
      </c>
      <c r="DG898" s="959"/>
      <c r="DH898" s="959"/>
      <c r="ER898" s="905">
        <v>3864</v>
      </c>
      <c r="ES898" s="906" t="s">
        <v>4552</v>
      </c>
      <c r="ET898" s="2686">
        <v>9</v>
      </c>
      <c r="EV898" s="985"/>
      <c r="EW898" s="985"/>
      <c r="EX898" s="387"/>
      <c r="EY898" s="939"/>
      <c r="EZ898" s="886"/>
    </row>
    <row r="899" spans="88:156">
      <c r="CJ899" s="197"/>
      <c r="CK899" s="197"/>
      <c r="CL899" s="197"/>
      <c r="CM899" s="213"/>
      <c r="CN899" s="213"/>
      <c r="CO899" s="197"/>
      <c r="CP899" s="197"/>
      <c r="CQ899" s="197"/>
      <c r="CR899" s="197"/>
      <c r="CS899" s="197"/>
      <c r="CT899" s="197"/>
      <c r="CU899" s="197"/>
      <c r="CV899" s="197"/>
      <c r="CW899" s="197"/>
      <c r="CX899" s="959"/>
      <c r="CY899" s="959"/>
      <c r="CZ899" s="959"/>
      <c r="DA899" s="959"/>
      <c r="DB899" s="959"/>
      <c r="DC899" s="891">
        <v>3600</v>
      </c>
      <c r="DD899" s="891" t="s">
        <v>2432</v>
      </c>
      <c r="DE899" s="891" t="s">
        <v>2808</v>
      </c>
      <c r="DF899" s="891">
        <v>5</v>
      </c>
      <c r="DG899" s="959"/>
      <c r="DH899" s="959"/>
      <c r="ER899" s="905">
        <v>3865</v>
      </c>
      <c r="ES899" s="906" t="s">
        <v>4553</v>
      </c>
      <c r="ET899" s="2686">
        <v>9</v>
      </c>
      <c r="EV899" s="985"/>
      <c r="EW899" s="985"/>
      <c r="EX899" s="387"/>
      <c r="EY899" s="939"/>
      <c r="EZ899" s="886"/>
    </row>
    <row r="900" spans="88:156">
      <c r="CJ900" s="197"/>
      <c r="CK900" s="197"/>
      <c r="CL900" s="197"/>
      <c r="CM900" s="213"/>
      <c r="CN900" s="213"/>
      <c r="CO900" s="197"/>
      <c r="CP900" s="197"/>
      <c r="CQ900" s="197"/>
      <c r="CR900" s="197"/>
      <c r="CS900" s="197"/>
      <c r="CT900" s="197"/>
      <c r="CU900" s="197"/>
      <c r="CV900" s="197"/>
      <c r="CW900" s="197"/>
      <c r="CX900" s="959"/>
      <c r="CY900" s="959"/>
      <c r="CZ900" s="959"/>
      <c r="DA900" s="959"/>
      <c r="DB900" s="959"/>
      <c r="DC900" s="891">
        <v>3603</v>
      </c>
      <c r="DD900" s="891" t="s">
        <v>2433</v>
      </c>
      <c r="DE900" s="891" t="s">
        <v>418</v>
      </c>
      <c r="DF900" s="891">
        <v>4</v>
      </c>
      <c r="DG900" s="959"/>
      <c r="DH900" s="959"/>
      <c r="ER900" s="905">
        <v>3866</v>
      </c>
      <c r="ES900" s="906" t="s">
        <v>4085</v>
      </c>
      <c r="ET900" s="2686">
        <v>9</v>
      </c>
      <c r="EV900" s="985"/>
      <c r="EW900" s="985"/>
      <c r="EX900" s="387"/>
      <c r="EY900" s="939"/>
      <c r="EZ900" s="886"/>
    </row>
    <row r="901" spans="88:156">
      <c r="CJ901" s="197"/>
      <c r="CK901" s="197"/>
      <c r="CL901" s="197"/>
      <c r="CM901" s="213"/>
      <c r="CN901" s="213"/>
      <c r="CO901" s="197"/>
      <c r="CP901" s="197"/>
      <c r="CQ901" s="197"/>
      <c r="CR901" s="197"/>
      <c r="CS901" s="197"/>
      <c r="CT901" s="197"/>
      <c r="CU901" s="197"/>
      <c r="CV901" s="197"/>
      <c r="CW901" s="197"/>
      <c r="CX901" s="959"/>
      <c r="CY901" s="959"/>
      <c r="CZ901" s="959"/>
      <c r="DA901" s="959"/>
      <c r="DB901" s="959"/>
      <c r="DC901" s="891">
        <v>3604</v>
      </c>
      <c r="DD901" s="891" t="s">
        <v>2434</v>
      </c>
      <c r="DE901" s="891" t="s">
        <v>428</v>
      </c>
      <c r="DF901" s="891">
        <v>5</v>
      </c>
      <c r="DG901" s="959"/>
      <c r="DH901" s="959"/>
      <c r="ER901" s="905">
        <v>3866</v>
      </c>
      <c r="ES901" s="906" t="s">
        <v>4086</v>
      </c>
      <c r="ET901" s="2686">
        <v>9</v>
      </c>
      <c r="EV901" s="985"/>
      <c r="EW901" s="985"/>
      <c r="EX901" s="387"/>
      <c r="EY901" s="939"/>
      <c r="EZ901" s="886"/>
    </row>
    <row r="902" spans="88:156">
      <c r="CJ902" s="197"/>
      <c r="CK902" s="197"/>
      <c r="CL902" s="197"/>
      <c r="CM902" s="213"/>
      <c r="CN902" s="213"/>
      <c r="CO902" s="197"/>
      <c r="CP902" s="197"/>
      <c r="CQ902" s="197"/>
      <c r="CR902" s="197"/>
      <c r="CS902" s="197"/>
      <c r="CT902" s="197"/>
      <c r="CU902" s="197"/>
      <c r="CV902" s="197"/>
      <c r="CW902" s="197"/>
      <c r="CX902" s="959"/>
      <c r="CY902" s="959"/>
      <c r="CZ902" s="959"/>
      <c r="DA902" s="959"/>
      <c r="DB902" s="959"/>
      <c r="DC902" s="891">
        <v>3608</v>
      </c>
      <c r="DD902" s="891" t="s">
        <v>2435</v>
      </c>
      <c r="DE902" s="891" t="s">
        <v>410</v>
      </c>
      <c r="DF902" s="891">
        <v>5</v>
      </c>
      <c r="DG902" s="959"/>
      <c r="DH902" s="959"/>
      <c r="ER902" s="905">
        <v>3871</v>
      </c>
      <c r="ES902" s="906" t="s">
        <v>4557</v>
      </c>
      <c r="ET902" s="2686">
        <v>9</v>
      </c>
      <c r="EV902" s="985"/>
      <c r="EW902" s="985"/>
      <c r="EX902" s="387"/>
      <c r="EY902" s="939"/>
      <c r="EZ902" s="886"/>
    </row>
    <row r="903" spans="88:156">
      <c r="CJ903" s="197"/>
      <c r="CK903" s="197"/>
      <c r="CL903" s="197"/>
      <c r="CM903" s="213"/>
      <c r="CN903" s="213"/>
      <c r="CO903" s="197"/>
      <c r="CP903" s="197"/>
      <c r="CQ903" s="197"/>
      <c r="CR903" s="197"/>
      <c r="CS903" s="197"/>
      <c r="CT903" s="197"/>
      <c r="CU903" s="197"/>
      <c r="CV903" s="197"/>
      <c r="CW903" s="197"/>
      <c r="CX903" s="959"/>
      <c r="CY903" s="959"/>
      <c r="CZ903" s="959"/>
      <c r="DA903" s="959"/>
      <c r="DB903" s="959"/>
      <c r="DC903" s="891">
        <v>3621</v>
      </c>
      <c r="DD903" s="891" t="s">
        <v>2436</v>
      </c>
      <c r="DE903" s="891" t="s">
        <v>406</v>
      </c>
      <c r="DF903" s="891">
        <v>4</v>
      </c>
      <c r="DG903" s="959"/>
      <c r="DH903" s="959"/>
      <c r="ER903" s="905">
        <v>3872</v>
      </c>
      <c r="ES903" s="906" t="s">
        <v>4558</v>
      </c>
      <c r="ET903" s="2686">
        <v>9</v>
      </c>
      <c r="EV903" s="985"/>
      <c r="EW903" s="985"/>
      <c r="EX903" s="387"/>
      <c r="EY903" s="939"/>
      <c r="EZ903" s="886"/>
    </row>
    <row r="904" spans="88:156">
      <c r="CJ904" s="197"/>
      <c r="CK904" s="197"/>
      <c r="CL904" s="197"/>
      <c r="CM904" s="213"/>
      <c r="CN904" s="213"/>
      <c r="CO904" s="197"/>
      <c r="CP904" s="197"/>
      <c r="CQ904" s="197"/>
      <c r="CR904" s="197"/>
      <c r="CS904" s="197"/>
      <c r="CT904" s="197"/>
      <c r="CU904" s="197"/>
      <c r="CV904" s="197"/>
      <c r="CW904" s="197"/>
      <c r="CX904" s="959"/>
      <c r="CY904" s="959"/>
      <c r="CZ904" s="959"/>
      <c r="DA904" s="959"/>
      <c r="DB904" s="959"/>
      <c r="DC904" s="891">
        <v>3622</v>
      </c>
      <c r="DD904" s="891" t="s">
        <v>2437</v>
      </c>
      <c r="DE904" s="891" t="s">
        <v>417</v>
      </c>
      <c r="DF904" s="891">
        <v>5</v>
      </c>
      <c r="DG904" s="959"/>
      <c r="DH904" s="959"/>
      <c r="ER904" s="905">
        <v>3873</v>
      </c>
      <c r="ES904" s="906" t="s">
        <v>4559</v>
      </c>
      <c r="ET904" s="2686">
        <v>9</v>
      </c>
      <c r="EV904" s="985"/>
      <c r="EW904" s="985"/>
      <c r="EX904" s="387"/>
      <c r="EY904" s="939"/>
      <c r="EZ904" s="886"/>
    </row>
    <row r="905" spans="88:156">
      <c r="CJ905" s="197"/>
      <c r="CK905" s="197"/>
      <c r="CL905" s="197"/>
      <c r="CM905" s="213"/>
      <c r="CN905" s="213"/>
      <c r="CO905" s="197"/>
      <c r="CP905" s="197"/>
      <c r="CQ905" s="197"/>
      <c r="CR905" s="197"/>
      <c r="CS905" s="197"/>
      <c r="CT905" s="197"/>
      <c r="CU905" s="197"/>
      <c r="CV905" s="197"/>
      <c r="CW905" s="197"/>
      <c r="CX905" s="959"/>
      <c r="CY905" s="959"/>
      <c r="CZ905" s="959"/>
      <c r="DA905" s="959"/>
      <c r="DB905" s="959"/>
      <c r="DC905" s="891">
        <v>3623</v>
      </c>
      <c r="DD905" s="891" t="s">
        <v>3280</v>
      </c>
      <c r="DE905" s="891" t="s">
        <v>434</v>
      </c>
      <c r="DF905" s="891">
        <v>5</v>
      </c>
      <c r="DG905" s="959"/>
      <c r="DH905" s="959"/>
      <c r="ER905" s="905">
        <v>3874</v>
      </c>
      <c r="ES905" s="906" t="s">
        <v>4087</v>
      </c>
      <c r="ET905" s="2686">
        <v>9</v>
      </c>
      <c r="EV905" s="985"/>
      <c r="EW905" s="985"/>
      <c r="EX905" s="387"/>
      <c r="EY905" s="939"/>
      <c r="EZ905" s="886"/>
    </row>
    <row r="906" spans="88:156">
      <c r="CJ906" s="197"/>
      <c r="CK906" s="197"/>
      <c r="CL906" s="197"/>
      <c r="CM906" s="213"/>
      <c r="CN906" s="213"/>
      <c r="CO906" s="197"/>
      <c r="CP906" s="197"/>
      <c r="CQ906" s="197"/>
      <c r="CR906" s="197"/>
      <c r="CS906" s="197"/>
      <c r="CT906" s="197"/>
      <c r="CU906" s="197"/>
      <c r="CV906" s="197"/>
      <c r="CW906" s="197"/>
      <c r="CX906" s="959"/>
      <c r="CY906" s="959"/>
      <c r="CZ906" s="959"/>
      <c r="DA906" s="959"/>
      <c r="DB906" s="959"/>
      <c r="DC906" s="891">
        <v>3625</v>
      </c>
      <c r="DD906" s="891" t="s">
        <v>3281</v>
      </c>
      <c r="DE906" s="891" t="s">
        <v>434</v>
      </c>
      <c r="DF906" s="891">
        <v>4</v>
      </c>
      <c r="DG906" s="959"/>
      <c r="DH906" s="959"/>
      <c r="ER906" s="905">
        <v>3874</v>
      </c>
      <c r="ES906" s="906" t="s">
        <v>4088</v>
      </c>
      <c r="ET906" s="2686">
        <v>9</v>
      </c>
      <c r="EV906" s="985"/>
      <c r="EW906" s="985"/>
      <c r="EX906" s="387"/>
      <c r="EY906" s="939"/>
      <c r="EZ906" s="886"/>
    </row>
    <row r="907" spans="88:156">
      <c r="CJ907" s="197"/>
      <c r="CK907" s="197"/>
      <c r="CL907" s="197"/>
      <c r="CM907" s="213"/>
      <c r="CN907" s="213"/>
      <c r="CO907" s="197"/>
      <c r="CP907" s="197"/>
      <c r="CQ907" s="197"/>
      <c r="CR907" s="197"/>
      <c r="CS907" s="197"/>
      <c r="CT907" s="197"/>
      <c r="CU907" s="197"/>
      <c r="CV907" s="197"/>
      <c r="CW907" s="197"/>
      <c r="CX907" s="959"/>
      <c r="CY907" s="959"/>
      <c r="CZ907" s="959"/>
      <c r="DA907" s="959"/>
      <c r="DB907" s="959"/>
      <c r="DC907" s="891">
        <v>3626</v>
      </c>
      <c r="DD907" s="891" t="s">
        <v>3282</v>
      </c>
      <c r="DE907" s="891" t="s">
        <v>431</v>
      </c>
      <c r="DF907" s="891">
        <v>5</v>
      </c>
      <c r="DG907" s="959"/>
      <c r="DH907" s="959"/>
      <c r="ER907" s="905">
        <v>3874</v>
      </c>
      <c r="ES907" s="906" t="s">
        <v>4089</v>
      </c>
      <c r="ET907" s="2686">
        <v>9</v>
      </c>
      <c r="EV907" s="985"/>
      <c r="EW907" s="985"/>
      <c r="EX907" s="387"/>
      <c r="EY907" s="939"/>
      <c r="EZ907" s="886"/>
    </row>
    <row r="908" spans="88:156">
      <c r="CJ908" s="197"/>
      <c r="CK908" s="197"/>
      <c r="CL908" s="197"/>
      <c r="CM908" s="213"/>
      <c r="CN908" s="213"/>
      <c r="CO908" s="197"/>
      <c r="CP908" s="197"/>
      <c r="CQ908" s="197"/>
      <c r="CR908" s="197"/>
      <c r="CS908" s="197"/>
      <c r="CT908" s="197"/>
      <c r="CU908" s="197"/>
      <c r="CV908" s="197"/>
      <c r="CW908" s="197"/>
      <c r="CX908" s="959"/>
      <c r="CY908" s="959"/>
      <c r="CZ908" s="959"/>
      <c r="DA908" s="959"/>
      <c r="DB908" s="959"/>
      <c r="DC908" s="891">
        <v>3627</v>
      </c>
      <c r="DD908" s="891" t="s">
        <v>3283</v>
      </c>
      <c r="DE908" s="891" t="s">
        <v>431</v>
      </c>
      <c r="DF908" s="891">
        <v>6</v>
      </c>
      <c r="DG908" s="959"/>
      <c r="DH908" s="959"/>
      <c r="ER908" s="905">
        <v>3875</v>
      </c>
      <c r="ES908" s="906" t="s">
        <v>4561</v>
      </c>
      <c r="ET908" s="2686">
        <v>9</v>
      </c>
      <c r="EV908" s="985"/>
      <c r="EW908" s="985"/>
      <c r="EX908" s="387"/>
      <c r="EY908" s="939"/>
      <c r="EZ908" s="886"/>
    </row>
    <row r="909" spans="88:156">
      <c r="CJ909" s="197"/>
      <c r="CK909" s="197"/>
      <c r="CL909" s="197"/>
      <c r="CM909" s="213"/>
      <c r="CN909" s="213"/>
      <c r="CO909" s="197"/>
      <c r="CP909" s="197"/>
      <c r="CQ909" s="197"/>
      <c r="CR909" s="197"/>
      <c r="CS909" s="197"/>
      <c r="CT909" s="197"/>
      <c r="CU909" s="197"/>
      <c r="CV909" s="197"/>
      <c r="CW909" s="197"/>
      <c r="CX909" s="959"/>
      <c r="CY909" s="959"/>
      <c r="CZ909" s="959"/>
      <c r="DA909" s="959"/>
      <c r="DB909" s="959"/>
      <c r="DC909" s="891">
        <v>3630</v>
      </c>
      <c r="DD909" s="891" t="s">
        <v>3284</v>
      </c>
      <c r="DE909" s="891" t="s">
        <v>412</v>
      </c>
      <c r="DF909" s="891">
        <v>5</v>
      </c>
      <c r="DG909" s="959"/>
      <c r="DH909" s="959"/>
      <c r="ER909" s="905">
        <v>3876</v>
      </c>
      <c r="ES909" s="906" t="s">
        <v>4562</v>
      </c>
      <c r="ET909" s="2686">
        <v>9</v>
      </c>
      <c r="EV909" s="985"/>
      <c r="EW909" s="985"/>
      <c r="EX909" s="387"/>
      <c r="EY909" s="939"/>
      <c r="EZ909" s="886"/>
    </row>
    <row r="910" spans="88:156">
      <c r="CJ910" s="197"/>
      <c r="CK910" s="197"/>
      <c r="CL910" s="197"/>
      <c r="CM910" s="213"/>
      <c r="CN910" s="213"/>
      <c r="CO910" s="197"/>
      <c r="CP910" s="197"/>
      <c r="CQ910" s="197"/>
      <c r="CR910" s="197"/>
      <c r="CS910" s="197"/>
      <c r="CT910" s="197"/>
      <c r="CU910" s="197"/>
      <c r="CV910" s="197"/>
      <c r="CW910" s="197"/>
      <c r="CX910" s="959"/>
      <c r="CY910" s="959"/>
      <c r="CZ910" s="959"/>
      <c r="DA910" s="959"/>
      <c r="DB910" s="959"/>
      <c r="DC910" s="891">
        <v>3635</v>
      </c>
      <c r="DD910" s="891" t="s">
        <v>3285</v>
      </c>
      <c r="DE910" s="891" t="s">
        <v>410</v>
      </c>
      <c r="DF910" s="891">
        <v>6</v>
      </c>
      <c r="DG910" s="959"/>
      <c r="DH910" s="959"/>
      <c r="ER910" s="905">
        <v>3877</v>
      </c>
      <c r="ES910" s="906" t="s">
        <v>4563</v>
      </c>
      <c r="ET910" s="2686">
        <v>9</v>
      </c>
      <c r="EV910" s="985"/>
      <c r="EW910" s="985"/>
      <c r="EX910" s="387"/>
      <c r="EY910" s="939"/>
      <c r="EZ910" s="886"/>
    </row>
    <row r="911" spans="88:156">
      <c r="CJ911" s="197"/>
      <c r="CK911" s="197"/>
      <c r="CL911" s="197"/>
      <c r="CM911" s="213"/>
      <c r="CN911" s="213"/>
      <c r="CO911" s="197"/>
      <c r="CP911" s="197"/>
      <c r="CQ911" s="197"/>
      <c r="CR911" s="197"/>
      <c r="CS911" s="197"/>
      <c r="CT911" s="197"/>
      <c r="CU911" s="197"/>
      <c r="CV911" s="197"/>
      <c r="CW911" s="197"/>
      <c r="CX911" s="959"/>
      <c r="CY911" s="959"/>
      <c r="CZ911" s="959"/>
      <c r="DA911" s="959"/>
      <c r="DB911" s="959"/>
      <c r="DC911" s="891">
        <v>3636</v>
      </c>
      <c r="DD911" s="891" t="s">
        <v>3286</v>
      </c>
      <c r="DE911" s="891" t="s">
        <v>433</v>
      </c>
      <c r="DF911" s="891">
        <v>6</v>
      </c>
      <c r="DG911" s="959"/>
      <c r="DH911" s="959"/>
      <c r="ER911" s="905">
        <v>3881</v>
      </c>
      <c r="ES911" s="906" t="s">
        <v>4090</v>
      </c>
      <c r="ET911" s="2686">
        <v>9</v>
      </c>
      <c r="EV911" s="985"/>
      <c r="EW911" s="985"/>
      <c r="EX911" s="387"/>
      <c r="EY911" s="939"/>
      <c r="EZ911" s="886"/>
    </row>
    <row r="912" spans="88:156">
      <c r="CJ912" s="197"/>
      <c r="CK912" s="197"/>
      <c r="CL912" s="197"/>
      <c r="CM912" s="213"/>
      <c r="CN912" s="213"/>
      <c r="CO912" s="197"/>
      <c r="CP912" s="197"/>
      <c r="CQ912" s="197"/>
      <c r="CR912" s="197"/>
      <c r="CS912" s="197"/>
      <c r="CT912" s="197"/>
      <c r="CU912" s="197"/>
      <c r="CV912" s="197"/>
      <c r="CW912" s="197"/>
      <c r="CX912" s="959"/>
      <c r="CY912" s="959"/>
      <c r="CZ912" s="959"/>
      <c r="DA912" s="959"/>
      <c r="DB912" s="959"/>
      <c r="DC912" s="891">
        <v>3641</v>
      </c>
      <c r="DD912" s="891" t="s">
        <v>3287</v>
      </c>
      <c r="DE912" s="891" t="s">
        <v>419</v>
      </c>
      <c r="DF912" s="891">
        <v>5</v>
      </c>
      <c r="DG912" s="959"/>
      <c r="DH912" s="959"/>
      <c r="ER912" s="905">
        <v>3881</v>
      </c>
      <c r="ES912" s="906" t="s">
        <v>4091</v>
      </c>
      <c r="ET912" s="2686">
        <v>9</v>
      </c>
      <c r="EV912" s="985"/>
      <c r="EW912" s="985"/>
      <c r="EX912" s="387"/>
      <c r="EY912" s="939"/>
      <c r="EZ912" s="886"/>
    </row>
    <row r="913" spans="88:156">
      <c r="CJ913" s="197"/>
      <c r="CK913" s="197"/>
      <c r="CL913" s="197"/>
      <c r="CM913" s="213"/>
      <c r="CN913" s="213"/>
      <c r="CO913" s="197"/>
      <c r="CP913" s="197"/>
      <c r="CQ913" s="197"/>
      <c r="CR913" s="197"/>
      <c r="CS913" s="197"/>
      <c r="CT913" s="197"/>
      <c r="CU913" s="197"/>
      <c r="CV913" s="197"/>
      <c r="CW913" s="197"/>
      <c r="CX913" s="959"/>
      <c r="CY913" s="959"/>
      <c r="CZ913" s="959"/>
      <c r="DA913" s="959"/>
      <c r="DB913" s="959"/>
      <c r="DC913" s="891">
        <v>3642</v>
      </c>
      <c r="DD913" s="891" t="s">
        <v>3288</v>
      </c>
      <c r="DE913" s="891" t="s">
        <v>419</v>
      </c>
      <c r="DF913" s="891">
        <v>5</v>
      </c>
      <c r="DG913" s="959"/>
      <c r="DH913" s="959"/>
      <c r="ER913" s="905">
        <v>3881</v>
      </c>
      <c r="ES913" s="906" t="s">
        <v>4092</v>
      </c>
      <c r="ET913" s="2686">
        <v>9</v>
      </c>
      <c r="EV913" s="985"/>
      <c r="EW913" s="985"/>
      <c r="EX913" s="387"/>
      <c r="EY913" s="939"/>
      <c r="EZ913" s="886"/>
    </row>
    <row r="914" spans="88:156">
      <c r="CJ914" s="197"/>
      <c r="CK914" s="197"/>
      <c r="CL914" s="197"/>
      <c r="CM914" s="213"/>
      <c r="CN914" s="213"/>
      <c r="CO914" s="197"/>
      <c r="CP914" s="197"/>
      <c r="CQ914" s="197"/>
      <c r="CR914" s="197"/>
      <c r="CS914" s="197"/>
      <c r="CT914" s="197"/>
      <c r="CU914" s="197"/>
      <c r="CV914" s="197"/>
      <c r="CW914" s="197"/>
      <c r="CX914" s="959"/>
      <c r="CY914" s="959"/>
      <c r="CZ914" s="959"/>
      <c r="DA914" s="959"/>
      <c r="DB914" s="959"/>
      <c r="DC914" s="891">
        <v>3643</v>
      </c>
      <c r="DD914" s="891" t="s">
        <v>3289</v>
      </c>
      <c r="DE914" s="891" t="s">
        <v>406</v>
      </c>
      <c r="DF914" s="891">
        <v>5</v>
      </c>
      <c r="DG914" s="959"/>
      <c r="DH914" s="959"/>
      <c r="ER914" s="905">
        <v>3882</v>
      </c>
      <c r="ES914" s="906" t="s">
        <v>4093</v>
      </c>
      <c r="ET914" s="2686">
        <v>9</v>
      </c>
      <c r="EV914" s="985"/>
      <c r="EW914" s="985"/>
      <c r="EX914" s="387"/>
      <c r="EY914" s="939"/>
      <c r="EZ914" s="886"/>
    </row>
    <row r="915" spans="88:156">
      <c r="CJ915" s="197"/>
      <c r="CK915" s="197"/>
      <c r="CL915" s="197"/>
      <c r="CM915" s="213"/>
      <c r="CN915" s="213"/>
      <c r="CO915" s="197"/>
      <c r="CP915" s="197"/>
      <c r="CQ915" s="197"/>
      <c r="CR915" s="197"/>
      <c r="CS915" s="197"/>
      <c r="CT915" s="197"/>
      <c r="CU915" s="197"/>
      <c r="CV915" s="197"/>
      <c r="CW915" s="197"/>
      <c r="CX915" s="959"/>
      <c r="CY915" s="959"/>
      <c r="CZ915" s="959"/>
      <c r="DA915" s="959"/>
      <c r="DB915" s="959"/>
      <c r="DC915" s="891">
        <v>3644</v>
      </c>
      <c r="DD915" s="891" t="s">
        <v>3290</v>
      </c>
      <c r="DE915" s="891" t="s">
        <v>402</v>
      </c>
      <c r="DF915" s="891">
        <v>5</v>
      </c>
      <c r="DG915" s="959"/>
      <c r="DH915" s="959"/>
      <c r="ER915" s="905">
        <v>3882</v>
      </c>
      <c r="ES915" s="906" t="s">
        <v>4094</v>
      </c>
      <c r="ET915" s="2686">
        <v>9</v>
      </c>
      <c r="EV915" s="985"/>
      <c r="EW915" s="985"/>
      <c r="EX915" s="387"/>
      <c r="EY915" s="939"/>
      <c r="EZ915" s="886"/>
    </row>
    <row r="916" spans="88:156">
      <c r="CJ916" s="197"/>
      <c r="CK916" s="197"/>
      <c r="CL916" s="197"/>
      <c r="CM916" s="213"/>
      <c r="CN916" s="213"/>
      <c r="CO916" s="197"/>
      <c r="CP916" s="197"/>
      <c r="CQ916" s="197"/>
      <c r="CR916" s="197"/>
      <c r="CS916" s="197"/>
      <c r="CT916" s="197"/>
      <c r="CU916" s="197"/>
      <c r="CV916" s="197"/>
      <c r="CW916" s="197"/>
      <c r="CX916" s="959"/>
      <c r="CY916" s="959"/>
      <c r="CZ916" s="959"/>
      <c r="DA916" s="959"/>
      <c r="DB916" s="959"/>
      <c r="DC916" s="891">
        <v>3645</v>
      </c>
      <c r="DD916" s="891" t="s">
        <v>3375</v>
      </c>
      <c r="DE916" s="891" t="s">
        <v>435</v>
      </c>
      <c r="DF916" s="891">
        <v>5</v>
      </c>
      <c r="DG916" s="959"/>
      <c r="DH916" s="959"/>
      <c r="ER916" s="905">
        <v>3884</v>
      </c>
      <c r="ES916" s="906" t="s">
        <v>4566</v>
      </c>
      <c r="ET916" s="2686">
        <v>9</v>
      </c>
      <c r="EV916" s="985"/>
      <c r="EW916" s="985"/>
      <c r="EX916" s="387"/>
      <c r="EY916" s="939"/>
      <c r="EZ916" s="886"/>
    </row>
    <row r="917" spans="88:156">
      <c r="CJ917" s="197"/>
      <c r="CK917" s="197"/>
      <c r="CL917" s="197"/>
      <c r="CM917" s="213"/>
      <c r="CN917" s="213"/>
      <c r="CO917" s="197"/>
      <c r="CP917" s="197"/>
      <c r="CQ917" s="197"/>
      <c r="CR917" s="197"/>
      <c r="CS917" s="197"/>
      <c r="CT917" s="197"/>
      <c r="CU917" s="197"/>
      <c r="CV917" s="197"/>
      <c r="CW917" s="197"/>
      <c r="CX917" s="959"/>
      <c r="CY917" s="959"/>
      <c r="CZ917" s="959"/>
      <c r="DA917" s="959"/>
      <c r="DB917" s="959"/>
      <c r="DC917" s="891">
        <v>3646</v>
      </c>
      <c r="DD917" s="891" t="s">
        <v>3376</v>
      </c>
      <c r="DE917" s="891" t="s">
        <v>2807</v>
      </c>
      <c r="DF917" s="891">
        <v>5</v>
      </c>
      <c r="DG917" s="959"/>
      <c r="DH917" s="959"/>
      <c r="ER917" s="905">
        <v>3885</v>
      </c>
      <c r="ES917" s="906" t="s">
        <v>4095</v>
      </c>
      <c r="ET917" s="2686">
        <v>9</v>
      </c>
      <c r="EV917" s="985"/>
      <c r="EW917" s="985"/>
      <c r="EX917" s="387"/>
      <c r="EY917" s="939"/>
      <c r="EZ917" s="886"/>
    </row>
    <row r="918" spans="88:156">
      <c r="CJ918" s="197"/>
      <c r="CK918" s="197"/>
      <c r="CL918" s="197"/>
      <c r="CM918" s="213"/>
      <c r="CN918" s="213"/>
      <c r="CO918" s="197"/>
      <c r="CP918" s="197"/>
      <c r="CQ918" s="197"/>
      <c r="CR918" s="197"/>
      <c r="CS918" s="197"/>
      <c r="CT918" s="197"/>
      <c r="CU918" s="197"/>
      <c r="CV918" s="197"/>
      <c r="CW918" s="197"/>
      <c r="CX918" s="959"/>
      <c r="CY918" s="959"/>
      <c r="CZ918" s="959"/>
      <c r="DA918" s="959"/>
      <c r="DB918" s="959"/>
      <c r="DC918" s="891">
        <v>3647</v>
      </c>
      <c r="DD918" s="891" t="s">
        <v>3377</v>
      </c>
      <c r="DE918" s="891" t="s">
        <v>2808</v>
      </c>
      <c r="DF918" s="891">
        <v>5</v>
      </c>
      <c r="DG918" s="959"/>
      <c r="DH918" s="959"/>
      <c r="ER918" s="905">
        <v>3885</v>
      </c>
      <c r="ES918" s="906" t="s">
        <v>4096</v>
      </c>
      <c r="ET918" s="2686">
        <v>9</v>
      </c>
      <c r="EV918" s="985"/>
      <c r="EW918" s="985"/>
      <c r="EX918" s="387"/>
      <c r="EY918" s="939"/>
      <c r="EZ918" s="886"/>
    </row>
    <row r="919" spans="88:156">
      <c r="CJ919" s="197"/>
      <c r="CK919" s="197"/>
      <c r="CL919" s="197"/>
      <c r="CM919" s="213"/>
      <c r="CN919" s="213"/>
      <c r="CO919" s="197"/>
      <c r="CP919" s="197"/>
      <c r="CQ919" s="197"/>
      <c r="CR919" s="197"/>
      <c r="CS919" s="197"/>
      <c r="CT919" s="197"/>
      <c r="CU919" s="197"/>
      <c r="CV919" s="197"/>
      <c r="CW919" s="197"/>
      <c r="CX919" s="959"/>
      <c r="CY919" s="959"/>
      <c r="CZ919" s="959"/>
      <c r="DA919" s="959"/>
      <c r="DB919" s="959"/>
      <c r="DC919" s="891">
        <v>3648</v>
      </c>
      <c r="DD919" s="891" t="s">
        <v>1406</v>
      </c>
      <c r="DE919" s="891" t="s">
        <v>432</v>
      </c>
      <c r="DF919" s="891">
        <v>5</v>
      </c>
      <c r="DG919" s="959"/>
      <c r="DH919" s="959"/>
      <c r="ER919" s="905">
        <v>3886</v>
      </c>
      <c r="ES919" s="906" t="s">
        <v>4568</v>
      </c>
      <c r="ET919" s="2686">
        <v>9</v>
      </c>
      <c r="EV919" s="985"/>
      <c r="EW919" s="985"/>
      <c r="EX919" s="387"/>
      <c r="EY919" s="939"/>
      <c r="EZ919" s="886"/>
    </row>
    <row r="920" spans="88:156">
      <c r="CJ920" s="197"/>
      <c r="CK920" s="197"/>
      <c r="CL920" s="197"/>
      <c r="CM920" s="213"/>
      <c r="CN920" s="213"/>
      <c r="CO920" s="197"/>
      <c r="CP920" s="197"/>
      <c r="CQ920" s="197"/>
      <c r="CR920" s="197"/>
      <c r="CS920" s="197"/>
      <c r="CT920" s="197"/>
      <c r="CU920" s="197"/>
      <c r="CV920" s="197"/>
      <c r="CW920" s="197"/>
      <c r="CX920" s="959"/>
      <c r="CY920" s="959"/>
      <c r="CZ920" s="959"/>
      <c r="DA920" s="959"/>
      <c r="DB920" s="959"/>
      <c r="DC920" s="891">
        <v>3651</v>
      </c>
      <c r="DD920" s="891" t="s">
        <v>1407</v>
      </c>
      <c r="DE920" s="891" t="s">
        <v>406</v>
      </c>
      <c r="DF920" s="891">
        <v>5</v>
      </c>
      <c r="DG920" s="959"/>
      <c r="DH920" s="959"/>
      <c r="ER920" s="905">
        <v>3887</v>
      </c>
      <c r="ES920" s="906" t="s">
        <v>4569</v>
      </c>
      <c r="ET920" s="2686">
        <v>9</v>
      </c>
      <c r="EV920" s="985"/>
      <c r="EW920" s="985"/>
      <c r="EX920" s="387"/>
      <c r="EY920" s="939"/>
      <c r="EZ920" s="886"/>
    </row>
    <row r="921" spans="88:156">
      <c r="CJ921" s="197"/>
      <c r="CK921" s="197"/>
      <c r="CL921" s="197"/>
      <c r="CM921" s="213"/>
      <c r="CN921" s="213"/>
      <c r="CO921" s="197"/>
      <c r="CP921" s="197"/>
      <c r="CQ921" s="197"/>
      <c r="CR921" s="197"/>
      <c r="CS921" s="197"/>
      <c r="CT921" s="197"/>
      <c r="CU921" s="197"/>
      <c r="CV921" s="197"/>
      <c r="CW921" s="197"/>
      <c r="CX921" s="959"/>
      <c r="CY921" s="959"/>
      <c r="CZ921" s="959"/>
      <c r="DA921" s="959"/>
      <c r="DB921" s="959"/>
      <c r="DC921" s="891">
        <v>3652</v>
      </c>
      <c r="DD921" s="891" t="s">
        <v>1408</v>
      </c>
      <c r="DE921" s="891" t="s">
        <v>419</v>
      </c>
      <c r="DF921" s="891">
        <v>5</v>
      </c>
      <c r="DG921" s="959"/>
      <c r="DH921" s="959"/>
      <c r="ER921" s="905">
        <v>3888</v>
      </c>
      <c r="ES921" s="906" t="s">
        <v>4570</v>
      </c>
      <c r="ET921" s="2686">
        <v>9</v>
      </c>
      <c r="EV921" s="985"/>
      <c r="EW921" s="985"/>
      <c r="EX921" s="387"/>
      <c r="EY921" s="939"/>
      <c r="EZ921" s="886"/>
    </row>
    <row r="922" spans="88:156">
      <c r="CJ922" s="197"/>
      <c r="CK922" s="197"/>
      <c r="CL922" s="197"/>
      <c r="CM922" s="213"/>
      <c r="CN922" s="213"/>
      <c r="CO922" s="197"/>
      <c r="CP922" s="197"/>
      <c r="CQ922" s="197"/>
      <c r="CR922" s="197"/>
      <c r="CS922" s="197"/>
      <c r="CT922" s="197"/>
      <c r="CU922" s="197"/>
      <c r="CV922" s="197"/>
      <c r="CW922" s="197"/>
      <c r="CX922" s="959"/>
      <c r="CY922" s="959"/>
      <c r="CZ922" s="959"/>
      <c r="DA922" s="959"/>
      <c r="DB922" s="959"/>
      <c r="DC922" s="891">
        <v>3653</v>
      </c>
      <c r="DD922" s="891" t="s">
        <v>1409</v>
      </c>
      <c r="DE922" s="891" t="s">
        <v>418</v>
      </c>
      <c r="DF922" s="891">
        <v>5</v>
      </c>
      <c r="DG922" s="959"/>
      <c r="DH922" s="959"/>
      <c r="ER922" s="905">
        <v>3891</v>
      </c>
      <c r="ES922" s="906" t="s">
        <v>4571</v>
      </c>
      <c r="ET922" s="2686">
        <v>9</v>
      </c>
      <c r="EV922" s="985"/>
      <c r="EW922" s="985"/>
      <c r="EX922" s="387"/>
      <c r="EY922" s="939"/>
      <c r="EZ922" s="886"/>
    </row>
    <row r="923" spans="88:156">
      <c r="CJ923" s="197"/>
      <c r="CK923" s="197"/>
      <c r="CL923" s="197"/>
      <c r="CM923" s="213"/>
      <c r="CN923" s="213"/>
      <c r="CO923" s="197"/>
      <c r="CP923" s="197"/>
      <c r="CQ923" s="197"/>
      <c r="CR923" s="197"/>
      <c r="CS923" s="197"/>
      <c r="CT923" s="197"/>
      <c r="CU923" s="197"/>
      <c r="CV923" s="197"/>
      <c r="CW923" s="197"/>
      <c r="CX923" s="959"/>
      <c r="CY923" s="959"/>
      <c r="CZ923" s="959"/>
      <c r="DA923" s="959"/>
      <c r="DB923" s="959"/>
      <c r="DC923" s="891">
        <v>3654</v>
      </c>
      <c r="DD923" s="891" t="s">
        <v>1410</v>
      </c>
      <c r="DE923" s="891" t="s">
        <v>433</v>
      </c>
      <c r="DF923" s="891">
        <v>5</v>
      </c>
      <c r="DG923" s="959"/>
      <c r="DH923" s="959"/>
      <c r="ER923" s="905">
        <v>3892</v>
      </c>
      <c r="ES923" s="906" t="s">
        <v>4572</v>
      </c>
      <c r="ET923" s="2686">
        <v>9</v>
      </c>
      <c r="EV923" s="985"/>
      <c r="EW923" s="985"/>
      <c r="EX923" s="387"/>
      <c r="EY923" s="939"/>
      <c r="EZ923" s="886"/>
    </row>
    <row r="924" spans="88:156">
      <c r="CJ924" s="197"/>
      <c r="CK924" s="197"/>
      <c r="CL924" s="197"/>
      <c r="CM924" s="213"/>
      <c r="CN924" s="213"/>
      <c r="CO924" s="197"/>
      <c r="CP924" s="197"/>
      <c r="CQ924" s="197"/>
      <c r="CR924" s="197"/>
      <c r="CS924" s="197"/>
      <c r="CT924" s="197"/>
      <c r="CU924" s="197"/>
      <c r="CV924" s="197"/>
      <c r="CW924" s="197"/>
      <c r="CX924" s="959"/>
      <c r="CY924" s="959"/>
      <c r="CZ924" s="959"/>
      <c r="DA924" s="959"/>
      <c r="DB924" s="959"/>
      <c r="DC924" s="891">
        <v>3655</v>
      </c>
      <c r="DD924" s="891" t="s">
        <v>1411</v>
      </c>
      <c r="DE924" s="891" t="s">
        <v>432</v>
      </c>
      <c r="DF924" s="891">
        <v>5</v>
      </c>
      <c r="DG924" s="959"/>
      <c r="DH924" s="959"/>
      <c r="ER924" s="905">
        <v>3893</v>
      </c>
      <c r="ES924" s="906" t="s">
        <v>4097</v>
      </c>
      <c r="ET924" s="2686">
        <v>9</v>
      </c>
      <c r="EV924" s="985"/>
      <c r="EW924" s="985"/>
      <c r="EX924" s="387"/>
      <c r="EY924" s="939"/>
      <c r="EZ924" s="886"/>
    </row>
    <row r="925" spans="88:156">
      <c r="CJ925" s="197"/>
      <c r="CK925" s="197"/>
      <c r="CL925" s="197"/>
      <c r="CM925" s="213"/>
      <c r="CN925" s="213"/>
      <c r="CO925" s="197"/>
      <c r="CP925" s="197"/>
      <c r="CQ925" s="197"/>
      <c r="CR925" s="197"/>
      <c r="CS925" s="197"/>
      <c r="CT925" s="197"/>
      <c r="CU925" s="197"/>
      <c r="CV925" s="197"/>
      <c r="CW925" s="197"/>
      <c r="CX925" s="959"/>
      <c r="CY925" s="959"/>
      <c r="CZ925" s="959"/>
      <c r="DA925" s="959"/>
      <c r="DB925" s="959"/>
      <c r="DC925" s="891">
        <v>3656</v>
      </c>
      <c r="DD925" s="891" t="s">
        <v>1412</v>
      </c>
      <c r="DE925" s="891" t="s">
        <v>432</v>
      </c>
      <c r="DF925" s="891">
        <v>5</v>
      </c>
      <c r="DG925" s="959"/>
      <c r="DH925" s="959"/>
      <c r="ER925" s="905">
        <v>3893</v>
      </c>
      <c r="ES925" s="906" t="s">
        <v>4098</v>
      </c>
      <c r="ET925" s="2686">
        <v>9</v>
      </c>
      <c r="EV925" s="985"/>
      <c r="EW925" s="985"/>
      <c r="EX925" s="387"/>
      <c r="EY925" s="939"/>
      <c r="EZ925" s="886"/>
    </row>
    <row r="926" spans="88:156">
      <c r="CJ926" s="197"/>
      <c r="CK926" s="197"/>
      <c r="CL926" s="197"/>
      <c r="CM926" s="213"/>
      <c r="CN926" s="213"/>
      <c r="CO926" s="197"/>
      <c r="CP926" s="197"/>
      <c r="CQ926" s="197"/>
      <c r="CR926" s="197"/>
      <c r="CS926" s="197"/>
      <c r="CT926" s="197"/>
      <c r="CU926" s="197"/>
      <c r="CV926" s="197"/>
      <c r="CW926" s="197"/>
      <c r="CX926" s="959"/>
      <c r="CY926" s="959"/>
      <c r="CZ926" s="959"/>
      <c r="DA926" s="959"/>
      <c r="DB926" s="959"/>
      <c r="DC926" s="891">
        <v>3657</v>
      </c>
      <c r="DD926" s="891" t="s">
        <v>1413</v>
      </c>
      <c r="DE926" s="891" t="s">
        <v>431</v>
      </c>
      <c r="DF926" s="891">
        <v>5</v>
      </c>
      <c r="DG926" s="959"/>
      <c r="DH926" s="959"/>
      <c r="ER926" s="905">
        <v>3893</v>
      </c>
      <c r="ES926" s="906" t="s">
        <v>4099</v>
      </c>
      <c r="ET926" s="2686">
        <v>9</v>
      </c>
      <c r="EV926" s="985"/>
      <c r="EW926" s="985"/>
      <c r="EX926" s="387"/>
      <c r="EY926" s="939"/>
      <c r="EZ926" s="886"/>
    </row>
    <row r="927" spans="88:156">
      <c r="CJ927" s="197"/>
      <c r="CK927" s="197"/>
      <c r="CL927" s="197"/>
      <c r="CM927" s="213"/>
      <c r="CN927" s="213"/>
      <c r="CO927" s="197"/>
      <c r="CP927" s="197"/>
      <c r="CQ927" s="197"/>
      <c r="CR927" s="197"/>
      <c r="CS927" s="197"/>
      <c r="CT927" s="197"/>
      <c r="CU927" s="197"/>
      <c r="CV927" s="197"/>
      <c r="CW927" s="197"/>
      <c r="CX927" s="959"/>
      <c r="CY927" s="959"/>
      <c r="CZ927" s="959"/>
      <c r="DA927" s="959"/>
      <c r="DB927" s="959"/>
      <c r="DC927" s="891">
        <v>3658</v>
      </c>
      <c r="DD927" s="891" t="s">
        <v>1414</v>
      </c>
      <c r="DE927" s="891" t="s">
        <v>412</v>
      </c>
      <c r="DF927" s="891">
        <v>5</v>
      </c>
      <c r="DG927" s="959"/>
      <c r="DH927" s="959"/>
      <c r="ER927" s="905">
        <v>3894</v>
      </c>
      <c r="ES927" s="906" t="s">
        <v>4574</v>
      </c>
      <c r="ET927" s="2686">
        <v>9</v>
      </c>
      <c r="EV927" s="985"/>
      <c r="EW927" s="985"/>
      <c r="EX927" s="387"/>
      <c r="EY927" s="939"/>
      <c r="EZ927" s="886"/>
    </row>
    <row r="928" spans="88:156">
      <c r="CJ928" s="197"/>
      <c r="CK928" s="197"/>
      <c r="CL928" s="197"/>
      <c r="CM928" s="213"/>
      <c r="CN928" s="213"/>
      <c r="CO928" s="197"/>
      <c r="CP928" s="197"/>
      <c r="CQ928" s="197"/>
      <c r="CR928" s="197"/>
      <c r="CS928" s="197"/>
      <c r="CT928" s="197"/>
      <c r="CU928" s="197"/>
      <c r="CV928" s="197"/>
      <c r="CW928" s="197"/>
      <c r="CX928" s="959"/>
      <c r="CY928" s="959"/>
      <c r="CZ928" s="959"/>
      <c r="DA928" s="959"/>
      <c r="DB928" s="959"/>
      <c r="DC928" s="891">
        <v>3659</v>
      </c>
      <c r="DD928" s="891" t="s">
        <v>1415</v>
      </c>
      <c r="DE928" s="891" t="s">
        <v>431</v>
      </c>
      <c r="DF928" s="891">
        <v>5</v>
      </c>
      <c r="DG928" s="959"/>
      <c r="DH928" s="959"/>
      <c r="ER928" s="905">
        <v>3895</v>
      </c>
      <c r="ES928" s="906" t="s">
        <v>4575</v>
      </c>
      <c r="ET928" s="2686">
        <v>9</v>
      </c>
      <c r="EV928" s="985"/>
      <c r="EW928" s="985"/>
      <c r="EX928" s="387"/>
      <c r="EY928" s="939"/>
      <c r="EZ928" s="886"/>
    </row>
    <row r="929" spans="88:156">
      <c r="CJ929" s="197"/>
      <c r="CK929" s="197"/>
      <c r="CL929" s="197"/>
      <c r="CM929" s="213"/>
      <c r="CN929" s="213"/>
      <c r="CO929" s="197"/>
      <c r="CP929" s="197"/>
      <c r="CQ929" s="197"/>
      <c r="CR929" s="197"/>
      <c r="CS929" s="197"/>
      <c r="CT929" s="197"/>
      <c r="CU929" s="197"/>
      <c r="CV929" s="197"/>
      <c r="CW929" s="197"/>
      <c r="CX929" s="959"/>
      <c r="CY929" s="959"/>
      <c r="CZ929" s="959"/>
      <c r="DA929" s="959"/>
      <c r="DB929" s="959"/>
      <c r="DC929" s="891">
        <v>3661</v>
      </c>
      <c r="DD929" s="891" t="s">
        <v>1416</v>
      </c>
      <c r="DE929" s="891" t="s">
        <v>433</v>
      </c>
      <c r="DF929" s="891">
        <v>4</v>
      </c>
      <c r="DG929" s="959"/>
      <c r="DH929" s="959"/>
      <c r="ER929" s="905">
        <v>3896</v>
      </c>
      <c r="ES929" s="906" t="s">
        <v>4576</v>
      </c>
      <c r="ET929" s="2686">
        <v>9</v>
      </c>
      <c r="EV929" s="985"/>
      <c r="EW929" s="985"/>
      <c r="EX929" s="387"/>
      <c r="EY929" s="939"/>
      <c r="EZ929" s="886"/>
    </row>
    <row r="930" spans="88:156">
      <c r="CJ930" s="197"/>
      <c r="CK930" s="197"/>
      <c r="CL930" s="197"/>
      <c r="CM930" s="213"/>
      <c r="CN930" s="213"/>
      <c r="CO930" s="197"/>
      <c r="CP930" s="197"/>
      <c r="CQ930" s="197"/>
      <c r="CR930" s="197"/>
      <c r="CS930" s="197"/>
      <c r="CT930" s="197"/>
      <c r="CU930" s="197"/>
      <c r="CV930" s="197"/>
      <c r="CW930" s="197"/>
      <c r="CX930" s="959"/>
      <c r="CY930" s="959"/>
      <c r="CZ930" s="959"/>
      <c r="DA930" s="959"/>
      <c r="DB930" s="959"/>
      <c r="DC930" s="891">
        <v>3662</v>
      </c>
      <c r="DD930" s="891" t="s">
        <v>1417</v>
      </c>
      <c r="DE930" s="891" t="s">
        <v>433</v>
      </c>
      <c r="DF930" s="891">
        <v>5</v>
      </c>
      <c r="DG930" s="959"/>
      <c r="DH930" s="959"/>
      <c r="ER930" s="905">
        <v>3897</v>
      </c>
      <c r="ES930" s="906" t="s">
        <v>4577</v>
      </c>
      <c r="ET930" s="2686">
        <v>9</v>
      </c>
      <c r="EV930" s="985"/>
      <c r="EW930" s="985"/>
      <c r="EX930" s="387"/>
      <c r="EY930" s="939"/>
      <c r="EZ930" s="886"/>
    </row>
    <row r="931" spans="88:156">
      <c r="CJ931" s="197"/>
      <c r="CK931" s="197"/>
      <c r="CL931" s="197"/>
      <c r="CM931" s="213"/>
      <c r="CN931" s="213"/>
      <c r="CO931" s="197"/>
      <c r="CP931" s="197"/>
      <c r="CQ931" s="197"/>
      <c r="CR931" s="197"/>
      <c r="CS931" s="197"/>
      <c r="CT931" s="197"/>
      <c r="CU931" s="197"/>
      <c r="CV931" s="197"/>
      <c r="CW931" s="197"/>
      <c r="CX931" s="959"/>
      <c r="CY931" s="959"/>
      <c r="CZ931" s="959"/>
      <c r="DA931" s="959"/>
      <c r="DB931" s="959"/>
      <c r="DC931" s="891">
        <v>3663</v>
      </c>
      <c r="DD931" s="891" t="s">
        <v>1418</v>
      </c>
      <c r="DE931" s="891" t="s">
        <v>435</v>
      </c>
      <c r="DF931" s="891">
        <v>5</v>
      </c>
      <c r="DG931" s="959"/>
      <c r="DH931" s="959"/>
      <c r="ER931" s="905">
        <v>3898</v>
      </c>
      <c r="ES931" s="906" t="s">
        <v>4100</v>
      </c>
      <c r="ET931" s="2686">
        <v>9</v>
      </c>
      <c r="EV931" s="985"/>
      <c r="EW931" s="985"/>
      <c r="EX931" s="387"/>
      <c r="EY931" s="939"/>
      <c r="EZ931" s="886"/>
    </row>
    <row r="932" spans="88:156">
      <c r="CJ932" s="197"/>
      <c r="CK932" s="197"/>
      <c r="CL932" s="197"/>
      <c r="CM932" s="213"/>
      <c r="CN932" s="213"/>
      <c r="CO932" s="197"/>
      <c r="CP932" s="197"/>
      <c r="CQ932" s="197"/>
      <c r="CR932" s="197"/>
      <c r="CS932" s="197"/>
      <c r="CT932" s="197"/>
      <c r="CU932" s="197"/>
      <c r="CV932" s="197"/>
      <c r="CW932" s="197"/>
      <c r="CX932" s="959"/>
      <c r="CY932" s="959"/>
      <c r="CZ932" s="959"/>
      <c r="DA932" s="959"/>
      <c r="DB932" s="959"/>
      <c r="DC932" s="891">
        <v>3664</v>
      </c>
      <c r="DD932" s="891" t="s">
        <v>1419</v>
      </c>
      <c r="DE932" s="891" t="s">
        <v>435</v>
      </c>
      <c r="DF932" s="891">
        <v>5</v>
      </c>
      <c r="DG932" s="959"/>
      <c r="DH932" s="959"/>
      <c r="ER932" s="905">
        <v>3898</v>
      </c>
      <c r="ES932" s="906" t="s">
        <v>4101</v>
      </c>
      <c r="ET932" s="2686">
        <v>9</v>
      </c>
      <c r="EV932" s="985"/>
      <c r="EW932" s="985"/>
      <c r="EX932" s="387"/>
      <c r="EY932" s="939"/>
      <c r="EZ932" s="886"/>
    </row>
    <row r="933" spans="88:156">
      <c r="CJ933" s="197"/>
      <c r="CK933" s="197"/>
      <c r="CL933" s="197"/>
      <c r="CM933" s="213"/>
      <c r="CN933" s="213"/>
      <c r="CO933" s="197"/>
      <c r="CP933" s="197"/>
      <c r="CQ933" s="197"/>
      <c r="CR933" s="197"/>
      <c r="CS933" s="197"/>
      <c r="CT933" s="197"/>
      <c r="CU933" s="197"/>
      <c r="CV933" s="197"/>
      <c r="CW933" s="197"/>
      <c r="CX933" s="959"/>
      <c r="CY933" s="959"/>
      <c r="CZ933" s="959"/>
      <c r="DA933" s="959"/>
      <c r="DB933" s="959"/>
      <c r="DC933" s="891">
        <v>3671</v>
      </c>
      <c r="DD933" s="891" t="s">
        <v>1420</v>
      </c>
      <c r="DE933" s="891" t="s">
        <v>435</v>
      </c>
      <c r="DF933" s="891">
        <v>6</v>
      </c>
      <c r="DG933" s="959"/>
      <c r="DH933" s="959"/>
      <c r="ER933" s="905">
        <v>3899</v>
      </c>
      <c r="ES933" s="906" t="s">
        <v>4579</v>
      </c>
      <c r="ET933" s="2686">
        <v>9</v>
      </c>
      <c r="EV933" s="985"/>
      <c r="EW933" s="985"/>
      <c r="EX933" s="387"/>
      <c r="EY933" s="939"/>
      <c r="EZ933" s="886"/>
    </row>
    <row r="934" spans="88:156">
      <c r="CJ934" s="197"/>
      <c r="CK934" s="197"/>
      <c r="CL934" s="197"/>
      <c r="CM934" s="213"/>
      <c r="CN934" s="213"/>
      <c r="CO934" s="197"/>
      <c r="CP934" s="197"/>
      <c r="CQ934" s="197"/>
      <c r="CR934" s="197"/>
      <c r="CS934" s="197"/>
      <c r="CT934" s="197"/>
      <c r="CU934" s="197"/>
      <c r="CV934" s="197"/>
      <c r="CW934" s="197"/>
      <c r="CX934" s="959"/>
      <c r="CY934" s="959"/>
      <c r="CZ934" s="959"/>
      <c r="DA934" s="959"/>
      <c r="DB934" s="959"/>
      <c r="DC934" s="891">
        <v>3672</v>
      </c>
      <c r="DD934" s="891" t="s">
        <v>1420</v>
      </c>
      <c r="DE934" s="891" t="s">
        <v>435</v>
      </c>
      <c r="DF934" s="891">
        <v>6</v>
      </c>
      <c r="DG934" s="959"/>
      <c r="DH934" s="959"/>
      <c r="ER934" s="905">
        <v>3900</v>
      </c>
      <c r="ES934" s="906" t="s">
        <v>4102</v>
      </c>
      <c r="ET934" s="2686">
        <v>9</v>
      </c>
      <c r="EV934" s="985"/>
      <c r="EW934" s="985"/>
      <c r="EX934" s="387"/>
      <c r="EY934" s="939"/>
      <c r="EZ934" s="886"/>
    </row>
    <row r="935" spans="88:156">
      <c r="CJ935" s="197"/>
      <c r="CK935" s="197"/>
      <c r="CL935" s="197"/>
      <c r="CM935" s="213"/>
      <c r="CN935" s="213"/>
      <c r="CO935" s="197"/>
      <c r="CP935" s="197"/>
      <c r="CQ935" s="197"/>
      <c r="CR935" s="197"/>
      <c r="CS935" s="197"/>
      <c r="CT935" s="197"/>
      <c r="CU935" s="197"/>
      <c r="CV935" s="197"/>
      <c r="CW935" s="197"/>
      <c r="CX935" s="959"/>
      <c r="CY935" s="959"/>
      <c r="CZ935" s="959"/>
      <c r="DA935" s="959"/>
      <c r="DB935" s="959"/>
      <c r="DC935" s="891">
        <v>3700</v>
      </c>
      <c r="DD935" s="891" t="s">
        <v>1421</v>
      </c>
      <c r="DE935" s="891" t="s">
        <v>428</v>
      </c>
      <c r="DF935" s="891">
        <v>5</v>
      </c>
      <c r="DG935" s="959"/>
      <c r="DH935" s="959"/>
      <c r="ER935" s="905">
        <v>3903</v>
      </c>
      <c r="ES935" s="906" t="s">
        <v>4581</v>
      </c>
      <c r="ET935" s="2686">
        <v>9</v>
      </c>
      <c r="EV935" s="985"/>
      <c r="EW935" s="985"/>
      <c r="EX935" s="387"/>
      <c r="EY935" s="939"/>
      <c r="EZ935" s="886"/>
    </row>
    <row r="936" spans="88:156">
      <c r="CJ936" s="197"/>
      <c r="CK936" s="197"/>
      <c r="CL936" s="197"/>
      <c r="CM936" s="213"/>
      <c r="CN936" s="213"/>
      <c r="CO936" s="197"/>
      <c r="CP936" s="197"/>
      <c r="CQ936" s="197"/>
      <c r="CR936" s="197"/>
      <c r="CS936" s="197"/>
      <c r="CT936" s="197"/>
      <c r="CU936" s="197"/>
      <c r="CV936" s="197"/>
      <c r="CW936" s="197"/>
      <c r="CX936" s="959"/>
      <c r="CY936" s="959"/>
      <c r="CZ936" s="959"/>
      <c r="DA936" s="959"/>
      <c r="DB936" s="959"/>
      <c r="DC936" s="891">
        <v>3704</v>
      </c>
      <c r="DD936" s="891" t="s">
        <v>1422</v>
      </c>
      <c r="DE936" s="891" t="s">
        <v>418</v>
      </c>
      <c r="DF936" s="891">
        <v>5</v>
      </c>
      <c r="DG936" s="959"/>
      <c r="DH936" s="959"/>
      <c r="ER936" s="905">
        <v>3904</v>
      </c>
      <c r="ES936" s="906" t="s">
        <v>4582</v>
      </c>
      <c r="ET936" s="2686">
        <v>9</v>
      </c>
      <c r="EV936" s="985"/>
      <c r="EW936" s="985"/>
      <c r="EX936" s="387"/>
      <c r="EY936" s="939"/>
      <c r="EZ936" s="886"/>
    </row>
    <row r="937" spans="88:156">
      <c r="CJ937" s="197"/>
      <c r="CK937" s="197"/>
      <c r="CL937" s="197"/>
      <c r="CM937" s="213"/>
      <c r="CN937" s="213"/>
      <c r="CO937" s="197"/>
      <c r="CP937" s="197"/>
      <c r="CQ937" s="197"/>
      <c r="CR937" s="197"/>
      <c r="CS937" s="197"/>
      <c r="CT937" s="197"/>
      <c r="CU937" s="197"/>
      <c r="CV937" s="197"/>
      <c r="CW937" s="197"/>
      <c r="CX937" s="959"/>
      <c r="CY937" s="959"/>
      <c r="CZ937" s="959"/>
      <c r="DA937" s="959"/>
      <c r="DB937" s="959"/>
      <c r="DC937" s="891">
        <v>3711</v>
      </c>
      <c r="DD937" s="891" t="s">
        <v>909</v>
      </c>
      <c r="DE937" s="891" t="s">
        <v>410</v>
      </c>
      <c r="DF937" s="891">
        <v>4</v>
      </c>
      <c r="DG937" s="959"/>
      <c r="DH937" s="959"/>
      <c r="ER937" s="905">
        <v>3905</v>
      </c>
      <c r="ES937" s="906" t="s">
        <v>4583</v>
      </c>
      <c r="ET937" s="2686">
        <v>9</v>
      </c>
      <c r="EV937" s="985"/>
      <c r="EW937" s="985"/>
      <c r="EX937" s="387"/>
      <c r="EY937" s="939"/>
      <c r="EZ937" s="886"/>
    </row>
    <row r="938" spans="88:156">
      <c r="CJ938" s="197"/>
      <c r="CK938" s="197"/>
      <c r="CL938" s="197"/>
      <c r="CM938" s="213"/>
      <c r="CN938" s="213"/>
      <c r="CO938" s="197"/>
      <c r="CP938" s="197"/>
      <c r="CQ938" s="197"/>
      <c r="CR938" s="197"/>
      <c r="CS938" s="197"/>
      <c r="CT938" s="197"/>
      <c r="CU938" s="197"/>
      <c r="CV938" s="197"/>
      <c r="CW938" s="197"/>
      <c r="CX938" s="959"/>
      <c r="CY938" s="959"/>
      <c r="CZ938" s="959"/>
      <c r="DA938" s="959"/>
      <c r="DB938" s="959"/>
      <c r="DC938" s="891">
        <v>3712</v>
      </c>
      <c r="DD938" s="891" t="s">
        <v>910</v>
      </c>
      <c r="DE938" s="891" t="s">
        <v>410</v>
      </c>
      <c r="DF938" s="891">
        <v>5</v>
      </c>
      <c r="DG938" s="959"/>
      <c r="DH938" s="959"/>
      <c r="ER938" s="905">
        <v>3906</v>
      </c>
      <c r="ES938" s="906" t="s">
        <v>4584</v>
      </c>
      <c r="ET938" s="2686">
        <v>9</v>
      </c>
      <c r="EV938" s="985"/>
      <c r="EW938" s="985"/>
      <c r="EX938" s="387"/>
      <c r="EY938" s="939"/>
      <c r="EZ938" s="886"/>
    </row>
    <row r="939" spans="88:156">
      <c r="CJ939" s="197"/>
      <c r="CK939" s="197"/>
      <c r="CL939" s="197"/>
      <c r="CM939" s="213"/>
      <c r="CN939" s="213"/>
      <c r="CO939" s="197"/>
      <c r="CP939" s="197"/>
      <c r="CQ939" s="197"/>
      <c r="CR939" s="197"/>
      <c r="CS939" s="197"/>
      <c r="CT939" s="197"/>
      <c r="CU939" s="197"/>
      <c r="CV939" s="197"/>
      <c r="CW939" s="197"/>
      <c r="CX939" s="959"/>
      <c r="CY939" s="959"/>
      <c r="CZ939" s="959"/>
      <c r="DA939" s="959"/>
      <c r="DB939" s="959"/>
      <c r="DC939" s="891">
        <v>3713</v>
      </c>
      <c r="DD939" s="891" t="s">
        <v>911</v>
      </c>
      <c r="DE939" s="891" t="s">
        <v>420</v>
      </c>
      <c r="DF939" s="891">
        <v>4</v>
      </c>
      <c r="DG939" s="959"/>
      <c r="DH939" s="959"/>
      <c r="ER939" s="905">
        <v>3907</v>
      </c>
      <c r="ES939" s="906" t="s">
        <v>4585</v>
      </c>
      <c r="ET939" s="2686">
        <v>9</v>
      </c>
      <c r="EV939" s="985"/>
      <c r="EW939" s="985"/>
      <c r="EX939" s="387"/>
      <c r="EY939" s="939"/>
      <c r="EZ939" s="886"/>
    </row>
    <row r="940" spans="88:156">
      <c r="CJ940" s="197"/>
      <c r="CK940" s="197"/>
      <c r="CL940" s="197"/>
      <c r="CM940" s="213"/>
      <c r="CN940" s="213"/>
      <c r="CO940" s="197"/>
      <c r="CP940" s="197"/>
      <c r="CQ940" s="197"/>
      <c r="CR940" s="197"/>
      <c r="CS940" s="197"/>
      <c r="CT940" s="197"/>
      <c r="CU940" s="197"/>
      <c r="CV940" s="197"/>
      <c r="CW940" s="197"/>
      <c r="CX940" s="959"/>
      <c r="CY940" s="959"/>
      <c r="CZ940" s="959"/>
      <c r="DA940" s="959"/>
      <c r="DB940" s="959"/>
      <c r="DC940" s="891">
        <v>3714</v>
      </c>
      <c r="DD940" s="891" t="s">
        <v>912</v>
      </c>
      <c r="DE940" s="891" t="s">
        <v>420</v>
      </c>
      <c r="DF940" s="891">
        <v>4</v>
      </c>
      <c r="DG940" s="959"/>
      <c r="DH940" s="959"/>
      <c r="ER940" s="905">
        <v>3908</v>
      </c>
      <c r="ES940" s="906" t="s">
        <v>4586</v>
      </c>
      <c r="ET940" s="2686">
        <v>9</v>
      </c>
      <c r="EV940" s="985"/>
      <c r="EW940" s="985"/>
      <c r="EX940" s="387"/>
      <c r="EY940" s="939"/>
      <c r="EZ940" s="886"/>
    </row>
    <row r="941" spans="88:156">
      <c r="CJ941" s="197"/>
      <c r="CK941" s="197"/>
      <c r="CL941" s="197"/>
      <c r="CM941" s="213"/>
      <c r="CN941" s="213"/>
      <c r="CO941" s="197"/>
      <c r="CP941" s="197"/>
      <c r="CQ941" s="197"/>
      <c r="CR941" s="197"/>
      <c r="CS941" s="197"/>
      <c r="CT941" s="197"/>
      <c r="CU941" s="197"/>
      <c r="CV941" s="197"/>
      <c r="CW941" s="197"/>
      <c r="CX941" s="959"/>
      <c r="CY941" s="959"/>
      <c r="CZ941" s="959"/>
      <c r="DA941" s="959"/>
      <c r="DB941" s="959"/>
      <c r="DC941" s="891">
        <v>3715</v>
      </c>
      <c r="DD941" s="891" t="s">
        <v>913</v>
      </c>
      <c r="DE941" s="891" t="s">
        <v>420</v>
      </c>
      <c r="DF941" s="891">
        <v>5</v>
      </c>
      <c r="DG941" s="959"/>
      <c r="DH941" s="959"/>
      <c r="ER941" s="905">
        <v>3909</v>
      </c>
      <c r="ES941" s="906" t="s">
        <v>4587</v>
      </c>
      <c r="ET941" s="2688">
        <v>9</v>
      </c>
      <c r="EV941" s="985"/>
      <c r="EW941" s="985"/>
      <c r="EX941" s="387"/>
      <c r="EY941" s="939"/>
      <c r="EZ941" s="886"/>
    </row>
    <row r="942" spans="88:156">
      <c r="CJ942" s="197"/>
      <c r="CK942" s="197"/>
      <c r="CL942" s="197"/>
      <c r="CM942" s="213"/>
      <c r="CN942" s="213"/>
      <c r="CO942" s="197"/>
      <c r="CP942" s="197"/>
      <c r="CQ942" s="197"/>
      <c r="CR942" s="197"/>
      <c r="CS942" s="197"/>
      <c r="CT942" s="197"/>
      <c r="CU942" s="197"/>
      <c r="CV942" s="197"/>
      <c r="CW942" s="197"/>
      <c r="CX942" s="959"/>
      <c r="CY942" s="959"/>
      <c r="CZ942" s="959"/>
      <c r="DA942" s="959"/>
      <c r="DB942" s="959"/>
      <c r="DC942" s="891">
        <v>3716</v>
      </c>
      <c r="DD942" s="891" t="s">
        <v>914</v>
      </c>
      <c r="DE942" s="891" t="s">
        <v>2808</v>
      </c>
      <c r="DF942" s="891">
        <v>5</v>
      </c>
      <c r="DG942" s="959"/>
      <c r="DH942" s="959"/>
      <c r="ER942" s="905">
        <v>3910</v>
      </c>
      <c r="ES942" s="906" t="s">
        <v>4588</v>
      </c>
      <c r="ET942" s="2686">
        <v>9</v>
      </c>
      <c r="EV942" s="985"/>
      <c r="EW942" s="985"/>
      <c r="EX942" s="387"/>
      <c r="EY942" s="939"/>
      <c r="EZ942" s="886"/>
    </row>
    <row r="943" spans="88:156">
      <c r="CJ943" s="197"/>
      <c r="CK943" s="197"/>
      <c r="CL943" s="197"/>
      <c r="CM943" s="213"/>
      <c r="CN943" s="213"/>
      <c r="CO943" s="197"/>
      <c r="CP943" s="197"/>
      <c r="CQ943" s="197"/>
      <c r="CR943" s="197"/>
      <c r="CS943" s="197"/>
      <c r="CT943" s="197"/>
      <c r="CU943" s="197"/>
      <c r="CV943" s="197"/>
      <c r="CW943" s="197"/>
      <c r="CX943" s="959"/>
      <c r="CY943" s="959"/>
      <c r="CZ943" s="959"/>
      <c r="DA943" s="959"/>
      <c r="DB943" s="959"/>
      <c r="DC943" s="891">
        <v>3717</v>
      </c>
      <c r="DD943" s="891" t="s">
        <v>915</v>
      </c>
      <c r="DE943" s="891" t="s">
        <v>421</v>
      </c>
      <c r="DF943" s="891">
        <v>5</v>
      </c>
      <c r="DG943" s="959"/>
      <c r="DH943" s="959"/>
      <c r="ER943" s="905">
        <v>3915</v>
      </c>
      <c r="ES943" s="906" t="s">
        <v>4589</v>
      </c>
      <c r="ET943" s="2686">
        <v>9</v>
      </c>
      <c r="EV943" s="985"/>
      <c r="EW943" s="985"/>
      <c r="EX943" s="387"/>
      <c r="EY943" s="939"/>
      <c r="EZ943" s="886"/>
    </row>
    <row r="944" spans="88:156">
      <c r="CJ944" s="197"/>
      <c r="CK944" s="197"/>
      <c r="CL944" s="197"/>
      <c r="CM944" s="213"/>
      <c r="CN944" s="213"/>
      <c r="CO944" s="197"/>
      <c r="CP944" s="197"/>
      <c r="CQ944" s="197"/>
      <c r="CR944" s="197"/>
      <c r="CS944" s="197"/>
      <c r="CT944" s="197"/>
      <c r="CU944" s="197"/>
      <c r="CV944" s="197"/>
      <c r="CW944" s="197"/>
      <c r="CX944" s="959"/>
      <c r="CY944" s="959"/>
      <c r="CZ944" s="959"/>
      <c r="DA944" s="959"/>
      <c r="DB944" s="959"/>
      <c r="DC944" s="891">
        <v>3718</v>
      </c>
      <c r="DD944" s="891" t="s">
        <v>916</v>
      </c>
      <c r="DE944" s="891" t="s">
        <v>421</v>
      </c>
      <c r="DF944" s="891">
        <v>5</v>
      </c>
      <c r="DG944" s="959"/>
      <c r="DH944" s="959"/>
      <c r="ER944" s="905">
        <v>3916</v>
      </c>
      <c r="ES944" s="906" t="s">
        <v>4590</v>
      </c>
      <c r="ET944" s="2686">
        <v>9</v>
      </c>
      <c r="EV944" s="985"/>
      <c r="EW944" s="985"/>
      <c r="EX944" s="387"/>
      <c r="EY944" s="939"/>
      <c r="EZ944" s="886"/>
    </row>
    <row r="945" spans="88:156">
      <c r="CJ945" s="197"/>
      <c r="CK945" s="197"/>
      <c r="CL945" s="197"/>
      <c r="CM945" s="213"/>
      <c r="CN945" s="213"/>
      <c r="CO945" s="197"/>
      <c r="CP945" s="197"/>
      <c r="CQ945" s="197"/>
      <c r="CR945" s="197"/>
      <c r="CS945" s="197"/>
      <c r="CT945" s="197"/>
      <c r="CU945" s="197"/>
      <c r="CV945" s="197"/>
      <c r="CW945" s="197"/>
      <c r="CX945" s="959"/>
      <c r="CY945" s="959"/>
      <c r="CZ945" s="959"/>
      <c r="DA945" s="959"/>
      <c r="DB945" s="959"/>
      <c r="DC945" s="891">
        <v>3720</v>
      </c>
      <c r="DD945" s="891" t="s">
        <v>917</v>
      </c>
      <c r="DE945" s="891" t="s">
        <v>432</v>
      </c>
      <c r="DF945" s="891">
        <v>5</v>
      </c>
      <c r="DG945" s="959"/>
      <c r="DH945" s="959"/>
      <c r="ER945" s="905">
        <v>3917</v>
      </c>
      <c r="ES945" s="906" t="s">
        <v>4591</v>
      </c>
      <c r="ET945" s="2686">
        <v>9</v>
      </c>
      <c r="EV945" s="985"/>
      <c r="EW945" s="985"/>
      <c r="EX945" s="387"/>
      <c r="EY945" s="939"/>
      <c r="EZ945" s="886"/>
    </row>
    <row r="946" spans="88:156">
      <c r="CJ946" s="197"/>
      <c r="CK946" s="197"/>
      <c r="CL946" s="197"/>
      <c r="CM946" s="213"/>
      <c r="CN946" s="213"/>
      <c r="CO946" s="197"/>
      <c r="CP946" s="197"/>
      <c r="CQ946" s="197"/>
      <c r="CR946" s="197"/>
      <c r="CS946" s="197"/>
      <c r="CT946" s="197"/>
      <c r="CU946" s="197"/>
      <c r="CV946" s="197"/>
      <c r="CW946" s="197"/>
      <c r="CX946" s="959"/>
      <c r="CY946" s="959"/>
      <c r="CZ946" s="959"/>
      <c r="DA946" s="959"/>
      <c r="DB946" s="959"/>
      <c r="DC946" s="891">
        <v>3721</v>
      </c>
      <c r="DD946" s="891" t="s">
        <v>918</v>
      </c>
      <c r="DE946" s="891" t="s">
        <v>435</v>
      </c>
      <c r="DF946" s="891">
        <v>6</v>
      </c>
      <c r="DG946" s="959"/>
      <c r="DH946" s="959"/>
      <c r="ER946" s="905">
        <v>3918</v>
      </c>
      <c r="ES946" s="906" t="s">
        <v>4103</v>
      </c>
      <c r="ET946" s="2686">
        <v>9</v>
      </c>
      <c r="EV946" s="985"/>
      <c r="EW946" s="985"/>
      <c r="EX946" s="387"/>
      <c r="EY946" s="939"/>
      <c r="EZ946" s="886"/>
    </row>
    <row r="947" spans="88:156">
      <c r="CJ947" s="197"/>
      <c r="CK947" s="197"/>
      <c r="CL947" s="197"/>
      <c r="CM947" s="213"/>
      <c r="CN947" s="213"/>
      <c r="CO947" s="197"/>
      <c r="CP947" s="197"/>
      <c r="CQ947" s="197"/>
      <c r="CR947" s="197"/>
      <c r="CS947" s="197"/>
      <c r="CT947" s="197"/>
      <c r="CU947" s="197"/>
      <c r="CV947" s="197"/>
      <c r="CW947" s="197"/>
      <c r="CX947" s="959"/>
      <c r="CY947" s="959"/>
      <c r="CZ947" s="959"/>
      <c r="DA947" s="959"/>
      <c r="DB947" s="959"/>
      <c r="DC947" s="891">
        <v>3722</v>
      </c>
      <c r="DD947" s="891" t="s">
        <v>1101</v>
      </c>
      <c r="DE947" s="891" t="s">
        <v>419</v>
      </c>
      <c r="DF947" s="891">
        <v>6</v>
      </c>
      <c r="DG947" s="959"/>
      <c r="DH947" s="959"/>
      <c r="ER947" s="905">
        <v>3918</v>
      </c>
      <c r="ES947" s="906" t="s">
        <v>4104</v>
      </c>
      <c r="ET947" s="2686">
        <v>9</v>
      </c>
      <c r="EV947" s="985"/>
      <c r="EW947" s="985"/>
      <c r="EX947" s="387"/>
      <c r="EY947" s="939"/>
      <c r="EZ947" s="886"/>
    </row>
    <row r="948" spans="88:156">
      <c r="CJ948" s="197"/>
      <c r="CK948" s="197"/>
      <c r="CL948" s="197"/>
      <c r="CM948" s="213"/>
      <c r="CN948" s="213"/>
      <c r="CO948" s="197"/>
      <c r="CP948" s="197"/>
      <c r="CQ948" s="197"/>
      <c r="CR948" s="197"/>
      <c r="CS948" s="197"/>
      <c r="CT948" s="197"/>
      <c r="CU948" s="197"/>
      <c r="CV948" s="197"/>
      <c r="CW948" s="197"/>
      <c r="CX948" s="959"/>
      <c r="CY948" s="959"/>
      <c r="CZ948" s="959"/>
      <c r="DA948" s="959"/>
      <c r="DB948" s="959"/>
      <c r="DC948" s="891">
        <v>3723</v>
      </c>
      <c r="DD948" s="891" t="s">
        <v>1102</v>
      </c>
      <c r="DE948" s="891" t="s">
        <v>428</v>
      </c>
      <c r="DF948" s="891">
        <v>6</v>
      </c>
      <c r="DG948" s="959"/>
      <c r="DH948" s="959"/>
      <c r="ER948" s="905">
        <v>3921</v>
      </c>
      <c r="ES948" s="906" t="s">
        <v>4593</v>
      </c>
      <c r="ET948" s="2686">
        <v>9</v>
      </c>
      <c r="EV948" s="985"/>
      <c r="EW948" s="985"/>
      <c r="EX948" s="387"/>
      <c r="EY948" s="939"/>
      <c r="EZ948" s="886"/>
    </row>
    <row r="949" spans="88:156">
      <c r="CJ949" s="197"/>
      <c r="CK949" s="197"/>
      <c r="CL949" s="197"/>
      <c r="CM949" s="213"/>
      <c r="CN949" s="213"/>
      <c r="CO949" s="197"/>
      <c r="CP949" s="197"/>
      <c r="CQ949" s="197"/>
      <c r="CR949" s="197"/>
      <c r="CS949" s="197"/>
      <c r="CT949" s="197"/>
      <c r="CU949" s="197"/>
      <c r="CV949" s="197"/>
      <c r="CW949" s="197"/>
      <c r="CX949" s="959"/>
      <c r="CY949" s="959"/>
      <c r="CZ949" s="959"/>
      <c r="DA949" s="959"/>
      <c r="DB949" s="959"/>
      <c r="DC949" s="891">
        <v>3724</v>
      </c>
      <c r="DD949" s="891" t="s">
        <v>1103</v>
      </c>
      <c r="DE949" s="891" t="s">
        <v>420</v>
      </c>
      <c r="DF949" s="891">
        <v>6</v>
      </c>
      <c r="DG949" s="959"/>
      <c r="DH949" s="959"/>
      <c r="ER949" s="905">
        <v>3922</v>
      </c>
      <c r="ES949" s="906" t="s">
        <v>4594</v>
      </c>
      <c r="ET949" s="2686">
        <v>9</v>
      </c>
      <c r="EV949" s="985"/>
      <c r="EW949" s="985"/>
      <c r="EX949" s="387"/>
      <c r="EY949" s="939"/>
      <c r="EZ949" s="886"/>
    </row>
    <row r="950" spans="88:156">
      <c r="CJ950" s="197"/>
      <c r="CK950" s="197"/>
      <c r="CL950" s="197"/>
      <c r="CM950" s="213"/>
      <c r="CN950" s="213"/>
      <c r="CO950" s="197"/>
      <c r="CP950" s="197"/>
      <c r="CQ950" s="197"/>
      <c r="CR950" s="197"/>
      <c r="CS950" s="197"/>
      <c r="CT950" s="197"/>
      <c r="CU950" s="197"/>
      <c r="CV950" s="197"/>
      <c r="CW950" s="197"/>
      <c r="CX950" s="959"/>
      <c r="CY950" s="959"/>
      <c r="CZ950" s="959"/>
      <c r="DA950" s="959"/>
      <c r="DB950" s="959"/>
      <c r="DC950" s="891">
        <v>3725</v>
      </c>
      <c r="DD950" s="891" t="s">
        <v>1104</v>
      </c>
      <c r="DE950" s="891" t="s">
        <v>418</v>
      </c>
      <c r="DF950" s="891">
        <v>6</v>
      </c>
      <c r="DG950" s="959"/>
      <c r="DH950" s="959"/>
      <c r="ER950" s="905">
        <v>3923</v>
      </c>
      <c r="ES950" s="905" t="s">
        <v>4105</v>
      </c>
      <c r="ET950" s="2686">
        <v>9</v>
      </c>
      <c r="EV950" s="985"/>
      <c r="EW950" s="985"/>
      <c r="EX950" s="387"/>
      <c r="EY950" s="939"/>
      <c r="EZ950" s="886"/>
    </row>
    <row r="951" spans="88:156">
      <c r="CJ951" s="197"/>
      <c r="CK951" s="197"/>
      <c r="CL951" s="197"/>
      <c r="CM951" s="213"/>
      <c r="CN951" s="213"/>
      <c r="CO951" s="197"/>
      <c r="CP951" s="197"/>
      <c r="CQ951" s="197"/>
      <c r="CR951" s="197"/>
      <c r="CS951" s="197"/>
      <c r="CT951" s="197"/>
      <c r="CU951" s="197"/>
      <c r="CV951" s="197"/>
      <c r="CW951" s="197"/>
      <c r="CX951" s="959"/>
      <c r="CY951" s="959"/>
      <c r="CZ951" s="959"/>
      <c r="DA951" s="959"/>
      <c r="DB951" s="959"/>
      <c r="DC951" s="891">
        <v>3726</v>
      </c>
      <c r="DD951" s="891" t="s">
        <v>1105</v>
      </c>
      <c r="DE951" s="891" t="s">
        <v>417</v>
      </c>
      <c r="DF951" s="891">
        <v>6</v>
      </c>
      <c r="DG951" s="959"/>
      <c r="DH951" s="959"/>
      <c r="ER951" s="905">
        <v>3924</v>
      </c>
      <c r="ES951" s="906" t="s">
        <v>4596</v>
      </c>
      <c r="ET951" s="2686">
        <v>9</v>
      </c>
      <c r="EV951" s="985"/>
      <c r="EW951" s="985"/>
      <c r="EX951" s="387"/>
      <c r="EY951" s="939"/>
      <c r="EZ951" s="886"/>
    </row>
    <row r="952" spans="88:156">
      <c r="CJ952" s="197"/>
      <c r="CK952" s="197"/>
      <c r="CL952" s="197"/>
      <c r="CM952" s="213"/>
      <c r="CN952" s="213"/>
      <c r="CO952" s="197"/>
      <c r="CP952" s="197"/>
      <c r="CQ952" s="197"/>
      <c r="CR952" s="197"/>
      <c r="CS952" s="197"/>
      <c r="CT952" s="197"/>
      <c r="CU952" s="197"/>
      <c r="CV952" s="197"/>
      <c r="CW952" s="197"/>
      <c r="CX952" s="959"/>
      <c r="CY952" s="959"/>
      <c r="CZ952" s="959"/>
      <c r="DA952" s="959"/>
      <c r="DB952" s="959"/>
      <c r="DC952" s="891">
        <v>3727</v>
      </c>
      <c r="DD952" s="891" t="s">
        <v>1106</v>
      </c>
      <c r="DE952" s="891" t="s">
        <v>419</v>
      </c>
      <c r="DF952" s="891">
        <v>6</v>
      </c>
      <c r="DG952" s="959"/>
      <c r="DH952" s="959"/>
      <c r="ER952" s="905">
        <v>3925</v>
      </c>
      <c r="ES952" s="906" t="s">
        <v>4597</v>
      </c>
      <c r="ET952" s="2686">
        <v>9</v>
      </c>
      <c r="EV952" s="985"/>
      <c r="EW952" s="985"/>
      <c r="EX952" s="387"/>
      <c r="EY952" s="939"/>
      <c r="EZ952" s="886"/>
    </row>
    <row r="953" spans="88:156">
      <c r="CJ953" s="197"/>
      <c r="CK953" s="197"/>
      <c r="CL953" s="197"/>
      <c r="CM953" s="213"/>
      <c r="CN953" s="213"/>
      <c r="CO953" s="197"/>
      <c r="CP953" s="197"/>
      <c r="CQ953" s="197"/>
      <c r="CR953" s="197"/>
      <c r="CS953" s="197"/>
      <c r="CT953" s="197"/>
      <c r="CU953" s="197"/>
      <c r="CV953" s="197"/>
      <c r="CW953" s="197"/>
      <c r="CX953" s="959"/>
      <c r="CY953" s="959"/>
      <c r="CZ953" s="959"/>
      <c r="DA953" s="959"/>
      <c r="DB953" s="959"/>
      <c r="DC953" s="891">
        <v>3728</v>
      </c>
      <c r="DD953" s="891" t="s">
        <v>1107</v>
      </c>
      <c r="DE953" s="891" t="s">
        <v>421</v>
      </c>
      <c r="DF953" s="891">
        <v>6</v>
      </c>
      <c r="DG953" s="959"/>
      <c r="DH953" s="959"/>
      <c r="ER953" s="905">
        <v>3926</v>
      </c>
      <c r="ES953" s="906" t="s">
        <v>4598</v>
      </c>
      <c r="ET953" s="2686">
        <v>9</v>
      </c>
      <c r="EV953" s="985"/>
      <c r="EW953" s="985"/>
      <c r="EX953" s="387"/>
      <c r="EY953" s="939"/>
      <c r="EZ953" s="886"/>
    </row>
    <row r="954" spans="88:156">
      <c r="CJ954" s="197"/>
      <c r="CK954" s="197"/>
      <c r="CL954" s="197"/>
      <c r="CM954" s="213"/>
      <c r="CN954" s="213"/>
      <c r="CO954" s="197"/>
      <c r="CP954" s="197"/>
      <c r="CQ954" s="197"/>
      <c r="CR954" s="197"/>
      <c r="CS954" s="197"/>
      <c r="CT954" s="197"/>
      <c r="CU954" s="197"/>
      <c r="CV954" s="197"/>
      <c r="CW954" s="197"/>
      <c r="CX954" s="959"/>
      <c r="CY954" s="959"/>
      <c r="CZ954" s="959"/>
      <c r="DA954" s="959"/>
      <c r="DB954" s="959"/>
      <c r="DC954" s="891">
        <v>3729</v>
      </c>
      <c r="DD954" s="891" t="s">
        <v>1108</v>
      </c>
      <c r="DE954" s="891" t="s">
        <v>432</v>
      </c>
      <c r="DF954" s="891">
        <v>5</v>
      </c>
      <c r="DG954" s="959"/>
      <c r="DH954" s="959"/>
      <c r="ER954" s="905">
        <v>3927</v>
      </c>
      <c r="ES954" s="906" t="s">
        <v>4599</v>
      </c>
      <c r="ET954" s="2686">
        <v>9</v>
      </c>
      <c r="EV954" s="985"/>
      <c r="EW954" s="985"/>
      <c r="EX954" s="387"/>
      <c r="EY954" s="939"/>
      <c r="EZ954" s="886"/>
    </row>
    <row r="955" spans="88:156">
      <c r="CJ955" s="197"/>
      <c r="CK955" s="197"/>
      <c r="CL955" s="197"/>
      <c r="CM955" s="213"/>
      <c r="CN955" s="213"/>
      <c r="CO955" s="197"/>
      <c r="CP955" s="197"/>
      <c r="CQ955" s="197"/>
      <c r="CR955" s="197"/>
      <c r="CS955" s="197"/>
      <c r="CT955" s="197"/>
      <c r="CU955" s="197"/>
      <c r="CV955" s="197"/>
      <c r="CW955" s="197"/>
      <c r="CX955" s="959"/>
      <c r="CY955" s="959"/>
      <c r="CZ955" s="959"/>
      <c r="DA955" s="959"/>
      <c r="DB955" s="959"/>
      <c r="DC955" s="891">
        <v>3731</v>
      </c>
      <c r="DD955" s="891" t="s">
        <v>1109</v>
      </c>
      <c r="DE955" s="891" t="s">
        <v>412</v>
      </c>
      <c r="DF955" s="891">
        <v>6</v>
      </c>
      <c r="DG955" s="959"/>
      <c r="DH955" s="959"/>
      <c r="ER955" s="905">
        <v>3928</v>
      </c>
      <c r="ES955" s="906" t="s">
        <v>4600</v>
      </c>
      <c r="ET955" s="2686">
        <v>9</v>
      </c>
      <c r="EV955" s="985"/>
      <c r="EW955" s="985"/>
      <c r="EX955" s="387"/>
      <c r="EY955" s="939"/>
      <c r="EZ955" s="886"/>
    </row>
    <row r="956" spans="88:156">
      <c r="CJ956" s="197"/>
      <c r="CK956" s="197"/>
      <c r="CL956" s="197"/>
      <c r="CM956" s="213"/>
      <c r="CN956" s="213"/>
      <c r="CO956" s="197"/>
      <c r="CP956" s="197"/>
      <c r="CQ956" s="197"/>
      <c r="CR956" s="197"/>
      <c r="CS956" s="197"/>
      <c r="CT956" s="197"/>
      <c r="CU956" s="197"/>
      <c r="CV956" s="197"/>
      <c r="CW956" s="197"/>
      <c r="CX956" s="959"/>
      <c r="CY956" s="959"/>
      <c r="CZ956" s="959"/>
      <c r="DA956" s="959"/>
      <c r="DB956" s="959"/>
      <c r="DC956" s="891">
        <v>3732</v>
      </c>
      <c r="DD956" s="891" t="s">
        <v>1110</v>
      </c>
      <c r="DE956" s="891" t="s">
        <v>427</v>
      </c>
      <c r="DF956" s="891">
        <v>6</v>
      </c>
      <c r="DG956" s="959"/>
      <c r="DH956" s="959"/>
      <c r="ER956" s="905">
        <v>3929</v>
      </c>
      <c r="ES956" s="906" t="s">
        <v>4601</v>
      </c>
      <c r="ET956" s="2686">
        <v>9</v>
      </c>
      <c r="EV956" s="985"/>
      <c r="EW956" s="985"/>
      <c r="EX956" s="387"/>
      <c r="EY956" s="939"/>
      <c r="EZ956" s="886"/>
    </row>
    <row r="957" spans="88:156">
      <c r="CJ957" s="197"/>
      <c r="CK957" s="197"/>
      <c r="CL957" s="197"/>
      <c r="CM957" s="213"/>
      <c r="CN957" s="213"/>
      <c r="CO957" s="197"/>
      <c r="CP957" s="197"/>
      <c r="CQ957" s="197"/>
      <c r="CR957" s="197"/>
      <c r="CS957" s="197"/>
      <c r="CT957" s="197"/>
      <c r="CU957" s="197"/>
      <c r="CV957" s="197"/>
      <c r="CW957" s="197"/>
      <c r="CX957" s="959"/>
      <c r="CY957" s="959"/>
      <c r="CZ957" s="959"/>
      <c r="DA957" s="959"/>
      <c r="DB957" s="959"/>
      <c r="DC957" s="891">
        <v>3733</v>
      </c>
      <c r="DD957" s="891" t="s">
        <v>1111</v>
      </c>
      <c r="DE957" s="891" t="s">
        <v>406</v>
      </c>
      <c r="DF957" s="891">
        <v>6</v>
      </c>
      <c r="DG957" s="959"/>
      <c r="DH957" s="959"/>
      <c r="ER957" s="905">
        <v>3931</v>
      </c>
      <c r="ES957" s="906" t="s">
        <v>4602</v>
      </c>
      <c r="ET957" s="2686">
        <v>9</v>
      </c>
      <c r="EV957" s="985"/>
      <c r="EW957" s="985"/>
      <c r="EX957" s="387"/>
      <c r="EY957" s="939"/>
      <c r="EZ957" s="886"/>
    </row>
    <row r="958" spans="88:156">
      <c r="CJ958" s="197"/>
      <c r="CK958" s="197"/>
      <c r="CL958" s="197"/>
      <c r="CM958" s="213"/>
      <c r="CN958" s="213"/>
      <c r="CO958" s="197"/>
      <c r="CP958" s="197"/>
      <c r="CQ958" s="197"/>
      <c r="CR958" s="197"/>
      <c r="CS958" s="197"/>
      <c r="CT958" s="197"/>
      <c r="CU958" s="197"/>
      <c r="CV958" s="197"/>
      <c r="CW958" s="197"/>
      <c r="CX958" s="959"/>
      <c r="CY958" s="959"/>
      <c r="CZ958" s="959"/>
      <c r="DA958" s="959"/>
      <c r="DB958" s="959"/>
      <c r="DC958" s="891">
        <v>3734</v>
      </c>
      <c r="DD958" s="891" t="s">
        <v>1112</v>
      </c>
      <c r="DE958" s="891" t="s">
        <v>406</v>
      </c>
      <c r="DF958" s="891">
        <v>6</v>
      </c>
      <c r="DG958" s="959"/>
      <c r="DH958" s="959"/>
      <c r="ER958" s="905">
        <v>3932</v>
      </c>
      <c r="ES958" s="906" t="s">
        <v>4603</v>
      </c>
      <c r="ET958" s="2686">
        <v>9</v>
      </c>
      <c r="EV958" s="985"/>
      <c r="EW958" s="985"/>
      <c r="EX958" s="387"/>
      <c r="EY958" s="939"/>
      <c r="EZ958" s="886"/>
    </row>
    <row r="959" spans="88:156">
      <c r="CJ959" s="197"/>
      <c r="CK959" s="197"/>
      <c r="CL959" s="197"/>
      <c r="CM959" s="213"/>
      <c r="CN959" s="213"/>
      <c r="CO959" s="197"/>
      <c r="CP959" s="197"/>
      <c r="CQ959" s="197"/>
      <c r="CR959" s="197"/>
      <c r="CS959" s="197"/>
      <c r="CT959" s="197"/>
      <c r="CU959" s="197"/>
      <c r="CV959" s="197"/>
      <c r="CW959" s="197"/>
      <c r="CX959" s="959"/>
      <c r="CY959" s="959"/>
      <c r="CZ959" s="959"/>
      <c r="DA959" s="959"/>
      <c r="DB959" s="959"/>
      <c r="DC959" s="891">
        <v>3735</v>
      </c>
      <c r="DD959" s="891" t="s">
        <v>1113</v>
      </c>
      <c r="DE959" s="891" t="s">
        <v>406</v>
      </c>
      <c r="DF959" s="891">
        <v>6</v>
      </c>
      <c r="DG959" s="959"/>
      <c r="DH959" s="959"/>
      <c r="ER959" s="905">
        <v>3933</v>
      </c>
      <c r="ES959" s="906" t="s">
        <v>4604</v>
      </c>
      <c r="ET959" s="2686">
        <v>9</v>
      </c>
      <c r="EV959" s="985"/>
      <c r="EW959" s="985"/>
      <c r="EX959" s="387"/>
      <c r="EY959" s="939"/>
      <c r="EZ959" s="886"/>
    </row>
    <row r="960" spans="88:156">
      <c r="CJ960" s="197"/>
      <c r="CK960" s="197"/>
      <c r="CL960" s="197"/>
      <c r="CM960" s="213"/>
      <c r="CN960" s="213"/>
      <c r="CO960" s="197"/>
      <c r="CP960" s="197"/>
      <c r="CQ960" s="197"/>
      <c r="CR960" s="197"/>
      <c r="CS960" s="197"/>
      <c r="CT960" s="197"/>
      <c r="CU960" s="197"/>
      <c r="CV960" s="197"/>
      <c r="CW960" s="197"/>
      <c r="CX960" s="959"/>
      <c r="CY960" s="959"/>
      <c r="CZ960" s="959"/>
      <c r="DA960" s="959"/>
      <c r="DB960" s="959"/>
      <c r="DC960" s="891">
        <v>3741</v>
      </c>
      <c r="DD960" s="891" t="s">
        <v>1114</v>
      </c>
      <c r="DE960" s="891" t="s">
        <v>423</v>
      </c>
      <c r="DF960" s="891">
        <v>6</v>
      </c>
      <c r="DG960" s="959"/>
      <c r="DH960" s="959"/>
      <c r="ER960" s="905">
        <v>3934</v>
      </c>
      <c r="ES960" s="906" t="s">
        <v>4605</v>
      </c>
      <c r="ET960" s="2686">
        <v>9</v>
      </c>
      <c r="EV960" s="985"/>
      <c r="EW960" s="985"/>
      <c r="EX960" s="387"/>
      <c r="EY960" s="939"/>
      <c r="EZ960" s="886"/>
    </row>
    <row r="961" spans="88:156">
      <c r="CJ961" s="197"/>
      <c r="CK961" s="197"/>
      <c r="CL961" s="197"/>
      <c r="CM961" s="213"/>
      <c r="CN961" s="213"/>
      <c r="CO961" s="197"/>
      <c r="CP961" s="197"/>
      <c r="CQ961" s="197"/>
      <c r="CR961" s="197"/>
      <c r="CS961" s="197"/>
      <c r="CT961" s="197"/>
      <c r="CU961" s="197"/>
      <c r="CV961" s="197"/>
      <c r="CW961" s="197"/>
      <c r="CX961" s="959"/>
      <c r="CY961" s="959"/>
      <c r="CZ961" s="959"/>
      <c r="DA961" s="959"/>
      <c r="DB961" s="959"/>
      <c r="DC961" s="891">
        <v>3742</v>
      </c>
      <c r="DD961" s="891" t="s">
        <v>1115</v>
      </c>
      <c r="DE961" s="891" t="s">
        <v>406</v>
      </c>
      <c r="DF961" s="891">
        <v>6</v>
      </c>
      <c r="DG961" s="959"/>
      <c r="DH961" s="959"/>
      <c r="ER961" s="905">
        <v>3935</v>
      </c>
      <c r="ES961" s="906" t="s">
        <v>4606</v>
      </c>
      <c r="ET961" s="2686">
        <v>9</v>
      </c>
      <c r="EV961" s="985"/>
      <c r="EW961" s="985"/>
      <c r="EX961" s="387"/>
      <c r="EY961" s="939"/>
      <c r="EZ961" s="886"/>
    </row>
    <row r="962" spans="88:156">
      <c r="CJ962" s="197"/>
      <c r="CK962" s="197"/>
      <c r="CL962" s="197"/>
      <c r="CM962" s="213"/>
      <c r="CN962" s="213"/>
      <c r="CO962" s="197"/>
      <c r="CP962" s="197"/>
      <c r="CQ962" s="197"/>
      <c r="CR962" s="197"/>
      <c r="CS962" s="197"/>
      <c r="CT962" s="197"/>
      <c r="CU962" s="197"/>
      <c r="CV962" s="197"/>
      <c r="CW962" s="197"/>
      <c r="CX962" s="959"/>
      <c r="CY962" s="959"/>
      <c r="CZ962" s="959"/>
      <c r="DA962" s="959"/>
      <c r="DB962" s="959"/>
      <c r="DC962" s="891">
        <v>3743</v>
      </c>
      <c r="DD962" s="891" t="s">
        <v>1116</v>
      </c>
      <c r="DE962" s="891" t="s">
        <v>406</v>
      </c>
      <c r="DF962" s="891">
        <v>6</v>
      </c>
      <c r="DG962" s="959"/>
      <c r="DH962" s="959"/>
      <c r="ER962" s="905">
        <v>3936</v>
      </c>
      <c r="ES962" s="906" t="s">
        <v>4106</v>
      </c>
      <c r="ET962" s="2686">
        <v>9</v>
      </c>
      <c r="EV962" s="985"/>
      <c r="EW962" s="985"/>
      <c r="EX962" s="387"/>
      <c r="EY962" s="939"/>
      <c r="EZ962" s="886"/>
    </row>
    <row r="963" spans="88:156">
      <c r="CJ963" s="197"/>
      <c r="CK963" s="197"/>
      <c r="CL963" s="197"/>
      <c r="CM963" s="213"/>
      <c r="CN963" s="213"/>
      <c r="CO963" s="197"/>
      <c r="CP963" s="197"/>
      <c r="CQ963" s="197"/>
      <c r="CR963" s="197"/>
      <c r="CS963" s="197"/>
      <c r="CT963" s="197"/>
      <c r="CU963" s="197"/>
      <c r="CV963" s="197"/>
      <c r="CW963" s="197"/>
      <c r="CX963" s="959"/>
      <c r="CY963" s="959"/>
      <c r="CZ963" s="959"/>
      <c r="DA963" s="959"/>
      <c r="DB963" s="959"/>
      <c r="DC963" s="891">
        <v>3744</v>
      </c>
      <c r="DD963" s="891" t="s">
        <v>1117</v>
      </c>
      <c r="DE963" s="891" t="s">
        <v>406</v>
      </c>
      <c r="DF963" s="891">
        <v>5</v>
      </c>
      <c r="DG963" s="959"/>
      <c r="DH963" s="959"/>
      <c r="ER963" s="905">
        <v>3937</v>
      </c>
      <c r="ES963" s="906" t="s">
        <v>4608</v>
      </c>
      <c r="ET963" s="2686">
        <v>9</v>
      </c>
      <c r="EV963" s="985"/>
      <c r="EW963" s="985"/>
      <c r="EX963" s="387"/>
      <c r="EY963" s="939"/>
      <c r="EZ963" s="886"/>
    </row>
    <row r="964" spans="88:156">
      <c r="CJ964" s="197"/>
      <c r="CK964" s="197"/>
      <c r="CL964" s="197"/>
      <c r="CM964" s="213"/>
      <c r="CN964" s="213"/>
      <c r="CO964" s="197"/>
      <c r="CP964" s="197"/>
      <c r="CQ964" s="197"/>
      <c r="CR964" s="197"/>
      <c r="CS964" s="197"/>
      <c r="CT964" s="197"/>
      <c r="CU964" s="197"/>
      <c r="CV964" s="197"/>
      <c r="CW964" s="197"/>
      <c r="CX964" s="959"/>
      <c r="CY964" s="959"/>
      <c r="CZ964" s="959"/>
      <c r="DA964" s="959"/>
      <c r="DB964" s="959"/>
      <c r="DC964" s="891">
        <v>3751</v>
      </c>
      <c r="DD964" s="891" t="s">
        <v>1118</v>
      </c>
      <c r="DE964" s="891" t="s">
        <v>406</v>
      </c>
      <c r="DF964" s="891">
        <v>6</v>
      </c>
      <c r="DG964" s="959"/>
      <c r="DH964" s="959"/>
      <c r="ER964" s="905">
        <v>3941</v>
      </c>
      <c r="ES964" s="906" t="s">
        <v>4609</v>
      </c>
      <c r="ET964" s="2686">
        <v>9</v>
      </c>
      <c r="EV964" s="985"/>
      <c r="EW964" s="985"/>
      <c r="EX964" s="387"/>
      <c r="EY964" s="939"/>
      <c r="EZ964" s="886"/>
    </row>
    <row r="965" spans="88:156">
      <c r="CJ965" s="197"/>
      <c r="CK965" s="197"/>
      <c r="CL965" s="197"/>
      <c r="CM965" s="213"/>
      <c r="CN965" s="213"/>
      <c r="CO965" s="197"/>
      <c r="CP965" s="197"/>
      <c r="CQ965" s="197"/>
      <c r="CR965" s="197"/>
      <c r="CS965" s="197"/>
      <c r="CT965" s="197"/>
      <c r="CU965" s="197"/>
      <c r="CV965" s="197"/>
      <c r="CW965" s="197"/>
      <c r="CX965" s="959"/>
      <c r="CY965" s="959"/>
      <c r="CZ965" s="959"/>
      <c r="DA965" s="959"/>
      <c r="DB965" s="959"/>
      <c r="DC965" s="891">
        <v>3752</v>
      </c>
      <c r="DD965" s="891" t="s">
        <v>1119</v>
      </c>
      <c r="DE965" s="891" t="s">
        <v>406</v>
      </c>
      <c r="DF965" s="891">
        <v>6</v>
      </c>
      <c r="DG965" s="959"/>
      <c r="DH965" s="959"/>
      <c r="ER965" s="905">
        <v>3942</v>
      </c>
      <c r="ES965" s="906" t="s">
        <v>4610</v>
      </c>
      <c r="ET965" s="2686">
        <v>9</v>
      </c>
      <c r="EV965" s="985"/>
      <c r="EW965" s="985"/>
      <c r="EX965" s="387"/>
      <c r="EY965" s="939"/>
      <c r="EZ965" s="886"/>
    </row>
    <row r="966" spans="88:156">
      <c r="CJ966" s="197"/>
      <c r="CK966" s="197"/>
      <c r="CL966" s="197"/>
      <c r="CM966" s="213"/>
      <c r="CN966" s="213"/>
      <c r="CO966" s="197"/>
      <c r="CP966" s="197"/>
      <c r="CQ966" s="197"/>
      <c r="CR966" s="197"/>
      <c r="CS966" s="197"/>
      <c r="CT966" s="197"/>
      <c r="CU966" s="197"/>
      <c r="CV966" s="197"/>
      <c r="CW966" s="197"/>
      <c r="CX966" s="959"/>
      <c r="CY966" s="959"/>
      <c r="CZ966" s="959"/>
      <c r="DA966" s="959"/>
      <c r="DB966" s="959"/>
      <c r="DC966" s="891">
        <v>3753</v>
      </c>
      <c r="DD966" s="891" t="s">
        <v>1120</v>
      </c>
      <c r="DE966" s="891" t="s">
        <v>406</v>
      </c>
      <c r="DF966" s="891">
        <v>6</v>
      </c>
      <c r="DG966" s="959"/>
      <c r="DH966" s="959"/>
      <c r="ER966" s="905">
        <v>3943</v>
      </c>
      <c r="ES966" s="906" t="s">
        <v>4611</v>
      </c>
      <c r="ET966" s="2686">
        <v>9</v>
      </c>
      <c r="EV966" s="985"/>
      <c r="EW966" s="985"/>
      <c r="EX966" s="387"/>
      <c r="EY966" s="939"/>
      <c r="EZ966" s="886"/>
    </row>
    <row r="967" spans="88:156">
      <c r="CJ967" s="197"/>
      <c r="CK967" s="197"/>
      <c r="CL967" s="197"/>
      <c r="CM967" s="213"/>
      <c r="CN967" s="213"/>
      <c r="CO967" s="197"/>
      <c r="CP967" s="197"/>
      <c r="CQ967" s="197"/>
      <c r="CR967" s="197"/>
      <c r="CS967" s="197"/>
      <c r="CT967" s="197"/>
      <c r="CU967" s="197"/>
      <c r="CV967" s="197"/>
      <c r="CW967" s="197"/>
      <c r="CX967" s="959"/>
      <c r="CY967" s="959"/>
      <c r="CZ967" s="959"/>
      <c r="DA967" s="959"/>
      <c r="DB967" s="959"/>
      <c r="DC967" s="891">
        <v>3754</v>
      </c>
      <c r="DD967" s="891" t="s">
        <v>1121</v>
      </c>
      <c r="DE967" s="891" t="s">
        <v>406</v>
      </c>
      <c r="DF967" s="891">
        <v>6</v>
      </c>
      <c r="DG967" s="959"/>
      <c r="DH967" s="959"/>
      <c r="ER967" s="905">
        <v>3944</v>
      </c>
      <c r="ES967" s="905" t="s">
        <v>4107</v>
      </c>
      <c r="ET967" s="2686">
        <v>9</v>
      </c>
      <c r="EV967" s="985"/>
      <c r="EW967" s="985"/>
      <c r="EX967" s="387"/>
      <c r="EY967" s="939"/>
      <c r="EZ967" s="886"/>
    </row>
    <row r="968" spans="88:156">
      <c r="CJ968" s="197"/>
      <c r="CK968" s="197"/>
      <c r="CL968" s="197"/>
      <c r="CM968" s="213"/>
      <c r="CN968" s="213"/>
      <c r="CO968" s="197"/>
      <c r="CP968" s="197"/>
      <c r="CQ968" s="197"/>
      <c r="CR968" s="197"/>
      <c r="CS968" s="197"/>
      <c r="CT968" s="197"/>
      <c r="CU968" s="197"/>
      <c r="CV968" s="197"/>
      <c r="CW968" s="197"/>
      <c r="CX968" s="959"/>
      <c r="CY968" s="959"/>
      <c r="CZ968" s="959"/>
      <c r="DA968" s="959"/>
      <c r="DB968" s="959"/>
      <c r="DC968" s="891">
        <v>3755</v>
      </c>
      <c r="DD968" s="891" t="s">
        <v>1122</v>
      </c>
      <c r="DE968" s="891" t="s">
        <v>423</v>
      </c>
      <c r="DF968" s="891">
        <v>6</v>
      </c>
      <c r="DG968" s="959"/>
      <c r="DH968" s="959"/>
      <c r="ER968" s="905">
        <v>3945</v>
      </c>
      <c r="ES968" s="905" t="s">
        <v>4108</v>
      </c>
      <c r="ET968" s="2686">
        <v>9</v>
      </c>
      <c r="EV968" s="985"/>
      <c r="EW968" s="985"/>
      <c r="EX968" s="387"/>
      <c r="EY968" s="939"/>
      <c r="EZ968" s="886"/>
    </row>
    <row r="969" spans="88:156">
      <c r="CJ969" s="197"/>
      <c r="CK969" s="197"/>
      <c r="CL969" s="197"/>
      <c r="CM969" s="213"/>
      <c r="CN969" s="213"/>
      <c r="CO969" s="197"/>
      <c r="CP969" s="197"/>
      <c r="CQ969" s="197"/>
      <c r="CR969" s="197"/>
      <c r="CS969" s="197"/>
      <c r="CT969" s="197"/>
      <c r="CU969" s="197"/>
      <c r="CV969" s="197"/>
      <c r="CW969" s="197"/>
      <c r="CX969" s="959"/>
      <c r="CY969" s="959"/>
      <c r="CZ969" s="959"/>
      <c r="DA969" s="959"/>
      <c r="DB969" s="959"/>
      <c r="DC969" s="891">
        <v>3756</v>
      </c>
      <c r="DD969" s="891" t="s">
        <v>1123</v>
      </c>
      <c r="DE969" s="891" t="s">
        <v>2808</v>
      </c>
      <c r="DF969" s="891">
        <v>6</v>
      </c>
      <c r="DG969" s="959"/>
      <c r="DH969" s="959"/>
      <c r="ER969" s="905">
        <v>3950</v>
      </c>
      <c r="ES969" s="906" t="s">
        <v>4614</v>
      </c>
      <c r="ET969" s="2686">
        <v>9</v>
      </c>
      <c r="EV969" s="985"/>
      <c r="EW969" s="985"/>
      <c r="EX969" s="387"/>
      <c r="EY969" s="939"/>
      <c r="EZ969" s="886"/>
    </row>
    <row r="970" spans="88:156">
      <c r="CJ970" s="197"/>
      <c r="CK970" s="197"/>
      <c r="CL970" s="197"/>
      <c r="CM970" s="213"/>
      <c r="CN970" s="213"/>
      <c r="CO970" s="197"/>
      <c r="CP970" s="197"/>
      <c r="CQ970" s="197"/>
      <c r="CR970" s="197"/>
      <c r="CS970" s="197"/>
      <c r="CT970" s="197"/>
      <c r="CU970" s="197"/>
      <c r="CV970" s="197"/>
      <c r="CW970" s="197"/>
      <c r="CX970" s="959"/>
      <c r="CY970" s="959"/>
      <c r="CZ970" s="959"/>
      <c r="DA970" s="959"/>
      <c r="DB970" s="959"/>
      <c r="DC970" s="891">
        <v>3757</v>
      </c>
      <c r="DD970" s="891" t="s">
        <v>1124</v>
      </c>
      <c r="DE970" s="891" t="s">
        <v>412</v>
      </c>
      <c r="DF970" s="891">
        <v>6</v>
      </c>
      <c r="DG970" s="959"/>
      <c r="DH970" s="959"/>
      <c r="ER970" s="905">
        <v>3954</v>
      </c>
      <c r="ES970" s="906" t="s">
        <v>4615</v>
      </c>
      <c r="ET970" s="2686">
        <v>9</v>
      </c>
      <c r="EV970" s="985"/>
      <c r="EW970" s="985"/>
      <c r="EX970" s="387"/>
      <c r="EY970" s="939"/>
      <c r="EZ970" s="886"/>
    </row>
    <row r="971" spans="88:156">
      <c r="CJ971" s="197"/>
      <c r="CK971" s="197"/>
      <c r="CL971" s="197"/>
      <c r="CM971" s="213"/>
      <c r="CN971" s="213"/>
      <c r="CO971" s="197"/>
      <c r="CP971" s="197"/>
      <c r="CQ971" s="197"/>
      <c r="CR971" s="197"/>
      <c r="CS971" s="197"/>
      <c r="CT971" s="197"/>
      <c r="CU971" s="197"/>
      <c r="CV971" s="197"/>
      <c r="CW971" s="197"/>
      <c r="CX971" s="959"/>
      <c r="CY971" s="959"/>
      <c r="CZ971" s="959"/>
      <c r="DA971" s="959"/>
      <c r="DB971" s="959"/>
      <c r="DC971" s="891">
        <v>3758</v>
      </c>
      <c r="DD971" s="891" t="s">
        <v>1125</v>
      </c>
      <c r="DE971" s="891" t="s">
        <v>419</v>
      </c>
      <c r="DF971" s="891">
        <v>6</v>
      </c>
      <c r="DG971" s="959"/>
      <c r="DH971" s="959"/>
      <c r="ER971" s="905">
        <v>3955</v>
      </c>
      <c r="ES971" s="906" t="s">
        <v>4616</v>
      </c>
      <c r="ET971" s="2686">
        <v>9</v>
      </c>
      <c r="EV971" s="985"/>
      <c r="EW971" s="985"/>
      <c r="EX971" s="387"/>
      <c r="EY971" s="939"/>
      <c r="EZ971" s="886"/>
    </row>
    <row r="972" spans="88:156">
      <c r="CJ972" s="197"/>
      <c r="CK972" s="197"/>
      <c r="CL972" s="197"/>
      <c r="CM972" s="213"/>
      <c r="CN972" s="213"/>
      <c r="CO972" s="197"/>
      <c r="CP972" s="197"/>
      <c r="CQ972" s="197"/>
      <c r="CR972" s="197"/>
      <c r="CS972" s="197"/>
      <c r="CT972" s="197"/>
      <c r="CU972" s="197"/>
      <c r="CV972" s="197"/>
      <c r="CW972" s="197"/>
      <c r="CX972" s="959"/>
      <c r="CY972" s="959"/>
      <c r="CZ972" s="959"/>
      <c r="DA972" s="959"/>
      <c r="DB972" s="959"/>
      <c r="DC972" s="891">
        <v>3759</v>
      </c>
      <c r="DD972" s="891" t="s">
        <v>1126</v>
      </c>
      <c r="DE972" s="891" t="s">
        <v>421</v>
      </c>
      <c r="DF972" s="891">
        <v>5</v>
      </c>
      <c r="DG972" s="959"/>
      <c r="DH972" s="959"/>
      <c r="ER972" s="905">
        <v>3956</v>
      </c>
      <c r="ES972" s="906" t="s">
        <v>4617</v>
      </c>
      <c r="ET972" s="2686">
        <v>9</v>
      </c>
      <c r="EV972" s="985"/>
      <c r="EW972" s="985"/>
      <c r="EX972" s="387"/>
      <c r="EY972" s="939"/>
      <c r="EZ972" s="886"/>
    </row>
    <row r="973" spans="88:156">
      <c r="CJ973" s="197"/>
      <c r="CK973" s="197"/>
      <c r="CL973" s="197"/>
      <c r="CM973" s="213"/>
      <c r="CN973" s="213"/>
      <c r="CO973" s="197"/>
      <c r="CP973" s="197"/>
      <c r="CQ973" s="197"/>
      <c r="CR973" s="197"/>
      <c r="CS973" s="197"/>
      <c r="CT973" s="197"/>
      <c r="CU973" s="197"/>
      <c r="CV973" s="197"/>
      <c r="CW973" s="197"/>
      <c r="CX973" s="959"/>
      <c r="CY973" s="959"/>
      <c r="CZ973" s="959"/>
      <c r="DA973" s="959"/>
      <c r="DB973" s="959"/>
      <c r="DC973" s="891">
        <v>3761</v>
      </c>
      <c r="DD973" s="891" t="s">
        <v>1127</v>
      </c>
      <c r="DE973" s="891" t="s">
        <v>420</v>
      </c>
      <c r="DF973" s="891">
        <v>5</v>
      </c>
      <c r="DG973" s="959"/>
      <c r="DH973" s="959"/>
      <c r="ER973" s="905">
        <v>3957</v>
      </c>
      <c r="ES973" s="906" t="s">
        <v>4618</v>
      </c>
      <c r="ET973" s="2686">
        <v>9</v>
      </c>
      <c r="EV973" s="985"/>
      <c r="EW973" s="985"/>
      <c r="EX973" s="387"/>
      <c r="EY973" s="939"/>
      <c r="EZ973" s="886"/>
    </row>
    <row r="974" spans="88:156">
      <c r="CJ974" s="197"/>
      <c r="CK974" s="197"/>
      <c r="CL974" s="197"/>
      <c r="CM974" s="213"/>
      <c r="CN974" s="213"/>
      <c r="CO974" s="197"/>
      <c r="CP974" s="197"/>
      <c r="CQ974" s="197"/>
      <c r="CR974" s="197"/>
      <c r="CS974" s="197"/>
      <c r="CT974" s="197"/>
      <c r="CU974" s="197"/>
      <c r="CV974" s="197"/>
      <c r="CW974" s="197"/>
      <c r="CX974" s="959"/>
      <c r="CY974" s="959"/>
      <c r="CZ974" s="959"/>
      <c r="DA974" s="959"/>
      <c r="DB974" s="959"/>
      <c r="DC974" s="891">
        <v>3762</v>
      </c>
      <c r="DD974" s="891" t="s">
        <v>1128</v>
      </c>
      <c r="DE974" s="891" t="s">
        <v>418</v>
      </c>
      <c r="DF974" s="891">
        <v>5</v>
      </c>
      <c r="DG974" s="959"/>
      <c r="DH974" s="959"/>
      <c r="ER974" s="905">
        <v>3958</v>
      </c>
      <c r="ES974" s="906" t="s">
        <v>4619</v>
      </c>
      <c r="ET974" s="2686">
        <v>9</v>
      </c>
      <c r="EV974" s="985"/>
      <c r="EW974" s="985"/>
      <c r="EX974" s="387"/>
      <c r="EY974" s="939"/>
      <c r="EZ974" s="886"/>
    </row>
    <row r="975" spans="88:156">
      <c r="CJ975" s="197"/>
      <c r="CK975" s="197"/>
      <c r="CL975" s="197"/>
      <c r="CM975" s="213"/>
      <c r="CN975" s="213"/>
      <c r="CO975" s="197"/>
      <c r="CP975" s="197"/>
      <c r="CQ975" s="197"/>
      <c r="CR975" s="197"/>
      <c r="CS975" s="197"/>
      <c r="CT975" s="197"/>
      <c r="CU975" s="197"/>
      <c r="CV975" s="197"/>
      <c r="CW975" s="197"/>
      <c r="CX975" s="959"/>
      <c r="CY975" s="959"/>
      <c r="CZ975" s="959"/>
      <c r="DA975" s="959"/>
      <c r="DB975" s="959"/>
      <c r="DC975" s="891">
        <v>3763</v>
      </c>
      <c r="DD975" s="891" t="s">
        <v>1129</v>
      </c>
      <c r="DE975" s="891" t="s">
        <v>427</v>
      </c>
      <c r="DF975" s="891">
        <v>6</v>
      </c>
      <c r="DG975" s="959"/>
      <c r="DH975" s="959"/>
      <c r="ER975" s="905">
        <v>3959</v>
      </c>
      <c r="ES975" s="906" t="s">
        <v>4620</v>
      </c>
      <c r="ET975" s="2686">
        <v>9</v>
      </c>
      <c r="EV975" s="985"/>
      <c r="EW975" s="985"/>
      <c r="EX975" s="387"/>
      <c r="EY975" s="939"/>
      <c r="EZ975" s="886"/>
    </row>
    <row r="976" spans="88:156">
      <c r="CJ976" s="197"/>
      <c r="CK976" s="197"/>
      <c r="CL976" s="197"/>
      <c r="CM976" s="213"/>
      <c r="CN976" s="213"/>
      <c r="CO976" s="197"/>
      <c r="CP976" s="197"/>
      <c r="CQ976" s="197"/>
      <c r="CR976" s="197"/>
      <c r="CS976" s="197"/>
      <c r="CT976" s="197"/>
      <c r="CU976" s="197"/>
      <c r="CV976" s="197"/>
      <c r="CW976" s="197"/>
      <c r="CX976" s="959"/>
      <c r="CY976" s="959"/>
      <c r="CZ976" s="959"/>
      <c r="DA976" s="959"/>
      <c r="DB976" s="959"/>
      <c r="DC976" s="891">
        <v>3764</v>
      </c>
      <c r="DD976" s="891" t="s">
        <v>1130</v>
      </c>
      <c r="DE976" s="891" t="s">
        <v>427</v>
      </c>
      <c r="DF976" s="891">
        <v>5</v>
      </c>
      <c r="DG976" s="959"/>
      <c r="DH976" s="959"/>
      <c r="ER976" s="905">
        <v>3961</v>
      </c>
      <c r="ES976" s="906" t="s">
        <v>4621</v>
      </c>
      <c r="ET976" s="2686">
        <v>9</v>
      </c>
      <c r="EV976" s="985"/>
      <c r="EW976" s="985"/>
      <c r="EX976" s="387"/>
      <c r="EY976" s="939"/>
      <c r="EZ976" s="886"/>
    </row>
    <row r="977" spans="88:156">
      <c r="CJ977" s="197"/>
      <c r="CK977" s="197"/>
      <c r="CL977" s="197"/>
      <c r="CM977" s="213"/>
      <c r="CN977" s="213"/>
      <c r="CO977" s="197"/>
      <c r="CP977" s="197"/>
      <c r="CQ977" s="197"/>
      <c r="CR977" s="197"/>
      <c r="CS977" s="197"/>
      <c r="CT977" s="197"/>
      <c r="CU977" s="197"/>
      <c r="CV977" s="197"/>
      <c r="CW977" s="197"/>
      <c r="CX977" s="959"/>
      <c r="CY977" s="959"/>
      <c r="CZ977" s="959"/>
      <c r="DA977" s="959"/>
      <c r="DB977" s="959"/>
      <c r="DC977" s="891">
        <v>3765</v>
      </c>
      <c r="DD977" s="891" t="s">
        <v>1131</v>
      </c>
      <c r="DE977" s="891" t="s">
        <v>435</v>
      </c>
      <c r="DF977" s="891">
        <v>5</v>
      </c>
      <c r="DG977" s="959"/>
      <c r="DH977" s="959"/>
      <c r="ER977" s="905">
        <v>3962</v>
      </c>
      <c r="ES977" s="906" t="s">
        <v>4622</v>
      </c>
      <c r="ET977" s="2686">
        <v>9</v>
      </c>
      <c r="EV977" s="985"/>
      <c r="EW977" s="985"/>
      <c r="EX977" s="387"/>
      <c r="EY977" s="939"/>
      <c r="EZ977" s="886"/>
    </row>
    <row r="978" spans="88:156">
      <c r="CJ978" s="197"/>
      <c r="CK978" s="197"/>
      <c r="CL978" s="197"/>
      <c r="CM978" s="213"/>
      <c r="CN978" s="213"/>
      <c r="CO978" s="197"/>
      <c r="CP978" s="197"/>
      <c r="CQ978" s="197"/>
      <c r="CR978" s="197"/>
      <c r="CS978" s="197"/>
      <c r="CT978" s="197"/>
      <c r="CU978" s="197"/>
      <c r="CV978" s="197"/>
      <c r="CW978" s="197"/>
      <c r="CX978" s="959"/>
      <c r="CY978" s="959"/>
      <c r="CZ978" s="959"/>
      <c r="DA978" s="959"/>
      <c r="DB978" s="959"/>
      <c r="DC978" s="891">
        <v>3767</v>
      </c>
      <c r="DD978" s="891" t="s">
        <v>1516</v>
      </c>
      <c r="DE978" s="891" t="s">
        <v>435</v>
      </c>
      <c r="DF978" s="891">
        <v>5</v>
      </c>
      <c r="DG978" s="959"/>
      <c r="DH978" s="959"/>
      <c r="ER978" s="905">
        <v>3963</v>
      </c>
      <c r="ES978" s="906" t="s">
        <v>4623</v>
      </c>
      <c r="ET978" s="2686">
        <v>9</v>
      </c>
      <c r="EV978" s="985"/>
      <c r="EW978" s="985"/>
      <c r="EX978" s="387"/>
      <c r="EY978" s="939"/>
      <c r="EZ978" s="886"/>
    </row>
    <row r="979" spans="88:156">
      <c r="CJ979" s="197"/>
      <c r="CK979" s="197"/>
      <c r="CL979" s="197"/>
      <c r="CM979" s="213"/>
      <c r="CN979" s="213"/>
      <c r="CO979" s="197"/>
      <c r="CP979" s="197"/>
      <c r="CQ979" s="197"/>
      <c r="CR979" s="197"/>
      <c r="CS979" s="197"/>
      <c r="CT979" s="197"/>
      <c r="CU979" s="197"/>
      <c r="CV979" s="197"/>
      <c r="CW979" s="197"/>
      <c r="CX979" s="959"/>
      <c r="CY979" s="959"/>
      <c r="CZ979" s="959"/>
      <c r="DA979" s="959"/>
      <c r="DB979" s="959"/>
      <c r="DC979" s="891">
        <v>3768</v>
      </c>
      <c r="DD979" s="891" t="s">
        <v>1517</v>
      </c>
      <c r="DE979" s="891" t="s">
        <v>2807</v>
      </c>
      <c r="DF979" s="891">
        <v>6</v>
      </c>
      <c r="DG979" s="959"/>
      <c r="DH979" s="959"/>
      <c r="ER979" s="905">
        <v>3964</v>
      </c>
      <c r="ES979" s="906" t="s">
        <v>4624</v>
      </c>
      <c r="ET979" s="2686">
        <v>9</v>
      </c>
      <c r="EV979" s="985"/>
      <c r="EW979" s="985"/>
      <c r="EX979" s="387"/>
      <c r="EY979" s="939"/>
      <c r="EZ979" s="886"/>
    </row>
    <row r="980" spans="88:156">
      <c r="CJ980" s="197"/>
      <c r="CK980" s="197"/>
      <c r="CL980" s="197"/>
      <c r="CM980" s="213"/>
      <c r="CN980" s="213"/>
      <c r="CO980" s="197"/>
      <c r="CP980" s="197"/>
      <c r="CQ980" s="197"/>
      <c r="CR980" s="197"/>
      <c r="CS980" s="197"/>
      <c r="CT980" s="197"/>
      <c r="CU980" s="197"/>
      <c r="CV980" s="197"/>
      <c r="CW980" s="197"/>
      <c r="CX980" s="959"/>
      <c r="CY980" s="959"/>
      <c r="CZ980" s="959"/>
      <c r="DA980" s="959"/>
      <c r="DB980" s="959"/>
      <c r="DC980" s="891">
        <v>3769</v>
      </c>
      <c r="DD980" s="891" t="s">
        <v>1518</v>
      </c>
      <c r="DE980" s="891" t="s">
        <v>2807</v>
      </c>
      <c r="DF980" s="891">
        <v>6</v>
      </c>
      <c r="DG980" s="959"/>
      <c r="DH980" s="959"/>
      <c r="ER980" s="905">
        <v>3965</v>
      </c>
      <c r="ES980" s="906" t="s">
        <v>4109</v>
      </c>
      <c r="ET980" s="2686">
        <v>9</v>
      </c>
      <c r="EV980" s="985"/>
      <c r="EW980" s="985"/>
      <c r="EX980" s="387"/>
      <c r="EY980" s="939"/>
      <c r="EZ980" s="886"/>
    </row>
    <row r="981" spans="88:156">
      <c r="CJ981" s="197"/>
      <c r="CK981" s="197"/>
      <c r="CL981" s="197"/>
      <c r="CM981" s="213"/>
      <c r="CN981" s="213"/>
      <c r="CO981" s="197"/>
      <c r="CP981" s="197"/>
      <c r="CQ981" s="197"/>
      <c r="CR981" s="197"/>
      <c r="CS981" s="197"/>
      <c r="CT981" s="197"/>
      <c r="CU981" s="197"/>
      <c r="CV981" s="197"/>
      <c r="CW981" s="197"/>
      <c r="CX981" s="959"/>
      <c r="CY981" s="959"/>
      <c r="CZ981" s="959"/>
      <c r="DA981" s="959"/>
      <c r="DB981" s="959"/>
      <c r="DC981" s="891">
        <v>3770</v>
      </c>
      <c r="DD981" s="891" t="s">
        <v>1519</v>
      </c>
      <c r="DE981" s="891" t="s">
        <v>2807</v>
      </c>
      <c r="DF981" s="891">
        <v>5</v>
      </c>
      <c r="DG981" s="959"/>
      <c r="DH981" s="959"/>
      <c r="ER981" s="905">
        <v>3965</v>
      </c>
      <c r="ES981" s="906" t="s">
        <v>4110</v>
      </c>
      <c r="ET981" s="2686">
        <v>9</v>
      </c>
      <c r="EV981" s="985"/>
      <c r="EW981" s="985"/>
      <c r="EX981" s="387"/>
      <c r="EY981" s="939"/>
      <c r="EZ981" s="886"/>
    </row>
    <row r="982" spans="88:156">
      <c r="CJ982" s="197"/>
      <c r="CK982" s="197"/>
      <c r="CL982" s="197"/>
      <c r="CM982" s="213"/>
      <c r="CN982" s="213"/>
      <c r="CO982" s="197"/>
      <c r="CP982" s="197"/>
      <c r="CQ982" s="197"/>
      <c r="CR982" s="197"/>
      <c r="CS982" s="197"/>
      <c r="CT982" s="197"/>
      <c r="CU982" s="197"/>
      <c r="CV982" s="197"/>
      <c r="CW982" s="197"/>
      <c r="CX982" s="959"/>
      <c r="CY982" s="959"/>
      <c r="CZ982" s="959"/>
      <c r="DA982" s="959"/>
      <c r="DB982" s="959"/>
      <c r="DC982" s="891">
        <v>3773</v>
      </c>
      <c r="DD982" s="891" t="s">
        <v>1520</v>
      </c>
      <c r="DE982" s="891" t="s">
        <v>2807</v>
      </c>
      <c r="DF982" s="891">
        <v>4</v>
      </c>
      <c r="DG982" s="959"/>
      <c r="DH982" s="959"/>
      <c r="ER982" s="905">
        <v>3967</v>
      </c>
      <c r="ES982" s="906" t="s">
        <v>4626</v>
      </c>
      <c r="ET982" s="2686">
        <v>9</v>
      </c>
      <c r="EV982" s="985"/>
      <c r="EW982" s="985"/>
      <c r="EX982" s="387"/>
      <c r="EY982" s="939"/>
      <c r="EZ982" s="886"/>
    </row>
    <row r="983" spans="88:156">
      <c r="CJ983" s="197"/>
      <c r="CK983" s="197"/>
      <c r="CL983" s="197"/>
      <c r="CM983" s="213"/>
      <c r="CN983" s="213"/>
      <c r="CO983" s="197"/>
      <c r="CP983" s="197"/>
      <c r="CQ983" s="197"/>
      <c r="CR983" s="197"/>
      <c r="CS983" s="197"/>
      <c r="CT983" s="197"/>
      <c r="CU983" s="197"/>
      <c r="CV983" s="197"/>
      <c r="CW983" s="197"/>
      <c r="CX983" s="959"/>
      <c r="CY983" s="959"/>
      <c r="CZ983" s="959"/>
      <c r="DA983" s="959"/>
      <c r="DB983" s="959"/>
      <c r="DC983" s="891">
        <v>3775</v>
      </c>
      <c r="DD983" s="891" t="s">
        <v>1521</v>
      </c>
      <c r="DE983" s="891" t="s">
        <v>2807</v>
      </c>
      <c r="DF983" s="891">
        <v>4</v>
      </c>
      <c r="DG983" s="959"/>
      <c r="DH983" s="959"/>
      <c r="ER983" s="905">
        <v>3971</v>
      </c>
      <c r="ES983" s="906" t="s">
        <v>4111</v>
      </c>
      <c r="ET983" s="2686">
        <v>9</v>
      </c>
      <c r="EV983" s="985"/>
      <c r="EW983" s="985"/>
      <c r="EX983" s="387"/>
      <c r="EY983" s="939"/>
      <c r="EZ983" s="886"/>
    </row>
    <row r="984" spans="88:156">
      <c r="CJ984" s="197"/>
      <c r="CK984" s="197"/>
      <c r="CL984" s="197"/>
      <c r="CM984" s="213"/>
      <c r="CN984" s="213"/>
      <c r="CO984" s="197"/>
      <c r="CP984" s="197"/>
      <c r="CQ984" s="197"/>
      <c r="CR984" s="197"/>
      <c r="CS984" s="197"/>
      <c r="CT984" s="197"/>
      <c r="CU984" s="197"/>
      <c r="CV984" s="197"/>
      <c r="CW984" s="197"/>
      <c r="CX984" s="959"/>
      <c r="CY984" s="959"/>
      <c r="CZ984" s="959"/>
      <c r="DA984" s="959"/>
      <c r="DB984" s="959"/>
      <c r="DC984" s="891">
        <v>3776</v>
      </c>
      <c r="DD984" s="891" t="s">
        <v>1522</v>
      </c>
      <c r="DE984" s="891" t="s">
        <v>2807</v>
      </c>
      <c r="DF984" s="891">
        <v>5</v>
      </c>
      <c r="DG984" s="959"/>
      <c r="DH984" s="959"/>
      <c r="ER984" s="905">
        <v>3972</v>
      </c>
      <c r="ES984" s="906" t="s">
        <v>4628</v>
      </c>
      <c r="ET984" s="2686">
        <v>9</v>
      </c>
      <c r="EV984" s="985"/>
      <c r="EW984" s="985"/>
      <c r="EX984" s="387"/>
      <c r="EY984" s="939"/>
      <c r="EZ984" s="886"/>
    </row>
    <row r="985" spans="88:156">
      <c r="CJ985" s="197"/>
      <c r="CK985" s="197"/>
      <c r="CL985" s="197"/>
      <c r="CM985" s="213"/>
      <c r="CN985" s="213"/>
      <c r="CO985" s="197"/>
      <c r="CP985" s="197"/>
      <c r="CQ985" s="197"/>
      <c r="CR985" s="197"/>
      <c r="CS985" s="197"/>
      <c r="CT985" s="197"/>
      <c r="CU985" s="197"/>
      <c r="CV985" s="197"/>
      <c r="CW985" s="197"/>
      <c r="CX985" s="959"/>
      <c r="CY985" s="959"/>
      <c r="CZ985" s="959"/>
      <c r="DA985" s="959"/>
      <c r="DB985" s="959"/>
      <c r="DC985" s="891">
        <v>3777</v>
      </c>
      <c r="DD985" s="891" t="s">
        <v>479</v>
      </c>
      <c r="DE985" s="891" t="s">
        <v>2807</v>
      </c>
      <c r="DF985" s="891">
        <v>5</v>
      </c>
      <c r="DG985" s="959"/>
      <c r="DH985" s="959"/>
      <c r="ER985" s="905">
        <v>3973</v>
      </c>
      <c r="ES985" s="906" t="s">
        <v>4629</v>
      </c>
      <c r="ET985" s="2686">
        <v>9</v>
      </c>
      <c r="EV985" s="985"/>
      <c r="EW985" s="985"/>
      <c r="EX985" s="387"/>
      <c r="EY985" s="939"/>
      <c r="EZ985" s="886"/>
    </row>
    <row r="986" spans="88:156">
      <c r="CJ986" s="197"/>
      <c r="CK986" s="197"/>
      <c r="CL986" s="197"/>
      <c r="CM986" s="213"/>
      <c r="CN986" s="213"/>
      <c r="CO986" s="197"/>
      <c r="CP986" s="197"/>
      <c r="CQ986" s="197"/>
      <c r="CR986" s="197"/>
      <c r="CS986" s="197"/>
      <c r="CT986" s="197"/>
      <c r="CU986" s="197"/>
      <c r="CV986" s="197"/>
      <c r="CW986" s="197"/>
      <c r="CX986" s="959"/>
      <c r="CY986" s="959"/>
      <c r="CZ986" s="959"/>
      <c r="DA986" s="959"/>
      <c r="DB986" s="959"/>
      <c r="DC986" s="891">
        <v>3778</v>
      </c>
      <c r="DD986" s="891" t="s">
        <v>480</v>
      </c>
      <c r="DE986" s="891" t="s">
        <v>417</v>
      </c>
      <c r="DF986" s="891">
        <v>4</v>
      </c>
      <c r="DG986" s="959"/>
      <c r="DH986" s="959"/>
      <c r="ER986" s="905">
        <v>3974</v>
      </c>
      <c r="ES986" s="906" t="s">
        <v>4112</v>
      </c>
      <c r="ET986" s="2686">
        <v>9</v>
      </c>
      <c r="EV986" s="985"/>
      <c r="EW986" s="985"/>
      <c r="EX986" s="387"/>
      <c r="EY986" s="939"/>
      <c r="EZ986" s="886"/>
    </row>
    <row r="987" spans="88:156">
      <c r="CJ987" s="197"/>
      <c r="CK987" s="197"/>
      <c r="CL987" s="197"/>
      <c r="CM987" s="213"/>
      <c r="CN987" s="213"/>
      <c r="CO987" s="197"/>
      <c r="CP987" s="197"/>
      <c r="CQ987" s="197"/>
      <c r="CR987" s="197"/>
      <c r="CS987" s="197"/>
      <c r="CT987" s="197"/>
      <c r="CU987" s="197"/>
      <c r="CV987" s="197"/>
      <c r="CW987" s="197"/>
      <c r="CX987" s="959"/>
      <c r="CY987" s="959"/>
      <c r="CZ987" s="959"/>
      <c r="DA987" s="959"/>
      <c r="DB987" s="959"/>
      <c r="DC987" s="891">
        <v>3779</v>
      </c>
      <c r="DD987" s="891" t="s">
        <v>481</v>
      </c>
      <c r="DE987" s="891" t="s">
        <v>427</v>
      </c>
      <c r="DF987" s="891">
        <v>4</v>
      </c>
      <c r="DG987" s="959"/>
      <c r="DH987" s="959"/>
      <c r="ER987" s="905">
        <v>3974</v>
      </c>
      <c r="ES987" s="906" t="s">
        <v>4113</v>
      </c>
      <c r="ET987" s="2686">
        <v>9</v>
      </c>
      <c r="EV987" s="985"/>
      <c r="EW987" s="985"/>
      <c r="EX987" s="387"/>
      <c r="EY987" s="939"/>
      <c r="EZ987" s="886"/>
    </row>
    <row r="988" spans="88:156">
      <c r="CJ988" s="197"/>
      <c r="CK988" s="197"/>
      <c r="CL988" s="197"/>
      <c r="CM988" s="213"/>
      <c r="CN988" s="213"/>
      <c r="CO988" s="197"/>
      <c r="CP988" s="197"/>
      <c r="CQ988" s="197"/>
      <c r="CR988" s="197"/>
      <c r="CS988" s="197"/>
      <c r="CT988" s="197"/>
      <c r="CU988" s="197"/>
      <c r="CV988" s="197"/>
      <c r="CW988" s="197"/>
      <c r="CX988" s="959"/>
      <c r="CY988" s="959"/>
      <c r="CZ988" s="959"/>
      <c r="DA988" s="959"/>
      <c r="DB988" s="959"/>
      <c r="DC988" s="891">
        <v>3780</v>
      </c>
      <c r="DD988" s="891" t="s">
        <v>482</v>
      </c>
      <c r="DE988" s="891" t="s">
        <v>417</v>
      </c>
      <c r="DF988" s="891">
        <v>5</v>
      </c>
      <c r="DG988" s="959"/>
      <c r="DH988" s="959"/>
      <c r="ER988" s="905">
        <v>3976</v>
      </c>
      <c r="ES988" s="906" t="s">
        <v>4631</v>
      </c>
      <c r="ET988" s="2686">
        <v>9</v>
      </c>
      <c r="EV988" s="985"/>
      <c r="EW988" s="985"/>
      <c r="EX988" s="387"/>
      <c r="EY988" s="939"/>
      <c r="EZ988" s="886"/>
    </row>
    <row r="989" spans="88:156">
      <c r="CJ989" s="197"/>
      <c r="CK989" s="197"/>
      <c r="CL989" s="197"/>
      <c r="CM989" s="213"/>
      <c r="CN989" s="213"/>
      <c r="CO989" s="197"/>
      <c r="CP989" s="197"/>
      <c r="CQ989" s="197"/>
      <c r="CR989" s="197"/>
      <c r="CS989" s="197"/>
      <c r="CT989" s="197"/>
      <c r="CU989" s="197"/>
      <c r="CV989" s="197"/>
      <c r="CW989" s="197"/>
      <c r="CX989" s="959"/>
      <c r="CY989" s="959"/>
      <c r="CZ989" s="959"/>
      <c r="DA989" s="959"/>
      <c r="DB989" s="959"/>
      <c r="DC989" s="891">
        <v>3783</v>
      </c>
      <c r="DD989" s="891" t="s">
        <v>483</v>
      </c>
      <c r="DE989" s="891" t="s">
        <v>417</v>
      </c>
      <c r="DF989" s="891">
        <v>5</v>
      </c>
      <c r="DG989" s="959"/>
      <c r="DH989" s="959"/>
      <c r="ER989" s="905">
        <v>3977</v>
      </c>
      <c r="ES989" s="906" t="s">
        <v>4632</v>
      </c>
      <c r="ET989" s="2686">
        <v>9</v>
      </c>
      <c r="EV989" s="985"/>
      <c r="EW989" s="985"/>
      <c r="EX989" s="387"/>
      <c r="EY989" s="939"/>
      <c r="EZ989" s="886"/>
    </row>
    <row r="990" spans="88:156">
      <c r="CJ990" s="197"/>
      <c r="CK990" s="197"/>
      <c r="CL990" s="197"/>
      <c r="CM990" s="213"/>
      <c r="CN990" s="213"/>
      <c r="CO990" s="197"/>
      <c r="CP990" s="197"/>
      <c r="CQ990" s="197"/>
      <c r="CR990" s="197"/>
      <c r="CS990" s="197"/>
      <c r="CT990" s="197"/>
      <c r="CU990" s="197"/>
      <c r="CV990" s="197"/>
      <c r="CW990" s="197"/>
      <c r="CX990" s="959"/>
      <c r="CY990" s="959"/>
      <c r="CZ990" s="959"/>
      <c r="DA990" s="959"/>
      <c r="DB990" s="959"/>
      <c r="DC990" s="891">
        <v>3786</v>
      </c>
      <c r="DD990" s="891" t="s">
        <v>484</v>
      </c>
      <c r="DE990" s="891" t="s">
        <v>406</v>
      </c>
      <c r="DF990" s="891">
        <v>6</v>
      </c>
      <c r="DG990" s="959"/>
      <c r="DH990" s="959"/>
      <c r="ER990" s="905">
        <v>3978</v>
      </c>
      <c r="ES990" s="906" t="s">
        <v>4114</v>
      </c>
      <c r="ET990" s="2686">
        <v>9</v>
      </c>
      <c r="EV990" s="985"/>
      <c r="EW990" s="985"/>
      <c r="EX990" s="387"/>
      <c r="EY990" s="939"/>
      <c r="EZ990" s="886"/>
    </row>
    <row r="991" spans="88:156">
      <c r="CJ991" s="197"/>
      <c r="CK991" s="197"/>
      <c r="CL991" s="197"/>
      <c r="CM991" s="213"/>
      <c r="CN991" s="213"/>
      <c r="CO991" s="197"/>
      <c r="CP991" s="197"/>
      <c r="CQ991" s="197"/>
      <c r="CR991" s="197"/>
      <c r="CS991" s="197"/>
      <c r="CT991" s="197"/>
      <c r="CU991" s="197"/>
      <c r="CV991" s="197"/>
      <c r="CW991" s="197"/>
      <c r="CX991" s="959"/>
      <c r="CY991" s="959"/>
      <c r="CZ991" s="959"/>
      <c r="DA991" s="959"/>
      <c r="DB991" s="959"/>
      <c r="DC991" s="891">
        <v>3787</v>
      </c>
      <c r="DD991" s="891" t="s">
        <v>485</v>
      </c>
      <c r="DE991" s="891" t="s">
        <v>427</v>
      </c>
      <c r="DF991" s="891">
        <v>5</v>
      </c>
      <c r="DG991" s="959"/>
      <c r="DH991" s="959"/>
      <c r="ER991" s="905">
        <v>3980</v>
      </c>
      <c r="ES991" s="906" t="s">
        <v>4634</v>
      </c>
      <c r="ET991" s="2686">
        <v>9</v>
      </c>
      <c r="EV991" s="985"/>
      <c r="EW991" s="985"/>
      <c r="EX991" s="387"/>
      <c r="EY991" s="939"/>
      <c r="EZ991" s="886"/>
    </row>
    <row r="992" spans="88:156">
      <c r="CJ992" s="197"/>
      <c r="CK992" s="197"/>
      <c r="CL992" s="197"/>
      <c r="CM992" s="213"/>
      <c r="CN992" s="213"/>
      <c r="CO992" s="197"/>
      <c r="CP992" s="197"/>
      <c r="CQ992" s="197"/>
      <c r="CR992" s="197"/>
      <c r="CS992" s="197"/>
      <c r="CT992" s="197"/>
      <c r="CU992" s="197"/>
      <c r="CV992" s="197"/>
      <c r="CW992" s="197"/>
      <c r="CX992" s="959"/>
      <c r="CY992" s="959"/>
      <c r="CZ992" s="959"/>
      <c r="DA992" s="959"/>
      <c r="DB992" s="959"/>
      <c r="DC992" s="891">
        <v>3791</v>
      </c>
      <c r="DD992" s="891" t="s">
        <v>486</v>
      </c>
      <c r="DE992" s="891" t="s">
        <v>435</v>
      </c>
      <c r="DF992" s="891">
        <v>5</v>
      </c>
      <c r="DG992" s="959"/>
      <c r="DH992" s="959"/>
      <c r="ER992" s="905">
        <v>3985</v>
      </c>
      <c r="ES992" s="906" t="s">
        <v>4115</v>
      </c>
      <c r="ET992" s="2686">
        <v>9</v>
      </c>
      <c r="EV992" s="985"/>
      <c r="EW992" s="985"/>
      <c r="EX992" s="387"/>
      <c r="EY992" s="939"/>
      <c r="EZ992" s="886"/>
    </row>
    <row r="993" spans="88:156">
      <c r="CJ993" s="197"/>
      <c r="CK993" s="197"/>
      <c r="CL993" s="197"/>
      <c r="CM993" s="213"/>
      <c r="CN993" s="213"/>
      <c r="CO993" s="197"/>
      <c r="CP993" s="197"/>
      <c r="CQ993" s="197"/>
      <c r="CR993" s="197"/>
      <c r="CS993" s="197"/>
      <c r="CT993" s="197"/>
      <c r="CU993" s="197"/>
      <c r="CV993" s="197"/>
      <c r="CW993" s="197"/>
      <c r="CX993" s="959"/>
      <c r="CY993" s="959"/>
      <c r="CZ993" s="959"/>
      <c r="DA993" s="959"/>
      <c r="DB993" s="959"/>
      <c r="DC993" s="891">
        <v>3792</v>
      </c>
      <c r="DD993" s="891" t="s">
        <v>487</v>
      </c>
      <c r="DE993" s="891" t="s">
        <v>420</v>
      </c>
      <c r="DF993" s="891">
        <v>5</v>
      </c>
      <c r="DG993" s="959"/>
      <c r="DH993" s="959"/>
      <c r="ER993" s="905">
        <v>3985</v>
      </c>
      <c r="ES993" s="906" t="s">
        <v>4116</v>
      </c>
      <c r="ET993" s="2686">
        <v>9</v>
      </c>
      <c r="EV993" s="985"/>
      <c r="EW993" s="985"/>
      <c r="EX993" s="387"/>
      <c r="EY993" s="939"/>
      <c r="EZ993" s="886"/>
    </row>
    <row r="994" spans="88:156">
      <c r="CJ994" s="197"/>
      <c r="CK994" s="197"/>
      <c r="CL994" s="197"/>
      <c r="CM994" s="213"/>
      <c r="CN994" s="213"/>
      <c r="CO994" s="197"/>
      <c r="CP994" s="197"/>
      <c r="CQ994" s="197"/>
      <c r="CR994" s="197"/>
      <c r="CS994" s="197"/>
      <c r="CT994" s="197"/>
      <c r="CU994" s="197"/>
      <c r="CV994" s="197"/>
      <c r="CW994" s="197"/>
      <c r="CX994" s="959"/>
      <c r="CY994" s="959"/>
      <c r="CZ994" s="959"/>
      <c r="DA994" s="959"/>
      <c r="DB994" s="959"/>
      <c r="DC994" s="891">
        <v>3793</v>
      </c>
      <c r="DD994" s="891" t="s">
        <v>488</v>
      </c>
      <c r="DE994" s="891" t="s">
        <v>417</v>
      </c>
      <c r="DF994" s="891">
        <v>4</v>
      </c>
      <c r="DG994" s="959"/>
      <c r="DH994" s="959"/>
      <c r="ER994" s="905">
        <v>3987</v>
      </c>
      <c r="ES994" s="906" t="s">
        <v>4636</v>
      </c>
      <c r="ET994" s="2686">
        <v>9</v>
      </c>
      <c r="EV994" s="985"/>
      <c r="EW994" s="985"/>
      <c r="EX994" s="387"/>
      <c r="EY994" s="939"/>
      <c r="EZ994" s="886"/>
    </row>
    <row r="995" spans="88:156">
      <c r="CJ995" s="197"/>
      <c r="CK995" s="197"/>
      <c r="CL995" s="197"/>
      <c r="CM995" s="213"/>
      <c r="CN995" s="213"/>
      <c r="CO995" s="197"/>
      <c r="CP995" s="197"/>
      <c r="CQ995" s="197"/>
      <c r="CR995" s="197"/>
      <c r="CS995" s="197"/>
      <c r="CT995" s="197"/>
      <c r="CU995" s="197"/>
      <c r="CV995" s="197"/>
      <c r="CW995" s="197"/>
      <c r="CX995" s="959"/>
      <c r="CY995" s="959"/>
      <c r="CZ995" s="959"/>
      <c r="DA995" s="959"/>
      <c r="DB995" s="959"/>
      <c r="DC995" s="891">
        <v>3794</v>
      </c>
      <c r="DD995" s="891" t="s">
        <v>489</v>
      </c>
      <c r="DE995" s="891" t="s">
        <v>417</v>
      </c>
      <c r="DF995" s="891">
        <v>5</v>
      </c>
      <c r="DG995" s="959"/>
      <c r="DH995" s="959"/>
      <c r="ER995" s="905">
        <v>3988</v>
      </c>
      <c r="ES995" s="905" t="s">
        <v>4117</v>
      </c>
      <c r="ET995" s="2686">
        <v>9</v>
      </c>
      <c r="EV995" s="985"/>
      <c r="EW995" s="985"/>
      <c r="EX995" s="387"/>
      <c r="EY995" s="939"/>
      <c r="EZ995" s="886"/>
    </row>
    <row r="996" spans="88:156">
      <c r="CJ996" s="197"/>
      <c r="CK996" s="197"/>
      <c r="CL996" s="197"/>
      <c r="CM996" s="213"/>
      <c r="CN996" s="213"/>
      <c r="CO996" s="197"/>
      <c r="CP996" s="197"/>
      <c r="CQ996" s="197"/>
      <c r="CR996" s="197"/>
      <c r="CS996" s="197"/>
      <c r="CT996" s="197"/>
      <c r="CU996" s="197"/>
      <c r="CV996" s="197"/>
      <c r="CW996" s="197"/>
      <c r="CX996" s="959"/>
      <c r="CY996" s="959"/>
      <c r="CZ996" s="959"/>
      <c r="DA996" s="959"/>
      <c r="DB996" s="959"/>
      <c r="DC996" s="891">
        <v>3795</v>
      </c>
      <c r="DD996" s="891" t="s">
        <v>2720</v>
      </c>
      <c r="DE996" s="891" t="s">
        <v>427</v>
      </c>
      <c r="DF996" s="891">
        <v>5</v>
      </c>
      <c r="DG996" s="959"/>
      <c r="DH996" s="959"/>
      <c r="ER996" s="905">
        <v>3989</v>
      </c>
      <c r="ES996" s="906" t="s">
        <v>4118</v>
      </c>
      <c r="ET996" s="2686">
        <v>9</v>
      </c>
      <c r="EV996" s="985"/>
      <c r="EW996" s="985"/>
      <c r="EX996" s="387"/>
      <c r="EY996" s="939"/>
      <c r="EZ996" s="886"/>
    </row>
    <row r="997" spans="88:156">
      <c r="CJ997" s="197"/>
      <c r="CK997" s="197"/>
      <c r="CL997" s="197"/>
      <c r="CM997" s="213"/>
      <c r="CN997" s="213"/>
      <c r="CO997" s="197"/>
      <c r="CP997" s="197"/>
      <c r="CQ997" s="197"/>
      <c r="CR997" s="197"/>
      <c r="CS997" s="197"/>
      <c r="CT997" s="197"/>
      <c r="CU997" s="197"/>
      <c r="CV997" s="197"/>
      <c r="CW997" s="197"/>
      <c r="CX997" s="959"/>
      <c r="CY997" s="959"/>
      <c r="CZ997" s="959"/>
      <c r="DA997" s="959"/>
      <c r="DB997" s="959"/>
      <c r="DC997" s="891">
        <v>3796</v>
      </c>
      <c r="DD997" s="891" t="s">
        <v>2721</v>
      </c>
      <c r="DE997" s="891" t="s">
        <v>402</v>
      </c>
      <c r="DF997" s="891">
        <v>5</v>
      </c>
      <c r="DG997" s="959"/>
      <c r="DH997" s="959"/>
      <c r="ER997" s="905">
        <v>3989</v>
      </c>
      <c r="ES997" s="906" t="s">
        <v>4119</v>
      </c>
      <c r="ET997" s="2686">
        <v>9</v>
      </c>
      <c r="EV997" s="985"/>
      <c r="EW997" s="985"/>
      <c r="EX997" s="387"/>
      <c r="EY997" s="939"/>
      <c r="EZ997" s="886"/>
    </row>
    <row r="998" spans="88:156">
      <c r="CJ998" s="197"/>
      <c r="CK998" s="197"/>
      <c r="CL998" s="197"/>
      <c r="CM998" s="213"/>
      <c r="CN998" s="213"/>
      <c r="CO998" s="197"/>
      <c r="CP998" s="197"/>
      <c r="CQ998" s="197"/>
      <c r="CR998" s="197"/>
      <c r="CS998" s="197"/>
      <c r="CT998" s="197"/>
      <c r="CU998" s="197"/>
      <c r="CV998" s="197"/>
      <c r="CW998" s="197"/>
      <c r="CX998" s="959"/>
      <c r="CY998" s="959"/>
      <c r="CZ998" s="959"/>
      <c r="DA998" s="959"/>
      <c r="DB998" s="959"/>
      <c r="DC998" s="891">
        <v>3800</v>
      </c>
      <c r="DD998" s="891" t="s">
        <v>2722</v>
      </c>
      <c r="DE998" s="891" t="s">
        <v>402</v>
      </c>
      <c r="DF998" s="891">
        <v>4</v>
      </c>
      <c r="DG998" s="959"/>
      <c r="DH998" s="959"/>
      <c r="ER998" s="905">
        <v>3989</v>
      </c>
      <c r="ES998" s="906" t="s">
        <v>4120</v>
      </c>
      <c r="ET998" s="2686">
        <v>9</v>
      </c>
      <c r="EV998" s="985"/>
      <c r="EW998" s="985"/>
      <c r="EX998" s="387"/>
      <c r="EY998" s="939"/>
      <c r="EZ998" s="886"/>
    </row>
    <row r="999" spans="88:156">
      <c r="CJ999" s="197"/>
      <c r="CK999" s="197"/>
      <c r="CL999" s="197"/>
      <c r="CM999" s="213"/>
      <c r="CN999" s="213"/>
      <c r="CO999" s="197"/>
      <c r="CP999" s="197"/>
      <c r="CQ999" s="197"/>
      <c r="CR999" s="197"/>
      <c r="CS999" s="197"/>
      <c r="CT999" s="197"/>
      <c r="CU999" s="197"/>
      <c r="CV999" s="197"/>
      <c r="CW999" s="197"/>
      <c r="CX999" s="959"/>
      <c r="CY999" s="959"/>
      <c r="CZ999" s="959"/>
      <c r="DA999" s="959"/>
      <c r="DB999" s="959"/>
      <c r="DC999" s="891">
        <v>3809</v>
      </c>
      <c r="DD999" s="891" t="s">
        <v>2723</v>
      </c>
      <c r="DE999" s="891" t="s">
        <v>402</v>
      </c>
      <c r="DF999" s="891">
        <v>4</v>
      </c>
      <c r="DG999" s="959"/>
      <c r="DH999" s="959"/>
      <c r="ER999" s="905">
        <v>3991</v>
      </c>
      <c r="ES999" s="906" t="s">
        <v>4639</v>
      </c>
      <c r="ET999" s="2686">
        <v>9</v>
      </c>
      <c r="EV999" s="985"/>
      <c r="EW999" s="985"/>
      <c r="EX999" s="387"/>
      <c r="EY999" s="939"/>
      <c r="EZ999" s="886"/>
    </row>
    <row r="1000" spans="88:156">
      <c r="CJ1000" s="197"/>
      <c r="CK1000" s="197"/>
      <c r="CL1000" s="197"/>
      <c r="CM1000" s="213"/>
      <c r="CN1000" s="213"/>
      <c r="CO1000" s="197"/>
      <c r="CP1000" s="197"/>
      <c r="CQ1000" s="197"/>
      <c r="CR1000" s="197"/>
      <c r="CS1000" s="197"/>
      <c r="CT1000" s="197"/>
      <c r="CU1000" s="197"/>
      <c r="CV1000" s="197"/>
      <c r="CW1000" s="197"/>
      <c r="CX1000" s="959"/>
      <c r="CY1000" s="959"/>
      <c r="CZ1000" s="959"/>
      <c r="DA1000" s="959"/>
      <c r="DB1000" s="959"/>
      <c r="DC1000" s="891">
        <v>3811</v>
      </c>
      <c r="DD1000" s="891" t="s">
        <v>2724</v>
      </c>
      <c r="DE1000" s="891" t="s">
        <v>402</v>
      </c>
      <c r="DF1000" s="891">
        <v>5</v>
      </c>
      <c r="DG1000" s="959"/>
      <c r="DH1000" s="959"/>
      <c r="ER1000" s="905">
        <v>3992</v>
      </c>
      <c r="ES1000" s="906" t="s">
        <v>4121</v>
      </c>
      <c r="ET1000" s="2686">
        <v>9</v>
      </c>
      <c r="EV1000" s="985"/>
      <c r="EW1000" s="985"/>
      <c r="EX1000" s="387"/>
      <c r="EY1000" s="939"/>
      <c r="EZ1000" s="886"/>
    </row>
    <row r="1001" spans="88:156">
      <c r="CJ1001" s="197"/>
      <c r="CK1001" s="197"/>
      <c r="CL1001" s="197"/>
      <c r="CM1001" s="213"/>
      <c r="CN1001" s="213"/>
      <c r="CO1001" s="197"/>
      <c r="CP1001" s="197"/>
      <c r="CQ1001" s="197"/>
      <c r="CR1001" s="197"/>
      <c r="CS1001" s="197"/>
      <c r="CT1001" s="197"/>
      <c r="CU1001" s="197"/>
      <c r="CV1001" s="197"/>
      <c r="CW1001" s="197"/>
      <c r="CX1001" s="959"/>
      <c r="CY1001" s="959"/>
      <c r="CZ1001" s="959"/>
      <c r="DA1001" s="959"/>
      <c r="DB1001" s="959"/>
      <c r="DC1001" s="891">
        <v>3812</v>
      </c>
      <c r="DD1001" s="891" t="s">
        <v>2725</v>
      </c>
      <c r="DE1001" s="891" t="s">
        <v>402</v>
      </c>
      <c r="DF1001" s="891">
        <v>5</v>
      </c>
      <c r="DG1001" s="959"/>
      <c r="DH1001" s="959"/>
      <c r="ER1001" s="905">
        <v>3992</v>
      </c>
      <c r="ES1001" s="906" t="s">
        <v>4122</v>
      </c>
      <c r="ET1001" s="2686">
        <v>9</v>
      </c>
      <c r="EV1001" s="985"/>
      <c r="EW1001" s="985"/>
      <c r="EX1001" s="387"/>
      <c r="EY1001" s="939"/>
      <c r="EZ1001" s="886"/>
    </row>
    <row r="1002" spans="88:156">
      <c r="CJ1002" s="197"/>
      <c r="CK1002" s="197"/>
      <c r="CL1002" s="197"/>
      <c r="CM1002" s="213"/>
      <c r="CN1002" s="213"/>
      <c r="CO1002" s="197"/>
      <c r="CP1002" s="197"/>
      <c r="CQ1002" s="197"/>
      <c r="CR1002" s="197"/>
      <c r="CS1002" s="197"/>
      <c r="CT1002" s="197"/>
      <c r="CU1002" s="197"/>
      <c r="CV1002" s="197"/>
      <c r="CW1002" s="197"/>
      <c r="CX1002" s="959"/>
      <c r="CY1002" s="959"/>
      <c r="CZ1002" s="959"/>
      <c r="DA1002" s="959"/>
      <c r="DB1002" s="959"/>
      <c r="DC1002" s="891">
        <v>3813</v>
      </c>
      <c r="DD1002" s="891" t="s">
        <v>2726</v>
      </c>
      <c r="DE1002" s="891" t="s">
        <v>402</v>
      </c>
      <c r="DF1002" s="891">
        <v>5</v>
      </c>
      <c r="DG1002" s="959"/>
      <c r="DH1002" s="959"/>
      <c r="ER1002" s="905">
        <v>3993</v>
      </c>
      <c r="ES1002" s="906" t="s">
        <v>4641</v>
      </c>
      <c r="ET1002" s="2686">
        <v>9</v>
      </c>
      <c r="EV1002" s="985"/>
      <c r="EW1002" s="985"/>
      <c r="EX1002" s="387"/>
      <c r="EY1002" s="939"/>
      <c r="EZ1002" s="886"/>
    </row>
    <row r="1003" spans="88:156">
      <c r="CJ1003" s="197"/>
      <c r="CK1003" s="197"/>
      <c r="CL1003" s="197"/>
      <c r="CM1003" s="213"/>
      <c r="CN1003" s="213"/>
      <c r="CO1003" s="197"/>
      <c r="CP1003" s="197"/>
      <c r="CQ1003" s="197"/>
      <c r="CR1003" s="197"/>
      <c r="CS1003" s="197"/>
      <c r="CT1003" s="197"/>
      <c r="CU1003" s="197"/>
      <c r="CV1003" s="197"/>
      <c r="CW1003" s="197"/>
      <c r="CX1003" s="959"/>
      <c r="CY1003" s="959"/>
      <c r="CZ1003" s="959"/>
      <c r="DA1003" s="959"/>
      <c r="DB1003" s="959"/>
      <c r="DC1003" s="891">
        <v>3814</v>
      </c>
      <c r="DD1003" s="891" t="s">
        <v>2727</v>
      </c>
      <c r="DE1003" s="891" t="s">
        <v>402</v>
      </c>
      <c r="DF1003" s="891">
        <v>5</v>
      </c>
      <c r="DG1003" s="959"/>
      <c r="DH1003" s="959"/>
      <c r="ER1003" s="905">
        <v>3994</v>
      </c>
      <c r="ES1003" s="906" t="s">
        <v>4123</v>
      </c>
      <c r="ET1003" s="2686">
        <v>9</v>
      </c>
      <c r="EV1003" s="985"/>
      <c r="EW1003" s="985"/>
      <c r="EX1003" s="387"/>
      <c r="EY1003" s="939"/>
      <c r="EZ1003" s="886"/>
    </row>
    <row r="1004" spans="88:156">
      <c r="CJ1004" s="197"/>
      <c r="CK1004" s="197"/>
      <c r="CL1004" s="197"/>
      <c r="CM1004" s="213"/>
      <c r="CN1004" s="213"/>
      <c r="CO1004" s="197"/>
      <c r="CP1004" s="197"/>
      <c r="CQ1004" s="197"/>
      <c r="CR1004" s="197"/>
      <c r="CS1004" s="197"/>
      <c r="CT1004" s="197"/>
      <c r="CU1004" s="197"/>
      <c r="CV1004" s="197"/>
      <c r="CW1004" s="197"/>
      <c r="CX1004" s="959"/>
      <c r="CY1004" s="959"/>
      <c r="CZ1004" s="959"/>
      <c r="DA1004" s="959"/>
      <c r="DB1004" s="959"/>
      <c r="DC1004" s="891">
        <v>3815</v>
      </c>
      <c r="DD1004" s="891" t="s">
        <v>2728</v>
      </c>
      <c r="DE1004" s="891" t="s">
        <v>402</v>
      </c>
      <c r="DF1004" s="891">
        <v>4</v>
      </c>
      <c r="DG1004" s="959"/>
      <c r="DH1004" s="959"/>
      <c r="ER1004" s="905">
        <v>3994</v>
      </c>
      <c r="ES1004" s="906" t="s">
        <v>4124</v>
      </c>
      <c r="ET1004" s="2686">
        <v>9</v>
      </c>
      <c r="EV1004" s="985"/>
      <c r="EW1004" s="985"/>
      <c r="EX1004" s="387"/>
      <c r="EY1004" s="939"/>
      <c r="EZ1004" s="886"/>
    </row>
    <row r="1005" spans="88:156">
      <c r="CJ1005" s="197"/>
      <c r="CK1005" s="197"/>
      <c r="CL1005" s="197"/>
      <c r="CM1005" s="213"/>
      <c r="CN1005" s="213"/>
      <c r="CO1005" s="197"/>
      <c r="CP1005" s="197"/>
      <c r="CQ1005" s="197"/>
      <c r="CR1005" s="197"/>
      <c r="CS1005" s="197"/>
      <c r="CT1005" s="197"/>
      <c r="CU1005" s="197"/>
      <c r="CV1005" s="197"/>
      <c r="CW1005" s="197"/>
      <c r="CX1005" s="959"/>
      <c r="CY1005" s="959"/>
      <c r="CZ1005" s="959"/>
      <c r="DA1005" s="959"/>
      <c r="DB1005" s="959"/>
      <c r="DC1005" s="891">
        <v>3816</v>
      </c>
      <c r="DD1005" s="891" t="s">
        <v>2729</v>
      </c>
      <c r="DE1005" s="891" t="s">
        <v>402</v>
      </c>
      <c r="DF1005" s="891">
        <v>4</v>
      </c>
      <c r="DG1005" s="959"/>
      <c r="DH1005" s="959"/>
      <c r="ER1005" s="905">
        <v>3994</v>
      </c>
      <c r="ES1005" s="906" t="s">
        <v>4125</v>
      </c>
      <c r="ET1005" s="2686">
        <v>9</v>
      </c>
      <c r="EV1005" s="985"/>
      <c r="EW1005" s="985"/>
      <c r="EX1005" s="387"/>
      <c r="EY1005" s="939"/>
      <c r="EZ1005" s="886"/>
    </row>
    <row r="1006" spans="88:156">
      <c r="CJ1006" s="197"/>
      <c r="CK1006" s="197"/>
      <c r="CL1006" s="197"/>
      <c r="CM1006" s="213"/>
      <c r="CN1006" s="213"/>
      <c r="CO1006" s="197"/>
      <c r="CP1006" s="197"/>
      <c r="CQ1006" s="197"/>
      <c r="CR1006" s="197"/>
      <c r="CS1006" s="197"/>
      <c r="CT1006" s="197"/>
      <c r="CU1006" s="197"/>
      <c r="CV1006" s="197"/>
      <c r="CW1006" s="197"/>
      <c r="CX1006" s="959"/>
      <c r="CY1006" s="959"/>
      <c r="CZ1006" s="959"/>
      <c r="DA1006" s="959"/>
      <c r="DB1006" s="959"/>
      <c r="DC1006" s="891">
        <v>3817</v>
      </c>
      <c r="DD1006" s="891" t="s">
        <v>2730</v>
      </c>
      <c r="DE1006" s="891" t="s">
        <v>418</v>
      </c>
      <c r="DF1006" s="891">
        <v>4</v>
      </c>
      <c r="DG1006" s="959"/>
      <c r="DH1006" s="959"/>
      <c r="ER1006" s="905">
        <v>3994</v>
      </c>
      <c r="ES1006" s="906" t="s">
        <v>4126</v>
      </c>
      <c r="ET1006" s="2686">
        <v>9</v>
      </c>
      <c r="EV1006" s="985"/>
      <c r="EW1006" s="985"/>
      <c r="EX1006" s="387"/>
      <c r="EY1006" s="939"/>
      <c r="EZ1006" s="886"/>
    </row>
    <row r="1007" spans="88:156">
      <c r="CJ1007" s="197"/>
      <c r="CK1007" s="197"/>
      <c r="CL1007" s="197"/>
      <c r="CM1007" s="213"/>
      <c r="CN1007" s="213"/>
      <c r="CO1007" s="197"/>
      <c r="CP1007" s="197"/>
      <c r="CQ1007" s="197"/>
      <c r="CR1007" s="197"/>
      <c r="CS1007" s="197"/>
      <c r="CT1007" s="197"/>
      <c r="CU1007" s="197"/>
      <c r="CV1007" s="197"/>
      <c r="CW1007" s="197"/>
      <c r="CX1007" s="959"/>
      <c r="CY1007" s="959"/>
      <c r="CZ1007" s="959"/>
      <c r="DA1007" s="959"/>
      <c r="DB1007" s="959"/>
      <c r="DC1007" s="891">
        <v>3821</v>
      </c>
      <c r="DD1007" s="891" t="s">
        <v>2731</v>
      </c>
      <c r="DE1007" s="891" t="s">
        <v>427</v>
      </c>
      <c r="DF1007" s="891">
        <v>5</v>
      </c>
      <c r="DG1007" s="959"/>
      <c r="DH1007" s="959"/>
      <c r="ER1007" s="905">
        <v>3994</v>
      </c>
      <c r="ES1007" s="906" t="s">
        <v>4127</v>
      </c>
      <c r="ET1007" s="2686">
        <v>9</v>
      </c>
      <c r="EV1007" s="985"/>
      <c r="EW1007" s="985"/>
      <c r="EX1007" s="387"/>
      <c r="EY1007" s="939"/>
      <c r="EZ1007" s="886"/>
    </row>
    <row r="1008" spans="88:156">
      <c r="CJ1008" s="197"/>
      <c r="CK1008" s="197"/>
      <c r="CL1008" s="197"/>
      <c r="CM1008" s="213"/>
      <c r="CN1008" s="213"/>
      <c r="CO1008" s="197"/>
      <c r="CP1008" s="197"/>
      <c r="CQ1008" s="197"/>
      <c r="CR1008" s="197"/>
      <c r="CS1008" s="197"/>
      <c r="CT1008" s="197"/>
      <c r="CU1008" s="197"/>
      <c r="CV1008" s="197"/>
      <c r="CW1008" s="197"/>
      <c r="CX1008" s="959"/>
      <c r="CY1008" s="959"/>
      <c r="CZ1008" s="959"/>
      <c r="DA1008" s="959"/>
      <c r="DB1008" s="959"/>
      <c r="DC1008" s="891">
        <v>3825</v>
      </c>
      <c r="DD1008" s="891" t="s">
        <v>2732</v>
      </c>
      <c r="DE1008" s="891" t="s">
        <v>427</v>
      </c>
      <c r="DF1008" s="891">
        <v>5</v>
      </c>
      <c r="DG1008" s="959"/>
      <c r="DH1008" s="959"/>
      <c r="ER1008" s="905">
        <v>3994</v>
      </c>
      <c r="ES1008" s="906" t="s">
        <v>4128</v>
      </c>
      <c r="ET1008" s="2686">
        <v>9</v>
      </c>
      <c r="EV1008" s="985"/>
      <c r="EW1008" s="985"/>
      <c r="EX1008" s="387"/>
      <c r="EY1008" s="939"/>
      <c r="EZ1008" s="886"/>
    </row>
    <row r="1009" spans="88:156">
      <c r="CJ1009" s="197"/>
      <c r="CK1009" s="197"/>
      <c r="CL1009" s="197"/>
      <c r="CM1009" s="213"/>
      <c r="CN1009" s="213"/>
      <c r="CO1009" s="197"/>
      <c r="CP1009" s="197"/>
      <c r="CQ1009" s="197"/>
      <c r="CR1009" s="197"/>
      <c r="CS1009" s="197"/>
      <c r="CT1009" s="197"/>
      <c r="CU1009" s="197"/>
      <c r="CV1009" s="197"/>
      <c r="CW1009" s="197"/>
      <c r="CX1009" s="959"/>
      <c r="CY1009" s="959"/>
      <c r="CZ1009" s="959"/>
      <c r="DA1009" s="959"/>
      <c r="DB1009" s="959"/>
      <c r="DC1009" s="891">
        <v>3826</v>
      </c>
      <c r="DD1009" s="891" t="s">
        <v>2733</v>
      </c>
      <c r="DE1009" s="891" t="s">
        <v>435</v>
      </c>
      <c r="DF1009" s="891">
        <v>6</v>
      </c>
      <c r="DG1009" s="959"/>
      <c r="DH1009" s="959"/>
      <c r="ER1009" s="905">
        <v>3995</v>
      </c>
      <c r="ES1009" s="906" t="s">
        <v>4643</v>
      </c>
      <c r="ET1009" s="2686">
        <v>9</v>
      </c>
      <c r="EV1009" s="985"/>
      <c r="EW1009" s="985"/>
      <c r="EX1009" s="387"/>
      <c r="EY1009" s="939"/>
      <c r="EZ1009" s="886"/>
    </row>
    <row r="1010" spans="88:156">
      <c r="CJ1010" s="197"/>
      <c r="CK1010" s="197"/>
      <c r="CL1010" s="197"/>
      <c r="CM1010" s="213"/>
      <c r="CN1010" s="213"/>
      <c r="CO1010" s="197"/>
      <c r="CP1010" s="197"/>
      <c r="CQ1010" s="197"/>
      <c r="CR1010" s="197"/>
      <c r="CS1010" s="197"/>
      <c r="CT1010" s="197"/>
      <c r="CU1010" s="197"/>
      <c r="CV1010" s="197"/>
      <c r="CW1010" s="197"/>
      <c r="CX1010" s="959"/>
      <c r="CY1010" s="959"/>
      <c r="CZ1010" s="959"/>
      <c r="DA1010" s="959"/>
      <c r="DB1010" s="959"/>
      <c r="DC1010" s="891">
        <v>3831</v>
      </c>
      <c r="DD1010" s="891" t="s">
        <v>2734</v>
      </c>
      <c r="DE1010" s="891" t="s">
        <v>417</v>
      </c>
      <c r="DF1010" s="891">
        <v>4</v>
      </c>
      <c r="DG1010" s="959"/>
      <c r="DH1010" s="959"/>
      <c r="ER1010" s="905">
        <v>3996</v>
      </c>
      <c r="ES1010" s="906" t="s">
        <v>4644</v>
      </c>
      <c r="ET1010" s="2686">
        <v>9</v>
      </c>
      <c r="EV1010" s="985"/>
      <c r="EW1010" s="985"/>
      <c r="EX1010" s="387"/>
      <c r="EY1010" s="939"/>
      <c r="EZ1010" s="886"/>
    </row>
    <row r="1011" spans="88:156">
      <c r="CJ1011" s="197"/>
      <c r="CK1011" s="197"/>
      <c r="CL1011" s="197"/>
      <c r="CM1011" s="213"/>
      <c r="CN1011" s="213"/>
      <c r="CO1011" s="197"/>
      <c r="CP1011" s="197"/>
      <c r="CQ1011" s="197"/>
      <c r="CR1011" s="197"/>
      <c r="CS1011" s="197"/>
      <c r="CT1011" s="197"/>
      <c r="CU1011" s="197"/>
      <c r="CV1011" s="197"/>
      <c r="CW1011" s="197"/>
      <c r="CX1011" s="959"/>
      <c r="CY1011" s="959"/>
      <c r="CZ1011" s="959"/>
      <c r="DA1011" s="959"/>
      <c r="DB1011" s="959"/>
      <c r="DC1011" s="891">
        <v>3832</v>
      </c>
      <c r="DD1011" s="891" t="s">
        <v>2735</v>
      </c>
      <c r="DE1011" s="891" t="s">
        <v>434</v>
      </c>
      <c r="DF1011" s="891">
        <v>4</v>
      </c>
      <c r="DG1011" s="959"/>
      <c r="DH1011" s="959"/>
      <c r="ER1011" s="905">
        <v>3997</v>
      </c>
      <c r="ES1011" s="906" t="s">
        <v>4645</v>
      </c>
      <c r="ET1011" s="2686">
        <v>9</v>
      </c>
      <c r="EV1011" s="985"/>
      <c r="EW1011" s="985"/>
      <c r="EX1011" s="387"/>
      <c r="EY1011" s="939"/>
      <c r="EZ1011" s="886"/>
    </row>
    <row r="1012" spans="88:156">
      <c r="CJ1012" s="197"/>
      <c r="CK1012" s="197"/>
      <c r="CL1012" s="197"/>
      <c r="CM1012" s="213"/>
      <c r="CN1012" s="213"/>
      <c r="CO1012" s="197"/>
      <c r="CP1012" s="197"/>
      <c r="CQ1012" s="197"/>
      <c r="CR1012" s="197"/>
      <c r="CS1012" s="197"/>
      <c r="CT1012" s="197"/>
      <c r="CU1012" s="197"/>
      <c r="CV1012" s="197"/>
      <c r="CW1012" s="197"/>
      <c r="CX1012" s="959"/>
      <c r="CY1012" s="959"/>
      <c r="CZ1012" s="959"/>
      <c r="DA1012" s="959"/>
      <c r="DB1012" s="959"/>
      <c r="DC1012" s="891">
        <v>3833</v>
      </c>
      <c r="DD1012" s="891" t="s">
        <v>2736</v>
      </c>
      <c r="DE1012" s="891" t="s">
        <v>417</v>
      </c>
      <c r="DF1012" s="891">
        <v>4</v>
      </c>
      <c r="DG1012" s="959"/>
      <c r="DH1012" s="959"/>
      <c r="ER1012" s="905">
        <v>3998</v>
      </c>
      <c r="ES1012" s="906" t="s">
        <v>4646</v>
      </c>
      <c r="ET1012" s="2686">
        <v>9</v>
      </c>
      <c r="EV1012" s="985"/>
      <c r="EW1012" s="985"/>
      <c r="EX1012" s="387"/>
      <c r="EY1012" s="939"/>
      <c r="EZ1012" s="886"/>
    </row>
    <row r="1013" spans="88:156">
      <c r="CJ1013" s="197"/>
      <c r="CK1013" s="197"/>
      <c r="CL1013" s="197"/>
      <c r="CM1013" s="213"/>
      <c r="CN1013" s="213"/>
      <c r="CO1013" s="197"/>
      <c r="CP1013" s="197"/>
      <c r="CQ1013" s="197"/>
      <c r="CR1013" s="197"/>
      <c r="CS1013" s="197"/>
      <c r="CT1013" s="197"/>
      <c r="CU1013" s="197"/>
      <c r="CV1013" s="197"/>
      <c r="CW1013" s="197"/>
      <c r="CX1013" s="959"/>
      <c r="CY1013" s="959"/>
      <c r="CZ1013" s="959"/>
      <c r="DA1013" s="959"/>
      <c r="DB1013" s="959"/>
      <c r="DC1013" s="891">
        <v>3834</v>
      </c>
      <c r="DD1013" s="891" t="s">
        <v>2737</v>
      </c>
      <c r="DE1013" s="891" t="s">
        <v>410</v>
      </c>
      <c r="DF1013" s="891">
        <v>4</v>
      </c>
      <c r="DG1013" s="959"/>
      <c r="DH1013" s="959"/>
      <c r="ER1013" s="905">
        <v>3999</v>
      </c>
      <c r="ES1013" s="906" t="s">
        <v>4647</v>
      </c>
      <c r="ET1013" s="2686">
        <v>9</v>
      </c>
      <c r="EV1013" s="985"/>
      <c r="EW1013" s="985"/>
      <c r="EX1013" s="387"/>
      <c r="EY1013" s="939"/>
      <c r="EZ1013" s="886"/>
    </row>
    <row r="1014" spans="88:156">
      <c r="CJ1014" s="197"/>
      <c r="CK1014" s="197"/>
      <c r="CL1014" s="197"/>
      <c r="CM1014" s="213"/>
      <c r="CN1014" s="213"/>
      <c r="CO1014" s="197"/>
      <c r="CP1014" s="197"/>
      <c r="CQ1014" s="197"/>
      <c r="CR1014" s="197"/>
      <c r="CS1014" s="197"/>
      <c r="CT1014" s="197"/>
      <c r="CU1014" s="197"/>
      <c r="CV1014" s="197"/>
      <c r="CW1014" s="197"/>
      <c r="CX1014" s="959"/>
      <c r="CY1014" s="959"/>
      <c r="CZ1014" s="959"/>
      <c r="DA1014" s="959"/>
      <c r="DB1014" s="959"/>
      <c r="DC1014" s="891">
        <v>3836</v>
      </c>
      <c r="DD1014" s="891" t="s">
        <v>2738</v>
      </c>
      <c r="DE1014" s="891" t="s">
        <v>2808</v>
      </c>
      <c r="DF1014" s="891">
        <v>5</v>
      </c>
      <c r="DG1014" s="959"/>
      <c r="DH1014" s="959"/>
      <c r="ER1014" s="905">
        <v>4000</v>
      </c>
      <c r="ES1014" s="906" t="s">
        <v>4648</v>
      </c>
      <c r="ET1014" s="2686">
        <v>5</v>
      </c>
      <c r="EV1014" s="985"/>
      <c r="EW1014" s="985"/>
      <c r="EX1014" s="387"/>
      <c r="EY1014" s="939"/>
      <c r="EZ1014" s="886"/>
    </row>
    <row r="1015" spans="88:156">
      <c r="CJ1015" s="197"/>
      <c r="CK1015" s="197"/>
      <c r="CL1015" s="197"/>
      <c r="CM1015" s="213"/>
      <c r="CN1015" s="213"/>
      <c r="CO1015" s="197"/>
      <c r="CP1015" s="197"/>
      <c r="CQ1015" s="197"/>
      <c r="CR1015" s="197"/>
      <c r="CS1015" s="197"/>
      <c r="CT1015" s="197"/>
      <c r="CU1015" s="197"/>
      <c r="CV1015" s="197"/>
      <c r="CW1015" s="197"/>
      <c r="CX1015" s="959"/>
      <c r="CY1015" s="959"/>
      <c r="CZ1015" s="959"/>
      <c r="DA1015" s="959"/>
      <c r="DB1015" s="959"/>
      <c r="DC1015" s="891">
        <v>3837</v>
      </c>
      <c r="DD1015" s="891" t="s">
        <v>2739</v>
      </c>
      <c r="DE1015" s="891" t="s">
        <v>433</v>
      </c>
      <c r="DF1015" s="891">
        <v>4</v>
      </c>
      <c r="DG1015" s="959"/>
      <c r="DH1015" s="959"/>
      <c r="ER1015" s="905">
        <v>4002</v>
      </c>
      <c r="ES1015" s="906" t="s">
        <v>4648</v>
      </c>
      <c r="ET1015" s="2686">
        <v>5</v>
      </c>
      <c r="EV1015" s="985"/>
      <c r="EW1015" s="985"/>
      <c r="EX1015" s="387"/>
      <c r="EY1015" s="939"/>
      <c r="EZ1015" s="886"/>
    </row>
    <row r="1016" spans="88:156">
      <c r="CJ1016" s="197"/>
      <c r="CK1016" s="197"/>
      <c r="CL1016" s="197"/>
      <c r="CM1016" s="213"/>
      <c r="CN1016" s="213"/>
      <c r="CO1016" s="197"/>
      <c r="CP1016" s="197"/>
      <c r="CQ1016" s="197"/>
      <c r="CR1016" s="197"/>
      <c r="CS1016" s="197"/>
      <c r="CT1016" s="197"/>
      <c r="CU1016" s="197"/>
      <c r="CV1016" s="197"/>
      <c r="CW1016" s="197"/>
      <c r="CX1016" s="959"/>
      <c r="CY1016" s="959"/>
      <c r="CZ1016" s="959"/>
      <c r="DA1016" s="959"/>
      <c r="DB1016" s="959"/>
      <c r="DC1016" s="891">
        <v>3841</v>
      </c>
      <c r="DD1016" s="891" t="s">
        <v>2740</v>
      </c>
      <c r="DE1016" s="891" t="s">
        <v>423</v>
      </c>
      <c r="DF1016" s="891">
        <v>5</v>
      </c>
      <c r="DG1016" s="959"/>
      <c r="DH1016" s="959"/>
      <c r="ER1016" s="905">
        <v>4014</v>
      </c>
      <c r="ES1016" s="930" t="s">
        <v>4650</v>
      </c>
      <c r="ET1016" s="2686">
        <v>9</v>
      </c>
      <c r="EV1016" s="985"/>
      <c r="EW1016" s="985"/>
      <c r="EX1016" s="387"/>
      <c r="EY1016" s="939"/>
      <c r="EZ1016" s="886"/>
    </row>
    <row r="1017" spans="88:156">
      <c r="CJ1017" s="197"/>
      <c r="CK1017" s="197"/>
      <c r="CL1017" s="197"/>
      <c r="CM1017" s="213"/>
      <c r="CN1017" s="213"/>
      <c r="CO1017" s="197"/>
      <c r="CP1017" s="197"/>
      <c r="CQ1017" s="197"/>
      <c r="CR1017" s="197"/>
      <c r="CS1017" s="197"/>
      <c r="CT1017" s="197"/>
      <c r="CU1017" s="197"/>
      <c r="CV1017" s="197"/>
      <c r="CW1017" s="197"/>
      <c r="CX1017" s="959"/>
      <c r="CY1017" s="959"/>
      <c r="CZ1017" s="959"/>
      <c r="DA1017" s="959"/>
      <c r="DB1017" s="959"/>
      <c r="DC1017" s="891">
        <v>3842</v>
      </c>
      <c r="DD1017" s="891" t="s">
        <v>2741</v>
      </c>
      <c r="DE1017" s="891" t="s">
        <v>2807</v>
      </c>
      <c r="DF1017" s="891">
        <v>4</v>
      </c>
      <c r="DG1017" s="959"/>
      <c r="DH1017" s="959"/>
      <c r="ER1017" s="905">
        <v>4014</v>
      </c>
      <c r="ES1017" s="906" t="s">
        <v>4648</v>
      </c>
      <c r="ET1017" s="2686">
        <v>5</v>
      </c>
      <c r="EV1017" s="985"/>
      <c r="EW1017" s="985"/>
      <c r="EX1017" s="387"/>
      <c r="EY1017" s="939"/>
      <c r="EZ1017" s="886"/>
    </row>
    <row r="1018" spans="88:156">
      <c r="CJ1018" s="197"/>
      <c r="CK1018" s="197"/>
      <c r="CL1018" s="197"/>
      <c r="CM1018" s="213"/>
      <c r="CN1018" s="213"/>
      <c r="CO1018" s="197"/>
      <c r="CP1018" s="197"/>
      <c r="CQ1018" s="197"/>
      <c r="CR1018" s="197"/>
      <c r="CS1018" s="197"/>
      <c r="CT1018" s="197"/>
      <c r="CU1018" s="197"/>
      <c r="CV1018" s="197"/>
      <c r="CW1018" s="197"/>
      <c r="CX1018" s="959"/>
      <c r="CY1018" s="959"/>
      <c r="CZ1018" s="959"/>
      <c r="DA1018" s="959"/>
      <c r="DB1018" s="959"/>
      <c r="DC1018" s="891">
        <v>3843</v>
      </c>
      <c r="DD1018" s="891" t="s">
        <v>2742</v>
      </c>
      <c r="DE1018" s="891" t="s">
        <v>423</v>
      </c>
      <c r="DF1018" s="891">
        <v>4</v>
      </c>
      <c r="DG1018" s="959"/>
      <c r="DH1018" s="959"/>
      <c r="ER1018" s="905">
        <v>4022</v>
      </c>
      <c r="ES1018" s="930" t="s">
        <v>4129</v>
      </c>
      <c r="ET1018" s="2686">
        <v>9</v>
      </c>
      <c r="EV1018" s="985"/>
      <c r="EW1018" s="985"/>
      <c r="EX1018" s="387"/>
      <c r="EY1018" s="939"/>
      <c r="EZ1018" s="886"/>
    </row>
    <row r="1019" spans="88:156">
      <c r="CJ1019" s="197"/>
      <c r="CK1019" s="197"/>
      <c r="CL1019" s="197"/>
      <c r="CM1019" s="213"/>
      <c r="CN1019" s="213"/>
      <c r="CO1019" s="197"/>
      <c r="CP1019" s="197"/>
      <c r="CQ1019" s="197"/>
      <c r="CR1019" s="197"/>
      <c r="CS1019" s="197"/>
      <c r="CT1019" s="197"/>
      <c r="CU1019" s="197"/>
      <c r="CV1019" s="197"/>
      <c r="CW1019" s="197"/>
      <c r="CX1019" s="959"/>
      <c r="CY1019" s="959"/>
      <c r="CZ1019" s="959"/>
      <c r="DA1019" s="959"/>
      <c r="DB1019" s="959"/>
      <c r="DC1019" s="891">
        <v>3844</v>
      </c>
      <c r="DD1019" s="891" t="s">
        <v>4540</v>
      </c>
      <c r="DE1019" s="891" t="s">
        <v>412</v>
      </c>
      <c r="DF1019" s="891">
        <v>4</v>
      </c>
      <c r="DG1019" s="959"/>
      <c r="DH1019" s="959"/>
      <c r="ER1019" s="905">
        <v>4024</v>
      </c>
      <c r="ES1019" s="906" t="s">
        <v>4648</v>
      </c>
      <c r="ET1019" s="2686">
        <v>5</v>
      </c>
      <c r="EV1019" s="985"/>
      <c r="EW1019" s="985"/>
      <c r="EX1019" s="387"/>
      <c r="EY1019" s="939"/>
      <c r="EZ1019" s="886"/>
    </row>
    <row r="1020" spans="88:156">
      <c r="CJ1020" s="197"/>
      <c r="CK1020" s="197"/>
      <c r="CL1020" s="197"/>
      <c r="CM1020" s="213"/>
      <c r="CN1020" s="213"/>
      <c r="CO1020" s="197"/>
      <c r="CP1020" s="197"/>
      <c r="CQ1020" s="197"/>
      <c r="CR1020" s="197"/>
      <c r="CS1020" s="197"/>
      <c r="CT1020" s="197"/>
      <c r="CU1020" s="197"/>
      <c r="CV1020" s="197"/>
      <c r="CW1020" s="197"/>
      <c r="CX1020" s="959"/>
      <c r="CY1020" s="959"/>
      <c r="CZ1020" s="959"/>
      <c r="DA1020" s="959"/>
      <c r="DB1020" s="959"/>
      <c r="DC1020" s="891">
        <v>3846</v>
      </c>
      <c r="DD1020" s="891" t="s">
        <v>4541</v>
      </c>
      <c r="DE1020" s="891" t="s">
        <v>412</v>
      </c>
      <c r="DF1020" s="891">
        <v>4</v>
      </c>
      <c r="DG1020" s="959"/>
      <c r="DH1020" s="959"/>
      <c r="ER1020" s="905">
        <v>4025</v>
      </c>
      <c r="ES1020" s="906" t="s">
        <v>4648</v>
      </c>
      <c r="ET1020" s="2686">
        <v>5</v>
      </c>
      <c r="EV1020" s="985"/>
      <c r="EW1020" s="985"/>
      <c r="EX1020" s="387"/>
      <c r="EY1020" s="939"/>
      <c r="EZ1020" s="886"/>
    </row>
    <row r="1021" spans="88:156">
      <c r="CJ1021" s="197"/>
      <c r="CK1021" s="197"/>
      <c r="CL1021" s="197"/>
      <c r="CM1021" s="213"/>
      <c r="CN1021" s="213"/>
      <c r="CO1021" s="197"/>
      <c r="CP1021" s="197"/>
      <c r="CQ1021" s="197"/>
      <c r="CR1021" s="197"/>
      <c r="CS1021" s="197"/>
      <c r="CT1021" s="197"/>
      <c r="CU1021" s="197"/>
      <c r="CV1021" s="197"/>
      <c r="CW1021" s="197"/>
      <c r="CX1021" s="959"/>
      <c r="CY1021" s="959"/>
      <c r="CZ1021" s="959"/>
      <c r="DA1021" s="959"/>
      <c r="DB1021" s="959"/>
      <c r="DC1021" s="891">
        <v>3847</v>
      </c>
      <c r="DD1021" s="891" t="s">
        <v>4542</v>
      </c>
      <c r="DE1021" s="891" t="s">
        <v>417</v>
      </c>
      <c r="DF1021" s="891">
        <v>4</v>
      </c>
      <c r="DG1021" s="959"/>
      <c r="DH1021" s="959"/>
      <c r="ER1021" s="905">
        <v>4026</v>
      </c>
      <c r="ES1021" s="906" t="s">
        <v>4648</v>
      </c>
      <c r="ET1021" s="2686">
        <v>5</v>
      </c>
      <c r="EV1021" s="985"/>
      <c r="EW1021" s="985"/>
      <c r="EX1021" s="387"/>
      <c r="EY1021" s="939"/>
      <c r="EZ1021" s="886"/>
    </row>
    <row r="1022" spans="88:156">
      <c r="CJ1022" s="197"/>
      <c r="CK1022" s="197"/>
      <c r="CL1022" s="197"/>
      <c r="CM1022" s="213"/>
      <c r="CN1022" s="213"/>
      <c r="CO1022" s="197"/>
      <c r="CP1022" s="197"/>
      <c r="CQ1022" s="197"/>
      <c r="CR1022" s="197"/>
      <c r="CS1022" s="197"/>
      <c r="CT1022" s="197"/>
      <c r="CU1022" s="197"/>
      <c r="CV1022" s="197"/>
      <c r="CW1022" s="197"/>
      <c r="CX1022" s="959"/>
      <c r="CY1022" s="959"/>
      <c r="CZ1022" s="959"/>
      <c r="DA1022" s="959"/>
      <c r="DB1022" s="959"/>
      <c r="DC1022" s="891">
        <v>3848</v>
      </c>
      <c r="DD1022" s="891" t="s">
        <v>4543</v>
      </c>
      <c r="DE1022" s="891" t="s">
        <v>410</v>
      </c>
      <c r="DF1022" s="891">
        <v>4</v>
      </c>
      <c r="DG1022" s="959"/>
      <c r="DH1022" s="959"/>
      <c r="ER1022" s="905">
        <v>4027</v>
      </c>
      <c r="ES1022" s="906" t="s">
        <v>4648</v>
      </c>
      <c r="ET1022" s="2686">
        <v>5</v>
      </c>
      <c r="EV1022" s="985"/>
      <c r="EW1022" s="985"/>
      <c r="EX1022" s="387"/>
      <c r="EY1022" s="939"/>
      <c r="EZ1022" s="886"/>
    </row>
    <row r="1023" spans="88:156">
      <c r="CJ1023" s="197"/>
      <c r="CK1023" s="197"/>
      <c r="CL1023" s="197"/>
      <c r="CM1023" s="213"/>
      <c r="CN1023" s="213"/>
      <c r="CO1023" s="197"/>
      <c r="CP1023" s="197"/>
      <c r="CQ1023" s="197"/>
      <c r="CR1023" s="197"/>
      <c r="CS1023" s="197"/>
      <c r="CT1023" s="197"/>
      <c r="CU1023" s="197"/>
      <c r="CV1023" s="197"/>
      <c r="CW1023" s="197"/>
      <c r="CX1023" s="959"/>
      <c r="CY1023" s="959"/>
      <c r="CZ1023" s="959"/>
      <c r="DA1023" s="959"/>
      <c r="DB1023" s="959"/>
      <c r="DC1023" s="891">
        <v>3849</v>
      </c>
      <c r="DD1023" s="891" t="s">
        <v>4544</v>
      </c>
      <c r="DE1023" s="891" t="s">
        <v>410</v>
      </c>
      <c r="DF1023" s="891">
        <v>5</v>
      </c>
      <c r="DG1023" s="959"/>
      <c r="DH1023" s="959"/>
      <c r="ER1023" s="905">
        <v>4028</v>
      </c>
      <c r="ES1023" s="906" t="s">
        <v>4648</v>
      </c>
      <c r="ET1023" s="2686">
        <v>5</v>
      </c>
      <c r="EV1023" s="985"/>
      <c r="EW1023" s="985"/>
      <c r="EX1023" s="387"/>
      <c r="EY1023" s="939"/>
      <c r="EZ1023" s="886"/>
    </row>
    <row r="1024" spans="88:156">
      <c r="CJ1024" s="197"/>
      <c r="CK1024" s="197"/>
      <c r="CL1024" s="197"/>
      <c r="CM1024" s="213"/>
      <c r="CN1024" s="213"/>
      <c r="CO1024" s="197"/>
      <c r="CP1024" s="197"/>
      <c r="CQ1024" s="197"/>
      <c r="CR1024" s="197"/>
      <c r="CS1024" s="197"/>
      <c r="CT1024" s="197"/>
      <c r="CU1024" s="197"/>
      <c r="CV1024" s="197"/>
      <c r="CW1024" s="197"/>
      <c r="CX1024" s="959"/>
      <c r="CY1024" s="959"/>
      <c r="CZ1024" s="959"/>
      <c r="DA1024" s="959"/>
      <c r="DB1024" s="959"/>
      <c r="DC1024" s="891">
        <v>3851</v>
      </c>
      <c r="DD1024" s="891" t="s">
        <v>4545</v>
      </c>
      <c r="DE1024" s="891" t="s">
        <v>410</v>
      </c>
      <c r="DF1024" s="891">
        <v>4</v>
      </c>
      <c r="DG1024" s="959"/>
      <c r="DH1024" s="959"/>
      <c r="ER1024" s="905">
        <v>4029</v>
      </c>
      <c r="ES1024" s="906" t="s">
        <v>4648</v>
      </c>
      <c r="ET1024" s="2686">
        <v>5</v>
      </c>
      <c r="EV1024" s="985"/>
      <c r="EW1024" s="985"/>
      <c r="EX1024" s="387"/>
      <c r="EY1024" s="939"/>
      <c r="EZ1024" s="886"/>
    </row>
    <row r="1025" spans="88:156">
      <c r="CJ1025" s="197"/>
      <c r="CK1025" s="197"/>
      <c r="CL1025" s="197"/>
      <c r="CM1025" s="213"/>
      <c r="CN1025" s="213"/>
      <c r="CO1025" s="197"/>
      <c r="CP1025" s="197"/>
      <c r="CQ1025" s="197"/>
      <c r="CR1025" s="197"/>
      <c r="CS1025" s="197"/>
      <c r="CT1025" s="197"/>
      <c r="CU1025" s="197"/>
      <c r="CV1025" s="197"/>
      <c r="CW1025" s="197"/>
      <c r="CX1025" s="959"/>
      <c r="CY1025" s="959"/>
      <c r="CZ1025" s="959"/>
      <c r="DA1025" s="959"/>
      <c r="DB1025" s="959"/>
      <c r="DC1025" s="891">
        <v>3852</v>
      </c>
      <c r="DD1025" s="891" t="s">
        <v>4546</v>
      </c>
      <c r="DE1025" s="891" t="s">
        <v>410</v>
      </c>
      <c r="DF1025" s="891">
        <v>4</v>
      </c>
      <c r="DG1025" s="959"/>
      <c r="DH1025" s="959"/>
      <c r="ER1025" s="905">
        <v>4030</v>
      </c>
      <c r="ES1025" s="906" t="s">
        <v>4648</v>
      </c>
      <c r="ET1025" s="2686">
        <v>5</v>
      </c>
      <c r="EV1025" s="985"/>
      <c r="EW1025" s="985"/>
      <c r="EX1025" s="387"/>
      <c r="EY1025" s="939"/>
      <c r="EZ1025" s="886"/>
    </row>
    <row r="1026" spans="88:156">
      <c r="CJ1026" s="197"/>
      <c r="CK1026" s="197"/>
      <c r="CL1026" s="197"/>
      <c r="CM1026" s="213"/>
      <c r="CN1026" s="213"/>
      <c r="CO1026" s="197"/>
      <c r="CP1026" s="197"/>
      <c r="CQ1026" s="197"/>
      <c r="CR1026" s="197"/>
      <c r="CS1026" s="197"/>
      <c r="CT1026" s="197"/>
      <c r="CU1026" s="197"/>
      <c r="CV1026" s="197"/>
      <c r="CW1026" s="197"/>
      <c r="CX1026" s="959"/>
      <c r="CY1026" s="959"/>
      <c r="CZ1026" s="959"/>
      <c r="DA1026" s="959"/>
      <c r="DB1026" s="959"/>
      <c r="DC1026" s="891">
        <v>3853</v>
      </c>
      <c r="DD1026" s="891" t="s">
        <v>4547</v>
      </c>
      <c r="DE1026" s="891" t="s">
        <v>410</v>
      </c>
      <c r="DF1026" s="891">
        <v>4</v>
      </c>
      <c r="DG1026" s="959"/>
      <c r="DH1026" s="959"/>
      <c r="ER1026" s="905">
        <v>4031</v>
      </c>
      <c r="ES1026" s="906" t="s">
        <v>4648</v>
      </c>
      <c r="ET1026" s="2686">
        <v>5</v>
      </c>
      <c r="EV1026" s="985"/>
      <c r="EW1026" s="985"/>
      <c r="EX1026" s="387"/>
      <c r="EY1026" s="939"/>
      <c r="EZ1026" s="886"/>
    </row>
    <row r="1027" spans="88:156">
      <c r="CJ1027" s="197"/>
      <c r="CK1027" s="197"/>
      <c r="CL1027" s="197"/>
      <c r="CM1027" s="213"/>
      <c r="CN1027" s="213"/>
      <c r="CO1027" s="197"/>
      <c r="CP1027" s="197"/>
      <c r="CQ1027" s="197"/>
      <c r="CR1027" s="197"/>
      <c r="CS1027" s="197"/>
      <c r="CT1027" s="197"/>
      <c r="CU1027" s="197"/>
      <c r="CV1027" s="197"/>
      <c r="CW1027" s="197"/>
      <c r="CX1027" s="959"/>
      <c r="CY1027" s="959"/>
      <c r="CZ1027" s="959"/>
      <c r="DA1027" s="959"/>
      <c r="DB1027" s="959"/>
      <c r="DC1027" s="891">
        <v>3854</v>
      </c>
      <c r="DD1027" s="891" t="s">
        <v>4548</v>
      </c>
      <c r="DE1027" s="891" t="s">
        <v>410</v>
      </c>
      <c r="DF1027" s="891">
        <v>5</v>
      </c>
      <c r="DG1027" s="959"/>
      <c r="DH1027" s="959"/>
      <c r="ER1027" s="905">
        <v>4032</v>
      </c>
      <c r="ES1027" s="906" t="s">
        <v>4648</v>
      </c>
      <c r="ET1027" s="2686">
        <v>5</v>
      </c>
      <c r="EV1027" s="985"/>
      <c r="EW1027" s="985"/>
      <c r="EX1027" s="387"/>
      <c r="EY1027" s="939"/>
      <c r="EZ1027" s="886"/>
    </row>
    <row r="1028" spans="88:156">
      <c r="CJ1028" s="197"/>
      <c r="CK1028" s="197"/>
      <c r="CL1028" s="197"/>
      <c r="CM1028" s="213"/>
      <c r="CN1028" s="213"/>
      <c r="CO1028" s="197"/>
      <c r="CP1028" s="197"/>
      <c r="CQ1028" s="197"/>
      <c r="CR1028" s="197"/>
      <c r="CS1028" s="197"/>
      <c r="CT1028" s="197"/>
      <c r="CU1028" s="197"/>
      <c r="CV1028" s="197"/>
      <c r="CW1028" s="197"/>
      <c r="CX1028" s="959"/>
      <c r="CY1028" s="959"/>
      <c r="CZ1028" s="959"/>
      <c r="DA1028" s="959"/>
      <c r="DB1028" s="959"/>
      <c r="DC1028" s="891">
        <v>3855</v>
      </c>
      <c r="DD1028" s="891" t="s">
        <v>4549</v>
      </c>
      <c r="DE1028" s="891" t="s">
        <v>406</v>
      </c>
      <c r="DF1028" s="891">
        <v>5</v>
      </c>
      <c r="DG1028" s="959"/>
      <c r="DH1028" s="959"/>
      <c r="ER1028" s="905">
        <v>4033</v>
      </c>
      <c r="ES1028" s="906" t="s">
        <v>4648</v>
      </c>
      <c r="ET1028" s="2686">
        <v>5</v>
      </c>
      <c r="EV1028" s="985"/>
      <c r="EW1028" s="985"/>
      <c r="EX1028" s="387"/>
      <c r="EY1028" s="939"/>
      <c r="EZ1028" s="886"/>
    </row>
    <row r="1029" spans="88:156">
      <c r="CJ1029" s="197"/>
      <c r="CK1029" s="197"/>
      <c r="CL1029" s="197"/>
      <c r="CM1029" s="213"/>
      <c r="CN1029" s="213"/>
      <c r="CO1029" s="197"/>
      <c r="CP1029" s="197"/>
      <c r="CQ1029" s="197"/>
      <c r="CR1029" s="197"/>
      <c r="CS1029" s="197"/>
      <c r="CT1029" s="197"/>
      <c r="CU1029" s="197"/>
      <c r="CV1029" s="197"/>
      <c r="CW1029" s="197"/>
      <c r="CX1029" s="959"/>
      <c r="CY1029" s="959"/>
      <c r="CZ1029" s="959"/>
      <c r="DA1029" s="959"/>
      <c r="DB1029" s="959"/>
      <c r="DC1029" s="891">
        <v>3860</v>
      </c>
      <c r="DD1029" s="891" t="s">
        <v>4550</v>
      </c>
      <c r="DE1029" s="891" t="s">
        <v>419</v>
      </c>
      <c r="DF1029" s="891">
        <v>5</v>
      </c>
      <c r="DG1029" s="959"/>
      <c r="DH1029" s="959"/>
      <c r="ER1029" s="905">
        <v>4034</v>
      </c>
      <c r="ES1029" s="906" t="s">
        <v>4648</v>
      </c>
      <c r="ET1029" s="2686">
        <v>5</v>
      </c>
      <c r="EV1029" s="985"/>
      <c r="EW1029" s="985"/>
      <c r="EX1029" s="387"/>
      <c r="EY1029" s="939"/>
      <c r="EZ1029" s="886"/>
    </row>
    <row r="1030" spans="88:156">
      <c r="CJ1030" s="197"/>
      <c r="CK1030" s="197"/>
      <c r="CL1030" s="197"/>
      <c r="CM1030" s="213"/>
      <c r="CN1030" s="213"/>
      <c r="CO1030" s="197"/>
      <c r="CP1030" s="197"/>
      <c r="CQ1030" s="197"/>
      <c r="CR1030" s="197"/>
      <c r="CS1030" s="197"/>
      <c r="CT1030" s="197"/>
      <c r="CU1030" s="197"/>
      <c r="CV1030" s="197"/>
      <c r="CW1030" s="197"/>
      <c r="CX1030" s="959"/>
      <c r="CY1030" s="959"/>
      <c r="CZ1030" s="959"/>
      <c r="DA1030" s="959"/>
      <c r="DB1030" s="959"/>
      <c r="DC1030" s="891">
        <v>3863</v>
      </c>
      <c r="DD1030" s="891" t="s">
        <v>4551</v>
      </c>
      <c r="DE1030" s="891" t="s">
        <v>432</v>
      </c>
      <c r="DF1030" s="891">
        <v>6</v>
      </c>
      <c r="DG1030" s="959"/>
      <c r="DH1030" s="959"/>
      <c r="ER1030" s="905">
        <v>4060</v>
      </c>
      <c r="ES1030" s="906" t="s">
        <v>4652</v>
      </c>
      <c r="ET1030" s="2686">
        <v>9</v>
      </c>
      <c r="EV1030" s="985"/>
      <c r="EW1030" s="985"/>
      <c r="EX1030" s="387"/>
      <c r="EY1030" s="939"/>
      <c r="EZ1030" s="886"/>
    </row>
    <row r="1031" spans="88:156">
      <c r="CJ1031" s="197"/>
      <c r="CK1031" s="197"/>
      <c r="CL1031" s="197"/>
      <c r="CM1031" s="213"/>
      <c r="CN1031" s="213"/>
      <c r="CO1031" s="197"/>
      <c r="CP1031" s="197"/>
      <c r="CQ1031" s="197"/>
      <c r="CR1031" s="197"/>
      <c r="CS1031" s="197"/>
      <c r="CT1031" s="197"/>
      <c r="CU1031" s="197"/>
      <c r="CV1031" s="197"/>
      <c r="CW1031" s="197"/>
      <c r="CX1031" s="959"/>
      <c r="CY1031" s="959"/>
      <c r="CZ1031" s="959"/>
      <c r="DA1031" s="959"/>
      <c r="DB1031" s="959"/>
      <c r="DC1031" s="891">
        <v>3864</v>
      </c>
      <c r="DD1031" s="891" t="s">
        <v>4552</v>
      </c>
      <c r="DE1031" s="891" t="s">
        <v>410</v>
      </c>
      <c r="DF1031" s="891">
        <v>5</v>
      </c>
      <c r="DG1031" s="959"/>
      <c r="DH1031" s="959"/>
      <c r="ER1031" s="905">
        <v>4063</v>
      </c>
      <c r="ES1031" s="970" t="s">
        <v>4130</v>
      </c>
      <c r="ET1031" s="2686">
        <v>5</v>
      </c>
      <c r="EV1031" s="985"/>
      <c r="EW1031" s="985"/>
      <c r="EX1031" s="387"/>
      <c r="EY1031" s="939"/>
      <c r="EZ1031" s="886"/>
    </row>
    <row r="1032" spans="88:156">
      <c r="CJ1032" s="197"/>
      <c r="CK1032" s="197"/>
      <c r="CL1032" s="197"/>
      <c r="CM1032" s="213"/>
      <c r="CN1032" s="213"/>
      <c r="CO1032" s="197"/>
      <c r="CP1032" s="197"/>
      <c r="CQ1032" s="197"/>
      <c r="CR1032" s="197"/>
      <c r="CS1032" s="197"/>
      <c r="CT1032" s="197"/>
      <c r="CU1032" s="197"/>
      <c r="CV1032" s="197"/>
      <c r="CW1032" s="197"/>
      <c r="CX1032" s="959"/>
      <c r="CY1032" s="959"/>
      <c r="CZ1032" s="959"/>
      <c r="DA1032" s="959"/>
      <c r="DB1032" s="959"/>
      <c r="DC1032" s="891">
        <v>3865</v>
      </c>
      <c r="DD1032" s="891" t="s">
        <v>4553</v>
      </c>
      <c r="DE1032" s="891" t="s">
        <v>410</v>
      </c>
      <c r="DF1032" s="891">
        <v>5</v>
      </c>
      <c r="DG1032" s="959"/>
      <c r="DH1032" s="959"/>
      <c r="ER1032" s="905">
        <v>4063</v>
      </c>
      <c r="ES1032" s="906" t="s">
        <v>4648</v>
      </c>
      <c r="ET1032" s="2686">
        <v>5</v>
      </c>
      <c r="EV1032" s="985"/>
      <c r="EW1032" s="985"/>
      <c r="EX1032" s="387"/>
      <c r="EY1032" s="939"/>
      <c r="EZ1032" s="886"/>
    </row>
    <row r="1033" spans="88:156">
      <c r="CJ1033" s="197"/>
      <c r="CK1033" s="197"/>
      <c r="CL1033" s="197"/>
      <c r="CM1033" s="213"/>
      <c r="CN1033" s="213"/>
      <c r="CO1033" s="197"/>
      <c r="CP1033" s="197"/>
      <c r="CQ1033" s="197"/>
      <c r="CR1033" s="197"/>
      <c r="CS1033" s="197"/>
      <c r="CT1033" s="197"/>
      <c r="CU1033" s="197"/>
      <c r="CV1033" s="197"/>
      <c r="CW1033" s="197"/>
      <c r="CX1033" s="959"/>
      <c r="CY1033" s="959"/>
      <c r="CZ1033" s="959"/>
      <c r="DA1033" s="959"/>
      <c r="DB1033" s="959"/>
      <c r="DC1033" s="891">
        <v>3866</v>
      </c>
      <c r="DD1033" s="891" t="s">
        <v>4554</v>
      </c>
      <c r="DE1033" s="891" t="s">
        <v>410</v>
      </c>
      <c r="DF1033" s="891">
        <v>5</v>
      </c>
      <c r="DG1033" s="959"/>
      <c r="DH1033" s="959"/>
      <c r="ER1033" s="905">
        <v>4064</v>
      </c>
      <c r="ES1033" s="906" t="s">
        <v>4654</v>
      </c>
      <c r="ET1033" s="2686">
        <v>9</v>
      </c>
      <c r="EV1033" s="985"/>
      <c r="EW1033" s="985"/>
      <c r="EX1033" s="387"/>
      <c r="EY1033" s="939"/>
      <c r="EZ1033" s="886"/>
    </row>
    <row r="1034" spans="88:156">
      <c r="CJ1034" s="197"/>
      <c r="CK1034" s="197"/>
      <c r="CL1034" s="197"/>
      <c r="CM1034" s="213"/>
      <c r="CN1034" s="213"/>
      <c r="CO1034" s="197"/>
      <c r="CP1034" s="197"/>
      <c r="CQ1034" s="197"/>
      <c r="CR1034" s="197"/>
      <c r="CS1034" s="197"/>
      <c r="CT1034" s="197"/>
      <c r="CU1034" s="197"/>
      <c r="CV1034" s="197"/>
      <c r="CW1034" s="197"/>
      <c r="CX1034" s="959"/>
      <c r="CY1034" s="959"/>
      <c r="CZ1034" s="959"/>
      <c r="DA1034" s="959"/>
      <c r="DB1034" s="959"/>
      <c r="DC1034" s="891">
        <v>3867</v>
      </c>
      <c r="DD1034" s="891" t="s">
        <v>4555</v>
      </c>
      <c r="DE1034" s="891" t="s">
        <v>410</v>
      </c>
      <c r="DF1034" s="891">
        <v>5</v>
      </c>
      <c r="DG1034" s="959"/>
      <c r="DH1034" s="959"/>
      <c r="ER1034" s="905">
        <v>4065</v>
      </c>
      <c r="ES1034" s="906" t="s">
        <v>4655</v>
      </c>
      <c r="ET1034" s="2686">
        <v>9</v>
      </c>
      <c r="EV1034" s="985"/>
      <c r="EW1034" s="985"/>
      <c r="EX1034" s="387"/>
      <c r="EY1034" s="939"/>
      <c r="EZ1034" s="886"/>
    </row>
    <row r="1035" spans="88:156">
      <c r="CJ1035" s="197"/>
      <c r="CK1035" s="197"/>
      <c r="CL1035" s="197"/>
      <c r="CM1035" s="213"/>
      <c r="CN1035" s="213"/>
      <c r="CO1035" s="197"/>
      <c r="CP1035" s="197"/>
      <c r="CQ1035" s="197"/>
      <c r="CR1035" s="197"/>
      <c r="CS1035" s="197"/>
      <c r="CT1035" s="197"/>
      <c r="CU1035" s="197"/>
      <c r="CV1035" s="197"/>
      <c r="CW1035" s="197"/>
      <c r="CX1035" s="959"/>
      <c r="CY1035" s="959"/>
      <c r="CZ1035" s="959"/>
      <c r="DA1035" s="959"/>
      <c r="DB1035" s="959"/>
      <c r="DC1035" s="891">
        <v>3868</v>
      </c>
      <c r="DD1035" s="891" t="s">
        <v>4556</v>
      </c>
      <c r="DE1035" s="891" t="s">
        <v>412</v>
      </c>
      <c r="DF1035" s="891">
        <v>5</v>
      </c>
      <c r="DG1035" s="959"/>
      <c r="DH1035" s="959"/>
      <c r="ER1035" s="905">
        <v>4066</v>
      </c>
      <c r="ES1035" s="906" t="s">
        <v>4656</v>
      </c>
      <c r="ET1035" s="2686">
        <v>9</v>
      </c>
      <c r="EV1035" s="985"/>
      <c r="EW1035" s="985"/>
      <c r="EX1035" s="387"/>
      <c r="EY1035" s="939"/>
      <c r="EZ1035" s="886"/>
    </row>
    <row r="1036" spans="88:156">
      <c r="CJ1036" s="197"/>
      <c r="CK1036" s="197"/>
      <c r="CL1036" s="197"/>
      <c r="CM1036" s="213"/>
      <c r="CN1036" s="213"/>
      <c r="CO1036" s="197"/>
      <c r="CP1036" s="197"/>
      <c r="CQ1036" s="197"/>
      <c r="CR1036" s="197"/>
      <c r="CS1036" s="197"/>
      <c r="CT1036" s="197"/>
      <c r="CU1036" s="197"/>
      <c r="CV1036" s="197"/>
      <c r="CW1036" s="197"/>
      <c r="CX1036" s="959"/>
      <c r="CY1036" s="959"/>
      <c r="CZ1036" s="959"/>
      <c r="DA1036" s="959"/>
      <c r="DB1036" s="959"/>
      <c r="DC1036" s="891">
        <v>3871</v>
      </c>
      <c r="DD1036" s="891" t="s">
        <v>4557</v>
      </c>
      <c r="DE1036" s="891" t="s">
        <v>410</v>
      </c>
      <c r="DF1036" s="891">
        <v>6</v>
      </c>
      <c r="DG1036" s="959"/>
      <c r="DH1036" s="959"/>
      <c r="ER1036" s="905">
        <v>4067</v>
      </c>
      <c r="ES1036" s="906" t="s">
        <v>4131</v>
      </c>
      <c r="ET1036" s="2686">
        <v>9</v>
      </c>
      <c r="EV1036" s="985"/>
      <c r="EW1036" s="985"/>
      <c r="EX1036" s="387"/>
      <c r="EY1036" s="939"/>
      <c r="EZ1036" s="886"/>
    </row>
    <row r="1037" spans="88:156">
      <c r="CJ1037" s="197"/>
      <c r="CK1037" s="197"/>
      <c r="CL1037" s="197"/>
      <c r="CM1037" s="213"/>
      <c r="CN1037" s="213"/>
      <c r="CO1037" s="197"/>
      <c r="CP1037" s="197"/>
      <c r="CQ1037" s="197"/>
      <c r="CR1037" s="197"/>
      <c r="CS1037" s="197"/>
      <c r="CT1037" s="197"/>
      <c r="CU1037" s="197"/>
      <c r="CV1037" s="197"/>
      <c r="CW1037" s="197"/>
      <c r="CX1037" s="959"/>
      <c r="CY1037" s="959"/>
      <c r="CZ1037" s="959"/>
      <c r="DA1037" s="959"/>
      <c r="DB1037" s="959"/>
      <c r="DC1037" s="891">
        <v>3872</v>
      </c>
      <c r="DD1037" s="891" t="s">
        <v>4558</v>
      </c>
      <c r="DE1037" s="891" t="s">
        <v>410</v>
      </c>
      <c r="DF1037" s="891">
        <v>6</v>
      </c>
      <c r="DG1037" s="959"/>
      <c r="DH1037" s="959"/>
      <c r="ER1037" s="905">
        <v>4069</v>
      </c>
      <c r="ES1037" s="906" t="s">
        <v>4658</v>
      </c>
      <c r="ET1037" s="2686">
        <v>9</v>
      </c>
      <c r="EV1037" s="985"/>
      <c r="EW1037" s="985"/>
      <c r="EX1037" s="387"/>
      <c r="EY1037" s="939"/>
      <c r="EZ1037" s="886"/>
    </row>
    <row r="1038" spans="88:156">
      <c r="CJ1038" s="197"/>
      <c r="CK1038" s="197"/>
      <c r="CL1038" s="197"/>
      <c r="CM1038" s="213"/>
      <c r="CN1038" s="213"/>
      <c r="CO1038" s="197"/>
      <c r="CP1038" s="197"/>
      <c r="CQ1038" s="197"/>
      <c r="CR1038" s="197"/>
      <c r="CS1038" s="197"/>
      <c r="CT1038" s="197"/>
      <c r="CU1038" s="197"/>
      <c r="CV1038" s="197"/>
      <c r="CW1038" s="197"/>
      <c r="CX1038" s="959"/>
      <c r="CY1038" s="959"/>
      <c r="CZ1038" s="959"/>
      <c r="DA1038" s="959"/>
      <c r="DB1038" s="959"/>
      <c r="DC1038" s="891">
        <v>3873</v>
      </c>
      <c r="DD1038" s="891" t="s">
        <v>4559</v>
      </c>
      <c r="DE1038" s="891" t="s">
        <v>412</v>
      </c>
      <c r="DF1038" s="891">
        <v>6</v>
      </c>
      <c r="DG1038" s="959"/>
      <c r="DH1038" s="959"/>
      <c r="ER1038" s="905">
        <v>4071</v>
      </c>
      <c r="ES1038" s="906" t="s">
        <v>4659</v>
      </c>
      <c r="ET1038" s="2686">
        <v>9</v>
      </c>
      <c r="EV1038" s="985"/>
      <c r="EW1038" s="985"/>
      <c r="EX1038" s="387"/>
      <c r="EY1038" s="939"/>
      <c r="EZ1038" s="886"/>
    </row>
    <row r="1039" spans="88:156">
      <c r="CJ1039" s="197"/>
      <c r="CK1039" s="197"/>
      <c r="CL1039" s="197"/>
      <c r="CM1039" s="213"/>
      <c r="CN1039" s="213"/>
      <c r="CO1039" s="197"/>
      <c r="CP1039" s="197"/>
      <c r="CQ1039" s="197"/>
      <c r="CR1039" s="197"/>
      <c r="CS1039" s="197"/>
      <c r="CT1039" s="197"/>
      <c r="CU1039" s="197"/>
      <c r="CV1039" s="197"/>
      <c r="CW1039" s="197"/>
      <c r="CX1039" s="959"/>
      <c r="CY1039" s="959"/>
      <c r="CZ1039" s="959"/>
      <c r="DA1039" s="959"/>
      <c r="DB1039" s="959"/>
      <c r="DC1039" s="891">
        <v>3874</v>
      </c>
      <c r="DD1039" s="891" t="s">
        <v>4560</v>
      </c>
      <c r="DE1039" s="891" t="s">
        <v>432</v>
      </c>
      <c r="DF1039" s="891">
        <v>6</v>
      </c>
      <c r="DG1039" s="959"/>
      <c r="DH1039" s="959"/>
      <c r="ER1039" s="905">
        <v>4074</v>
      </c>
      <c r="ES1039" s="905" t="s">
        <v>4132</v>
      </c>
      <c r="ET1039" s="2686">
        <v>9</v>
      </c>
      <c r="EV1039" s="985"/>
      <c r="EW1039" s="985"/>
      <c r="EX1039" s="387"/>
      <c r="EY1039" s="939"/>
      <c r="EZ1039" s="886"/>
    </row>
    <row r="1040" spans="88:156">
      <c r="CJ1040" s="197"/>
      <c r="CK1040" s="197"/>
      <c r="CL1040" s="197"/>
      <c r="CM1040" s="213"/>
      <c r="CN1040" s="213"/>
      <c r="CO1040" s="197"/>
      <c r="CP1040" s="197"/>
      <c r="CQ1040" s="197"/>
      <c r="CR1040" s="197"/>
      <c r="CS1040" s="197"/>
      <c r="CT1040" s="197"/>
      <c r="CU1040" s="197"/>
      <c r="CV1040" s="197"/>
      <c r="CW1040" s="197"/>
      <c r="CX1040" s="959"/>
      <c r="CY1040" s="959"/>
      <c r="CZ1040" s="959"/>
      <c r="DA1040" s="959"/>
      <c r="DB1040" s="959"/>
      <c r="DC1040" s="891">
        <v>3875</v>
      </c>
      <c r="DD1040" s="891" t="s">
        <v>4561</v>
      </c>
      <c r="DE1040" s="891" t="s">
        <v>421</v>
      </c>
      <c r="DF1040" s="891">
        <v>6</v>
      </c>
      <c r="DG1040" s="959"/>
      <c r="DH1040" s="959"/>
      <c r="ER1040" s="905">
        <v>4075</v>
      </c>
      <c r="ES1040" s="906" t="s">
        <v>4668</v>
      </c>
      <c r="ET1040" s="2686">
        <v>9</v>
      </c>
      <c r="EV1040" s="985"/>
      <c r="EW1040" s="985"/>
      <c r="EX1040" s="387"/>
      <c r="EY1040" s="939"/>
      <c r="EZ1040" s="886"/>
    </row>
    <row r="1041" spans="88:156">
      <c r="CJ1041" s="197"/>
      <c r="CK1041" s="197"/>
      <c r="CL1041" s="197"/>
      <c r="CM1041" s="213"/>
      <c r="CN1041" s="213"/>
      <c r="CO1041" s="197"/>
      <c r="CP1041" s="197"/>
      <c r="CQ1041" s="197"/>
      <c r="CR1041" s="197"/>
      <c r="CS1041" s="197"/>
      <c r="CT1041" s="197"/>
      <c r="CU1041" s="197"/>
      <c r="CV1041" s="197"/>
      <c r="CW1041" s="197"/>
      <c r="CX1041" s="959"/>
      <c r="CY1041" s="959"/>
      <c r="CZ1041" s="959"/>
      <c r="DA1041" s="959"/>
      <c r="DB1041" s="959"/>
      <c r="DC1041" s="891">
        <v>3876</v>
      </c>
      <c r="DD1041" s="891" t="s">
        <v>4562</v>
      </c>
      <c r="DE1041" s="891" t="s">
        <v>417</v>
      </c>
      <c r="DF1041" s="891">
        <v>6</v>
      </c>
      <c r="DG1041" s="959"/>
      <c r="DH1041" s="959"/>
      <c r="ER1041" s="905">
        <v>4078</v>
      </c>
      <c r="ES1041" s="970" t="s">
        <v>4133</v>
      </c>
      <c r="ET1041" s="2686">
        <v>5</v>
      </c>
      <c r="EV1041" s="985"/>
      <c r="EW1041" s="985"/>
      <c r="EX1041" s="387"/>
      <c r="EY1041" s="939"/>
      <c r="EZ1041" s="886"/>
    </row>
    <row r="1042" spans="88:156">
      <c r="CJ1042" s="197"/>
      <c r="CK1042" s="197"/>
      <c r="CL1042" s="197"/>
      <c r="CM1042" s="213"/>
      <c r="CN1042" s="213"/>
      <c r="CO1042" s="197"/>
      <c r="CP1042" s="197"/>
      <c r="CQ1042" s="197"/>
      <c r="CR1042" s="197"/>
      <c r="CS1042" s="197"/>
      <c r="CT1042" s="197"/>
      <c r="CU1042" s="197"/>
      <c r="CV1042" s="197"/>
      <c r="CW1042" s="197"/>
      <c r="CX1042" s="959"/>
      <c r="CY1042" s="959"/>
      <c r="CZ1042" s="959"/>
      <c r="DA1042" s="959"/>
      <c r="DB1042" s="959"/>
      <c r="DC1042" s="891">
        <v>3877</v>
      </c>
      <c r="DD1042" s="891" t="s">
        <v>4563</v>
      </c>
      <c r="DE1042" s="891" t="s">
        <v>434</v>
      </c>
      <c r="DF1042" s="891">
        <v>6</v>
      </c>
      <c r="DG1042" s="959"/>
      <c r="DH1042" s="959"/>
      <c r="ER1042" s="905">
        <v>4078</v>
      </c>
      <c r="ES1042" s="906" t="s">
        <v>4648</v>
      </c>
      <c r="ET1042" s="2686">
        <v>5</v>
      </c>
      <c r="EV1042" s="985"/>
      <c r="EW1042" s="985"/>
      <c r="EX1042" s="387"/>
      <c r="EY1042" s="939"/>
      <c r="EZ1042" s="886"/>
    </row>
    <row r="1043" spans="88:156">
      <c r="CJ1043" s="197"/>
      <c r="CK1043" s="197"/>
      <c r="CL1043" s="197"/>
      <c r="CM1043" s="213"/>
      <c r="CN1043" s="213"/>
      <c r="CO1043" s="197"/>
      <c r="CP1043" s="197"/>
      <c r="CQ1043" s="197"/>
      <c r="CR1043" s="197"/>
      <c r="CS1043" s="197"/>
      <c r="CT1043" s="197"/>
      <c r="CU1043" s="197"/>
      <c r="CV1043" s="197"/>
      <c r="CW1043" s="197"/>
      <c r="CX1043" s="959"/>
      <c r="CY1043" s="959"/>
      <c r="CZ1043" s="959"/>
      <c r="DA1043" s="959"/>
      <c r="DB1043" s="959"/>
      <c r="DC1043" s="891">
        <v>3881</v>
      </c>
      <c r="DD1043" s="891" t="s">
        <v>4564</v>
      </c>
      <c r="DE1043" s="891" t="s">
        <v>434</v>
      </c>
      <c r="DF1043" s="891">
        <v>6</v>
      </c>
      <c r="DG1043" s="959"/>
      <c r="DH1043" s="959"/>
      <c r="ER1043" s="905">
        <v>4079</v>
      </c>
      <c r="ES1043" s="970" t="s">
        <v>4670</v>
      </c>
      <c r="ET1043" s="2686">
        <v>5</v>
      </c>
      <c r="EV1043" s="985"/>
      <c r="EW1043" s="985"/>
      <c r="EX1043" s="387"/>
      <c r="EY1043" s="939"/>
      <c r="EZ1043" s="886"/>
    </row>
    <row r="1044" spans="88:156">
      <c r="CJ1044" s="197"/>
      <c r="CK1044" s="197"/>
      <c r="CL1044" s="197"/>
      <c r="CM1044" s="213"/>
      <c r="CN1044" s="213"/>
      <c r="CO1044" s="197"/>
      <c r="CP1044" s="197"/>
      <c r="CQ1044" s="197"/>
      <c r="CR1044" s="197"/>
      <c r="CS1044" s="197"/>
      <c r="CT1044" s="197"/>
      <c r="CU1044" s="197"/>
      <c r="CV1044" s="197"/>
      <c r="CW1044" s="197"/>
      <c r="CX1044" s="959"/>
      <c r="CY1044" s="959"/>
      <c r="CZ1044" s="959"/>
      <c r="DA1044" s="959"/>
      <c r="DB1044" s="959"/>
      <c r="DC1044" s="891">
        <v>3882</v>
      </c>
      <c r="DD1044" s="891" t="s">
        <v>4565</v>
      </c>
      <c r="DE1044" s="891" t="s">
        <v>2808</v>
      </c>
      <c r="DF1044" s="891">
        <v>6</v>
      </c>
      <c r="DG1044" s="959"/>
      <c r="DH1044" s="959"/>
      <c r="ER1044" s="905">
        <v>4079</v>
      </c>
      <c r="ES1044" s="906" t="s">
        <v>4648</v>
      </c>
      <c r="ET1044" s="2686">
        <v>5</v>
      </c>
      <c r="EV1044" s="985"/>
      <c r="EW1044" s="985"/>
      <c r="EX1044" s="387"/>
      <c r="EY1044" s="939"/>
      <c r="EZ1044" s="886"/>
    </row>
    <row r="1045" spans="88:156">
      <c r="CJ1045" s="197"/>
      <c r="CK1045" s="197"/>
      <c r="CL1045" s="197"/>
      <c r="CM1045" s="213"/>
      <c r="CN1045" s="213"/>
      <c r="CO1045" s="197"/>
      <c r="CP1045" s="197"/>
      <c r="CQ1045" s="197"/>
      <c r="CR1045" s="197"/>
      <c r="CS1045" s="197"/>
      <c r="CT1045" s="197"/>
      <c r="CU1045" s="197"/>
      <c r="CV1045" s="197"/>
      <c r="CW1045" s="197"/>
      <c r="CX1045" s="959"/>
      <c r="CY1045" s="959"/>
      <c r="CZ1045" s="959"/>
      <c r="DA1045" s="959"/>
      <c r="DB1045" s="959"/>
      <c r="DC1045" s="891">
        <v>3884</v>
      </c>
      <c r="DD1045" s="891" t="s">
        <v>4566</v>
      </c>
      <c r="DE1045" s="891" t="s">
        <v>417</v>
      </c>
      <c r="DF1045" s="891">
        <v>6</v>
      </c>
      <c r="DG1045" s="959"/>
      <c r="DH1045" s="959"/>
      <c r="ER1045" s="905">
        <v>4080</v>
      </c>
      <c r="ES1045" s="906" t="s">
        <v>4671</v>
      </c>
      <c r="ET1045" s="2686">
        <v>9</v>
      </c>
      <c r="EV1045" s="985"/>
      <c r="EW1045" s="985"/>
      <c r="EX1045" s="387"/>
      <c r="EY1045" s="939"/>
      <c r="EZ1045" s="886"/>
    </row>
    <row r="1046" spans="88:156">
      <c r="CJ1046" s="197"/>
      <c r="CK1046" s="197"/>
      <c r="CL1046" s="197"/>
      <c r="CM1046" s="213"/>
      <c r="CN1046" s="213"/>
      <c r="CO1046" s="197"/>
      <c r="CP1046" s="197"/>
      <c r="CQ1046" s="197"/>
      <c r="CR1046" s="197"/>
      <c r="CS1046" s="197"/>
      <c r="CT1046" s="197"/>
      <c r="CU1046" s="197"/>
      <c r="CV1046" s="197"/>
      <c r="CW1046" s="197"/>
      <c r="CX1046" s="959"/>
      <c r="CY1046" s="959"/>
      <c r="CZ1046" s="959"/>
      <c r="DA1046" s="959"/>
      <c r="DB1046" s="959"/>
      <c r="DC1046" s="891">
        <v>3885</v>
      </c>
      <c r="DD1046" s="891" t="s">
        <v>4567</v>
      </c>
      <c r="DE1046" s="891" t="s">
        <v>2808</v>
      </c>
      <c r="DF1046" s="891">
        <v>6</v>
      </c>
      <c r="DG1046" s="959"/>
      <c r="DH1046" s="959"/>
      <c r="ER1046" s="905">
        <v>4085</v>
      </c>
      <c r="ES1046" s="905" t="s">
        <v>855</v>
      </c>
      <c r="ET1046" s="2686">
        <v>9</v>
      </c>
      <c r="EV1046" s="985"/>
      <c r="EW1046" s="985"/>
      <c r="EX1046" s="387"/>
      <c r="EY1046" s="939"/>
      <c r="EZ1046" s="886"/>
    </row>
    <row r="1047" spans="88:156">
      <c r="CJ1047" s="197"/>
      <c r="CK1047" s="197"/>
      <c r="CL1047" s="197"/>
      <c r="CM1047" s="213"/>
      <c r="CN1047" s="213"/>
      <c r="CO1047" s="197"/>
      <c r="CP1047" s="197"/>
      <c r="CQ1047" s="197"/>
      <c r="CR1047" s="197"/>
      <c r="CS1047" s="197"/>
      <c r="CT1047" s="197"/>
      <c r="CU1047" s="197"/>
      <c r="CV1047" s="197"/>
      <c r="CW1047" s="197"/>
      <c r="CX1047" s="959"/>
      <c r="CY1047" s="959"/>
      <c r="CZ1047" s="959"/>
      <c r="DA1047" s="959"/>
      <c r="DB1047" s="959"/>
      <c r="DC1047" s="891">
        <v>3886</v>
      </c>
      <c r="DD1047" s="891" t="s">
        <v>4568</v>
      </c>
      <c r="DE1047" s="891" t="s">
        <v>406</v>
      </c>
      <c r="DF1047" s="891">
        <v>6</v>
      </c>
      <c r="DG1047" s="959"/>
      <c r="DH1047" s="959"/>
      <c r="ER1047" s="905">
        <v>4086</v>
      </c>
      <c r="ES1047" s="905" t="s">
        <v>856</v>
      </c>
      <c r="ET1047" s="2686">
        <v>9</v>
      </c>
      <c r="EV1047" s="985"/>
      <c r="EW1047" s="985"/>
      <c r="EX1047" s="387"/>
      <c r="EY1047" s="939"/>
      <c r="EZ1047" s="886"/>
    </row>
    <row r="1048" spans="88:156">
      <c r="CJ1048" s="197"/>
      <c r="CK1048" s="197"/>
      <c r="CL1048" s="197"/>
      <c r="CM1048" s="213"/>
      <c r="CN1048" s="213"/>
      <c r="CO1048" s="197"/>
      <c r="CP1048" s="197"/>
      <c r="CQ1048" s="197"/>
      <c r="CR1048" s="197"/>
      <c r="CS1048" s="197"/>
      <c r="CT1048" s="197"/>
      <c r="CU1048" s="197"/>
      <c r="CV1048" s="197"/>
      <c r="CW1048" s="197"/>
      <c r="CX1048" s="959"/>
      <c r="CY1048" s="959"/>
      <c r="CZ1048" s="959"/>
      <c r="DA1048" s="959"/>
      <c r="DB1048" s="959"/>
      <c r="DC1048" s="891">
        <v>3887</v>
      </c>
      <c r="DD1048" s="891" t="s">
        <v>4569</v>
      </c>
      <c r="DE1048" s="891" t="s">
        <v>421</v>
      </c>
      <c r="DF1048" s="891">
        <v>6</v>
      </c>
      <c r="DG1048" s="959"/>
      <c r="DH1048" s="959"/>
      <c r="ER1048" s="905">
        <v>4087</v>
      </c>
      <c r="ES1048" s="906" t="s">
        <v>4674</v>
      </c>
      <c r="ET1048" s="2686">
        <v>9</v>
      </c>
      <c r="EV1048" s="985"/>
      <c r="EW1048" s="985"/>
      <c r="EX1048" s="387"/>
      <c r="EY1048" s="939"/>
      <c r="EZ1048" s="886"/>
    </row>
    <row r="1049" spans="88:156">
      <c r="CJ1049" s="197"/>
      <c r="CK1049" s="197"/>
      <c r="CL1049" s="197"/>
      <c r="CM1049" s="213"/>
      <c r="CN1049" s="213"/>
      <c r="CO1049" s="197"/>
      <c r="CP1049" s="197"/>
      <c r="CQ1049" s="197"/>
      <c r="CR1049" s="197"/>
      <c r="CS1049" s="197"/>
      <c r="CT1049" s="197"/>
      <c r="CU1049" s="197"/>
      <c r="CV1049" s="197"/>
      <c r="CW1049" s="197"/>
      <c r="CX1049" s="959"/>
      <c r="CY1049" s="959"/>
      <c r="CZ1049" s="959"/>
      <c r="DA1049" s="959"/>
      <c r="DB1049" s="959"/>
      <c r="DC1049" s="891">
        <v>3888</v>
      </c>
      <c r="DD1049" s="891" t="s">
        <v>4570</v>
      </c>
      <c r="DE1049" s="891" t="s">
        <v>421</v>
      </c>
      <c r="DF1049" s="891">
        <v>6</v>
      </c>
      <c r="DG1049" s="959"/>
      <c r="DH1049" s="959"/>
      <c r="ER1049" s="905">
        <v>4090</v>
      </c>
      <c r="ES1049" s="906" t="s">
        <v>4675</v>
      </c>
      <c r="ET1049" s="2686">
        <v>9</v>
      </c>
      <c r="EV1049" s="985"/>
      <c r="EW1049" s="985"/>
      <c r="EX1049" s="387"/>
      <c r="EY1049" s="939"/>
      <c r="EZ1049" s="886"/>
    </row>
    <row r="1050" spans="88:156">
      <c r="CJ1050" s="197"/>
      <c r="CK1050" s="197"/>
      <c r="CL1050" s="197"/>
      <c r="CM1050" s="213"/>
      <c r="CN1050" s="213"/>
      <c r="CO1050" s="197"/>
      <c r="CP1050" s="197"/>
      <c r="CQ1050" s="197"/>
      <c r="CR1050" s="197"/>
      <c r="CS1050" s="197"/>
      <c r="CT1050" s="197"/>
      <c r="CU1050" s="197"/>
      <c r="CV1050" s="197"/>
      <c r="CW1050" s="197"/>
      <c r="CX1050" s="959"/>
      <c r="CY1050" s="959"/>
      <c r="CZ1050" s="959"/>
      <c r="DA1050" s="959"/>
      <c r="DB1050" s="959"/>
      <c r="DC1050" s="891">
        <v>3891</v>
      </c>
      <c r="DD1050" s="891" t="s">
        <v>4571</v>
      </c>
      <c r="DE1050" s="891" t="s">
        <v>419</v>
      </c>
      <c r="DF1050" s="891">
        <v>6</v>
      </c>
      <c r="DG1050" s="959"/>
      <c r="DH1050" s="959"/>
      <c r="ER1050" s="905">
        <v>4090</v>
      </c>
      <c r="ES1050" s="906" t="s">
        <v>3321</v>
      </c>
      <c r="ET1050" s="2686">
        <v>9</v>
      </c>
      <c r="EV1050" s="985"/>
      <c r="EW1050" s="985"/>
      <c r="EX1050" s="387"/>
      <c r="EY1050" s="939"/>
      <c r="EZ1050" s="886"/>
    </row>
    <row r="1051" spans="88:156">
      <c r="CJ1051" s="197"/>
      <c r="CK1051" s="197"/>
      <c r="CL1051" s="197"/>
      <c r="CM1051" s="213"/>
      <c r="CN1051" s="213"/>
      <c r="CO1051" s="197"/>
      <c r="CP1051" s="197"/>
      <c r="CQ1051" s="197"/>
      <c r="CR1051" s="197"/>
      <c r="CS1051" s="197"/>
      <c r="CT1051" s="197"/>
      <c r="CU1051" s="197"/>
      <c r="CV1051" s="197"/>
      <c r="CW1051" s="197"/>
      <c r="CX1051" s="959"/>
      <c r="CY1051" s="959"/>
      <c r="CZ1051" s="959"/>
      <c r="DA1051" s="959"/>
      <c r="DB1051" s="959"/>
      <c r="DC1051" s="891">
        <v>3892</v>
      </c>
      <c r="DD1051" s="891" t="s">
        <v>4572</v>
      </c>
      <c r="DE1051" s="891" t="s">
        <v>406</v>
      </c>
      <c r="DF1051" s="891">
        <v>6</v>
      </c>
      <c r="DG1051" s="959"/>
      <c r="DH1051" s="959"/>
      <c r="ER1051" s="905">
        <v>4096</v>
      </c>
      <c r="ES1051" s="906" t="s">
        <v>4676</v>
      </c>
      <c r="ET1051" s="2686">
        <v>9</v>
      </c>
      <c r="EV1051" s="985"/>
      <c r="EW1051" s="985"/>
      <c r="EX1051" s="387"/>
      <c r="EY1051" s="939"/>
      <c r="EZ1051" s="886"/>
    </row>
    <row r="1052" spans="88:156">
      <c r="CJ1052" s="197"/>
      <c r="CK1052" s="197"/>
      <c r="CL1052" s="197"/>
      <c r="CM1052" s="213"/>
      <c r="CN1052" s="213"/>
      <c r="CO1052" s="197"/>
      <c r="CP1052" s="197"/>
      <c r="CQ1052" s="197"/>
      <c r="CR1052" s="197"/>
      <c r="CS1052" s="197"/>
      <c r="CT1052" s="197"/>
      <c r="CU1052" s="197"/>
      <c r="CV1052" s="197"/>
      <c r="CW1052" s="197"/>
      <c r="CX1052" s="959"/>
      <c r="CY1052" s="959"/>
      <c r="CZ1052" s="959"/>
      <c r="DA1052" s="959"/>
      <c r="DB1052" s="959"/>
      <c r="DC1052" s="891">
        <v>3893</v>
      </c>
      <c r="DD1052" s="891" t="s">
        <v>4573</v>
      </c>
      <c r="DE1052" s="891" t="s">
        <v>421</v>
      </c>
      <c r="DF1052" s="891">
        <v>6</v>
      </c>
      <c r="DG1052" s="959"/>
      <c r="DH1052" s="959"/>
      <c r="ER1052" s="905">
        <v>4097</v>
      </c>
      <c r="ES1052" s="906" t="s">
        <v>4677</v>
      </c>
      <c r="ET1052" s="2686">
        <v>9</v>
      </c>
      <c r="EV1052" s="985"/>
      <c r="EW1052" s="985"/>
      <c r="EX1052" s="387"/>
      <c r="EY1052" s="939"/>
      <c r="EZ1052" s="886"/>
    </row>
    <row r="1053" spans="88:156">
      <c r="CJ1053" s="197"/>
      <c r="CK1053" s="197"/>
      <c r="CL1053" s="197"/>
      <c r="CM1053" s="213"/>
      <c r="CN1053" s="213"/>
      <c r="CO1053" s="197"/>
      <c r="CP1053" s="197"/>
      <c r="CQ1053" s="197"/>
      <c r="CR1053" s="197"/>
      <c r="CS1053" s="197"/>
      <c r="CT1053" s="197"/>
      <c r="CU1053" s="197"/>
      <c r="CV1053" s="197"/>
      <c r="CW1053" s="197"/>
      <c r="CX1053" s="959"/>
      <c r="CY1053" s="959"/>
      <c r="CZ1053" s="959"/>
      <c r="DA1053" s="959"/>
      <c r="DB1053" s="959"/>
      <c r="DC1053" s="891">
        <v>3894</v>
      </c>
      <c r="DD1053" s="891" t="s">
        <v>4574</v>
      </c>
      <c r="DE1053" s="891" t="s">
        <v>433</v>
      </c>
      <c r="DF1053" s="891">
        <v>6</v>
      </c>
      <c r="DG1053" s="959"/>
      <c r="DH1053" s="959"/>
      <c r="ER1053" s="905">
        <v>4100</v>
      </c>
      <c r="ES1053" s="906" t="s">
        <v>4678</v>
      </c>
      <c r="ET1053" s="2686">
        <v>9</v>
      </c>
      <c r="EV1053" s="985"/>
      <c r="EW1053" s="985"/>
      <c r="EX1053" s="387"/>
      <c r="EY1053" s="939"/>
      <c r="EZ1053" s="886"/>
    </row>
    <row r="1054" spans="88:156">
      <c r="CJ1054" s="197"/>
      <c r="CK1054" s="197"/>
      <c r="CL1054" s="197"/>
      <c r="CM1054" s="213"/>
      <c r="CN1054" s="213"/>
      <c r="CO1054" s="197"/>
      <c r="CP1054" s="197"/>
      <c r="CQ1054" s="197"/>
      <c r="CR1054" s="197"/>
      <c r="CS1054" s="197"/>
      <c r="CT1054" s="197"/>
      <c r="CU1054" s="197"/>
      <c r="CV1054" s="197"/>
      <c r="CW1054" s="197"/>
      <c r="CX1054" s="959"/>
      <c r="CY1054" s="959"/>
      <c r="CZ1054" s="959"/>
      <c r="DA1054" s="959"/>
      <c r="DB1054" s="959"/>
      <c r="DC1054" s="891">
        <v>3895</v>
      </c>
      <c r="DD1054" s="891" t="s">
        <v>4575</v>
      </c>
      <c r="DE1054" s="891" t="s">
        <v>406</v>
      </c>
      <c r="DF1054" s="891">
        <v>6</v>
      </c>
      <c r="DG1054" s="959"/>
      <c r="DH1054" s="959"/>
      <c r="ER1054" s="905">
        <v>4103</v>
      </c>
      <c r="ES1054" s="905" t="s">
        <v>3322</v>
      </c>
      <c r="ET1054" s="2686">
        <v>9</v>
      </c>
      <c r="EV1054" s="985"/>
      <c r="EW1054" s="985"/>
      <c r="EX1054" s="387"/>
      <c r="EY1054" s="939"/>
      <c r="EZ1054" s="886"/>
    </row>
    <row r="1055" spans="88:156">
      <c r="CJ1055" s="197"/>
      <c r="CK1055" s="197"/>
      <c r="CL1055" s="197"/>
      <c r="CM1055" s="213"/>
      <c r="CN1055" s="213"/>
      <c r="CO1055" s="197"/>
      <c r="CP1055" s="197"/>
      <c r="CQ1055" s="197"/>
      <c r="CR1055" s="197"/>
      <c r="CS1055" s="197"/>
      <c r="CT1055" s="197"/>
      <c r="CU1055" s="197"/>
      <c r="CV1055" s="197"/>
      <c r="CW1055" s="197"/>
      <c r="CX1055" s="959"/>
      <c r="CY1055" s="959"/>
      <c r="CZ1055" s="959"/>
      <c r="DA1055" s="959"/>
      <c r="DB1055" s="959"/>
      <c r="DC1055" s="891">
        <v>3896</v>
      </c>
      <c r="DD1055" s="891" t="s">
        <v>4576</v>
      </c>
      <c r="DE1055" s="891" t="s">
        <v>402</v>
      </c>
      <c r="DF1055" s="891">
        <v>6</v>
      </c>
      <c r="DG1055" s="959"/>
      <c r="DH1055" s="959"/>
      <c r="ER1055" s="905">
        <v>4110</v>
      </c>
      <c r="ES1055" s="906" t="s">
        <v>2663</v>
      </c>
      <c r="ET1055" s="2686">
        <v>9</v>
      </c>
      <c r="EV1055" s="985"/>
      <c r="EW1055" s="985"/>
      <c r="EX1055" s="387"/>
      <c r="EY1055" s="939"/>
      <c r="EZ1055" s="886"/>
    </row>
    <row r="1056" spans="88:156">
      <c r="CJ1056" s="197"/>
      <c r="CK1056" s="197"/>
      <c r="CL1056" s="197"/>
      <c r="CM1056" s="213"/>
      <c r="CN1056" s="213"/>
      <c r="CO1056" s="197"/>
      <c r="CP1056" s="197"/>
      <c r="CQ1056" s="197"/>
      <c r="CR1056" s="197"/>
      <c r="CS1056" s="197"/>
      <c r="CT1056" s="197"/>
      <c r="CU1056" s="197"/>
      <c r="CV1056" s="197"/>
      <c r="CW1056" s="197"/>
      <c r="CX1056" s="959"/>
      <c r="CY1056" s="959"/>
      <c r="CZ1056" s="959"/>
      <c r="DA1056" s="959"/>
      <c r="DB1056" s="959"/>
      <c r="DC1056" s="891">
        <v>3897</v>
      </c>
      <c r="DD1056" s="891" t="s">
        <v>4577</v>
      </c>
      <c r="DE1056" s="891" t="s">
        <v>412</v>
      </c>
      <c r="DF1056" s="891">
        <v>6</v>
      </c>
      <c r="DG1056" s="959"/>
      <c r="DH1056" s="959"/>
      <c r="ER1056" s="905">
        <v>4114</v>
      </c>
      <c r="ES1056" s="906" t="s">
        <v>2664</v>
      </c>
      <c r="ET1056" s="2686">
        <v>9</v>
      </c>
      <c r="EV1056" s="985"/>
      <c r="EW1056" s="985"/>
      <c r="EX1056" s="387"/>
      <c r="EY1056" s="939"/>
      <c r="EZ1056" s="886"/>
    </row>
    <row r="1057" spans="88:156">
      <c r="CJ1057" s="197"/>
      <c r="CK1057" s="197"/>
      <c r="CL1057" s="197"/>
      <c r="CM1057" s="213"/>
      <c r="CN1057" s="213"/>
      <c r="CO1057" s="197"/>
      <c r="CP1057" s="197"/>
      <c r="CQ1057" s="197"/>
      <c r="CR1057" s="197"/>
      <c r="CS1057" s="197"/>
      <c r="CT1057" s="197"/>
      <c r="CU1057" s="197"/>
      <c r="CV1057" s="197"/>
      <c r="CW1057" s="197"/>
      <c r="CX1057" s="959"/>
      <c r="CY1057" s="959"/>
      <c r="CZ1057" s="959"/>
      <c r="DA1057" s="959"/>
      <c r="DB1057" s="959"/>
      <c r="DC1057" s="891">
        <v>3898</v>
      </c>
      <c r="DD1057" s="891" t="s">
        <v>4578</v>
      </c>
      <c r="DE1057" s="891" t="s">
        <v>412</v>
      </c>
      <c r="DF1057" s="891">
        <v>6</v>
      </c>
      <c r="DG1057" s="959"/>
      <c r="DH1057" s="959"/>
      <c r="ER1057" s="905">
        <v>4115</v>
      </c>
      <c r="ES1057" s="906" t="s">
        <v>3323</v>
      </c>
      <c r="ET1057" s="2686">
        <v>9</v>
      </c>
      <c r="EV1057" s="985"/>
      <c r="EW1057" s="985"/>
      <c r="EX1057" s="387"/>
      <c r="EY1057" s="939"/>
      <c r="EZ1057" s="886"/>
    </row>
    <row r="1058" spans="88:156">
      <c r="CJ1058" s="197"/>
      <c r="CK1058" s="197"/>
      <c r="CL1058" s="197"/>
      <c r="CM1058" s="213"/>
      <c r="CN1058" s="213"/>
      <c r="CO1058" s="197"/>
      <c r="CP1058" s="197"/>
      <c r="CQ1058" s="197"/>
      <c r="CR1058" s="197"/>
      <c r="CS1058" s="197"/>
      <c r="CT1058" s="197"/>
      <c r="CU1058" s="197"/>
      <c r="CV1058" s="197"/>
      <c r="CW1058" s="197"/>
      <c r="CX1058" s="959"/>
      <c r="CY1058" s="959"/>
      <c r="CZ1058" s="959"/>
      <c r="DA1058" s="959"/>
      <c r="DB1058" s="959"/>
      <c r="DC1058" s="891">
        <v>3899</v>
      </c>
      <c r="DD1058" s="891" t="s">
        <v>4579</v>
      </c>
      <c r="DE1058" s="891" t="s">
        <v>412</v>
      </c>
      <c r="DF1058" s="891">
        <v>6</v>
      </c>
      <c r="DG1058" s="959"/>
      <c r="DH1058" s="959"/>
      <c r="ER1058" s="905">
        <v>4116</v>
      </c>
      <c r="ES1058" s="906" t="s">
        <v>2666</v>
      </c>
      <c r="ET1058" s="2686">
        <v>9</v>
      </c>
      <c r="EV1058" s="985"/>
      <c r="EW1058" s="985"/>
      <c r="EX1058" s="387"/>
      <c r="EY1058" s="939"/>
      <c r="EZ1058" s="886"/>
    </row>
    <row r="1059" spans="88:156">
      <c r="CJ1059" s="197"/>
      <c r="CK1059" s="197"/>
      <c r="CL1059" s="197"/>
      <c r="CM1059" s="213"/>
      <c r="CN1059" s="213"/>
      <c r="CO1059" s="197"/>
      <c r="CP1059" s="197"/>
      <c r="CQ1059" s="197"/>
      <c r="CR1059" s="197"/>
      <c r="CS1059" s="197"/>
      <c r="CT1059" s="197"/>
      <c r="CU1059" s="197"/>
      <c r="CV1059" s="197"/>
      <c r="CW1059" s="197"/>
      <c r="CX1059" s="959"/>
      <c r="CY1059" s="959"/>
      <c r="CZ1059" s="959"/>
      <c r="DA1059" s="959"/>
      <c r="DB1059" s="959"/>
      <c r="DC1059" s="891">
        <v>3900</v>
      </c>
      <c r="DD1059" s="891" t="s">
        <v>4580</v>
      </c>
      <c r="DE1059" s="891" t="s">
        <v>412</v>
      </c>
      <c r="DF1059" s="891">
        <v>5</v>
      </c>
      <c r="DG1059" s="959"/>
      <c r="DH1059" s="959"/>
      <c r="ER1059" s="905">
        <v>4117</v>
      </c>
      <c r="ES1059" s="906" t="s">
        <v>3324</v>
      </c>
      <c r="ET1059" s="2686">
        <v>9</v>
      </c>
      <c r="EV1059" s="985"/>
      <c r="EW1059" s="985"/>
      <c r="EX1059" s="387"/>
      <c r="EY1059" s="939"/>
      <c r="EZ1059" s="886"/>
    </row>
    <row r="1060" spans="88:156">
      <c r="CJ1060" s="197"/>
      <c r="CK1060" s="197"/>
      <c r="CL1060" s="197"/>
      <c r="CM1060" s="213"/>
      <c r="CN1060" s="213"/>
      <c r="CO1060" s="197"/>
      <c r="CP1060" s="197"/>
      <c r="CQ1060" s="197"/>
      <c r="CR1060" s="197"/>
      <c r="CS1060" s="197"/>
      <c r="CT1060" s="197"/>
      <c r="CU1060" s="197"/>
      <c r="CV1060" s="197"/>
      <c r="CW1060" s="197"/>
      <c r="CX1060" s="959"/>
      <c r="CY1060" s="959"/>
      <c r="CZ1060" s="959"/>
      <c r="DA1060" s="959"/>
      <c r="DB1060" s="959"/>
      <c r="DC1060" s="891">
        <v>3903</v>
      </c>
      <c r="DD1060" s="891" t="s">
        <v>4581</v>
      </c>
      <c r="DE1060" s="891" t="s">
        <v>428</v>
      </c>
      <c r="DF1060" s="891">
        <v>5</v>
      </c>
      <c r="DG1060" s="959"/>
      <c r="DH1060" s="959"/>
      <c r="ER1060" s="905">
        <v>4118</v>
      </c>
      <c r="ES1060" s="906" t="s">
        <v>2668</v>
      </c>
      <c r="ET1060" s="2686">
        <v>9</v>
      </c>
      <c r="EV1060" s="985"/>
      <c r="EW1060" s="985"/>
      <c r="EX1060" s="387"/>
      <c r="EY1060" s="939"/>
      <c r="EZ1060" s="886"/>
    </row>
    <row r="1061" spans="88:156">
      <c r="CJ1061" s="197"/>
      <c r="CK1061" s="197"/>
      <c r="CL1061" s="197"/>
      <c r="CM1061" s="213"/>
      <c r="CN1061" s="213"/>
      <c r="CO1061" s="197"/>
      <c r="CP1061" s="197"/>
      <c r="CQ1061" s="197"/>
      <c r="CR1061" s="197"/>
      <c r="CS1061" s="197"/>
      <c r="CT1061" s="197"/>
      <c r="CU1061" s="197"/>
      <c r="CV1061" s="197"/>
      <c r="CW1061" s="197"/>
      <c r="CX1061" s="959"/>
      <c r="CY1061" s="959"/>
      <c r="CZ1061" s="959"/>
      <c r="DA1061" s="959"/>
      <c r="DB1061" s="959"/>
      <c r="DC1061" s="891">
        <v>3904</v>
      </c>
      <c r="DD1061" s="891" t="s">
        <v>4582</v>
      </c>
      <c r="DE1061" s="891" t="s">
        <v>2808</v>
      </c>
      <c r="DF1061" s="891">
        <v>5</v>
      </c>
      <c r="DG1061" s="959"/>
      <c r="DH1061" s="959"/>
      <c r="ER1061" s="905">
        <v>4119</v>
      </c>
      <c r="ES1061" s="906" t="s">
        <v>2669</v>
      </c>
      <c r="ET1061" s="2686">
        <v>9</v>
      </c>
      <c r="EV1061" s="985"/>
      <c r="EW1061" s="985"/>
      <c r="EX1061" s="387"/>
      <c r="EY1061" s="939"/>
      <c r="EZ1061" s="886"/>
    </row>
    <row r="1062" spans="88:156">
      <c r="CJ1062" s="197"/>
      <c r="CK1062" s="197"/>
      <c r="CL1062" s="197"/>
      <c r="CM1062" s="213"/>
      <c r="CN1062" s="213"/>
      <c r="CO1062" s="197"/>
      <c r="CP1062" s="197"/>
      <c r="CQ1062" s="197"/>
      <c r="CR1062" s="197"/>
      <c r="CS1062" s="197"/>
      <c r="CT1062" s="197"/>
      <c r="CU1062" s="197"/>
      <c r="CV1062" s="197"/>
      <c r="CW1062" s="197"/>
      <c r="CX1062" s="959"/>
      <c r="CY1062" s="959"/>
      <c r="CZ1062" s="959"/>
      <c r="DA1062" s="959"/>
      <c r="DB1062" s="959"/>
      <c r="DC1062" s="891">
        <v>3905</v>
      </c>
      <c r="DD1062" s="891" t="s">
        <v>4583</v>
      </c>
      <c r="DE1062" s="891" t="s">
        <v>406</v>
      </c>
      <c r="DF1062" s="891">
        <v>5</v>
      </c>
      <c r="DG1062" s="959"/>
      <c r="DH1062" s="959"/>
      <c r="ER1062" s="905">
        <v>4121</v>
      </c>
      <c r="ES1062" s="906" t="s">
        <v>2670</v>
      </c>
      <c r="ET1062" s="2686">
        <v>9</v>
      </c>
      <c r="EV1062" s="985"/>
      <c r="EW1062" s="985"/>
      <c r="EX1062" s="387"/>
      <c r="EY1062" s="939"/>
      <c r="EZ1062" s="886"/>
    </row>
    <row r="1063" spans="88:156">
      <c r="CJ1063" s="197"/>
      <c r="CK1063" s="197"/>
      <c r="CL1063" s="197"/>
      <c r="CM1063" s="213"/>
      <c r="CN1063" s="213"/>
      <c r="CO1063" s="197"/>
      <c r="CP1063" s="197"/>
      <c r="CQ1063" s="197"/>
      <c r="CR1063" s="197"/>
      <c r="CS1063" s="197"/>
      <c r="CT1063" s="197"/>
      <c r="CU1063" s="197"/>
      <c r="CV1063" s="197"/>
      <c r="CW1063" s="197"/>
      <c r="CX1063" s="959"/>
      <c r="CY1063" s="959"/>
      <c r="CZ1063" s="959"/>
      <c r="DA1063" s="959"/>
      <c r="DB1063" s="959"/>
      <c r="DC1063" s="891">
        <v>3906</v>
      </c>
      <c r="DD1063" s="891" t="s">
        <v>4584</v>
      </c>
      <c r="DE1063" s="891" t="s">
        <v>417</v>
      </c>
      <c r="DF1063" s="891">
        <v>4</v>
      </c>
      <c r="DG1063" s="959"/>
      <c r="DH1063" s="959"/>
      <c r="ER1063" s="905">
        <v>4122</v>
      </c>
      <c r="ES1063" s="906" t="s">
        <v>2671</v>
      </c>
      <c r="ET1063" s="2686">
        <v>9</v>
      </c>
      <c r="EV1063" s="985"/>
      <c r="EW1063" s="985"/>
      <c r="EX1063" s="387"/>
      <c r="EY1063" s="939"/>
      <c r="EZ1063" s="886"/>
    </row>
    <row r="1064" spans="88:156">
      <c r="CJ1064" s="197"/>
      <c r="CK1064" s="197"/>
      <c r="CL1064" s="197"/>
      <c r="CM1064" s="213"/>
      <c r="CN1064" s="213"/>
      <c r="CO1064" s="197"/>
      <c r="CP1064" s="197"/>
      <c r="CQ1064" s="197"/>
      <c r="CR1064" s="197"/>
      <c r="CS1064" s="197"/>
      <c r="CT1064" s="197"/>
      <c r="CU1064" s="197"/>
      <c r="CV1064" s="197"/>
      <c r="CW1064" s="197"/>
      <c r="CX1064" s="959"/>
      <c r="CY1064" s="959"/>
      <c r="CZ1064" s="959"/>
      <c r="DA1064" s="959"/>
      <c r="DB1064" s="959"/>
      <c r="DC1064" s="891">
        <v>3907</v>
      </c>
      <c r="DD1064" s="891" t="s">
        <v>4585</v>
      </c>
      <c r="DE1064" s="891" t="s">
        <v>402</v>
      </c>
      <c r="DF1064" s="891">
        <v>6</v>
      </c>
      <c r="DG1064" s="959"/>
      <c r="DH1064" s="959"/>
      <c r="ER1064" s="905">
        <v>4123</v>
      </c>
      <c r="ES1064" s="906" t="s">
        <v>2672</v>
      </c>
      <c r="ET1064" s="2686">
        <v>9</v>
      </c>
      <c r="EV1064" s="985"/>
      <c r="EW1064" s="985"/>
      <c r="EX1064" s="387"/>
      <c r="EY1064" s="939"/>
      <c r="EZ1064" s="886"/>
    </row>
    <row r="1065" spans="88:156">
      <c r="CJ1065" s="197"/>
      <c r="CK1065" s="197"/>
      <c r="CL1065" s="197"/>
      <c r="CM1065" s="213"/>
      <c r="CN1065" s="213"/>
      <c r="CO1065" s="197"/>
      <c r="CP1065" s="197"/>
      <c r="CQ1065" s="197"/>
      <c r="CR1065" s="197"/>
      <c r="CS1065" s="197"/>
      <c r="CT1065" s="197"/>
      <c r="CU1065" s="197"/>
      <c r="CV1065" s="197"/>
      <c r="CW1065" s="197"/>
      <c r="CX1065" s="959"/>
      <c r="CY1065" s="959"/>
      <c r="CZ1065" s="959"/>
      <c r="DA1065" s="959"/>
      <c r="DB1065" s="959"/>
      <c r="DC1065" s="891">
        <v>3908</v>
      </c>
      <c r="DD1065" s="891" t="s">
        <v>4586</v>
      </c>
      <c r="DE1065" s="891" t="s">
        <v>402</v>
      </c>
      <c r="DF1065" s="891">
        <v>5</v>
      </c>
      <c r="DG1065" s="959"/>
      <c r="DH1065" s="959"/>
      <c r="ER1065" s="905">
        <v>4124</v>
      </c>
      <c r="ES1065" s="906" t="s">
        <v>2673</v>
      </c>
      <c r="ET1065" s="2686">
        <v>9</v>
      </c>
      <c r="EV1065" s="985"/>
      <c r="EW1065" s="985"/>
      <c r="EX1065" s="387"/>
      <c r="EY1065" s="939"/>
      <c r="EZ1065" s="886"/>
    </row>
    <row r="1066" spans="88:156">
      <c r="CJ1066" s="197"/>
      <c r="CK1066" s="197"/>
      <c r="CL1066" s="197"/>
      <c r="CM1066" s="213"/>
      <c r="CN1066" s="213"/>
      <c r="CO1066" s="197"/>
      <c r="CP1066" s="197"/>
      <c r="CQ1066" s="197"/>
      <c r="CR1066" s="197"/>
      <c r="CS1066" s="197"/>
      <c r="CT1066" s="197"/>
      <c r="CU1066" s="197"/>
      <c r="CV1066" s="197"/>
      <c r="CW1066" s="197"/>
      <c r="CX1066" s="959"/>
      <c r="CY1066" s="959"/>
      <c r="CZ1066" s="959"/>
      <c r="DA1066" s="959"/>
      <c r="DB1066" s="959"/>
      <c r="DC1066" s="891">
        <v>3909</v>
      </c>
      <c r="DD1066" s="891" t="s">
        <v>4587</v>
      </c>
      <c r="DE1066" s="891" t="s">
        <v>431</v>
      </c>
      <c r="DF1066" s="891">
        <v>5</v>
      </c>
      <c r="DG1066" s="959"/>
      <c r="DH1066" s="959"/>
      <c r="ER1066" s="905">
        <v>4125</v>
      </c>
      <c r="ES1066" s="906" t="s">
        <v>2674</v>
      </c>
      <c r="ET1066" s="2686">
        <v>9</v>
      </c>
      <c r="EV1066" s="985"/>
      <c r="EW1066" s="985"/>
      <c r="EX1066" s="387"/>
      <c r="EY1066" s="939"/>
      <c r="EZ1066" s="886"/>
    </row>
    <row r="1067" spans="88:156">
      <c r="CJ1067" s="197"/>
      <c r="CK1067" s="197"/>
      <c r="CL1067" s="197"/>
      <c r="CM1067" s="213"/>
      <c r="CN1067" s="213"/>
      <c r="CO1067" s="197"/>
      <c r="CP1067" s="197"/>
      <c r="CQ1067" s="197"/>
      <c r="CR1067" s="197"/>
      <c r="CS1067" s="197"/>
      <c r="CT1067" s="197"/>
      <c r="CU1067" s="197"/>
      <c r="CV1067" s="197"/>
      <c r="CW1067" s="197"/>
      <c r="CX1067" s="959"/>
      <c r="CY1067" s="959"/>
      <c r="CZ1067" s="959"/>
      <c r="DA1067" s="959"/>
      <c r="DB1067" s="959"/>
      <c r="DC1067" s="891">
        <v>3910</v>
      </c>
      <c r="DD1067" s="891" t="s">
        <v>4588</v>
      </c>
      <c r="DE1067" s="891" t="s">
        <v>428</v>
      </c>
      <c r="DF1067" s="891">
        <v>5</v>
      </c>
      <c r="DG1067" s="959"/>
      <c r="DH1067" s="959"/>
      <c r="ER1067" s="905">
        <v>4126</v>
      </c>
      <c r="ES1067" s="906" t="s">
        <v>2675</v>
      </c>
      <c r="ET1067" s="2686">
        <v>9</v>
      </c>
      <c r="EV1067" s="985"/>
      <c r="EW1067" s="985"/>
      <c r="EX1067" s="387"/>
      <c r="EY1067" s="939"/>
      <c r="EZ1067" s="886"/>
    </row>
    <row r="1068" spans="88:156">
      <c r="CJ1068" s="197"/>
      <c r="CK1068" s="197"/>
      <c r="CL1068" s="197"/>
      <c r="CM1068" s="213"/>
      <c r="CN1068" s="213"/>
      <c r="CO1068" s="197"/>
      <c r="CP1068" s="197"/>
      <c r="CQ1068" s="197"/>
      <c r="CR1068" s="197"/>
      <c r="CS1068" s="197"/>
      <c r="CT1068" s="197"/>
      <c r="CU1068" s="197"/>
      <c r="CV1068" s="197"/>
      <c r="CW1068" s="197"/>
      <c r="CX1068" s="959"/>
      <c r="CY1068" s="959"/>
      <c r="CZ1068" s="959"/>
      <c r="DA1068" s="959"/>
      <c r="DB1068" s="959"/>
      <c r="DC1068" s="891">
        <v>3915</v>
      </c>
      <c r="DD1068" s="891" t="s">
        <v>4589</v>
      </c>
      <c r="DE1068" s="891" t="s">
        <v>419</v>
      </c>
      <c r="DF1068" s="891">
        <v>5</v>
      </c>
      <c r="DG1068" s="959"/>
      <c r="DH1068" s="959"/>
      <c r="ER1068" s="905">
        <v>4127</v>
      </c>
      <c r="ES1068" s="906" t="s">
        <v>2676</v>
      </c>
      <c r="ET1068" s="2686">
        <v>9</v>
      </c>
      <c r="EV1068" s="985"/>
      <c r="EW1068" s="985"/>
      <c r="EX1068" s="387"/>
      <c r="EY1068" s="939"/>
      <c r="EZ1068" s="886"/>
    </row>
    <row r="1069" spans="88:156">
      <c r="CJ1069" s="197"/>
      <c r="CK1069" s="197"/>
      <c r="CL1069" s="197"/>
      <c r="CM1069" s="213"/>
      <c r="CN1069" s="213"/>
      <c r="CO1069" s="197"/>
      <c r="CP1069" s="197"/>
      <c r="CQ1069" s="197"/>
      <c r="CR1069" s="197"/>
      <c r="CS1069" s="197"/>
      <c r="CT1069" s="197"/>
      <c r="CU1069" s="197"/>
      <c r="CV1069" s="197"/>
      <c r="CW1069" s="197"/>
      <c r="CX1069" s="959"/>
      <c r="CY1069" s="959"/>
      <c r="CZ1069" s="959"/>
      <c r="DA1069" s="959"/>
      <c r="DB1069" s="959"/>
      <c r="DC1069" s="891">
        <v>3916</v>
      </c>
      <c r="DD1069" s="891" t="s">
        <v>4590</v>
      </c>
      <c r="DE1069" s="891" t="s">
        <v>420</v>
      </c>
      <c r="DF1069" s="891">
        <v>5</v>
      </c>
      <c r="DG1069" s="959"/>
      <c r="DH1069" s="959"/>
      <c r="ER1069" s="905">
        <v>4128</v>
      </c>
      <c r="ES1069" s="906" t="s">
        <v>2677</v>
      </c>
      <c r="ET1069" s="2686">
        <v>9</v>
      </c>
      <c r="EV1069" s="985"/>
      <c r="EW1069" s="985"/>
      <c r="EX1069" s="387"/>
      <c r="EY1069" s="939"/>
      <c r="EZ1069" s="886"/>
    </row>
    <row r="1070" spans="88:156">
      <c r="CJ1070" s="197"/>
      <c r="CK1070" s="197"/>
      <c r="CL1070" s="197"/>
      <c r="CM1070" s="213"/>
      <c r="CN1070" s="213"/>
      <c r="CO1070" s="197"/>
      <c r="CP1070" s="197"/>
      <c r="CQ1070" s="197"/>
      <c r="CR1070" s="197"/>
      <c r="CS1070" s="197"/>
      <c r="CT1070" s="197"/>
      <c r="CU1070" s="197"/>
      <c r="CV1070" s="197"/>
      <c r="CW1070" s="197"/>
      <c r="CX1070" s="959"/>
      <c r="CY1070" s="959"/>
      <c r="CZ1070" s="959"/>
      <c r="DA1070" s="959"/>
      <c r="DB1070" s="959"/>
      <c r="DC1070" s="891">
        <v>3917</v>
      </c>
      <c r="DD1070" s="891" t="s">
        <v>4591</v>
      </c>
      <c r="DE1070" s="891" t="s">
        <v>402</v>
      </c>
      <c r="DF1070" s="891">
        <v>6</v>
      </c>
      <c r="DG1070" s="959"/>
      <c r="DH1070" s="959"/>
      <c r="ER1070" s="905">
        <v>4130</v>
      </c>
      <c r="ES1070" s="906" t="s">
        <v>2678</v>
      </c>
      <c r="ET1070" s="2686">
        <v>9</v>
      </c>
      <c r="EV1070" s="985"/>
      <c r="EW1070" s="985"/>
      <c r="EX1070" s="387"/>
      <c r="EY1070" s="939"/>
      <c r="EZ1070" s="886"/>
    </row>
    <row r="1071" spans="88:156">
      <c r="CJ1071" s="197"/>
      <c r="CK1071" s="197"/>
      <c r="CL1071" s="197"/>
      <c r="CM1071" s="213"/>
      <c r="CN1071" s="213"/>
      <c r="CO1071" s="197"/>
      <c r="CP1071" s="197"/>
      <c r="CQ1071" s="197"/>
      <c r="CR1071" s="197"/>
      <c r="CS1071" s="197"/>
      <c r="CT1071" s="197"/>
      <c r="CU1071" s="197"/>
      <c r="CV1071" s="197"/>
      <c r="CW1071" s="197"/>
      <c r="CX1071" s="959"/>
      <c r="CY1071" s="959"/>
      <c r="CZ1071" s="959"/>
      <c r="DA1071" s="959"/>
      <c r="DB1071" s="959"/>
      <c r="DC1071" s="891">
        <v>3918</v>
      </c>
      <c r="DD1071" s="891" t="s">
        <v>4592</v>
      </c>
      <c r="DE1071" s="891" t="s">
        <v>402</v>
      </c>
      <c r="DF1071" s="891">
        <v>6</v>
      </c>
      <c r="DG1071" s="959"/>
      <c r="DH1071" s="959"/>
      <c r="ER1071" s="905">
        <v>4132</v>
      </c>
      <c r="ES1071" s="906" t="s">
        <v>2679</v>
      </c>
      <c r="ET1071" s="2686">
        <v>9</v>
      </c>
      <c r="EV1071" s="985"/>
      <c r="EW1071" s="985"/>
      <c r="EX1071" s="387"/>
      <c r="EY1071" s="939"/>
      <c r="EZ1071" s="886"/>
    </row>
    <row r="1072" spans="88:156">
      <c r="CJ1072" s="197"/>
      <c r="CK1072" s="197"/>
      <c r="CL1072" s="197"/>
      <c r="CM1072" s="213"/>
      <c r="CN1072" s="213"/>
      <c r="CO1072" s="197"/>
      <c r="CP1072" s="197"/>
      <c r="CQ1072" s="197"/>
      <c r="CR1072" s="197"/>
      <c r="CS1072" s="197"/>
      <c r="CT1072" s="197"/>
      <c r="CU1072" s="197"/>
      <c r="CV1072" s="197"/>
      <c r="CW1072" s="197"/>
      <c r="CX1072" s="959"/>
      <c r="CY1072" s="959"/>
      <c r="CZ1072" s="959"/>
      <c r="DA1072" s="959"/>
      <c r="DB1072" s="959"/>
      <c r="DC1072" s="891">
        <v>3921</v>
      </c>
      <c r="DD1072" s="891" t="s">
        <v>4593</v>
      </c>
      <c r="DE1072" s="891" t="s">
        <v>2807</v>
      </c>
      <c r="DF1072" s="891">
        <v>6</v>
      </c>
      <c r="DG1072" s="959"/>
      <c r="DH1072" s="959"/>
      <c r="ER1072" s="905">
        <v>4133</v>
      </c>
      <c r="ES1072" s="906" t="s">
        <v>2680</v>
      </c>
      <c r="ET1072" s="2686">
        <v>9</v>
      </c>
      <c r="EV1072" s="985"/>
      <c r="EW1072" s="985"/>
      <c r="EX1072" s="387"/>
      <c r="EY1072" s="939"/>
      <c r="EZ1072" s="886"/>
    </row>
    <row r="1073" spans="88:156">
      <c r="CJ1073" s="197"/>
      <c r="CK1073" s="197"/>
      <c r="CL1073" s="197"/>
      <c r="CM1073" s="213"/>
      <c r="CN1073" s="213"/>
      <c r="CO1073" s="197"/>
      <c r="CP1073" s="197"/>
      <c r="CQ1073" s="197"/>
      <c r="CR1073" s="197"/>
      <c r="CS1073" s="197"/>
      <c r="CT1073" s="197"/>
      <c r="CU1073" s="197"/>
      <c r="CV1073" s="197"/>
      <c r="CW1073" s="197"/>
      <c r="CX1073" s="959"/>
      <c r="CY1073" s="959"/>
      <c r="CZ1073" s="959"/>
      <c r="DA1073" s="959"/>
      <c r="DB1073" s="959"/>
      <c r="DC1073" s="891">
        <v>3922</v>
      </c>
      <c r="DD1073" s="891" t="s">
        <v>4594</v>
      </c>
      <c r="DE1073" s="891" t="s">
        <v>2807</v>
      </c>
      <c r="DF1073" s="891">
        <v>6</v>
      </c>
      <c r="DG1073" s="959"/>
      <c r="DH1073" s="959"/>
      <c r="ER1073" s="905">
        <v>4134</v>
      </c>
      <c r="ES1073" s="906" t="s">
        <v>2681</v>
      </c>
      <c r="ET1073" s="2686">
        <v>9</v>
      </c>
      <c r="EV1073" s="985"/>
      <c r="EW1073" s="985"/>
      <c r="EX1073" s="387"/>
      <c r="EY1073" s="939"/>
      <c r="EZ1073" s="886"/>
    </row>
    <row r="1074" spans="88:156">
      <c r="CJ1074" s="197"/>
      <c r="CK1074" s="197"/>
      <c r="CL1074" s="197"/>
      <c r="CM1074" s="213"/>
      <c r="CN1074" s="213"/>
      <c r="CO1074" s="197"/>
      <c r="CP1074" s="197"/>
      <c r="CQ1074" s="197"/>
      <c r="CR1074" s="197"/>
      <c r="CS1074" s="197"/>
      <c r="CT1074" s="197"/>
      <c r="CU1074" s="197"/>
      <c r="CV1074" s="197"/>
      <c r="CW1074" s="197"/>
      <c r="CX1074" s="959"/>
      <c r="CY1074" s="959"/>
      <c r="CZ1074" s="959"/>
      <c r="DA1074" s="959"/>
      <c r="DB1074" s="959"/>
      <c r="DC1074" s="891">
        <v>3923</v>
      </c>
      <c r="DD1074" s="891" t="s">
        <v>4595</v>
      </c>
      <c r="DE1074" s="891" t="s">
        <v>2807</v>
      </c>
      <c r="DF1074" s="891">
        <v>5</v>
      </c>
      <c r="DG1074" s="959"/>
      <c r="DH1074" s="959"/>
      <c r="ER1074" s="905">
        <v>4135</v>
      </c>
      <c r="ES1074" s="906" t="s">
        <v>3433</v>
      </c>
      <c r="ET1074" s="2686">
        <v>9</v>
      </c>
      <c r="EV1074" s="985"/>
      <c r="EW1074" s="985"/>
      <c r="EX1074" s="387"/>
      <c r="EY1074" s="939"/>
      <c r="EZ1074" s="886"/>
    </row>
    <row r="1075" spans="88:156">
      <c r="CJ1075" s="197"/>
      <c r="CK1075" s="197"/>
      <c r="CL1075" s="197"/>
      <c r="CM1075" s="213"/>
      <c r="CN1075" s="213"/>
      <c r="CO1075" s="197"/>
      <c r="CP1075" s="197"/>
      <c r="CQ1075" s="197"/>
      <c r="CR1075" s="197"/>
      <c r="CS1075" s="197"/>
      <c r="CT1075" s="197"/>
      <c r="CU1075" s="197"/>
      <c r="CV1075" s="197"/>
      <c r="CW1075" s="197"/>
      <c r="CX1075" s="959"/>
      <c r="CY1075" s="959"/>
      <c r="CZ1075" s="959"/>
      <c r="DA1075" s="959"/>
      <c r="DB1075" s="959"/>
      <c r="DC1075" s="891">
        <v>3924</v>
      </c>
      <c r="DD1075" s="891" t="s">
        <v>4596</v>
      </c>
      <c r="DE1075" s="891" t="s">
        <v>2807</v>
      </c>
      <c r="DF1075" s="891">
        <v>6</v>
      </c>
      <c r="DG1075" s="959"/>
      <c r="DH1075" s="959"/>
      <c r="ER1075" s="905">
        <v>4136</v>
      </c>
      <c r="ES1075" s="906" t="s">
        <v>3434</v>
      </c>
      <c r="ET1075" s="2686">
        <v>9</v>
      </c>
      <c r="EV1075" s="985"/>
      <c r="EW1075" s="985"/>
      <c r="EX1075" s="387"/>
      <c r="EY1075" s="939"/>
      <c r="EZ1075" s="886"/>
    </row>
    <row r="1076" spans="88:156">
      <c r="CJ1076" s="197"/>
      <c r="CK1076" s="197"/>
      <c r="CL1076" s="197"/>
      <c r="CM1076" s="213"/>
      <c r="CN1076" s="213"/>
      <c r="CO1076" s="197"/>
      <c r="CP1076" s="197"/>
      <c r="CQ1076" s="197"/>
      <c r="CR1076" s="197"/>
      <c r="CS1076" s="197"/>
      <c r="CT1076" s="197"/>
      <c r="CU1076" s="197"/>
      <c r="CV1076" s="197"/>
      <c r="CW1076" s="197"/>
      <c r="CX1076" s="959"/>
      <c r="CY1076" s="959"/>
      <c r="CZ1076" s="959"/>
      <c r="DA1076" s="959"/>
      <c r="DB1076" s="959"/>
      <c r="DC1076" s="891">
        <v>3925</v>
      </c>
      <c r="DD1076" s="891" t="s">
        <v>4597</v>
      </c>
      <c r="DE1076" s="891" t="s">
        <v>2807</v>
      </c>
      <c r="DF1076" s="891">
        <v>5</v>
      </c>
      <c r="DG1076" s="959"/>
      <c r="DH1076" s="959"/>
      <c r="ER1076" s="905">
        <v>4137</v>
      </c>
      <c r="ES1076" s="906" t="s">
        <v>3435</v>
      </c>
      <c r="ET1076" s="2686">
        <v>9</v>
      </c>
      <c r="EV1076" s="985"/>
      <c r="EW1076" s="985"/>
      <c r="EX1076" s="387"/>
      <c r="EY1076" s="939"/>
      <c r="EZ1076" s="886"/>
    </row>
    <row r="1077" spans="88:156">
      <c r="CJ1077" s="197"/>
      <c r="CK1077" s="197"/>
      <c r="CL1077" s="197"/>
      <c r="CM1077" s="213"/>
      <c r="CN1077" s="213"/>
      <c r="CO1077" s="197"/>
      <c r="CP1077" s="197"/>
      <c r="CQ1077" s="197"/>
      <c r="CR1077" s="197"/>
      <c r="CS1077" s="197"/>
      <c r="CT1077" s="197"/>
      <c r="CU1077" s="197"/>
      <c r="CV1077" s="197"/>
      <c r="CW1077" s="197"/>
      <c r="CX1077" s="959"/>
      <c r="CY1077" s="959"/>
      <c r="CZ1077" s="959"/>
      <c r="DA1077" s="959"/>
      <c r="DB1077" s="959"/>
      <c r="DC1077" s="891">
        <v>3926</v>
      </c>
      <c r="DD1077" s="891" t="s">
        <v>4598</v>
      </c>
      <c r="DE1077" s="891" t="s">
        <v>2807</v>
      </c>
      <c r="DF1077" s="891">
        <v>5</v>
      </c>
      <c r="DG1077" s="959"/>
      <c r="DH1077" s="959"/>
      <c r="ER1077" s="905">
        <v>4138</v>
      </c>
      <c r="ES1077" s="906" t="s">
        <v>3436</v>
      </c>
      <c r="ET1077" s="2686">
        <v>9</v>
      </c>
      <c r="EV1077" s="985"/>
      <c r="EW1077" s="985"/>
      <c r="EX1077" s="387"/>
      <c r="EY1077" s="939"/>
      <c r="EZ1077" s="886"/>
    </row>
    <row r="1078" spans="88:156">
      <c r="CJ1078" s="197"/>
      <c r="CK1078" s="197"/>
      <c r="CL1078" s="197"/>
      <c r="CM1078" s="213"/>
      <c r="CN1078" s="213"/>
      <c r="CO1078" s="197"/>
      <c r="CP1078" s="197"/>
      <c r="CQ1078" s="197"/>
      <c r="CR1078" s="197"/>
      <c r="CS1078" s="197"/>
      <c r="CT1078" s="197"/>
      <c r="CU1078" s="197"/>
      <c r="CV1078" s="197"/>
      <c r="CW1078" s="197"/>
      <c r="CX1078" s="959"/>
      <c r="CY1078" s="959"/>
      <c r="CZ1078" s="959"/>
      <c r="DA1078" s="959"/>
      <c r="DB1078" s="959"/>
      <c r="DC1078" s="891">
        <v>3927</v>
      </c>
      <c r="DD1078" s="891" t="s">
        <v>4599</v>
      </c>
      <c r="DE1078" s="891" t="s">
        <v>412</v>
      </c>
      <c r="DF1078" s="891">
        <v>6</v>
      </c>
      <c r="DG1078" s="959"/>
      <c r="DH1078" s="959"/>
      <c r="ER1078" s="905">
        <v>4141</v>
      </c>
      <c r="ES1078" s="906" t="s">
        <v>3437</v>
      </c>
      <c r="ET1078" s="2686">
        <v>9</v>
      </c>
      <c r="EV1078" s="985"/>
      <c r="EW1078" s="985"/>
      <c r="EX1078" s="387"/>
      <c r="EY1078" s="939"/>
      <c r="EZ1078" s="886"/>
    </row>
    <row r="1079" spans="88:156">
      <c r="CJ1079" s="197"/>
      <c r="CK1079" s="197"/>
      <c r="CL1079" s="197"/>
      <c r="CM1079" s="213"/>
      <c r="CN1079" s="213"/>
      <c r="CO1079" s="197"/>
      <c r="CP1079" s="197"/>
      <c r="CQ1079" s="197"/>
      <c r="CR1079" s="197"/>
      <c r="CS1079" s="197"/>
      <c r="CT1079" s="197"/>
      <c r="CU1079" s="197"/>
      <c r="CV1079" s="197"/>
      <c r="CW1079" s="197"/>
      <c r="CX1079" s="959"/>
      <c r="CY1079" s="959"/>
      <c r="CZ1079" s="959"/>
      <c r="DA1079" s="959"/>
      <c r="DB1079" s="959"/>
      <c r="DC1079" s="891">
        <v>3928</v>
      </c>
      <c r="DD1079" s="891" t="s">
        <v>4600</v>
      </c>
      <c r="DE1079" s="891" t="s">
        <v>412</v>
      </c>
      <c r="DF1079" s="891">
        <v>6</v>
      </c>
      <c r="DG1079" s="959"/>
      <c r="DH1079" s="959"/>
      <c r="ER1079" s="905">
        <v>4142</v>
      </c>
      <c r="ES1079" s="906" t="s">
        <v>3438</v>
      </c>
      <c r="ET1079" s="2686">
        <v>9</v>
      </c>
      <c r="EV1079" s="985"/>
      <c r="EW1079" s="985"/>
      <c r="EX1079" s="387"/>
      <c r="EY1079" s="939"/>
      <c r="EZ1079" s="886"/>
    </row>
    <row r="1080" spans="88:156">
      <c r="CJ1080" s="197"/>
      <c r="CK1080" s="197"/>
      <c r="CL1080" s="197"/>
      <c r="CM1080" s="213"/>
      <c r="CN1080" s="213"/>
      <c r="CO1080" s="197"/>
      <c r="CP1080" s="197"/>
      <c r="CQ1080" s="197"/>
      <c r="CR1080" s="197"/>
      <c r="CS1080" s="197"/>
      <c r="CT1080" s="197"/>
      <c r="CU1080" s="197"/>
      <c r="CV1080" s="197"/>
      <c r="CW1080" s="197"/>
      <c r="CX1080" s="959"/>
      <c r="CY1080" s="959"/>
      <c r="CZ1080" s="959"/>
      <c r="DA1080" s="959"/>
      <c r="DB1080" s="959"/>
      <c r="DC1080" s="891">
        <v>3929</v>
      </c>
      <c r="DD1080" s="891" t="s">
        <v>4601</v>
      </c>
      <c r="DE1080" s="891" t="s">
        <v>418</v>
      </c>
      <c r="DF1080" s="891">
        <v>5</v>
      </c>
      <c r="DG1080" s="959"/>
      <c r="DH1080" s="959"/>
      <c r="ER1080" s="905">
        <v>4143</v>
      </c>
      <c r="ES1080" s="906" t="s">
        <v>3439</v>
      </c>
      <c r="ET1080" s="2686">
        <v>9</v>
      </c>
      <c r="EV1080" s="985"/>
      <c r="EW1080" s="985"/>
      <c r="EX1080" s="387"/>
      <c r="EY1080" s="939"/>
      <c r="EZ1080" s="886"/>
    </row>
    <row r="1081" spans="88:156">
      <c r="CJ1081" s="197"/>
      <c r="CK1081" s="197"/>
      <c r="CL1081" s="197"/>
      <c r="CM1081" s="213"/>
      <c r="CN1081" s="213"/>
      <c r="CO1081" s="197"/>
      <c r="CP1081" s="197"/>
      <c r="CQ1081" s="197"/>
      <c r="CR1081" s="197"/>
      <c r="CS1081" s="197"/>
      <c r="CT1081" s="197"/>
      <c r="CU1081" s="197"/>
      <c r="CV1081" s="197"/>
      <c r="CW1081" s="197"/>
      <c r="CX1081" s="959"/>
      <c r="CY1081" s="959"/>
      <c r="CZ1081" s="959"/>
      <c r="DA1081" s="959"/>
      <c r="DB1081" s="959"/>
      <c r="DC1081" s="891">
        <v>3931</v>
      </c>
      <c r="DD1081" s="891" t="s">
        <v>4602</v>
      </c>
      <c r="DE1081" s="891" t="s">
        <v>410</v>
      </c>
      <c r="DF1081" s="891">
        <v>5</v>
      </c>
      <c r="DG1081" s="959"/>
      <c r="DH1081" s="959"/>
      <c r="ER1081" s="905">
        <v>4144</v>
      </c>
      <c r="ES1081" s="906" t="s">
        <v>3440</v>
      </c>
      <c r="ET1081" s="2686">
        <v>9</v>
      </c>
      <c r="EV1081" s="985"/>
      <c r="EW1081" s="985"/>
      <c r="EX1081" s="387"/>
      <c r="EY1081" s="939"/>
      <c r="EZ1081" s="886"/>
    </row>
    <row r="1082" spans="88:156">
      <c r="CJ1082" s="197"/>
      <c r="CK1082" s="197"/>
      <c r="CL1082" s="197"/>
      <c r="CM1082" s="213"/>
      <c r="CN1082" s="213"/>
      <c r="CO1082" s="197"/>
      <c r="CP1082" s="197"/>
      <c r="CQ1082" s="197"/>
      <c r="CR1082" s="197"/>
      <c r="CS1082" s="197"/>
      <c r="CT1082" s="197"/>
      <c r="CU1082" s="197"/>
      <c r="CV1082" s="197"/>
      <c r="CW1082" s="197"/>
      <c r="CX1082" s="959"/>
      <c r="CY1082" s="959"/>
      <c r="CZ1082" s="959"/>
      <c r="DA1082" s="959"/>
      <c r="DB1082" s="959"/>
      <c r="DC1082" s="891">
        <v>3932</v>
      </c>
      <c r="DD1082" s="891" t="s">
        <v>4603</v>
      </c>
      <c r="DE1082" s="891" t="s">
        <v>2808</v>
      </c>
      <c r="DF1082" s="891">
        <v>6</v>
      </c>
      <c r="DG1082" s="959"/>
      <c r="DH1082" s="959"/>
      <c r="ER1082" s="905">
        <v>4145</v>
      </c>
      <c r="ES1082" s="906" t="s">
        <v>3441</v>
      </c>
      <c r="ET1082" s="2686">
        <v>9</v>
      </c>
      <c r="EV1082" s="985"/>
      <c r="EW1082" s="985"/>
      <c r="EX1082" s="387"/>
      <c r="EY1082" s="939"/>
      <c r="EZ1082" s="886"/>
    </row>
    <row r="1083" spans="88:156">
      <c r="CJ1083" s="197"/>
      <c r="CK1083" s="197"/>
      <c r="CL1083" s="197"/>
      <c r="CM1083" s="213"/>
      <c r="CN1083" s="213"/>
      <c r="CO1083" s="197"/>
      <c r="CP1083" s="197"/>
      <c r="CQ1083" s="197"/>
      <c r="CR1083" s="197"/>
      <c r="CS1083" s="197"/>
      <c r="CT1083" s="197"/>
      <c r="CU1083" s="197"/>
      <c r="CV1083" s="197"/>
      <c r="CW1083" s="197"/>
      <c r="CX1083" s="959"/>
      <c r="CY1083" s="959"/>
      <c r="CZ1083" s="959"/>
      <c r="DA1083" s="959"/>
      <c r="DB1083" s="959"/>
      <c r="DC1083" s="891">
        <v>3933</v>
      </c>
      <c r="DD1083" s="891" t="s">
        <v>4604</v>
      </c>
      <c r="DE1083" s="891" t="s">
        <v>406</v>
      </c>
      <c r="DF1083" s="891">
        <v>6</v>
      </c>
      <c r="DG1083" s="959"/>
      <c r="DH1083" s="959"/>
      <c r="ER1083" s="905">
        <v>4146</v>
      </c>
      <c r="ES1083" s="906" t="s">
        <v>3442</v>
      </c>
      <c r="ET1083" s="2686">
        <v>9</v>
      </c>
      <c r="EV1083" s="985"/>
      <c r="EW1083" s="985"/>
      <c r="EX1083" s="387"/>
      <c r="EY1083" s="939"/>
      <c r="EZ1083" s="886"/>
    </row>
    <row r="1084" spans="88:156">
      <c r="CJ1084" s="197"/>
      <c r="CK1084" s="197"/>
      <c r="CL1084" s="197"/>
      <c r="CM1084" s="213"/>
      <c r="CN1084" s="213"/>
      <c r="CO1084" s="197"/>
      <c r="CP1084" s="197"/>
      <c r="CQ1084" s="197"/>
      <c r="CR1084" s="197"/>
      <c r="CS1084" s="197"/>
      <c r="CT1084" s="197"/>
      <c r="CU1084" s="197"/>
      <c r="CV1084" s="197"/>
      <c r="CW1084" s="197"/>
      <c r="CX1084" s="959"/>
      <c r="CY1084" s="959"/>
      <c r="CZ1084" s="959"/>
      <c r="DA1084" s="959"/>
      <c r="DB1084" s="959"/>
      <c r="DC1084" s="891">
        <v>3934</v>
      </c>
      <c r="DD1084" s="891" t="s">
        <v>4605</v>
      </c>
      <c r="DE1084" s="891" t="s">
        <v>406</v>
      </c>
      <c r="DF1084" s="891">
        <v>6</v>
      </c>
      <c r="DG1084" s="959"/>
      <c r="DH1084" s="959"/>
      <c r="ER1084" s="905">
        <v>4150</v>
      </c>
      <c r="ES1084" s="906" t="s">
        <v>3443</v>
      </c>
      <c r="ET1084" s="2686">
        <v>9</v>
      </c>
      <c r="EV1084" s="985"/>
      <c r="EW1084" s="985"/>
      <c r="EX1084" s="387"/>
      <c r="EY1084" s="939"/>
      <c r="EZ1084" s="886"/>
    </row>
    <row r="1085" spans="88:156">
      <c r="CJ1085" s="197"/>
      <c r="CK1085" s="197"/>
      <c r="CL1085" s="197"/>
      <c r="CM1085" s="213"/>
      <c r="CN1085" s="213"/>
      <c r="CO1085" s="197"/>
      <c r="CP1085" s="197"/>
      <c r="CQ1085" s="197"/>
      <c r="CR1085" s="197"/>
      <c r="CS1085" s="197"/>
      <c r="CT1085" s="197"/>
      <c r="CU1085" s="197"/>
      <c r="CV1085" s="197"/>
      <c r="CW1085" s="197"/>
      <c r="CX1085" s="959"/>
      <c r="CY1085" s="959"/>
      <c r="CZ1085" s="959"/>
      <c r="DA1085" s="959"/>
      <c r="DB1085" s="959"/>
      <c r="DC1085" s="891">
        <v>3935</v>
      </c>
      <c r="DD1085" s="891" t="s">
        <v>4606</v>
      </c>
      <c r="DE1085" s="891" t="s">
        <v>2808</v>
      </c>
      <c r="DF1085" s="891">
        <v>6</v>
      </c>
      <c r="DG1085" s="959"/>
      <c r="DH1085" s="959"/>
      <c r="ER1085" s="905">
        <v>4161</v>
      </c>
      <c r="ES1085" s="906" t="s">
        <v>3444</v>
      </c>
      <c r="ET1085" s="2686">
        <v>9</v>
      </c>
      <c r="EV1085" s="985"/>
      <c r="EW1085" s="985"/>
      <c r="EX1085" s="387"/>
      <c r="EY1085" s="939"/>
      <c r="EZ1085" s="886"/>
    </row>
    <row r="1086" spans="88:156">
      <c r="CJ1086" s="197"/>
      <c r="CK1086" s="197"/>
      <c r="CL1086" s="197"/>
      <c r="CM1086" s="213"/>
      <c r="CN1086" s="213"/>
      <c r="CO1086" s="197"/>
      <c r="CP1086" s="197"/>
      <c r="CQ1086" s="197"/>
      <c r="CR1086" s="197"/>
      <c r="CS1086" s="197"/>
      <c r="CT1086" s="197"/>
      <c r="CU1086" s="197"/>
      <c r="CV1086" s="197"/>
      <c r="CW1086" s="197"/>
      <c r="CX1086" s="959"/>
      <c r="CY1086" s="959"/>
      <c r="CZ1086" s="959"/>
      <c r="DA1086" s="959"/>
      <c r="DB1086" s="959"/>
      <c r="DC1086" s="891">
        <v>3936</v>
      </c>
      <c r="DD1086" s="891" t="s">
        <v>4607</v>
      </c>
      <c r="DE1086" s="891" t="s">
        <v>410</v>
      </c>
      <c r="DF1086" s="891">
        <v>6</v>
      </c>
      <c r="DG1086" s="959"/>
      <c r="DH1086" s="959"/>
      <c r="ER1086" s="905">
        <v>4162</v>
      </c>
      <c r="ES1086" s="905" t="s">
        <v>3325</v>
      </c>
      <c r="ET1086" s="2686">
        <v>9</v>
      </c>
      <c r="EV1086" s="985"/>
      <c r="EW1086" s="985"/>
      <c r="EX1086" s="387"/>
      <c r="EY1086" s="939"/>
      <c r="EZ1086" s="886"/>
    </row>
    <row r="1087" spans="88:156">
      <c r="CJ1087" s="197"/>
      <c r="CK1087" s="197"/>
      <c r="CL1087" s="197"/>
      <c r="CM1087" s="213"/>
      <c r="CN1087" s="213"/>
      <c r="CO1087" s="197"/>
      <c r="CP1087" s="197"/>
      <c r="CQ1087" s="197"/>
      <c r="CR1087" s="197"/>
      <c r="CS1087" s="197"/>
      <c r="CT1087" s="197"/>
      <c r="CU1087" s="197"/>
      <c r="CV1087" s="197"/>
      <c r="CW1087" s="197"/>
      <c r="CX1087" s="959"/>
      <c r="CY1087" s="959"/>
      <c r="CZ1087" s="959"/>
      <c r="DA1087" s="959"/>
      <c r="DB1087" s="959"/>
      <c r="DC1087" s="891">
        <v>3937</v>
      </c>
      <c r="DD1087" s="891" t="s">
        <v>4608</v>
      </c>
      <c r="DE1087" s="891" t="s">
        <v>410</v>
      </c>
      <c r="DF1087" s="891">
        <v>6</v>
      </c>
      <c r="DG1087" s="959"/>
      <c r="DH1087" s="959"/>
      <c r="ER1087" s="905">
        <v>4163</v>
      </c>
      <c r="ES1087" s="906" t="s">
        <v>3446</v>
      </c>
      <c r="ET1087" s="2686">
        <v>9</v>
      </c>
      <c r="EV1087" s="985"/>
      <c r="EW1087" s="985"/>
      <c r="EX1087" s="387"/>
      <c r="EY1087" s="939"/>
      <c r="EZ1087" s="886"/>
    </row>
    <row r="1088" spans="88:156">
      <c r="CJ1088" s="197"/>
      <c r="CK1088" s="197"/>
      <c r="CL1088" s="197"/>
      <c r="CM1088" s="213"/>
      <c r="CN1088" s="213"/>
      <c r="CO1088" s="197"/>
      <c r="CP1088" s="197"/>
      <c r="CQ1088" s="197"/>
      <c r="CR1088" s="197"/>
      <c r="CS1088" s="197"/>
      <c r="CT1088" s="197"/>
      <c r="CU1088" s="197"/>
      <c r="CV1088" s="197"/>
      <c r="CW1088" s="197"/>
      <c r="CX1088" s="959"/>
      <c r="CY1088" s="959"/>
      <c r="CZ1088" s="959"/>
      <c r="DA1088" s="959"/>
      <c r="DB1088" s="959"/>
      <c r="DC1088" s="891">
        <v>3941</v>
      </c>
      <c r="DD1088" s="891" t="s">
        <v>4609</v>
      </c>
      <c r="DE1088" s="891" t="s">
        <v>428</v>
      </c>
      <c r="DF1088" s="891">
        <v>6</v>
      </c>
      <c r="DG1088" s="959"/>
      <c r="DH1088" s="959"/>
      <c r="ER1088" s="905">
        <v>4164</v>
      </c>
      <c r="ES1088" s="906" t="s">
        <v>3447</v>
      </c>
      <c r="ET1088" s="2686">
        <v>9</v>
      </c>
      <c r="EV1088" s="985"/>
      <c r="EW1088" s="985"/>
      <c r="EX1088" s="387"/>
      <c r="EY1088" s="939"/>
      <c r="EZ1088" s="886"/>
    </row>
    <row r="1089" spans="88:156">
      <c r="CJ1089" s="197"/>
      <c r="CK1089" s="197"/>
      <c r="CL1089" s="197"/>
      <c r="CM1089" s="213"/>
      <c r="CN1089" s="213"/>
      <c r="CO1089" s="197"/>
      <c r="CP1089" s="197"/>
      <c r="CQ1089" s="197"/>
      <c r="CR1089" s="197"/>
      <c r="CS1089" s="197"/>
      <c r="CT1089" s="197"/>
      <c r="CU1089" s="197"/>
      <c r="CV1089" s="197"/>
      <c r="CW1089" s="197"/>
      <c r="CX1089" s="959"/>
      <c r="CY1089" s="959"/>
      <c r="CZ1089" s="959"/>
      <c r="DA1089" s="959"/>
      <c r="DB1089" s="959"/>
      <c r="DC1089" s="891">
        <v>3942</v>
      </c>
      <c r="DD1089" s="891" t="s">
        <v>4610</v>
      </c>
      <c r="DE1089" s="891" t="s">
        <v>427</v>
      </c>
      <c r="DF1089" s="891">
        <v>6</v>
      </c>
      <c r="DG1089" s="959"/>
      <c r="DH1089" s="959"/>
      <c r="ER1089" s="905">
        <v>4171</v>
      </c>
      <c r="ES1089" s="906" t="s">
        <v>3448</v>
      </c>
      <c r="ET1089" s="2686">
        <v>9</v>
      </c>
      <c r="EV1089" s="985"/>
      <c r="EW1089" s="985"/>
      <c r="EX1089" s="387"/>
      <c r="EY1089" s="939"/>
      <c r="EZ1089" s="886"/>
    </row>
    <row r="1090" spans="88:156">
      <c r="CJ1090" s="197"/>
      <c r="CK1090" s="197"/>
      <c r="CL1090" s="197"/>
      <c r="CM1090" s="213"/>
      <c r="CN1090" s="213"/>
      <c r="CO1090" s="197"/>
      <c r="CP1090" s="197"/>
      <c r="CQ1090" s="197"/>
      <c r="CR1090" s="197"/>
      <c r="CS1090" s="197"/>
      <c r="CT1090" s="197"/>
      <c r="CU1090" s="197"/>
      <c r="CV1090" s="197"/>
      <c r="CW1090" s="197"/>
      <c r="CX1090" s="959"/>
      <c r="CY1090" s="959"/>
      <c r="CZ1090" s="959"/>
      <c r="DA1090" s="959"/>
      <c r="DB1090" s="959"/>
      <c r="DC1090" s="891">
        <v>3943</v>
      </c>
      <c r="DD1090" s="891" t="s">
        <v>4611</v>
      </c>
      <c r="DE1090" s="891" t="s">
        <v>427</v>
      </c>
      <c r="DF1090" s="891">
        <v>6</v>
      </c>
      <c r="DG1090" s="959"/>
      <c r="DH1090" s="959"/>
      <c r="ER1090" s="905">
        <v>4172</v>
      </c>
      <c r="ES1090" s="906" t="s">
        <v>1834</v>
      </c>
      <c r="ET1090" s="2686">
        <v>9</v>
      </c>
      <c r="EV1090" s="985"/>
      <c r="EW1090" s="985"/>
      <c r="EX1090" s="387"/>
      <c r="EY1090" s="939"/>
      <c r="EZ1090" s="886"/>
    </row>
    <row r="1091" spans="88:156">
      <c r="CJ1091" s="197"/>
      <c r="CK1091" s="197"/>
      <c r="CL1091" s="197"/>
      <c r="CM1091" s="213"/>
      <c r="CN1091" s="213"/>
      <c r="CO1091" s="197"/>
      <c r="CP1091" s="197"/>
      <c r="CQ1091" s="197"/>
      <c r="CR1091" s="197"/>
      <c r="CS1091" s="197"/>
      <c r="CT1091" s="197"/>
      <c r="CU1091" s="197"/>
      <c r="CV1091" s="197"/>
      <c r="CW1091" s="197"/>
      <c r="CX1091" s="959"/>
      <c r="CY1091" s="959"/>
      <c r="CZ1091" s="959"/>
      <c r="DA1091" s="959"/>
      <c r="DB1091" s="959"/>
      <c r="DC1091" s="891">
        <v>3944</v>
      </c>
      <c r="DD1091" s="891" t="s">
        <v>4612</v>
      </c>
      <c r="DE1091" s="891" t="s">
        <v>2808</v>
      </c>
      <c r="DF1091" s="891">
        <v>6</v>
      </c>
      <c r="DG1091" s="959"/>
      <c r="DH1091" s="959"/>
      <c r="ER1091" s="905">
        <v>4173</v>
      </c>
      <c r="ES1091" s="906" t="s">
        <v>1835</v>
      </c>
      <c r="ET1091" s="2686">
        <v>9</v>
      </c>
      <c r="EV1091" s="985"/>
      <c r="EW1091" s="985"/>
      <c r="EX1091" s="387"/>
      <c r="EY1091" s="939"/>
      <c r="EZ1091" s="886"/>
    </row>
    <row r="1092" spans="88:156">
      <c r="CJ1092" s="197"/>
      <c r="CK1092" s="197"/>
      <c r="CL1092" s="197"/>
      <c r="CM1092" s="213"/>
      <c r="CN1092" s="213"/>
      <c r="CO1092" s="197"/>
      <c r="CP1092" s="197"/>
      <c r="CQ1092" s="197"/>
      <c r="CR1092" s="197"/>
      <c r="CS1092" s="197"/>
      <c r="CT1092" s="197"/>
      <c r="CU1092" s="197"/>
      <c r="CV1092" s="197"/>
      <c r="CW1092" s="197"/>
      <c r="CX1092" s="959"/>
      <c r="CY1092" s="959"/>
      <c r="CZ1092" s="959"/>
      <c r="DA1092" s="959"/>
      <c r="DB1092" s="959"/>
      <c r="DC1092" s="891">
        <v>3945</v>
      </c>
      <c r="DD1092" s="891" t="s">
        <v>4613</v>
      </c>
      <c r="DE1092" s="891" t="s">
        <v>435</v>
      </c>
      <c r="DF1092" s="891">
        <v>6</v>
      </c>
      <c r="DG1092" s="959"/>
      <c r="DH1092" s="959"/>
      <c r="ER1092" s="905">
        <v>4174</v>
      </c>
      <c r="ES1092" s="906" t="s">
        <v>1836</v>
      </c>
      <c r="ET1092" s="2686">
        <v>9</v>
      </c>
      <c r="EV1092" s="985"/>
      <c r="EW1092" s="985"/>
      <c r="EX1092" s="387"/>
      <c r="EY1092" s="939"/>
      <c r="EZ1092" s="886"/>
    </row>
    <row r="1093" spans="88:156">
      <c r="CJ1093" s="197"/>
      <c r="CK1093" s="197"/>
      <c r="CL1093" s="197"/>
      <c r="CM1093" s="213"/>
      <c r="CN1093" s="213"/>
      <c r="CO1093" s="197"/>
      <c r="CP1093" s="197"/>
      <c r="CQ1093" s="197"/>
      <c r="CR1093" s="197"/>
      <c r="CS1093" s="197"/>
      <c r="CT1093" s="197"/>
      <c r="CU1093" s="197"/>
      <c r="CV1093" s="197"/>
      <c r="CW1093" s="197"/>
      <c r="CX1093" s="959"/>
      <c r="CY1093" s="959"/>
      <c r="CZ1093" s="959"/>
      <c r="DA1093" s="959"/>
      <c r="DB1093" s="959"/>
      <c r="DC1093" s="891">
        <v>3950</v>
      </c>
      <c r="DD1093" s="891" t="s">
        <v>4614</v>
      </c>
      <c r="DE1093" s="891" t="s">
        <v>406</v>
      </c>
      <c r="DF1093" s="891">
        <v>6</v>
      </c>
      <c r="DG1093" s="959"/>
      <c r="DH1093" s="959"/>
      <c r="ER1093" s="905">
        <v>4175</v>
      </c>
      <c r="ES1093" s="906" t="s">
        <v>1837</v>
      </c>
      <c r="ET1093" s="2686">
        <v>9</v>
      </c>
      <c r="EV1093" s="985"/>
      <c r="EW1093" s="985"/>
      <c r="EX1093" s="387"/>
      <c r="EY1093" s="939"/>
      <c r="EZ1093" s="886"/>
    </row>
    <row r="1094" spans="88:156">
      <c r="CJ1094" s="197"/>
      <c r="CK1094" s="197"/>
      <c r="CL1094" s="197"/>
      <c r="CM1094" s="213"/>
      <c r="CN1094" s="213"/>
      <c r="CO1094" s="197"/>
      <c r="CP1094" s="197"/>
      <c r="CQ1094" s="197"/>
      <c r="CR1094" s="197"/>
      <c r="CS1094" s="197"/>
      <c r="CT1094" s="197"/>
      <c r="CU1094" s="197"/>
      <c r="CV1094" s="197"/>
      <c r="CW1094" s="197"/>
      <c r="CX1094" s="959"/>
      <c r="CY1094" s="959"/>
      <c r="CZ1094" s="959"/>
      <c r="DA1094" s="959"/>
      <c r="DB1094" s="959"/>
      <c r="DC1094" s="891">
        <v>3954</v>
      </c>
      <c r="DD1094" s="891" t="s">
        <v>4615</v>
      </c>
      <c r="DE1094" s="891" t="s">
        <v>434</v>
      </c>
      <c r="DF1094" s="891">
        <v>6</v>
      </c>
      <c r="DG1094" s="959"/>
      <c r="DH1094" s="959"/>
      <c r="ER1094" s="905">
        <v>4176</v>
      </c>
      <c r="ES1094" s="906" t="s">
        <v>1838</v>
      </c>
      <c r="ET1094" s="2686">
        <v>9</v>
      </c>
      <c r="EV1094" s="985"/>
      <c r="EW1094" s="985"/>
      <c r="EX1094" s="387"/>
      <c r="EY1094" s="939"/>
      <c r="EZ1094" s="886"/>
    </row>
    <row r="1095" spans="88:156">
      <c r="CJ1095" s="197"/>
      <c r="CK1095" s="197"/>
      <c r="CL1095" s="197"/>
      <c r="CM1095" s="213"/>
      <c r="CN1095" s="213"/>
      <c r="CO1095" s="197"/>
      <c r="CP1095" s="197"/>
      <c r="CQ1095" s="197"/>
      <c r="CR1095" s="197"/>
      <c r="CS1095" s="197"/>
      <c r="CT1095" s="197"/>
      <c r="CU1095" s="197"/>
      <c r="CV1095" s="197"/>
      <c r="CW1095" s="197"/>
      <c r="CX1095" s="959"/>
      <c r="CY1095" s="959"/>
      <c r="CZ1095" s="959"/>
      <c r="DA1095" s="959"/>
      <c r="DB1095" s="959"/>
      <c r="DC1095" s="891">
        <v>3955</v>
      </c>
      <c r="DD1095" s="891" t="s">
        <v>4616</v>
      </c>
      <c r="DE1095" s="891" t="s">
        <v>432</v>
      </c>
      <c r="DF1095" s="891">
        <v>6</v>
      </c>
      <c r="DG1095" s="959"/>
      <c r="DH1095" s="959"/>
      <c r="ER1095" s="905">
        <v>4177</v>
      </c>
      <c r="ES1095" s="906" t="s">
        <v>1839</v>
      </c>
      <c r="ET1095" s="2686">
        <v>9</v>
      </c>
      <c r="EV1095" s="985"/>
      <c r="EW1095" s="985"/>
      <c r="EX1095" s="387"/>
      <c r="EY1095" s="939"/>
      <c r="EZ1095" s="886"/>
    </row>
    <row r="1096" spans="88:156">
      <c r="CJ1096" s="197"/>
      <c r="CK1096" s="197"/>
      <c r="CL1096" s="197"/>
      <c r="CM1096" s="213"/>
      <c r="CN1096" s="213"/>
      <c r="CO1096" s="197"/>
      <c r="CP1096" s="197"/>
      <c r="CQ1096" s="197"/>
      <c r="CR1096" s="197"/>
      <c r="CS1096" s="197"/>
      <c r="CT1096" s="197"/>
      <c r="CU1096" s="197"/>
      <c r="CV1096" s="197"/>
      <c r="CW1096" s="197"/>
      <c r="CX1096" s="959"/>
      <c r="CY1096" s="959"/>
      <c r="CZ1096" s="959"/>
      <c r="DA1096" s="959"/>
      <c r="DB1096" s="959"/>
      <c r="DC1096" s="891">
        <v>3956</v>
      </c>
      <c r="DD1096" s="891" t="s">
        <v>4617</v>
      </c>
      <c r="DE1096" s="891" t="s">
        <v>432</v>
      </c>
      <c r="DF1096" s="891">
        <v>6</v>
      </c>
      <c r="DG1096" s="959"/>
      <c r="DH1096" s="959"/>
      <c r="ER1096" s="905">
        <v>4181</v>
      </c>
      <c r="ES1096" s="906" t="s">
        <v>1840</v>
      </c>
      <c r="ET1096" s="2686">
        <v>9</v>
      </c>
      <c r="EV1096" s="985"/>
      <c r="EW1096" s="985"/>
      <c r="EX1096" s="387"/>
      <c r="EY1096" s="939"/>
      <c r="EZ1096" s="886"/>
    </row>
    <row r="1097" spans="88:156">
      <c r="CJ1097" s="197"/>
      <c r="CK1097" s="197"/>
      <c r="CL1097" s="197"/>
      <c r="CM1097" s="213"/>
      <c r="CN1097" s="213"/>
      <c r="CO1097" s="197"/>
      <c r="CP1097" s="197"/>
      <c r="CQ1097" s="197"/>
      <c r="CR1097" s="197"/>
      <c r="CS1097" s="197"/>
      <c r="CT1097" s="197"/>
      <c r="CU1097" s="197"/>
      <c r="CV1097" s="197"/>
      <c r="CW1097" s="197"/>
      <c r="CX1097" s="959"/>
      <c r="CY1097" s="959"/>
      <c r="CZ1097" s="959"/>
      <c r="DA1097" s="959"/>
      <c r="DB1097" s="959"/>
      <c r="DC1097" s="891">
        <v>3957</v>
      </c>
      <c r="DD1097" s="891" t="s">
        <v>4618</v>
      </c>
      <c r="DE1097" s="891" t="s">
        <v>420</v>
      </c>
      <c r="DF1097" s="891">
        <v>5</v>
      </c>
      <c r="DG1097" s="959"/>
      <c r="DH1097" s="959"/>
      <c r="ER1097" s="905">
        <v>4183</v>
      </c>
      <c r="ES1097" s="906" t="s">
        <v>1841</v>
      </c>
      <c r="ET1097" s="2686">
        <v>9</v>
      </c>
      <c r="EV1097" s="985"/>
      <c r="EW1097" s="985"/>
      <c r="EX1097" s="387"/>
      <c r="EY1097" s="939"/>
      <c r="EZ1097" s="886"/>
    </row>
    <row r="1098" spans="88:156">
      <c r="CJ1098" s="197"/>
      <c r="CK1098" s="197"/>
      <c r="CL1098" s="197"/>
      <c r="CM1098" s="213"/>
      <c r="CN1098" s="213"/>
      <c r="CO1098" s="197"/>
      <c r="CP1098" s="197"/>
      <c r="CQ1098" s="197"/>
      <c r="CR1098" s="197"/>
      <c r="CS1098" s="197"/>
      <c r="CT1098" s="197"/>
      <c r="CU1098" s="197"/>
      <c r="CV1098" s="197"/>
      <c r="CW1098" s="197"/>
      <c r="CX1098" s="959"/>
      <c r="CY1098" s="959"/>
      <c r="CZ1098" s="959"/>
      <c r="DA1098" s="959"/>
      <c r="DB1098" s="959"/>
      <c r="DC1098" s="891">
        <v>3958</v>
      </c>
      <c r="DD1098" s="891" t="s">
        <v>4619</v>
      </c>
      <c r="DE1098" s="891" t="s">
        <v>420</v>
      </c>
      <c r="DF1098" s="891">
        <v>6</v>
      </c>
      <c r="DG1098" s="959"/>
      <c r="DH1098" s="959"/>
      <c r="ER1098" s="905">
        <v>4184</v>
      </c>
      <c r="ES1098" s="906" t="s">
        <v>1842</v>
      </c>
      <c r="ET1098" s="2686">
        <v>9</v>
      </c>
      <c r="EV1098" s="985"/>
      <c r="EW1098" s="985"/>
      <c r="EX1098" s="387"/>
      <c r="EY1098" s="939"/>
      <c r="EZ1098" s="886"/>
    </row>
    <row r="1099" spans="88:156">
      <c r="CJ1099" s="197"/>
      <c r="CK1099" s="197"/>
      <c r="CL1099" s="197"/>
      <c r="CM1099" s="213"/>
      <c r="CN1099" s="213"/>
      <c r="CO1099" s="197"/>
      <c r="CP1099" s="197"/>
      <c r="CQ1099" s="197"/>
      <c r="CR1099" s="197"/>
      <c r="CS1099" s="197"/>
      <c r="CT1099" s="197"/>
      <c r="CU1099" s="197"/>
      <c r="CV1099" s="197"/>
      <c r="CW1099" s="197"/>
      <c r="CX1099" s="959"/>
      <c r="CY1099" s="959"/>
      <c r="CZ1099" s="959"/>
      <c r="DA1099" s="959"/>
      <c r="DB1099" s="959"/>
      <c r="DC1099" s="891">
        <v>3959</v>
      </c>
      <c r="DD1099" s="891" t="s">
        <v>4620</v>
      </c>
      <c r="DE1099" s="891" t="s">
        <v>420</v>
      </c>
      <c r="DF1099" s="891">
        <v>6</v>
      </c>
      <c r="DG1099" s="959"/>
      <c r="DH1099" s="959"/>
      <c r="ER1099" s="905">
        <v>4200</v>
      </c>
      <c r="ES1099" s="906" t="s">
        <v>1843</v>
      </c>
      <c r="ET1099" s="2686">
        <v>9</v>
      </c>
      <c r="EV1099" s="985"/>
      <c r="EW1099" s="985"/>
      <c r="EX1099" s="387"/>
      <c r="EY1099" s="939"/>
      <c r="EZ1099" s="886"/>
    </row>
    <row r="1100" spans="88:156">
      <c r="CJ1100" s="197"/>
      <c r="CK1100" s="197"/>
      <c r="CL1100" s="197"/>
      <c r="CM1100" s="213"/>
      <c r="CN1100" s="213"/>
      <c r="CO1100" s="197"/>
      <c r="CP1100" s="197"/>
      <c r="CQ1100" s="197"/>
      <c r="CR1100" s="197"/>
      <c r="CS1100" s="197"/>
      <c r="CT1100" s="197"/>
      <c r="CU1100" s="197"/>
      <c r="CV1100" s="197"/>
      <c r="CW1100" s="197"/>
      <c r="CX1100" s="959"/>
      <c r="CY1100" s="959"/>
      <c r="CZ1100" s="959"/>
      <c r="DA1100" s="959"/>
      <c r="DB1100" s="959"/>
      <c r="DC1100" s="891">
        <v>3961</v>
      </c>
      <c r="DD1100" s="891" t="s">
        <v>4621</v>
      </c>
      <c r="DE1100" s="891" t="s">
        <v>420</v>
      </c>
      <c r="DF1100" s="891">
        <v>6</v>
      </c>
      <c r="DG1100" s="959"/>
      <c r="DH1100" s="959"/>
      <c r="ER1100" s="905">
        <v>4211</v>
      </c>
      <c r="ES1100" s="906" t="s">
        <v>1844</v>
      </c>
      <c r="ET1100" s="2686">
        <v>6</v>
      </c>
      <c r="EV1100" s="985"/>
      <c r="EW1100" s="985"/>
      <c r="EX1100" s="387"/>
      <c r="EY1100" s="939"/>
      <c r="EZ1100" s="886"/>
    </row>
    <row r="1101" spans="88:156">
      <c r="CJ1101" s="197"/>
      <c r="CK1101" s="197"/>
      <c r="CL1101" s="197"/>
      <c r="CM1101" s="213"/>
      <c r="CN1101" s="213"/>
      <c r="CO1101" s="197"/>
      <c r="CP1101" s="197"/>
      <c r="CQ1101" s="197"/>
      <c r="CR1101" s="197"/>
      <c r="CS1101" s="197"/>
      <c r="CT1101" s="197"/>
      <c r="CU1101" s="197"/>
      <c r="CV1101" s="197"/>
      <c r="CW1101" s="197"/>
      <c r="CX1101" s="959"/>
      <c r="CY1101" s="959"/>
      <c r="CZ1101" s="959"/>
      <c r="DA1101" s="959"/>
      <c r="DB1101" s="959"/>
      <c r="DC1101" s="891">
        <v>3962</v>
      </c>
      <c r="DD1101" s="891" t="s">
        <v>4622</v>
      </c>
      <c r="DE1101" s="891" t="s">
        <v>420</v>
      </c>
      <c r="DF1101" s="891">
        <v>6</v>
      </c>
      <c r="DG1101" s="959"/>
      <c r="DH1101" s="959"/>
      <c r="ER1101" s="905">
        <v>4212</v>
      </c>
      <c r="ES1101" s="906" t="s">
        <v>1845</v>
      </c>
      <c r="ET1101" s="2686">
        <v>9</v>
      </c>
      <c r="EV1101" s="985"/>
      <c r="EW1101" s="985"/>
      <c r="EX1101" s="387"/>
      <c r="EY1101" s="939"/>
      <c r="EZ1101" s="886"/>
    </row>
    <row r="1102" spans="88:156">
      <c r="CJ1102" s="197"/>
      <c r="CK1102" s="197"/>
      <c r="CL1102" s="197"/>
      <c r="CM1102" s="213"/>
      <c r="CN1102" s="213"/>
      <c r="CO1102" s="197"/>
      <c r="CP1102" s="197"/>
      <c r="CQ1102" s="197"/>
      <c r="CR1102" s="197"/>
      <c r="CS1102" s="197"/>
      <c r="CT1102" s="197"/>
      <c r="CU1102" s="197"/>
      <c r="CV1102" s="197"/>
      <c r="CW1102" s="197"/>
      <c r="CX1102" s="959"/>
      <c r="CY1102" s="959"/>
      <c r="CZ1102" s="959"/>
      <c r="DA1102" s="959"/>
      <c r="DB1102" s="959"/>
      <c r="DC1102" s="891">
        <v>3963</v>
      </c>
      <c r="DD1102" s="891" t="s">
        <v>4623</v>
      </c>
      <c r="DE1102" s="891" t="s">
        <v>2808</v>
      </c>
      <c r="DF1102" s="891">
        <v>6</v>
      </c>
      <c r="DG1102" s="959"/>
      <c r="DH1102" s="959"/>
      <c r="ER1102" s="905">
        <v>4220</v>
      </c>
      <c r="ES1102" s="906" t="s">
        <v>4673</v>
      </c>
      <c r="ET1102" s="2686">
        <v>9</v>
      </c>
      <c r="EV1102" s="985"/>
      <c r="EW1102" s="985"/>
      <c r="EX1102" s="387"/>
      <c r="EY1102" s="939"/>
      <c r="EZ1102" s="886"/>
    </row>
    <row r="1103" spans="88:156">
      <c r="CJ1103" s="197"/>
      <c r="CK1103" s="197"/>
      <c r="CL1103" s="197"/>
      <c r="CM1103" s="213"/>
      <c r="CN1103" s="213"/>
      <c r="CO1103" s="197"/>
      <c r="CP1103" s="197"/>
      <c r="CQ1103" s="197"/>
      <c r="CR1103" s="197"/>
      <c r="CS1103" s="197"/>
      <c r="CT1103" s="197"/>
      <c r="CU1103" s="197"/>
      <c r="CV1103" s="197"/>
      <c r="CW1103" s="197"/>
      <c r="CX1103" s="959"/>
      <c r="CY1103" s="959"/>
      <c r="CZ1103" s="959"/>
      <c r="DA1103" s="959"/>
      <c r="DB1103" s="959"/>
      <c r="DC1103" s="891">
        <v>3964</v>
      </c>
      <c r="DD1103" s="891" t="s">
        <v>4624</v>
      </c>
      <c r="DE1103" s="891" t="s">
        <v>402</v>
      </c>
      <c r="DF1103" s="891">
        <v>2</v>
      </c>
      <c r="DG1103" s="959"/>
      <c r="DH1103" s="959"/>
      <c r="ER1103" s="905">
        <v>4224</v>
      </c>
      <c r="ES1103" s="905" t="s">
        <v>3326</v>
      </c>
      <c r="ET1103" s="2686">
        <v>9</v>
      </c>
      <c r="EV1103" s="985"/>
      <c r="EW1103" s="985"/>
      <c r="EX1103" s="387"/>
      <c r="EY1103" s="939"/>
      <c r="EZ1103" s="886"/>
    </row>
    <row r="1104" spans="88:156">
      <c r="CJ1104" s="197"/>
      <c r="CK1104" s="197"/>
      <c r="CL1104" s="197"/>
      <c r="CM1104" s="213"/>
      <c r="CN1104" s="213"/>
      <c r="CO1104" s="197"/>
      <c r="CP1104" s="197"/>
      <c r="CQ1104" s="197"/>
      <c r="CR1104" s="197"/>
      <c r="CS1104" s="197"/>
      <c r="CT1104" s="197"/>
      <c r="CU1104" s="197"/>
      <c r="CV1104" s="197"/>
      <c r="CW1104" s="197"/>
      <c r="CX1104" s="959"/>
      <c r="CY1104" s="959"/>
      <c r="CZ1104" s="959"/>
      <c r="DA1104" s="959"/>
      <c r="DB1104" s="959"/>
      <c r="DC1104" s="891">
        <v>3965</v>
      </c>
      <c r="DD1104" s="891" t="s">
        <v>4625</v>
      </c>
      <c r="DE1104" s="891" t="s">
        <v>428</v>
      </c>
      <c r="DF1104" s="891">
        <v>1</v>
      </c>
      <c r="DG1104" s="959"/>
      <c r="DH1104" s="959"/>
      <c r="ER1104" s="905">
        <v>4225</v>
      </c>
      <c r="ES1104" s="930" t="s">
        <v>1847</v>
      </c>
      <c r="ET1104" s="2686">
        <v>5</v>
      </c>
      <c r="EV1104" s="985"/>
      <c r="EW1104" s="985"/>
      <c r="EX1104" s="387"/>
      <c r="EY1104" s="939"/>
      <c r="EZ1104" s="886"/>
    </row>
    <row r="1105" spans="88:156">
      <c r="CJ1105" s="197"/>
      <c r="CK1105" s="197"/>
      <c r="CL1105" s="197"/>
      <c r="CM1105" s="213"/>
      <c r="CN1105" s="213"/>
      <c r="CO1105" s="197"/>
      <c r="CP1105" s="197"/>
      <c r="CQ1105" s="197"/>
      <c r="CR1105" s="197"/>
      <c r="CS1105" s="197"/>
      <c r="CT1105" s="197"/>
      <c r="CU1105" s="197"/>
      <c r="CV1105" s="197"/>
      <c r="CW1105" s="197"/>
      <c r="CX1105" s="959"/>
      <c r="CY1105" s="959"/>
      <c r="CZ1105" s="959"/>
      <c r="DA1105" s="959"/>
      <c r="DB1105" s="959"/>
      <c r="DC1105" s="891">
        <v>3967</v>
      </c>
      <c r="DD1105" s="891" t="s">
        <v>4626</v>
      </c>
      <c r="DE1105" s="891" t="s">
        <v>431</v>
      </c>
      <c r="DF1105" s="891">
        <v>1</v>
      </c>
      <c r="DG1105" s="959"/>
      <c r="DH1105" s="959"/>
      <c r="ER1105" s="905">
        <v>4225</v>
      </c>
      <c r="ES1105" s="906" t="s">
        <v>4648</v>
      </c>
      <c r="ET1105" s="2686">
        <v>5</v>
      </c>
      <c r="EV1105" s="985"/>
      <c r="EW1105" s="985"/>
      <c r="EX1105" s="387"/>
      <c r="EY1105" s="939"/>
      <c r="EZ1105" s="886"/>
    </row>
    <row r="1106" spans="88:156">
      <c r="CJ1106" s="197"/>
      <c r="CK1106" s="197"/>
      <c r="CL1106" s="197"/>
      <c r="CM1106" s="213"/>
      <c r="CN1106" s="213"/>
      <c r="CO1106" s="197"/>
      <c r="CP1106" s="197"/>
      <c r="CQ1106" s="197"/>
      <c r="CR1106" s="197"/>
      <c r="CS1106" s="197"/>
      <c r="CT1106" s="197"/>
      <c r="CU1106" s="197"/>
      <c r="CV1106" s="197"/>
      <c r="CW1106" s="197"/>
      <c r="CX1106" s="959"/>
      <c r="CY1106" s="959"/>
      <c r="CZ1106" s="959"/>
      <c r="DA1106" s="959"/>
      <c r="DB1106" s="959"/>
      <c r="DC1106" s="891">
        <v>3971</v>
      </c>
      <c r="DD1106" s="891" t="s">
        <v>4627</v>
      </c>
      <c r="DE1106" s="891" t="s">
        <v>435</v>
      </c>
      <c r="DF1106" s="891">
        <v>6</v>
      </c>
      <c r="DG1106" s="959"/>
      <c r="DH1106" s="959"/>
      <c r="ER1106" s="905">
        <v>4231</v>
      </c>
      <c r="ES1106" s="906" t="s">
        <v>1848</v>
      </c>
      <c r="ET1106" s="2686">
        <v>9</v>
      </c>
      <c r="EV1106" s="985"/>
      <c r="EW1106" s="985"/>
      <c r="EX1106" s="387"/>
      <c r="EY1106" s="939"/>
      <c r="EZ1106" s="886"/>
    </row>
    <row r="1107" spans="88:156">
      <c r="CJ1107" s="197"/>
      <c r="CK1107" s="197"/>
      <c r="CL1107" s="197"/>
      <c r="CM1107" s="213"/>
      <c r="CN1107" s="213"/>
      <c r="CO1107" s="197"/>
      <c r="CP1107" s="197"/>
      <c r="CQ1107" s="197"/>
      <c r="CR1107" s="197"/>
      <c r="CS1107" s="197"/>
      <c r="CT1107" s="197"/>
      <c r="CU1107" s="197"/>
      <c r="CV1107" s="197"/>
      <c r="CW1107" s="197"/>
      <c r="CX1107" s="959"/>
      <c r="CY1107" s="959"/>
      <c r="CZ1107" s="959"/>
      <c r="DA1107" s="959"/>
      <c r="DB1107" s="959"/>
      <c r="DC1107" s="891">
        <v>3972</v>
      </c>
      <c r="DD1107" s="891" t="s">
        <v>4628</v>
      </c>
      <c r="DE1107" s="891" t="s">
        <v>435</v>
      </c>
      <c r="DF1107" s="891">
        <v>6</v>
      </c>
      <c r="DG1107" s="959"/>
      <c r="DH1107" s="959"/>
      <c r="ER1107" s="905">
        <v>4232</v>
      </c>
      <c r="ES1107" s="906" t="s">
        <v>1849</v>
      </c>
      <c r="ET1107" s="2686">
        <v>9</v>
      </c>
      <c r="EV1107" s="985"/>
      <c r="EW1107" s="985"/>
      <c r="EX1107" s="387"/>
      <c r="EY1107" s="939"/>
      <c r="EZ1107" s="886"/>
    </row>
    <row r="1108" spans="88:156">
      <c r="CJ1108" s="197"/>
      <c r="CK1108" s="197"/>
      <c r="CL1108" s="197"/>
      <c r="CM1108" s="213"/>
      <c r="CN1108" s="213"/>
      <c r="CO1108" s="197"/>
      <c r="CP1108" s="197"/>
      <c r="CQ1108" s="197"/>
      <c r="CR1108" s="197"/>
      <c r="CS1108" s="197"/>
      <c r="CT1108" s="197"/>
      <c r="CU1108" s="197"/>
      <c r="CV1108" s="197"/>
      <c r="CW1108" s="197"/>
      <c r="CX1108" s="959"/>
      <c r="CY1108" s="959"/>
      <c r="CZ1108" s="959"/>
      <c r="DA1108" s="959"/>
      <c r="DB1108" s="959"/>
      <c r="DC1108" s="891">
        <v>3973</v>
      </c>
      <c r="DD1108" s="891" t="s">
        <v>4629</v>
      </c>
      <c r="DE1108" s="891" t="s">
        <v>412</v>
      </c>
      <c r="DF1108" s="891">
        <v>4</v>
      </c>
      <c r="DG1108" s="959"/>
      <c r="DH1108" s="959"/>
      <c r="ER1108" s="905">
        <v>4233</v>
      </c>
      <c r="ES1108" s="906" t="s">
        <v>1850</v>
      </c>
      <c r="ET1108" s="2686">
        <v>9</v>
      </c>
      <c r="EV1108" s="985"/>
      <c r="EW1108" s="985"/>
      <c r="EX1108" s="387"/>
      <c r="EY1108" s="939"/>
      <c r="EZ1108" s="886"/>
    </row>
    <row r="1109" spans="88:156">
      <c r="CJ1109" s="197"/>
      <c r="CK1109" s="197"/>
      <c r="CL1109" s="197"/>
      <c r="CM1109" s="213"/>
      <c r="CN1109" s="213"/>
      <c r="CO1109" s="197"/>
      <c r="CP1109" s="197"/>
      <c r="CQ1109" s="197"/>
      <c r="CR1109" s="197"/>
      <c r="CS1109" s="197"/>
      <c r="CT1109" s="197"/>
      <c r="CU1109" s="197"/>
      <c r="CV1109" s="197"/>
      <c r="CW1109" s="197"/>
      <c r="CX1109" s="959"/>
      <c r="CY1109" s="959"/>
      <c r="CZ1109" s="959"/>
      <c r="DA1109" s="959"/>
      <c r="DB1109" s="959"/>
      <c r="DC1109" s="891">
        <v>3974</v>
      </c>
      <c r="DD1109" s="891" t="s">
        <v>4630</v>
      </c>
      <c r="DE1109" s="891" t="s">
        <v>427</v>
      </c>
      <c r="DF1109" s="891">
        <v>1</v>
      </c>
      <c r="DG1109" s="959"/>
      <c r="DH1109" s="959"/>
      <c r="ER1109" s="905">
        <v>4234</v>
      </c>
      <c r="ES1109" s="906" t="s">
        <v>1851</v>
      </c>
      <c r="ET1109" s="2686">
        <v>9</v>
      </c>
      <c r="EV1109" s="985"/>
      <c r="EW1109" s="985"/>
      <c r="EX1109" s="387"/>
      <c r="EY1109" s="939"/>
      <c r="EZ1109" s="886"/>
    </row>
    <row r="1110" spans="88:156">
      <c r="CJ1110" s="197"/>
      <c r="CK1110" s="197"/>
      <c r="CL1110" s="197"/>
      <c r="CM1110" s="213"/>
      <c r="CN1110" s="213"/>
      <c r="CO1110" s="197"/>
      <c r="CP1110" s="197"/>
      <c r="CQ1110" s="197"/>
      <c r="CR1110" s="197"/>
      <c r="CS1110" s="197"/>
      <c r="CT1110" s="197"/>
      <c r="CU1110" s="197"/>
      <c r="CV1110" s="197"/>
      <c r="CW1110" s="197"/>
      <c r="CX1110" s="959"/>
      <c r="CY1110" s="959"/>
      <c r="CZ1110" s="959"/>
      <c r="DA1110" s="959"/>
      <c r="DB1110" s="959"/>
      <c r="DC1110" s="891">
        <v>3976</v>
      </c>
      <c r="DD1110" s="891" t="s">
        <v>4631</v>
      </c>
      <c r="DE1110" s="891" t="s">
        <v>412</v>
      </c>
      <c r="DF1110" s="891">
        <v>1</v>
      </c>
      <c r="DG1110" s="959"/>
      <c r="DH1110" s="959"/>
      <c r="ER1110" s="905">
        <v>4235</v>
      </c>
      <c r="ES1110" s="906" t="s">
        <v>1852</v>
      </c>
      <c r="ET1110" s="2686">
        <v>9</v>
      </c>
      <c r="EV1110" s="985"/>
      <c r="EW1110" s="985"/>
      <c r="EX1110" s="387"/>
      <c r="EY1110" s="939"/>
      <c r="EZ1110" s="886"/>
    </row>
    <row r="1111" spans="88:156">
      <c r="CJ1111" s="197"/>
      <c r="CK1111" s="197"/>
      <c r="CL1111" s="197"/>
      <c r="CM1111" s="213"/>
      <c r="CN1111" s="213"/>
      <c r="CO1111" s="197"/>
      <c r="CP1111" s="197"/>
      <c r="CQ1111" s="197"/>
      <c r="CR1111" s="197"/>
      <c r="CS1111" s="197"/>
      <c r="CT1111" s="197"/>
      <c r="CU1111" s="197"/>
      <c r="CV1111" s="197"/>
      <c r="CW1111" s="197"/>
      <c r="CX1111" s="959"/>
      <c r="CY1111" s="959"/>
      <c r="CZ1111" s="959"/>
      <c r="DA1111" s="959"/>
      <c r="DB1111" s="959"/>
      <c r="DC1111" s="891">
        <v>3977</v>
      </c>
      <c r="DD1111" s="891" t="s">
        <v>4632</v>
      </c>
      <c r="DE1111" s="891" t="s">
        <v>417</v>
      </c>
      <c r="DF1111" s="891">
        <v>1</v>
      </c>
      <c r="DG1111" s="959"/>
      <c r="DH1111" s="959"/>
      <c r="ER1111" s="905">
        <v>4241</v>
      </c>
      <c r="ES1111" s="906" t="s">
        <v>1853</v>
      </c>
      <c r="ET1111" s="2686">
        <v>9</v>
      </c>
      <c r="EV1111" s="985"/>
      <c r="EW1111" s="985"/>
      <c r="EX1111" s="387"/>
      <c r="EY1111" s="939"/>
      <c r="EZ1111" s="886"/>
    </row>
    <row r="1112" spans="88:156">
      <c r="CJ1112" s="197"/>
      <c r="CK1112" s="197"/>
      <c r="CL1112" s="197"/>
      <c r="CM1112" s="213"/>
      <c r="CN1112" s="213"/>
      <c r="CO1112" s="197"/>
      <c r="CP1112" s="197"/>
      <c r="CQ1112" s="197"/>
      <c r="CR1112" s="197"/>
      <c r="CS1112" s="197"/>
      <c r="CT1112" s="197"/>
      <c r="CU1112" s="197"/>
      <c r="CV1112" s="197"/>
      <c r="CW1112" s="197"/>
      <c r="CX1112" s="959"/>
      <c r="CY1112" s="959"/>
      <c r="CZ1112" s="959"/>
      <c r="DA1112" s="959"/>
      <c r="DB1112" s="959"/>
      <c r="DC1112" s="891">
        <v>3978</v>
      </c>
      <c r="DD1112" s="891" t="s">
        <v>4633</v>
      </c>
      <c r="DE1112" s="891" t="s">
        <v>419</v>
      </c>
      <c r="DF1112" s="891">
        <v>1</v>
      </c>
      <c r="DG1112" s="959"/>
      <c r="DH1112" s="959"/>
      <c r="ER1112" s="905">
        <v>4242</v>
      </c>
      <c r="ES1112" s="906" t="s">
        <v>1854</v>
      </c>
      <c r="ET1112" s="2686">
        <v>6</v>
      </c>
      <c r="EV1112" s="985"/>
      <c r="EW1112" s="985"/>
      <c r="EX1112" s="387"/>
      <c r="EY1112" s="939"/>
      <c r="EZ1112" s="886"/>
    </row>
    <row r="1113" spans="88:156">
      <c r="CJ1113" s="197"/>
      <c r="CK1113" s="197"/>
      <c r="CL1113" s="197"/>
      <c r="CM1113" s="213"/>
      <c r="CN1113" s="213"/>
      <c r="CO1113" s="197"/>
      <c r="CP1113" s="197"/>
      <c r="CQ1113" s="197"/>
      <c r="CR1113" s="197"/>
      <c r="CS1113" s="197"/>
      <c r="CT1113" s="197"/>
      <c r="CU1113" s="197"/>
      <c r="CV1113" s="197"/>
      <c r="CW1113" s="197"/>
      <c r="CX1113" s="959"/>
      <c r="CY1113" s="959"/>
      <c r="CZ1113" s="959"/>
      <c r="DA1113" s="959"/>
      <c r="DB1113" s="959"/>
      <c r="DC1113" s="891">
        <v>3980</v>
      </c>
      <c r="DD1113" s="891" t="s">
        <v>4634</v>
      </c>
      <c r="DE1113" s="891" t="s">
        <v>412</v>
      </c>
      <c r="DF1113" s="891">
        <v>6</v>
      </c>
      <c r="DG1113" s="959"/>
      <c r="DH1113" s="959"/>
      <c r="ER1113" s="905">
        <v>4243</v>
      </c>
      <c r="ES1113" s="906" t="s">
        <v>1855</v>
      </c>
      <c r="ET1113" s="2686">
        <v>9</v>
      </c>
      <c r="EV1113" s="985"/>
      <c r="EW1113" s="985"/>
      <c r="EX1113" s="387"/>
      <c r="EY1113" s="939"/>
      <c r="EZ1113" s="886"/>
    </row>
    <row r="1114" spans="88:156">
      <c r="CJ1114" s="197"/>
      <c r="CK1114" s="197"/>
      <c r="CL1114" s="197"/>
      <c r="CM1114" s="213"/>
      <c r="CN1114" s="213"/>
      <c r="CO1114" s="197"/>
      <c r="CP1114" s="197"/>
      <c r="CQ1114" s="197"/>
      <c r="CR1114" s="197"/>
      <c r="CS1114" s="197"/>
      <c r="CT1114" s="197"/>
      <c r="CU1114" s="197"/>
      <c r="CV1114" s="197"/>
      <c r="CW1114" s="197"/>
      <c r="CX1114" s="959"/>
      <c r="CY1114" s="959"/>
      <c r="CZ1114" s="959"/>
      <c r="DA1114" s="959"/>
      <c r="DB1114" s="959"/>
      <c r="DC1114" s="891">
        <v>3985</v>
      </c>
      <c r="DD1114" s="891" t="s">
        <v>4635</v>
      </c>
      <c r="DE1114" s="891" t="s">
        <v>418</v>
      </c>
      <c r="DF1114" s="891">
        <v>6</v>
      </c>
      <c r="DG1114" s="959"/>
      <c r="DH1114" s="959"/>
      <c r="ER1114" s="905">
        <v>4244</v>
      </c>
      <c r="ES1114" s="906" t="s">
        <v>1856</v>
      </c>
      <c r="ET1114" s="2686">
        <v>9</v>
      </c>
      <c r="EV1114" s="985"/>
      <c r="EW1114" s="985"/>
      <c r="EX1114" s="387"/>
      <c r="EY1114" s="939"/>
      <c r="EZ1114" s="886"/>
    </row>
    <row r="1115" spans="88:156">
      <c r="CJ1115" s="197"/>
      <c r="CK1115" s="197"/>
      <c r="CL1115" s="197"/>
      <c r="CM1115" s="213"/>
      <c r="CN1115" s="213"/>
      <c r="CO1115" s="197"/>
      <c r="CP1115" s="197"/>
      <c r="CQ1115" s="197"/>
      <c r="CR1115" s="197"/>
      <c r="CS1115" s="197"/>
      <c r="CT1115" s="197"/>
      <c r="CU1115" s="197"/>
      <c r="CV1115" s="197"/>
      <c r="CW1115" s="197"/>
      <c r="CX1115" s="959"/>
      <c r="CY1115" s="959"/>
      <c r="CZ1115" s="959"/>
      <c r="DA1115" s="959"/>
      <c r="DB1115" s="959"/>
      <c r="DC1115" s="891">
        <v>3987</v>
      </c>
      <c r="DD1115" s="891" t="s">
        <v>4636</v>
      </c>
      <c r="DE1115" s="891" t="s">
        <v>406</v>
      </c>
      <c r="DF1115" s="891">
        <v>6</v>
      </c>
      <c r="DG1115" s="959"/>
      <c r="DH1115" s="959"/>
      <c r="ER1115" s="905">
        <v>4245</v>
      </c>
      <c r="ES1115" s="906" t="s">
        <v>2533</v>
      </c>
      <c r="ET1115" s="2686">
        <v>9</v>
      </c>
      <c r="EV1115" s="985"/>
      <c r="EW1115" s="985"/>
      <c r="EX1115" s="387"/>
      <c r="EY1115" s="939"/>
      <c r="EZ1115" s="886"/>
    </row>
    <row r="1116" spans="88:156">
      <c r="CJ1116" s="197"/>
      <c r="CK1116" s="197"/>
      <c r="CL1116" s="197"/>
      <c r="CM1116" s="213"/>
      <c r="CN1116" s="213"/>
      <c r="CO1116" s="197"/>
      <c r="CP1116" s="197"/>
      <c r="CQ1116" s="197"/>
      <c r="CR1116" s="197"/>
      <c r="CS1116" s="197"/>
      <c r="CT1116" s="197"/>
      <c r="CU1116" s="197"/>
      <c r="CV1116" s="197"/>
      <c r="CW1116" s="197"/>
      <c r="CX1116" s="959"/>
      <c r="CY1116" s="959"/>
      <c r="CZ1116" s="959"/>
      <c r="DA1116" s="959"/>
      <c r="DB1116" s="959"/>
      <c r="DC1116" s="891">
        <v>3988</v>
      </c>
      <c r="DD1116" s="891" t="s">
        <v>4637</v>
      </c>
      <c r="DE1116" s="891" t="s">
        <v>410</v>
      </c>
      <c r="DF1116" s="891">
        <v>6</v>
      </c>
      <c r="DG1116" s="959"/>
      <c r="DH1116" s="959"/>
      <c r="ER1116" s="905">
        <v>4246</v>
      </c>
      <c r="ES1116" s="905" t="s">
        <v>2534</v>
      </c>
      <c r="ET1116" s="2686">
        <v>6</v>
      </c>
      <c r="EV1116" s="985"/>
      <c r="EW1116" s="985"/>
      <c r="EX1116" s="387"/>
      <c r="EY1116" s="939"/>
      <c r="EZ1116" s="886"/>
    </row>
    <row r="1117" spans="88:156">
      <c r="CJ1117" s="197"/>
      <c r="CK1117" s="197"/>
      <c r="CL1117" s="197"/>
      <c r="CM1117" s="213"/>
      <c r="CN1117" s="213"/>
      <c r="CO1117" s="197"/>
      <c r="CP1117" s="197"/>
      <c r="CQ1117" s="197"/>
      <c r="CR1117" s="197"/>
      <c r="CS1117" s="197"/>
      <c r="CT1117" s="197"/>
      <c r="CU1117" s="197"/>
      <c r="CV1117" s="197"/>
      <c r="CW1117" s="197"/>
      <c r="CX1117" s="959"/>
      <c r="CY1117" s="959"/>
      <c r="CZ1117" s="959"/>
      <c r="DA1117" s="959"/>
      <c r="DB1117" s="959"/>
      <c r="DC1117" s="891">
        <v>3989</v>
      </c>
      <c r="DD1117" s="891" t="s">
        <v>4638</v>
      </c>
      <c r="DE1117" s="891" t="s">
        <v>404</v>
      </c>
      <c r="DF1117" s="891">
        <v>6</v>
      </c>
      <c r="DG1117" s="959"/>
      <c r="DH1117" s="959"/>
      <c r="ER1117" s="905">
        <v>4251</v>
      </c>
      <c r="ES1117" s="906" t="s">
        <v>2535</v>
      </c>
      <c r="ET1117" s="2686">
        <v>6</v>
      </c>
      <c r="EV1117" s="985"/>
      <c r="EW1117" s="985"/>
      <c r="EX1117" s="387"/>
      <c r="EY1117" s="939"/>
      <c r="EZ1117" s="886"/>
    </row>
    <row r="1118" spans="88:156">
      <c r="CJ1118" s="197"/>
      <c r="CK1118" s="197"/>
      <c r="CL1118" s="197"/>
      <c r="CM1118" s="213"/>
      <c r="CN1118" s="213"/>
      <c r="CO1118" s="197"/>
      <c r="CP1118" s="197"/>
      <c r="CQ1118" s="197"/>
      <c r="CR1118" s="197"/>
      <c r="CS1118" s="197"/>
      <c r="CT1118" s="197"/>
      <c r="CU1118" s="197"/>
      <c r="CV1118" s="197"/>
      <c r="CW1118" s="197"/>
      <c r="CX1118" s="959"/>
      <c r="CY1118" s="959"/>
      <c r="CZ1118" s="959"/>
      <c r="DA1118" s="959"/>
      <c r="DB1118" s="959"/>
      <c r="DC1118" s="891">
        <v>3991</v>
      </c>
      <c r="DD1118" s="891" t="s">
        <v>4639</v>
      </c>
      <c r="DE1118" s="891" t="s">
        <v>404</v>
      </c>
      <c r="DF1118" s="891">
        <v>6</v>
      </c>
      <c r="DG1118" s="959"/>
      <c r="DH1118" s="959"/>
      <c r="ER1118" s="905">
        <v>4252</v>
      </c>
      <c r="ES1118" s="905" t="s">
        <v>3327</v>
      </c>
      <c r="ET1118" s="2686">
        <v>9</v>
      </c>
      <c r="EV1118" s="985"/>
      <c r="EW1118" s="985"/>
      <c r="EX1118" s="387"/>
      <c r="EY1118" s="939"/>
      <c r="EZ1118" s="886"/>
    </row>
    <row r="1119" spans="88:156">
      <c r="CJ1119" s="197"/>
      <c r="CK1119" s="197"/>
      <c r="CL1119" s="197"/>
      <c r="CM1119" s="213"/>
      <c r="CN1119" s="213"/>
      <c r="CO1119" s="197"/>
      <c r="CP1119" s="197"/>
      <c r="CQ1119" s="197"/>
      <c r="CR1119" s="197"/>
      <c r="CS1119" s="197"/>
      <c r="CT1119" s="197"/>
      <c r="CU1119" s="197"/>
      <c r="CV1119" s="197"/>
      <c r="CW1119" s="197"/>
      <c r="CX1119" s="959"/>
      <c r="CY1119" s="959"/>
      <c r="CZ1119" s="959"/>
      <c r="DA1119" s="959"/>
      <c r="DB1119" s="959"/>
      <c r="DC1119" s="891">
        <v>3992</v>
      </c>
      <c r="DD1119" s="891" t="s">
        <v>4640</v>
      </c>
      <c r="DE1119" s="891" t="s">
        <v>428</v>
      </c>
      <c r="DF1119" s="891">
        <v>6</v>
      </c>
      <c r="DG1119" s="959"/>
      <c r="DH1119" s="959"/>
      <c r="ER1119" s="905">
        <v>4253</v>
      </c>
      <c r="ES1119" s="905" t="s">
        <v>3328</v>
      </c>
      <c r="ET1119" s="2686">
        <v>9</v>
      </c>
      <c r="EV1119" s="985"/>
      <c r="EW1119" s="985"/>
      <c r="EX1119" s="387"/>
      <c r="EY1119" s="939"/>
      <c r="EZ1119" s="886"/>
    </row>
    <row r="1120" spans="88:156">
      <c r="CJ1120" s="197"/>
      <c r="CK1120" s="197"/>
      <c r="CL1120" s="197"/>
      <c r="CM1120" s="213"/>
      <c r="CN1120" s="213"/>
      <c r="CO1120" s="197"/>
      <c r="CP1120" s="197"/>
      <c r="CQ1120" s="197"/>
      <c r="CR1120" s="197"/>
      <c r="CS1120" s="197"/>
      <c r="CT1120" s="197"/>
      <c r="CU1120" s="197"/>
      <c r="CV1120" s="197"/>
      <c r="CW1120" s="197"/>
      <c r="CX1120" s="959"/>
      <c r="CY1120" s="959"/>
      <c r="CZ1120" s="959"/>
      <c r="DA1120" s="959"/>
      <c r="DB1120" s="959"/>
      <c r="DC1120" s="891">
        <v>3993</v>
      </c>
      <c r="DD1120" s="891" t="s">
        <v>4641</v>
      </c>
      <c r="DE1120" s="891" t="s">
        <v>428</v>
      </c>
      <c r="DF1120" s="891">
        <v>6</v>
      </c>
      <c r="DG1120" s="959"/>
      <c r="DH1120" s="959"/>
      <c r="ER1120" s="905">
        <v>4254</v>
      </c>
      <c r="ES1120" s="906" t="s">
        <v>2538</v>
      </c>
      <c r="ET1120" s="2686">
        <v>9</v>
      </c>
      <c r="EV1120" s="985"/>
      <c r="EW1120" s="985"/>
      <c r="EX1120" s="387"/>
      <c r="EY1120" s="939"/>
      <c r="EZ1120" s="886"/>
    </row>
    <row r="1121" spans="88:156">
      <c r="CJ1121" s="197"/>
      <c r="CK1121" s="197"/>
      <c r="CL1121" s="197"/>
      <c r="CM1121" s="213"/>
      <c r="CN1121" s="213"/>
      <c r="CO1121" s="197"/>
      <c r="CP1121" s="197"/>
      <c r="CQ1121" s="197"/>
      <c r="CR1121" s="197"/>
      <c r="CS1121" s="197"/>
      <c r="CT1121" s="197"/>
      <c r="CU1121" s="197"/>
      <c r="CV1121" s="197"/>
      <c r="CW1121" s="197"/>
      <c r="CX1121" s="959"/>
      <c r="CY1121" s="959"/>
      <c r="CZ1121" s="959"/>
      <c r="DA1121" s="959"/>
      <c r="DB1121" s="959"/>
      <c r="DC1121" s="891">
        <v>3994</v>
      </c>
      <c r="DD1121" s="891" t="s">
        <v>4642</v>
      </c>
      <c r="DE1121" s="891" t="s">
        <v>417</v>
      </c>
      <c r="DF1121" s="891">
        <v>6</v>
      </c>
      <c r="DG1121" s="959"/>
      <c r="DH1121" s="959"/>
      <c r="ER1121" s="905">
        <v>4262</v>
      </c>
      <c r="ES1121" s="906" t="s">
        <v>2539</v>
      </c>
      <c r="ET1121" s="2686">
        <v>9</v>
      </c>
      <c r="EV1121" s="985"/>
      <c r="EW1121" s="985"/>
      <c r="EX1121" s="387"/>
      <c r="EY1121" s="939"/>
      <c r="EZ1121" s="886"/>
    </row>
    <row r="1122" spans="88:156">
      <c r="CJ1122" s="197"/>
      <c r="CK1122" s="197"/>
      <c r="CL1122" s="197"/>
      <c r="CM1122" s="213"/>
      <c r="CN1122" s="213"/>
      <c r="CO1122" s="197"/>
      <c r="CP1122" s="197"/>
      <c r="CQ1122" s="197"/>
      <c r="CR1122" s="197"/>
      <c r="CS1122" s="197"/>
      <c r="CT1122" s="197"/>
      <c r="CU1122" s="197"/>
      <c r="CV1122" s="197"/>
      <c r="CW1122" s="197"/>
      <c r="CX1122" s="959"/>
      <c r="CY1122" s="959"/>
      <c r="CZ1122" s="959"/>
      <c r="DA1122" s="959"/>
      <c r="DB1122" s="959"/>
      <c r="DC1122" s="891">
        <v>3995</v>
      </c>
      <c r="DD1122" s="891" t="s">
        <v>4643</v>
      </c>
      <c r="DE1122" s="891" t="s">
        <v>402</v>
      </c>
      <c r="DF1122" s="891">
        <v>6</v>
      </c>
      <c r="DG1122" s="959"/>
      <c r="DH1122" s="959"/>
      <c r="ER1122" s="905">
        <v>4263</v>
      </c>
      <c r="ES1122" s="906" t="s">
        <v>2540</v>
      </c>
      <c r="ET1122" s="2686">
        <v>9</v>
      </c>
      <c r="EV1122" s="985"/>
      <c r="EW1122" s="985"/>
      <c r="EX1122" s="387"/>
      <c r="EY1122" s="939"/>
      <c r="EZ1122" s="886"/>
    </row>
    <row r="1123" spans="88:156">
      <c r="CJ1123" s="197"/>
      <c r="CK1123" s="197"/>
      <c r="CL1123" s="197"/>
      <c r="CM1123" s="213"/>
      <c r="CN1123" s="213"/>
      <c r="CO1123" s="197"/>
      <c r="CP1123" s="197"/>
      <c r="CQ1123" s="197"/>
      <c r="CR1123" s="197"/>
      <c r="CS1123" s="197"/>
      <c r="CT1123" s="197"/>
      <c r="CU1123" s="197"/>
      <c r="CV1123" s="197"/>
      <c r="CW1123" s="197"/>
      <c r="CX1123" s="959"/>
      <c r="CY1123" s="959"/>
      <c r="CZ1123" s="959"/>
      <c r="DA1123" s="959"/>
      <c r="DB1123" s="959"/>
      <c r="DC1123" s="891">
        <v>3996</v>
      </c>
      <c r="DD1123" s="891" t="s">
        <v>4644</v>
      </c>
      <c r="DE1123" s="891" t="s">
        <v>406</v>
      </c>
      <c r="DF1123" s="891">
        <v>6</v>
      </c>
      <c r="DG1123" s="959"/>
      <c r="DH1123" s="959"/>
      <c r="ER1123" s="905">
        <v>4264</v>
      </c>
      <c r="ES1123" s="906" t="s">
        <v>2541</v>
      </c>
      <c r="ET1123" s="2686">
        <v>9</v>
      </c>
      <c r="EV1123" s="985"/>
      <c r="EW1123" s="985"/>
      <c r="EX1123" s="387"/>
      <c r="EY1123" s="939"/>
      <c r="EZ1123" s="886"/>
    </row>
    <row r="1124" spans="88:156">
      <c r="CJ1124" s="197"/>
      <c r="CK1124" s="197"/>
      <c r="CL1124" s="197"/>
      <c r="CM1124" s="213"/>
      <c r="CN1124" s="213"/>
      <c r="CO1124" s="197"/>
      <c r="CP1124" s="197"/>
      <c r="CQ1124" s="197"/>
      <c r="CR1124" s="197"/>
      <c r="CS1124" s="197"/>
      <c r="CT1124" s="197"/>
      <c r="CU1124" s="197"/>
      <c r="CV1124" s="197"/>
      <c r="CW1124" s="197"/>
      <c r="CX1124" s="959"/>
      <c r="CY1124" s="959"/>
      <c r="CZ1124" s="959"/>
      <c r="DA1124" s="959"/>
      <c r="DB1124" s="959"/>
      <c r="DC1124" s="891">
        <v>3997</v>
      </c>
      <c r="DD1124" s="891" t="s">
        <v>4645</v>
      </c>
      <c r="DE1124" s="891" t="s">
        <v>417</v>
      </c>
      <c r="DF1124" s="891">
        <v>6</v>
      </c>
      <c r="DG1124" s="959"/>
      <c r="DH1124" s="959"/>
      <c r="ER1124" s="905">
        <v>4266</v>
      </c>
      <c r="ES1124" s="906" t="s">
        <v>2542</v>
      </c>
      <c r="ET1124" s="2686">
        <v>9</v>
      </c>
      <c r="EV1124" s="985"/>
      <c r="EW1124" s="985"/>
      <c r="EX1124" s="387"/>
      <c r="EY1124" s="939"/>
      <c r="EZ1124" s="886"/>
    </row>
    <row r="1125" spans="88:156">
      <c r="CJ1125" s="197"/>
      <c r="CK1125" s="197"/>
      <c r="CL1125" s="197"/>
      <c r="CM1125" s="213"/>
      <c r="CN1125" s="213"/>
      <c r="CO1125" s="197"/>
      <c r="CP1125" s="197"/>
      <c r="CQ1125" s="197"/>
      <c r="CR1125" s="197"/>
      <c r="CS1125" s="197"/>
      <c r="CT1125" s="197"/>
      <c r="CU1125" s="197"/>
      <c r="CV1125" s="197"/>
      <c r="CW1125" s="197"/>
      <c r="CX1125" s="959"/>
      <c r="CY1125" s="959"/>
      <c r="CZ1125" s="959"/>
      <c r="DA1125" s="959"/>
      <c r="DB1125" s="959"/>
      <c r="DC1125" s="891">
        <v>3998</v>
      </c>
      <c r="DD1125" s="891" t="s">
        <v>4646</v>
      </c>
      <c r="DE1125" s="891" t="s">
        <v>402</v>
      </c>
      <c r="DF1125" s="891">
        <v>6</v>
      </c>
      <c r="DG1125" s="959"/>
      <c r="DH1125" s="959"/>
      <c r="ER1125" s="905">
        <v>4267</v>
      </c>
      <c r="ES1125" s="906" t="s">
        <v>2543</v>
      </c>
      <c r="ET1125" s="2686">
        <v>9</v>
      </c>
      <c r="EV1125" s="985"/>
      <c r="EW1125" s="985"/>
      <c r="EX1125" s="387"/>
      <c r="EY1125" s="939"/>
      <c r="EZ1125" s="886"/>
    </row>
    <row r="1126" spans="88:156">
      <c r="CJ1126" s="197"/>
      <c r="CK1126" s="197"/>
      <c r="CL1126" s="197"/>
      <c r="CM1126" s="213"/>
      <c r="CN1126" s="213"/>
      <c r="CO1126" s="197"/>
      <c r="CP1126" s="197"/>
      <c r="CQ1126" s="197"/>
      <c r="CR1126" s="197"/>
      <c r="CS1126" s="197"/>
      <c r="CT1126" s="197"/>
      <c r="CU1126" s="197"/>
      <c r="CV1126" s="197"/>
      <c r="CW1126" s="197"/>
      <c r="CX1126" s="959"/>
      <c r="CY1126" s="959"/>
      <c r="CZ1126" s="959"/>
      <c r="DA1126" s="959"/>
      <c r="DB1126" s="959"/>
      <c r="DC1126" s="891">
        <v>3999</v>
      </c>
      <c r="DD1126" s="891" t="s">
        <v>4647</v>
      </c>
      <c r="DE1126" s="891" t="s">
        <v>410</v>
      </c>
      <c r="DF1126" s="891">
        <v>6</v>
      </c>
      <c r="DG1126" s="959"/>
      <c r="DH1126" s="959"/>
      <c r="ER1126" s="905">
        <v>4271</v>
      </c>
      <c r="ES1126" s="906" t="s">
        <v>2544</v>
      </c>
      <c r="ET1126" s="2686">
        <v>6</v>
      </c>
      <c r="EV1126" s="985"/>
      <c r="EW1126" s="985"/>
      <c r="EX1126" s="387"/>
      <c r="EY1126" s="939"/>
      <c r="EZ1126" s="886"/>
    </row>
    <row r="1127" spans="88:156">
      <c r="CJ1127" s="197"/>
      <c r="CK1127" s="197"/>
      <c r="CL1127" s="197"/>
      <c r="CM1127" s="213"/>
      <c r="CN1127" s="213"/>
      <c r="CO1127" s="197"/>
      <c r="CP1127" s="197"/>
      <c r="CQ1127" s="197"/>
      <c r="CR1127" s="197"/>
      <c r="CS1127" s="197"/>
      <c r="CT1127" s="197"/>
      <c r="CU1127" s="197"/>
      <c r="CV1127" s="197"/>
      <c r="CW1127" s="197"/>
      <c r="CX1127" s="959"/>
      <c r="CY1127" s="959"/>
      <c r="CZ1127" s="959"/>
      <c r="DA1127" s="959"/>
      <c r="DB1127" s="959"/>
      <c r="DC1127" s="891">
        <v>4000</v>
      </c>
      <c r="DD1127" s="891" t="s">
        <v>4648</v>
      </c>
      <c r="DE1127" s="891" t="s">
        <v>431</v>
      </c>
      <c r="DF1127" s="891">
        <v>2</v>
      </c>
      <c r="DG1127" s="959"/>
      <c r="DH1127" s="959"/>
      <c r="ER1127" s="905">
        <v>4272</v>
      </c>
      <c r="ES1127" s="906" t="s">
        <v>2545</v>
      </c>
      <c r="ET1127" s="2686">
        <v>9</v>
      </c>
      <c r="EV1127" s="985"/>
      <c r="EW1127" s="985"/>
      <c r="EX1127" s="387"/>
      <c r="EY1127" s="939"/>
      <c r="EZ1127" s="886"/>
    </row>
    <row r="1128" spans="88:156">
      <c r="CJ1128" s="197"/>
      <c r="CK1128" s="197"/>
      <c r="CL1128" s="197"/>
      <c r="CM1128" s="213"/>
      <c r="CN1128" s="213"/>
      <c r="CO1128" s="197"/>
      <c r="CP1128" s="197"/>
      <c r="CQ1128" s="197"/>
      <c r="CR1128" s="197"/>
      <c r="CS1128" s="197"/>
      <c r="CT1128" s="197"/>
      <c r="CU1128" s="197"/>
      <c r="CV1128" s="197"/>
      <c r="CW1128" s="197"/>
      <c r="CX1128" s="959"/>
      <c r="CY1128" s="959"/>
      <c r="CZ1128" s="959"/>
      <c r="DA1128" s="959"/>
      <c r="DB1128" s="959"/>
      <c r="DC1128" s="891">
        <v>4002</v>
      </c>
      <c r="DD1128" s="891" t="s">
        <v>4649</v>
      </c>
      <c r="DE1128" s="891" t="s">
        <v>417</v>
      </c>
      <c r="DF1128" s="891">
        <v>2</v>
      </c>
      <c r="DG1128" s="959"/>
      <c r="DH1128" s="959"/>
      <c r="ER1128" s="905">
        <v>4273</v>
      </c>
      <c r="ES1128" s="906" t="s">
        <v>2546</v>
      </c>
      <c r="ET1128" s="2686">
        <v>9</v>
      </c>
      <c r="EV1128" s="985"/>
      <c r="EW1128" s="985"/>
      <c r="EX1128" s="387"/>
      <c r="EY1128" s="939"/>
      <c r="EZ1128" s="886"/>
    </row>
    <row r="1129" spans="88:156">
      <c r="CJ1129" s="197"/>
      <c r="CK1129" s="197"/>
      <c r="CL1129" s="197"/>
      <c r="CM1129" s="213"/>
      <c r="CN1129" s="213"/>
      <c r="CO1129" s="197"/>
      <c r="CP1129" s="197"/>
      <c r="CQ1129" s="197"/>
      <c r="CR1129" s="197"/>
      <c r="CS1129" s="197"/>
      <c r="CT1129" s="197"/>
      <c r="CU1129" s="197"/>
      <c r="CV1129" s="197"/>
      <c r="CW1129" s="197"/>
      <c r="CX1129" s="959"/>
      <c r="CY1129" s="959"/>
      <c r="CZ1129" s="959"/>
      <c r="DA1129" s="959"/>
      <c r="DB1129" s="959"/>
      <c r="DC1129" s="891">
        <v>4014</v>
      </c>
      <c r="DD1129" s="891" t="s">
        <v>4650</v>
      </c>
      <c r="DE1129" s="891" t="s">
        <v>412</v>
      </c>
      <c r="DF1129" s="891">
        <v>2</v>
      </c>
      <c r="DG1129" s="959"/>
      <c r="DH1129" s="959"/>
      <c r="ER1129" s="905">
        <v>4274</v>
      </c>
      <c r="ES1129" s="906" t="s">
        <v>2547</v>
      </c>
      <c r="ET1129" s="2686">
        <v>9</v>
      </c>
      <c r="EV1129" s="985"/>
      <c r="EW1129" s="985"/>
      <c r="EX1129" s="387"/>
      <c r="EY1129" s="939"/>
      <c r="EZ1129" s="886"/>
    </row>
    <row r="1130" spans="88:156">
      <c r="CJ1130" s="197"/>
      <c r="CK1130" s="197"/>
      <c r="CL1130" s="197"/>
      <c r="CM1130" s="213"/>
      <c r="CN1130" s="213"/>
      <c r="CO1130" s="197"/>
      <c r="CP1130" s="197"/>
      <c r="CQ1130" s="197"/>
      <c r="CR1130" s="197"/>
      <c r="CS1130" s="197"/>
      <c r="CT1130" s="197"/>
      <c r="CU1130" s="197"/>
      <c r="CV1130" s="197"/>
      <c r="CW1130" s="197"/>
      <c r="CX1130" s="959"/>
      <c r="CY1130" s="959"/>
      <c r="CZ1130" s="959"/>
      <c r="DA1130" s="959"/>
      <c r="DB1130" s="959"/>
      <c r="DC1130" s="891">
        <v>4022</v>
      </c>
      <c r="DD1130" s="891" t="s">
        <v>4651</v>
      </c>
      <c r="DE1130" s="891" t="s">
        <v>421</v>
      </c>
      <c r="DF1130" s="891">
        <v>2</v>
      </c>
      <c r="DG1130" s="959"/>
      <c r="DH1130" s="959"/>
      <c r="ER1130" s="905">
        <v>4275</v>
      </c>
      <c r="ES1130" s="906" t="s">
        <v>2548</v>
      </c>
      <c r="ET1130" s="2686">
        <v>9</v>
      </c>
      <c r="EV1130" s="985"/>
      <c r="EW1130" s="985"/>
      <c r="EX1130" s="387"/>
      <c r="EY1130" s="939"/>
      <c r="EZ1130" s="886"/>
    </row>
    <row r="1131" spans="88:156">
      <c r="CJ1131" s="197"/>
      <c r="CK1131" s="197"/>
      <c r="CL1131" s="197"/>
      <c r="CM1131" s="213"/>
      <c r="CN1131" s="213"/>
      <c r="CO1131" s="197"/>
      <c r="CP1131" s="197"/>
      <c r="CQ1131" s="197"/>
      <c r="CR1131" s="197"/>
      <c r="CS1131" s="197"/>
      <c r="CT1131" s="197"/>
      <c r="CU1131" s="197"/>
      <c r="CV1131" s="197"/>
      <c r="CW1131" s="197"/>
      <c r="CX1131" s="959"/>
      <c r="CY1131" s="959"/>
      <c r="CZ1131" s="959"/>
      <c r="DA1131" s="959"/>
      <c r="DB1131" s="959"/>
      <c r="DC1131" s="891">
        <v>4024</v>
      </c>
      <c r="DD1131" s="891" t="s">
        <v>4648</v>
      </c>
      <c r="DE1131" s="891" t="s">
        <v>412</v>
      </c>
      <c r="DF1131" s="891">
        <v>4</v>
      </c>
      <c r="DG1131" s="959"/>
      <c r="DH1131" s="959"/>
      <c r="ER1131" s="905">
        <v>4281</v>
      </c>
      <c r="ES1131" s="906" t="s">
        <v>3329</v>
      </c>
      <c r="ET1131" s="2686">
        <v>9</v>
      </c>
      <c r="EV1131" s="985"/>
      <c r="EW1131" s="985"/>
      <c r="EX1131" s="387"/>
      <c r="EY1131" s="939"/>
      <c r="EZ1131" s="886"/>
    </row>
    <row r="1132" spans="88:156">
      <c r="CJ1132" s="197"/>
      <c r="CK1132" s="197"/>
      <c r="CL1132" s="197"/>
      <c r="CM1132" s="213"/>
      <c r="CN1132" s="213"/>
      <c r="CO1132" s="197"/>
      <c r="CP1132" s="197"/>
      <c r="CQ1132" s="197"/>
      <c r="CR1132" s="197"/>
      <c r="CS1132" s="197"/>
      <c r="CT1132" s="197"/>
      <c r="CU1132" s="197"/>
      <c r="CV1132" s="197"/>
      <c r="CW1132" s="197"/>
      <c r="CX1132" s="959"/>
      <c r="CY1132" s="959"/>
      <c r="CZ1132" s="959"/>
      <c r="DA1132" s="959"/>
      <c r="DB1132" s="959"/>
      <c r="DC1132" s="891">
        <v>4025</v>
      </c>
      <c r="DD1132" s="891" t="s">
        <v>4648</v>
      </c>
      <c r="DE1132" s="891" t="s">
        <v>406</v>
      </c>
      <c r="DF1132" s="891">
        <v>2</v>
      </c>
      <c r="DG1132" s="959"/>
      <c r="DH1132" s="959"/>
      <c r="ER1132" s="905">
        <v>4283</v>
      </c>
      <c r="ES1132" s="906" t="s">
        <v>3330</v>
      </c>
      <c r="ET1132" s="2686">
        <v>9</v>
      </c>
      <c r="EV1132" s="985"/>
      <c r="EW1132" s="985"/>
      <c r="EX1132" s="387"/>
      <c r="EY1132" s="939"/>
      <c r="EZ1132" s="886"/>
    </row>
    <row r="1133" spans="88:156">
      <c r="CJ1133" s="197"/>
      <c r="CK1133" s="197"/>
      <c r="CL1133" s="197"/>
      <c r="CM1133" s="213"/>
      <c r="CN1133" s="213"/>
      <c r="CO1133" s="197"/>
      <c r="CP1133" s="197"/>
      <c r="CQ1133" s="197"/>
      <c r="CR1133" s="197"/>
      <c r="CS1133" s="197"/>
      <c r="CT1133" s="197"/>
      <c r="CU1133" s="197"/>
      <c r="CV1133" s="197"/>
      <c r="CW1133" s="197"/>
      <c r="CX1133" s="959"/>
      <c r="CY1133" s="959"/>
      <c r="CZ1133" s="959"/>
      <c r="DA1133" s="959"/>
      <c r="DB1133" s="959"/>
      <c r="DC1133" s="891">
        <v>4026</v>
      </c>
      <c r="DD1133" s="891" t="s">
        <v>4648</v>
      </c>
      <c r="DE1133" s="891" t="s">
        <v>412</v>
      </c>
      <c r="DF1133" s="891">
        <v>4</v>
      </c>
      <c r="DG1133" s="959"/>
      <c r="DH1133" s="959"/>
      <c r="ER1133" s="905">
        <v>4284</v>
      </c>
      <c r="ES1133" s="906" t="s">
        <v>2551</v>
      </c>
      <c r="ET1133" s="2686">
        <v>9</v>
      </c>
      <c r="EV1133" s="985"/>
      <c r="EW1133" s="985"/>
      <c r="EX1133" s="387"/>
      <c r="EY1133" s="939"/>
      <c r="EZ1133" s="886"/>
    </row>
    <row r="1134" spans="88:156">
      <c r="CJ1134" s="197"/>
      <c r="CK1134" s="197"/>
      <c r="CL1134" s="197"/>
      <c r="CM1134" s="213"/>
      <c r="CN1134" s="213"/>
      <c r="CO1134" s="197"/>
      <c r="CP1134" s="197"/>
      <c r="CQ1134" s="197"/>
      <c r="CR1134" s="197"/>
      <c r="CS1134" s="197"/>
      <c r="CT1134" s="197"/>
      <c r="CU1134" s="197"/>
      <c r="CV1134" s="197"/>
      <c r="CW1134" s="197"/>
      <c r="CX1134" s="959"/>
      <c r="CY1134" s="959"/>
      <c r="CZ1134" s="959"/>
      <c r="DA1134" s="959"/>
      <c r="DB1134" s="959"/>
      <c r="DC1134" s="891">
        <v>4027</v>
      </c>
      <c r="DD1134" s="891" t="s">
        <v>4648</v>
      </c>
      <c r="DE1134" s="891" t="s">
        <v>421</v>
      </c>
      <c r="DF1134" s="891">
        <v>1</v>
      </c>
      <c r="DG1134" s="959"/>
      <c r="DH1134" s="959"/>
      <c r="ER1134" s="905">
        <v>4285</v>
      </c>
      <c r="ES1134" s="906" t="s">
        <v>2552</v>
      </c>
      <c r="ET1134" s="2686">
        <v>9</v>
      </c>
      <c r="EV1134" s="985"/>
      <c r="EW1134" s="985"/>
      <c r="EX1134" s="387"/>
      <c r="EY1134" s="939"/>
      <c r="EZ1134" s="886"/>
    </row>
    <row r="1135" spans="88:156">
      <c r="CJ1135" s="197"/>
      <c r="CK1135" s="197"/>
      <c r="CL1135" s="197"/>
      <c r="CM1135" s="213"/>
      <c r="CN1135" s="213"/>
      <c r="CO1135" s="197"/>
      <c r="CP1135" s="197"/>
      <c r="CQ1135" s="197"/>
      <c r="CR1135" s="197"/>
      <c r="CS1135" s="197"/>
      <c r="CT1135" s="197"/>
      <c r="CU1135" s="197"/>
      <c r="CV1135" s="197"/>
      <c r="CW1135" s="197"/>
      <c r="CX1135" s="959"/>
      <c r="CY1135" s="959"/>
      <c r="CZ1135" s="959"/>
      <c r="DA1135" s="959"/>
      <c r="DB1135" s="959"/>
      <c r="DC1135" s="891">
        <v>4028</v>
      </c>
      <c r="DD1135" s="891" t="s">
        <v>4648</v>
      </c>
      <c r="DE1135" s="891" t="s">
        <v>412</v>
      </c>
      <c r="DF1135" s="891">
        <v>4</v>
      </c>
      <c r="DG1135" s="959"/>
      <c r="DH1135" s="959"/>
      <c r="ER1135" s="905">
        <v>4286</v>
      </c>
      <c r="ES1135" s="906" t="s">
        <v>2553</v>
      </c>
      <c r="ET1135" s="2686">
        <v>9</v>
      </c>
      <c r="EV1135" s="985"/>
      <c r="EW1135" s="985"/>
      <c r="EX1135" s="387"/>
      <c r="EY1135" s="939"/>
      <c r="EZ1135" s="886"/>
    </row>
    <row r="1136" spans="88:156">
      <c r="CJ1136" s="197"/>
      <c r="CK1136" s="197"/>
      <c r="CL1136" s="197"/>
      <c r="CM1136" s="213"/>
      <c r="CN1136" s="213"/>
      <c r="CO1136" s="197"/>
      <c r="CP1136" s="197"/>
      <c r="CQ1136" s="197"/>
      <c r="CR1136" s="197"/>
      <c r="CS1136" s="197"/>
      <c r="CT1136" s="197"/>
      <c r="CU1136" s="197"/>
      <c r="CV1136" s="197"/>
      <c r="CW1136" s="197"/>
      <c r="CX1136" s="959"/>
      <c r="CY1136" s="959"/>
      <c r="CZ1136" s="959"/>
      <c r="DA1136" s="959"/>
      <c r="DB1136" s="959"/>
      <c r="DC1136" s="891">
        <v>4029</v>
      </c>
      <c r="DD1136" s="891" t="s">
        <v>4648</v>
      </c>
      <c r="DE1136" s="891" t="s">
        <v>427</v>
      </c>
      <c r="DF1136" s="891">
        <v>2</v>
      </c>
      <c r="DG1136" s="959"/>
      <c r="DH1136" s="959"/>
      <c r="ER1136" s="905">
        <v>4287</v>
      </c>
      <c r="ES1136" s="906" t="s">
        <v>2554</v>
      </c>
      <c r="ET1136" s="2686">
        <v>9</v>
      </c>
      <c r="EV1136" s="985"/>
      <c r="EW1136" s="985"/>
      <c r="EX1136" s="387"/>
      <c r="EY1136" s="939"/>
      <c r="EZ1136" s="886"/>
    </row>
    <row r="1137" spans="88:156">
      <c r="CJ1137" s="197"/>
      <c r="CK1137" s="197"/>
      <c r="CL1137" s="197"/>
      <c r="CM1137" s="213"/>
      <c r="CN1137" s="213"/>
      <c r="CO1137" s="197"/>
      <c r="CP1137" s="197"/>
      <c r="CQ1137" s="197"/>
      <c r="CR1137" s="197"/>
      <c r="CS1137" s="197"/>
      <c r="CT1137" s="197"/>
      <c r="CU1137" s="197"/>
      <c r="CV1137" s="197"/>
      <c r="CW1137" s="197"/>
      <c r="CX1137" s="959"/>
      <c r="CY1137" s="959"/>
      <c r="CZ1137" s="959"/>
      <c r="DA1137" s="959"/>
      <c r="DB1137" s="959"/>
      <c r="DC1137" s="891">
        <v>4030</v>
      </c>
      <c r="DD1137" s="891" t="s">
        <v>4648</v>
      </c>
      <c r="DE1137" s="891" t="s">
        <v>421</v>
      </c>
      <c r="DF1137" s="891">
        <v>2</v>
      </c>
      <c r="DG1137" s="959"/>
      <c r="DH1137" s="959"/>
      <c r="ER1137" s="905">
        <v>4288</v>
      </c>
      <c r="ES1137" s="906" t="s">
        <v>2555</v>
      </c>
      <c r="ET1137" s="2686">
        <v>9</v>
      </c>
      <c r="EV1137" s="985"/>
      <c r="EW1137" s="985"/>
      <c r="EX1137" s="387"/>
      <c r="EY1137" s="939"/>
      <c r="EZ1137" s="886"/>
    </row>
    <row r="1138" spans="88:156">
      <c r="CJ1138" s="197"/>
      <c r="CK1138" s="197"/>
      <c r="CL1138" s="197"/>
      <c r="CM1138" s="213"/>
      <c r="CN1138" s="213"/>
      <c r="CO1138" s="197"/>
      <c r="CP1138" s="197"/>
      <c r="CQ1138" s="197"/>
      <c r="CR1138" s="197"/>
      <c r="CS1138" s="197"/>
      <c r="CT1138" s="197"/>
      <c r="CU1138" s="197"/>
      <c r="CV1138" s="197"/>
      <c r="CW1138" s="197"/>
      <c r="CX1138" s="959"/>
      <c r="CY1138" s="959"/>
      <c r="CZ1138" s="959"/>
      <c r="DA1138" s="959"/>
      <c r="DB1138" s="959"/>
      <c r="DC1138" s="891">
        <v>4031</v>
      </c>
      <c r="DD1138" s="891" t="s">
        <v>4648</v>
      </c>
      <c r="DE1138" s="891" t="s">
        <v>423</v>
      </c>
      <c r="DF1138" s="891">
        <v>2</v>
      </c>
      <c r="DG1138" s="959"/>
      <c r="DH1138" s="959"/>
      <c r="ER1138" s="905">
        <v>4300</v>
      </c>
      <c r="ES1138" s="906" t="s">
        <v>2556</v>
      </c>
      <c r="ET1138" s="2686">
        <v>9</v>
      </c>
      <c r="EV1138" s="985"/>
      <c r="EW1138" s="985"/>
      <c r="EX1138" s="387"/>
      <c r="EY1138" s="939"/>
      <c r="EZ1138" s="886"/>
    </row>
    <row r="1139" spans="88:156">
      <c r="CJ1139" s="197"/>
      <c r="CK1139" s="197"/>
      <c r="CL1139" s="197"/>
      <c r="CM1139" s="213"/>
      <c r="CN1139" s="213"/>
      <c r="CO1139" s="197"/>
      <c r="CP1139" s="197"/>
      <c r="CQ1139" s="197"/>
      <c r="CR1139" s="197"/>
      <c r="CS1139" s="197"/>
      <c r="CT1139" s="197"/>
      <c r="CU1139" s="197"/>
      <c r="CV1139" s="197"/>
      <c r="CW1139" s="197"/>
      <c r="CX1139" s="959"/>
      <c r="CY1139" s="959"/>
      <c r="CZ1139" s="959"/>
      <c r="DA1139" s="959"/>
      <c r="DB1139" s="959"/>
      <c r="DC1139" s="891">
        <v>4032</v>
      </c>
      <c r="DD1139" s="891" t="s">
        <v>4648</v>
      </c>
      <c r="DE1139" s="891" t="s">
        <v>435</v>
      </c>
      <c r="DF1139" s="891">
        <v>2</v>
      </c>
      <c r="DG1139" s="959"/>
      <c r="DH1139" s="959"/>
      <c r="ER1139" s="905">
        <v>4311</v>
      </c>
      <c r="ES1139" s="906" t="s">
        <v>2557</v>
      </c>
      <c r="ET1139" s="2686">
        <v>9</v>
      </c>
      <c r="EV1139" s="985"/>
      <c r="EW1139" s="985"/>
      <c r="EX1139" s="387"/>
      <c r="EY1139" s="939"/>
      <c r="EZ1139" s="886"/>
    </row>
    <row r="1140" spans="88:156">
      <c r="CJ1140" s="197"/>
      <c r="CK1140" s="197"/>
      <c r="CL1140" s="197"/>
      <c r="CM1140" s="213"/>
      <c r="CN1140" s="213"/>
      <c r="CO1140" s="197"/>
      <c r="CP1140" s="197"/>
      <c r="CQ1140" s="197"/>
      <c r="CR1140" s="197"/>
      <c r="CS1140" s="197"/>
      <c r="CT1140" s="197"/>
      <c r="CU1140" s="197"/>
      <c r="CV1140" s="197"/>
      <c r="CW1140" s="197"/>
      <c r="CX1140" s="959"/>
      <c r="CY1140" s="959"/>
      <c r="CZ1140" s="959"/>
      <c r="DA1140" s="959"/>
      <c r="DB1140" s="959"/>
      <c r="DC1140" s="891">
        <v>4033</v>
      </c>
      <c r="DD1140" s="891" t="s">
        <v>4648</v>
      </c>
      <c r="DE1140" s="891" t="s">
        <v>412</v>
      </c>
      <c r="DF1140" s="891">
        <v>4</v>
      </c>
      <c r="DG1140" s="959"/>
      <c r="DH1140" s="959"/>
      <c r="ER1140" s="905">
        <v>4320</v>
      </c>
      <c r="ES1140" s="906" t="s">
        <v>2558</v>
      </c>
      <c r="ET1140" s="2686">
        <v>9</v>
      </c>
      <c r="EV1140" s="985"/>
      <c r="EW1140" s="985"/>
      <c r="EX1140" s="387"/>
      <c r="EY1140" s="939"/>
      <c r="EZ1140" s="886"/>
    </row>
    <row r="1141" spans="88:156">
      <c r="CJ1141" s="197"/>
      <c r="CK1141" s="197"/>
      <c r="CL1141" s="197"/>
      <c r="CM1141" s="213"/>
      <c r="CN1141" s="213"/>
      <c r="CO1141" s="197"/>
      <c r="CP1141" s="197"/>
      <c r="CQ1141" s="197"/>
      <c r="CR1141" s="197"/>
      <c r="CS1141" s="197"/>
      <c r="CT1141" s="197"/>
      <c r="CU1141" s="197"/>
      <c r="CV1141" s="197"/>
      <c r="CW1141" s="197"/>
      <c r="CX1141" s="959"/>
      <c r="CY1141" s="959"/>
      <c r="CZ1141" s="959"/>
      <c r="DA1141" s="959"/>
      <c r="DB1141" s="959"/>
      <c r="DC1141" s="891">
        <v>4034</v>
      </c>
      <c r="DD1141" s="891" t="s">
        <v>4648</v>
      </c>
      <c r="DE1141" s="891" t="s">
        <v>435</v>
      </c>
      <c r="DF1141" s="891">
        <v>4</v>
      </c>
      <c r="DG1141" s="959"/>
      <c r="DH1141" s="959"/>
      <c r="ER1141" s="905">
        <v>4324</v>
      </c>
      <c r="ES1141" s="906" t="s">
        <v>2559</v>
      </c>
      <c r="ET1141" s="2686">
        <v>9</v>
      </c>
      <c r="EV1141" s="985"/>
      <c r="EW1141" s="985"/>
      <c r="EX1141" s="387"/>
      <c r="EY1141" s="939"/>
      <c r="EZ1141" s="886"/>
    </row>
    <row r="1142" spans="88:156">
      <c r="CJ1142" s="197"/>
      <c r="CK1142" s="197"/>
      <c r="CL1142" s="197"/>
      <c r="CM1142" s="213"/>
      <c r="CN1142" s="213"/>
      <c r="CO1142" s="197"/>
      <c r="CP1142" s="197"/>
      <c r="CQ1142" s="197"/>
      <c r="CR1142" s="197"/>
      <c r="CS1142" s="197"/>
      <c r="CT1142" s="197"/>
      <c r="CU1142" s="197"/>
      <c r="CV1142" s="197"/>
      <c r="CW1142" s="197"/>
      <c r="CX1142" s="959"/>
      <c r="CY1142" s="959"/>
      <c r="CZ1142" s="959"/>
      <c r="DA1142" s="959"/>
      <c r="DB1142" s="959"/>
      <c r="DC1142" s="891">
        <v>4043</v>
      </c>
      <c r="DD1142" s="891" t="s">
        <v>4648</v>
      </c>
      <c r="DE1142" s="891" t="s">
        <v>419</v>
      </c>
      <c r="DF1142" s="891">
        <v>4</v>
      </c>
      <c r="DG1142" s="959"/>
      <c r="DH1142" s="959"/>
      <c r="ER1142" s="905">
        <v>4325</v>
      </c>
      <c r="ES1142" s="906" t="s">
        <v>2560</v>
      </c>
      <c r="ET1142" s="2686">
        <v>9</v>
      </c>
      <c r="EV1142" s="985"/>
      <c r="EW1142" s="985"/>
      <c r="EX1142" s="387"/>
      <c r="EY1142" s="939"/>
      <c r="EZ1142" s="886"/>
    </row>
    <row r="1143" spans="88:156">
      <c r="CJ1143" s="197"/>
      <c r="CK1143" s="197"/>
      <c r="CL1143" s="197"/>
      <c r="CM1143" s="213"/>
      <c r="CN1143" s="213"/>
      <c r="CO1143" s="197"/>
      <c r="CP1143" s="197"/>
      <c r="CQ1143" s="197"/>
      <c r="CR1143" s="197"/>
      <c r="CS1143" s="197"/>
      <c r="CT1143" s="197"/>
      <c r="CU1143" s="197"/>
      <c r="CV1143" s="197"/>
      <c r="CW1143" s="197"/>
      <c r="CX1143" s="959"/>
      <c r="CY1143" s="959"/>
      <c r="CZ1143" s="959"/>
      <c r="DA1143" s="959"/>
      <c r="DB1143" s="959"/>
      <c r="DC1143" s="891">
        <v>4060</v>
      </c>
      <c r="DD1143" s="891" t="s">
        <v>4652</v>
      </c>
      <c r="DE1143" s="891" t="s">
        <v>432</v>
      </c>
      <c r="DF1143" s="891">
        <v>4</v>
      </c>
      <c r="DG1143" s="959"/>
      <c r="DH1143" s="959"/>
      <c r="ER1143" s="905">
        <v>4326</v>
      </c>
      <c r="ES1143" s="906" t="s">
        <v>2561</v>
      </c>
      <c r="ET1143" s="2686">
        <v>9</v>
      </c>
      <c r="EV1143" s="985"/>
      <c r="EW1143" s="985"/>
      <c r="EX1143" s="387"/>
      <c r="EY1143" s="939"/>
      <c r="EZ1143" s="886"/>
    </row>
    <row r="1144" spans="88:156">
      <c r="CJ1144" s="197"/>
      <c r="CK1144" s="197"/>
      <c r="CL1144" s="197"/>
      <c r="CM1144" s="213"/>
      <c r="CN1144" s="213"/>
      <c r="CO1144" s="197"/>
      <c r="CP1144" s="197"/>
      <c r="CQ1144" s="197"/>
      <c r="CR1144" s="197"/>
      <c r="CS1144" s="197"/>
      <c r="CT1144" s="197"/>
      <c r="CU1144" s="197"/>
      <c r="CV1144" s="197"/>
      <c r="CW1144" s="197"/>
      <c r="CX1144" s="959"/>
      <c r="CY1144" s="959"/>
      <c r="CZ1144" s="959"/>
      <c r="DA1144" s="959"/>
      <c r="DB1144" s="959"/>
      <c r="DC1144" s="891">
        <v>4063</v>
      </c>
      <c r="DD1144" s="891" t="s">
        <v>4653</v>
      </c>
      <c r="DE1144" s="891" t="s">
        <v>2807</v>
      </c>
      <c r="DF1144" s="891">
        <v>2</v>
      </c>
      <c r="DG1144" s="959"/>
      <c r="DH1144" s="959"/>
      <c r="ER1144" s="905">
        <v>4327</v>
      </c>
      <c r="ES1144" s="906" t="s">
        <v>2562</v>
      </c>
      <c r="ET1144" s="2686">
        <v>9</v>
      </c>
      <c r="EV1144" s="985"/>
      <c r="EW1144" s="985"/>
      <c r="EX1144" s="387"/>
      <c r="EY1144" s="939"/>
      <c r="EZ1144" s="886"/>
    </row>
    <row r="1145" spans="88:156">
      <c r="CJ1145" s="197"/>
      <c r="CK1145" s="197"/>
      <c r="CL1145" s="197"/>
      <c r="CM1145" s="213"/>
      <c r="CN1145" s="213"/>
      <c r="CO1145" s="197"/>
      <c r="CP1145" s="197"/>
      <c r="CQ1145" s="197"/>
      <c r="CR1145" s="197"/>
      <c r="CS1145" s="197"/>
      <c r="CT1145" s="197"/>
      <c r="CU1145" s="197"/>
      <c r="CV1145" s="197"/>
      <c r="CW1145" s="197"/>
      <c r="CX1145" s="959"/>
      <c r="CY1145" s="959"/>
      <c r="CZ1145" s="959"/>
      <c r="DA1145" s="959"/>
      <c r="DB1145" s="959"/>
      <c r="DC1145" s="891">
        <v>4064</v>
      </c>
      <c r="DD1145" s="891" t="s">
        <v>4654</v>
      </c>
      <c r="DE1145" s="891" t="s">
        <v>2808</v>
      </c>
      <c r="DF1145" s="891">
        <v>4</v>
      </c>
      <c r="DG1145" s="959"/>
      <c r="DH1145" s="959"/>
      <c r="ER1145" s="905">
        <v>4331</v>
      </c>
      <c r="ES1145" s="906" t="s">
        <v>2563</v>
      </c>
      <c r="ET1145" s="2686">
        <v>9</v>
      </c>
      <c r="EV1145" s="985"/>
      <c r="EW1145" s="985"/>
      <c r="EX1145" s="387"/>
      <c r="EY1145" s="939"/>
      <c r="EZ1145" s="886"/>
    </row>
    <row r="1146" spans="88:156">
      <c r="CJ1146" s="197"/>
      <c r="CK1146" s="197"/>
      <c r="CL1146" s="197"/>
      <c r="CM1146" s="213"/>
      <c r="CN1146" s="213"/>
      <c r="CO1146" s="197"/>
      <c r="CP1146" s="197"/>
      <c r="CQ1146" s="197"/>
      <c r="CR1146" s="197"/>
      <c r="CS1146" s="197"/>
      <c r="CT1146" s="197"/>
      <c r="CU1146" s="197"/>
      <c r="CV1146" s="197"/>
      <c r="CW1146" s="197"/>
      <c r="CX1146" s="959"/>
      <c r="CY1146" s="959"/>
      <c r="CZ1146" s="959"/>
      <c r="DA1146" s="959"/>
      <c r="DB1146" s="959"/>
      <c r="DC1146" s="891">
        <v>4065</v>
      </c>
      <c r="DD1146" s="891" t="s">
        <v>4655</v>
      </c>
      <c r="DE1146" s="891" t="s">
        <v>432</v>
      </c>
      <c r="DF1146" s="891">
        <v>6</v>
      </c>
      <c r="DG1146" s="959"/>
      <c r="DH1146" s="959"/>
      <c r="ER1146" s="905">
        <v>4332</v>
      </c>
      <c r="ES1146" s="906" t="s">
        <v>2564</v>
      </c>
      <c r="ET1146" s="2686">
        <v>9</v>
      </c>
      <c r="EV1146" s="985"/>
      <c r="EW1146" s="985"/>
      <c r="EX1146" s="387"/>
      <c r="EY1146" s="939"/>
      <c r="EZ1146" s="886"/>
    </row>
    <row r="1147" spans="88:156">
      <c r="CJ1147" s="197"/>
      <c r="CK1147" s="197"/>
      <c r="CL1147" s="197"/>
      <c r="CM1147" s="213"/>
      <c r="CN1147" s="213"/>
      <c r="CO1147" s="197"/>
      <c r="CP1147" s="197"/>
      <c r="CQ1147" s="197"/>
      <c r="CR1147" s="197"/>
      <c r="CS1147" s="197"/>
      <c r="CT1147" s="197"/>
      <c r="CU1147" s="197"/>
      <c r="CV1147" s="197"/>
      <c r="CW1147" s="197"/>
      <c r="CX1147" s="959"/>
      <c r="CY1147" s="959"/>
      <c r="CZ1147" s="959"/>
      <c r="DA1147" s="959"/>
      <c r="DB1147" s="959"/>
      <c r="DC1147" s="891">
        <v>4066</v>
      </c>
      <c r="DD1147" s="891" t="s">
        <v>4656</v>
      </c>
      <c r="DE1147" s="891" t="s">
        <v>412</v>
      </c>
      <c r="DF1147" s="891">
        <v>6</v>
      </c>
      <c r="DG1147" s="959"/>
      <c r="DH1147" s="959"/>
      <c r="ER1147" s="905">
        <v>4333</v>
      </c>
      <c r="ES1147" s="906" t="s">
        <v>2565</v>
      </c>
      <c r="ET1147" s="2686">
        <v>9</v>
      </c>
      <c r="EV1147" s="985"/>
      <c r="EW1147" s="985"/>
      <c r="EX1147" s="387"/>
      <c r="EY1147" s="939"/>
      <c r="EZ1147" s="886"/>
    </row>
    <row r="1148" spans="88:156">
      <c r="CJ1148" s="197"/>
      <c r="CK1148" s="197"/>
      <c r="CL1148" s="197"/>
      <c r="CM1148" s="213"/>
      <c r="CN1148" s="213"/>
      <c r="CO1148" s="197"/>
      <c r="CP1148" s="197"/>
      <c r="CQ1148" s="197"/>
      <c r="CR1148" s="197"/>
      <c r="CS1148" s="197"/>
      <c r="CT1148" s="197"/>
      <c r="CU1148" s="197"/>
      <c r="CV1148" s="197"/>
      <c r="CW1148" s="197"/>
      <c r="CX1148" s="959"/>
      <c r="CY1148" s="959"/>
      <c r="CZ1148" s="959"/>
      <c r="DA1148" s="959"/>
      <c r="DB1148" s="959"/>
      <c r="DC1148" s="891">
        <v>4067</v>
      </c>
      <c r="DD1148" s="891" t="s">
        <v>4657</v>
      </c>
      <c r="DE1148" s="891" t="s">
        <v>432</v>
      </c>
      <c r="DF1148" s="891">
        <v>6</v>
      </c>
      <c r="DG1148" s="959"/>
      <c r="DH1148" s="959"/>
      <c r="ER1148" s="905">
        <v>4334</v>
      </c>
      <c r="ES1148" s="906" t="s">
        <v>2566</v>
      </c>
      <c r="ET1148" s="2686">
        <v>9</v>
      </c>
      <c r="EV1148" s="985"/>
      <c r="EW1148" s="985"/>
      <c r="EX1148" s="387"/>
      <c r="EY1148" s="939"/>
      <c r="EZ1148" s="886"/>
    </row>
    <row r="1149" spans="88:156">
      <c r="CJ1149" s="197"/>
      <c r="CK1149" s="197"/>
      <c r="CL1149" s="197"/>
      <c r="CM1149" s="213"/>
      <c r="CN1149" s="213"/>
      <c r="CO1149" s="197"/>
      <c r="CP1149" s="197"/>
      <c r="CQ1149" s="197"/>
      <c r="CR1149" s="197"/>
      <c r="CS1149" s="197"/>
      <c r="CT1149" s="197"/>
      <c r="CU1149" s="197"/>
      <c r="CV1149" s="197"/>
      <c r="CW1149" s="197"/>
      <c r="CX1149" s="959"/>
      <c r="CY1149" s="959"/>
      <c r="CZ1149" s="959"/>
      <c r="DA1149" s="959"/>
      <c r="DB1149" s="959"/>
      <c r="DC1149" s="891">
        <v>4069</v>
      </c>
      <c r="DD1149" s="891" t="s">
        <v>4658</v>
      </c>
      <c r="DE1149" s="891" t="s">
        <v>427</v>
      </c>
      <c r="DF1149" s="891">
        <v>6</v>
      </c>
      <c r="DG1149" s="959"/>
      <c r="DH1149" s="959"/>
      <c r="ER1149" s="905">
        <v>4335</v>
      </c>
      <c r="ES1149" s="906" t="s">
        <v>2567</v>
      </c>
      <c r="ET1149" s="2686">
        <v>9</v>
      </c>
      <c r="EV1149" s="985"/>
      <c r="EW1149" s="985"/>
      <c r="EX1149" s="387"/>
      <c r="EY1149" s="939"/>
      <c r="EZ1149" s="886"/>
    </row>
    <row r="1150" spans="88:156">
      <c r="CJ1150" s="197"/>
      <c r="CK1150" s="197"/>
      <c r="CL1150" s="197"/>
      <c r="CM1150" s="213"/>
      <c r="CN1150" s="213"/>
      <c r="CO1150" s="197"/>
      <c r="CP1150" s="197"/>
      <c r="CQ1150" s="197"/>
      <c r="CR1150" s="197"/>
      <c r="CS1150" s="197"/>
      <c r="CT1150" s="197"/>
      <c r="CU1150" s="197"/>
      <c r="CV1150" s="197"/>
      <c r="CW1150" s="197"/>
      <c r="CX1150" s="959"/>
      <c r="CY1150" s="959"/>
      <c r="CZ1150" s="959"/>
      <c r="DA1150" s="959"/>
      <c r="DB1150" s="959"/>
      <c r="DC1150" s="891">
        <v>4071</v>
      </c>
      <c r="DD1150" s="891" t="s">
        <v>4659</v>
      </c>
      <c r="DE1150" s="891" t="s">
        <v>406</v>
      </c>
      <c r="DF1150" s="891">
        <v>6</v>
      </c>
      <c r="DG1150" s="959"/>
      <c r="DH1150" s="959"/>
      <c r="ER1150" s="905">
        <v>4336</v>
      </c>
      <c r="ES1150" s="906" t="s">
        <v>2568</v>
      </c>
      <c r="ET1150" s="2686">
        <v>9</v>
      </c>
      <c r="EV1150" s="985"/>
      <c r="EW1150" s="985"/>
      <c r="EX1150" s="387"/>
      <c r="EY1150" s="939"/>
      <c r="EZ1150" s="886"/>
    </row>
    <row r="1151" spans="88:156">
      <c r="CJ1151" s="197"/>
      <c r="CK1151" s="197"/>
      <c r="CL1151" s="197"/>
      <c r="CM1151" s="213"/>
      <c r="CN1151" s="213"/>
      <c r="CO1151" s="197"/>
      <c r="CP1151" s="197"/>
      <c r="CQ1151" s="197"/>
      <c r="CR1151" s="197"/>
      <c r="CS1151" s="197"/>
      <c r="CT1151" s="197"/>
      <c r="CU1151" s="197"/>
      <c r="CV1151" s="197"/>
      <c r="CW1151" s="197"/>
      <c r="CX1151" s="959"/>
      <c r="CY1151" s="959"/>
      <c r="CZ1151" s="959"/>
      <c r="DA1151" s="959"/>
      <c r="DB1151" s="959"/>
      <c r="DC1151" s="891">
        <v>4074</v>
      </c>
      <c r="DD1151" s="891" t="s">
        <v>4667</v>
      </c>
      <c r="DE1151" s="891" t="s">
        <v>421</v>
      </c>
      <c r="DF1151" s="891">
        <v>5</v>
      </c>
      <c r="DG1151" s="959"/>
      <c r="DH1151" s="959"/>
      <c r="ER1151" s="905">
        <v>4337</v>
      </c>
      <c r="ES1151" s="906" t="s">
        <v>2569</v>
      </c>
      <c r="ET1151" s="2686">
        <v>9</v>
      </c>
      <c r="EV1151" s="985"/>
      <c r="EW1151" s="985"/>
      <c r="EX1151" s="387"/>
      <c r="EY1151" s="939"/>
      <c r="EZ1151" s="886"/>
    </row>
    <row r="1152" spans="88:156">
      <c r="CJ1152" s="197"/>
      <c r="CK1152" s="197"/>
      <c r="CL1152" s="197"/>
      <c r="CM1152" s="213"/>
      <c r="CN1152" s="213"/>
      <c r="CO1152" s="197"/>
      <c r="CP1152" s="197"/>
      <c r="CQ1152" s="197"/>
      <c r="CR1152" s="197"/>
      <c r="CS1152" s="197"/>
      <c r="CT1152" s="197"/>
      <c r="CU1152" s="197"/>
      <c r="CV1152" s="197"/>
      <c r="CW1152" s="197"/>
      <c r="CX1152" s="959"/>
      <c r="CY1152" s="959"/>
      <c r="CZ1152" s="959"/>
      <c r="DA1152" s="959"/>
      <c r="DB1152" s="959"/>
      <c r="DC1152" s="891">
        <v>4075</v>
      </c>
      <c r="DD1152" s="891" t="s">
        <v>4668</v>
      </c>
      <c r="DE1152" s="891" t="s">
        <v>410</v>
      </c>
      <c r="DF1152" s="891">
        <v>6</v>
      </c>
      <c r="DG1152" s="959"/>
      <c r="DH1152" s="959"/>
      <c r="ER1152" s="905">
        <v>4338</v>
      </c>
      <c r="ES1152" s="906" t="s">
        <v>3331</v>
      </c>
      <c r="ET1152" s="2686">
        <v>9</v>
      </c>
      <c r="EV1152" s="985"/>
      <c r="EW1152" s="985"/>
      <c r="EX1152" s="387"/>
      <c r="EY1152" s="939"/>
      <c r="EZ1152" s="886"/>
    </row>
    <row r="1153" spans="88:156">
      <c r="CJ1153" s="197"/>
      <c r="CK1153" s="197"/>
      <c r="CL1153" s="197"/>
      <c r="CM1153" s="213"/>
      <c r="CN1153" s="213"/>
      <c r="CO1153" s="197"/>
      <c r="CP1153" s="197"/>
      <c r="CQ1153" s="197"/>
      <c r="CR1153" s="197"/>
      <c r="CS1153" s="197"/>
      <c r="CT1153" s="197"/>
      <c r="CU1153" s="197"/>
      <c r="CV1153" s="197"/>
      <c r="CW1153" s="197"/>
      <c r="CX1153" s="959"/>
      <c r="CY1153" s="959"/>
      <c r="CZ1153" s="959"/>
      <c r="DA1153" s="959"/>
      <c r="DB1153" s="959"/>
      <c r="DC1153" s="891">
        <v>4078</v>
      </c>
      <c r="DD1153" s="891" t="s">
        <v>4669</v>
      </c>
      <c r="DE1153" s="891" t="s">
        <v>412</v>
      </c>
      <c r="DF1153" s="891">
        <v>4</v>
      </c>
      <c r="DG1153" s="959"/>
      <c r="DH1153" s="959"/>
      <c r="ER1153" s="905">
        <v>4341</v>
      </c>
      <c r="ES1153" s="906" t="s">
        <v>2571</v>
      </c>
      <c r="ET1153" s="2686">
        <v>9</v>
      </c>
      <c r="EV1153" s="985"/>
      <c r="EW1153" s="985"/>
      <c r="EX1153" s="387"/>
      <c r="EY1153" s="939"/>
      <c r="EZ1153" s="886"/>
    </row>
    <row r="1154" spans="88:156">
      <c r="CJ1154" s="197"/>
      <c r="CK1154" s="197"/>
      <c r="CL1154" s="197"/>
      <c r="CM1154" s="213"/>
      <c r="CN1154" s="213"/>
      <c r="CO1154" s="197"/>
      <c r="CP1154" s="197"/>
      <c r="CQ1154" s="197"/>
      <c r="CR1154" s="197"/>
      <c r="CS1154" s="197"/>
      <c r="CT1154" s="197"/>
      <c r="CU1154" s="197"/>
      <c r="CV1154" s="197"/>
      <c r="CW1154" s="197"/>
      <c r="CX1154" s="959"/>
      <c r="CY1154" s="959"/>
      <c r="CZ1154" s="959"/>
      <c r="DA1154" s="959"/>
      <c r="DB1154" s="959"/>
      <c r="DC1154" s="891">
        <v>4079</v>
      </c>
      <c r="DD1154" s="891" t="s">
        <v>4670</v>
      </c>
      <c r="DE1154" s="891" t="s">
        <v>2808</v>
      </c>
      <c r="DF1154" s="891">
        <v>4</v>
      </c>
      <c r="DG1154" s="959"/>
      <c r="DH1154" s="959"/>
      <c r="ER1154" s="905">
        <v>4342</v>
      </c>
      <c r="ES1154" s="906" t="s">
        <v>2572</v>
      </c>
      <c r="ET1154" s="2686">
        <v>9</v>
      </c>
      <c r="EV1154" s="985"/>
      <c r="EW1154" s="985"/>
      <c r="EX1154" s="387"/>
      <c r="EY1154" s="939"/>
      <c r="EZ1154" s="886"/>
    </row>
    <row r="1155" spans="88:156">
      <c r="CJ1155" s="197"/>
      <c r="CK1155" s="197"/>
      <c r="CL1155" s="197"/>
      <c r="CM1155" s="213"/>
      <c r="CN1155" s="213"/>
      <c r="CO1155" s="197"/>
      <c r="CP1155" s="197"/>
      <c r="CQ1155" s="197"/>
      <c r="CR1155" s="197"/>
      <c r="CS1155" s="197"/>
      <c r="CT1155" s="197"/>
      <c r="CU1155" s="197"/>
      <c r="CV1155" s="197"/>
      <c r="CW1155" s="197"/>
      <c r="CX1155" s="959"/>
      <c r="CY1155" s="959"/>
      <c r="CZ1155" s="959"/>
      <c r="DA1155" s="959"/>
      <c r="DB1155" s="959"/>
      <c r="DC1155" s="891">
        <v>4080</v>
      </c>
      <c r="DD1155" s="891" t="s">
        <v>4671</v>
      </c>
      <c r="DE1155" s="891" t="s">
        <v>412</v>
      </c>
      <c r="DF1155" s="891">
        <v>6</v>
      </c>
      <c r="DG1155" s="959"/>
      <c r="DH1155" s="959"/>
      <c r="ER1155" s="905">
        <v>4343</v>
      </c>
      <c r="ES1155" s="906" t="s">
        <v>2573</v>
      </c>
      <c r="ET1155" s="2686">
        <v>9</v>
      </c>
      <c r="EV1155" s="985"/>
      <c r="EW1155" s="985"/>
      <c r="EX1155" s="387"/>
      <c r="EY1155" s="939"/>
      <c r="EZ1155" s="886"/>
    </row>
    <row r="1156" spans="88:156">
      <c r="CJ1156" s="197"/>
      <c r="CK1156" s="197"/>
      <c r="CL1156" s="197"/>
      <c r="CM1156" s="213"/>
      <c r="CN1156" s="213"/>
      <c r="CO1156" s="197"/>
      <c r="CP1156" s="197"/>
      <c r="CQ1156" s="197"/>
      <c r="CR1156" s="197"/>
      <c r="CS1156" s="197"/>
      <c r="CT1156" s="197"/>
      <c r="CU1156" s="197"/>
      <c r="CV1156" s="197"/>
      <c r="CW1156" s="197"/>
      <c r="CX1156" s="959"/>
      <c r="CY1156" s="959"/>
      <c r="CZ1156" s="959"/>
      <c r="DA1156" s="959"/>
      <c r="DB1156" s="959"/>
      <c r="DC1156" s="891">
        <v>4085</v>
      </c>
      <c r="DD1156" s="891" t="s">
        <v>4672</v>
      </c>
      <c r="DE1156" s="891" t="s">
        <v>412</v>
      </c>
      <c r="DF1156" s="891">
        <v>6</v>
      </c>
      <c r="DG1156" s="959"/>
      <c r="DH1156" s="959"/>
      <c r="ER1156" s="905">
        <v>4351</v>
      </c>
      <c r="ES1156" s="906" t="s">
        <v>2574</v>
      </c>
      <c r="ET1156" s="2686">
        <v>9</v>
      </c>
      <c r="EV1156" s="985"/>
      <c r="EW1156" s="985"/>
      <c r="EX1156" s="387"/>
      <c r="EY1156" s="939"/>
      <c r="EZ1156" s="886"/>
    </row>
    <row r="1157" spans="88:156">
      <c r="CJ1157" s="197"/>
      <c r="CK1157" s="197"/>
      <c r="CL1157" s="197"/>
      <c r="CM1157" s="213"/>
      <c r="CN1157" s="213"/>
      <c r="CO1157" s="197"/>
      <c r="CP1157" s="197"/>
      <c r="CQ1157" s="197"/>
      <c r="CR1157" s="197"/>
      <c r="CS1157" s="197"/>
      <c r="CT1157" s="197"/>
      <c r="CU1157" s="197"/>
      <c r="CV1157" s="197"/>
      <c r="CW1157" s="197"/>
      <c r="CX1157" s="959"/>
      <c r="CY1157" s="959"/>
      <c r="CZ1157" s="959"/>
      <c r="DA1157" s="959"/>
      <c r="DB1157" s="959"/>
      <c r="DC1157" s="891">
        <v>4086</v>
      </c>
      <c r="DD1157" s="891" t="s">
        <v>4673</v>
      </c>
      <c r="DE1157" s="891" t="s">
        <v>428</v>
      </c>
      <c r="DF1157" s="891">
        <v>4</v>
      </c>
      <c r="DG1157" s="959"/>
      <c r="DH1157" s="959"/>
      <c r="ER1157" s="905">
        <v>4352</v>
      </c>
      <c r="ES1157" s="906" t="s">
        <v>2575</v>
      </c>
      <c r="ET1157" s="2686">
        <v>9</v>
      </c>
      <c r="EV1157" s="985"/>
      <c r="EW1157" s="985"/>
      <c r="EX1157" s="387"/>
      <c r="EY1157" s="939"/>
      <c r="EZ1157" s="886"/>
    </row>
    <row r="1158" spans="88:156">
      <c r="CJ1158" s="197"/>
      <c r="CK1158" s="197"/>
      <c r="CL1158" s="197"/>
      <c r="CM1158" s="213"/>
      <c r="CN1158" s="213"/>
      <c r="CO1158" s="197"/>
      <c r="CP1158" s="197"/>
      <c r="CQ1158" s="197"/>
      <c r="CR1158" s="197"/>
      <c r="CS1158" s="197"/>
      <c r="CT1158" s="197"/>
      <c r="CU1158" s="197"/>
      <c r="CV1158" s="197"/>
      <c r="CW1158" s="197"/>
      <c r="CX1158" s="959"/>
      <c r="CY1158" s="959"/>
      <c r="CZ1158" s="959"/>
      <c r="DA1158" s="959"/>
      <c r="DB1158" s="959"/>
      <c r="DC1158" s="891">
        <v>4087</v>
      </c>
      <c r="DD1158" s="891" t="s">
        <v>4674</v>
      </c>
      <c r="DE1158" s="891" t="s">
        <v>419</v>
      </c>
      <c r="DF1158" s="891">
        <v>5</v>
      </c>
      <c r="DG1158" s="959"/>
      <c r="DH1158" s="959"/>
      <c r="ER1158" s="905">
        <v>4353</v>
      </c>
      <c r="ES1158" s="906" t="s">
        <v>2576</v>
      </c>
      <c r="ET1158" s="2686">
        <v>9</v>
      </c>
      <c r="EV1158" s="985"/>
      <c r="EW1158" s="985"/>
      <c r="EX1158" s="387"/>
      <c r="EY1158" s="939"/>
      <c r="EZ1158" s="886"/>
    </row>
    <row r="1159" spans="88:156">
      <c r="CJ1159" s="197"/>
      <c r="CK1159" s="197"/>
      <c r="CL1159" s="197"/>
      <c r="CM1159" s="213"/>
      <c r="CN1159" s="213"/>
      <c r="CO1159" s="197"/>
      <c r="CP1159" s="197"/>
      <c r="CQ1159" s="197"/>
      <c r="CR1159" s="197"/>
      <c r="CS1159" s="197"/>
      <c r="CT1159" s="197"/>
      <c r="CU1159" s="197"/>
      <c r="CV1159" s="197"/>
      <c r="CW1159" s="197"/>
      <c r="CX1159" s="959"/>
      <c r="CY1159" s="959"/>
      <c r="CZ1159" s="959"/>
      <c r="DA1159" s="959"/>
      <c r="DB1159" s="959"/>
      <c r="DC1159" s="891">
        <v>4090</v>
      </c>
      <c r="DD1159" s="891" t="s">
        <v>4675</v>
      </c>
      <c r="DE1159" s="891" t="s">
        <v>431</v>
      </c>
      <c r="DF1159" s="891">
        <v>6</v>
      </c>
      <c r="DG1159" s="959"/>
      <c r="DH1159" s="959"/>
      <c r="ER1159" s="905">
        <v>4354</v>
      </c>
      <c r="ES1159" s="906" t="s">
        <v>2577</v>
      </c>
      <c r="ET1159" s="2686">
        <v>9</v>
      </c>
      <c r="EV1159" s="985"/>
      <c r="EW1159" s="985"/>
      <c r="EX1159" s="387"/>
      <c r="EY1159" s="939"/>
      <c r="EZ1159" s="886"/>
    </row>
    <row r="1160" spans="88:156">
      <c r="CJ1160" s="197"/>
      <c r="CK1160" s="197"/>
      <c r="CL1160" s="197"/>
      <c r="CM1160" s="213"/>
      <c r="CN1160" s="213"/>
      <c r="CO1160" s="197"/>
      <c r="CP1160" s="197"/>
      <c r="CQ1160" s="197"/>
      <c r="CR1160" s="197"/>
      <c r="CS1160" s="197"/>
      <c r="CT1160" s="197"/>
      <c r="CU1160" s="197"/>
      <c r="CV1160" s="197"/>
      <c r="CW1160" s="197"/>
      <c r="CX1160" s="959"/>
      <c r="CY1160" s="959"/>
      <c r="CZ1160" s="959"/>
      <c r="DA1160" s="959"/>
      <c r="DB1160" s="959"/>
      <c r="DC1160" s="891">
        <v>4096</v>
      </c>
      <c r="DD1160" s="891" t="s">
        <v>4676</v>
      </c>
      <c r="DE1160" s="891" t="s">
        <v>417</v>
      </c>
      <c r="DF1160" s="891">
        <v>6</v>
      </c>
      <c r="DG1160" s="959"/>
      <c r="DH1160" s="959"/>
      <c r="ER1160" s="905">
        <v>4355</v>
      </c>
      <c r="ES1160" s="906" t="s">
        <v>2578</v>
      </c>
      <c r="ET1160" s="2686">
        <v>9</v>
      </c>
      <c r="EV1160" s="985"/>
      <c r="EW1160" s="985"/>
      <c r="EX1160" s="387"/>
      <c r="EY1160" s="939"/>
      <c r="EZ1160" s="886"/>
    </row>
    <row r="1161" spans="88:156">
      <c r="CJ1161" s="197"/>
      <c r="CK1161" s="197"/>
      <c r="CL1161" s="197"/>
      <c r="CM1161" s="213"/>
      <c r="CN1161" s="213"/>
      <c r="CO1161" s="197"/>
      <c r="CP1161" s="197"/>
      <c r="CQ1161" s="197"/>
      <c r="CR1161" s="197"/>
      <c r="CS1161" s="197"/>
      <c r="CT1161" s="197"/>
      <c r="CU1161" s="197"/>
      <c r="CV1161" s="197"/>
      <c r="CW1161" s="197"/>
      <c r="CX1161" s="959"/>
      <c r="CY1161" s="959"/>
      <c r="CZ1161" s="959"/>
      <c r="DA1161" s="959"/>
      <c r="DB1161" s="959"/>
      <c r="DC1161" s="891">
        <v>4097</v>
      </c>
      <c r="DD1161" s="891" t="s">
        <v>4677</v>
      </c>
      <c r="DE1161" s="891" t="s">
        <v>417</v>
      </c>
      <c r="DF1161" s="891">
        <v>6</v>
      </c>
      <c r="DG1161" s="959"/>
      <c r="DH1161" s="959"/>
      <c r="ER1161" s="905">
        <v>4356</v>
      </c>
      <c r="ES1161" s="906" t="s">
        <v>2579</v>
      </c>
      <c r="ET1161" s="2686">
        <v>9</v>
      </c>
      <c r="EV1161" s="985"/>
      <c r="EW1161" s="985"/>
      <c r="EX1161" s="387"/>
      <c r="EY1161" s="939"/>
      <c r="EZ1161" s="886"/>
    </row>
    <row r="1162" spans="88:156">
      <c r="CJ1162" s="197"/>
      <c r="CK1162" s="197"/>
      <c r="CL1162" s="197"/>
      <c r="CM1162" s="213"/>
      <c r="CN1162" s="213"/>
      <c r="CO1162" s="197"/>
      <c r="CP1162" s="197"/>
      <c r="CQ1162" s="197"/>
      <c r="CR1162" s="197"/>
      <c r="CS1162" s="197"/>
      <c r="CT1162" s="197"/>
      <c r="CU1162" s="197"/>
      <c r="CV1162" s="197"/>
      <c r="CW1162" s="197"/>
      <c r="CX1162" s="959"/>
      <c r="CY1162" s="959"/>
      <c r="CZ1162" s="959"/>
      <c r="DA1162" s="959"/>
      <c r="DB1162" s="959"/>
      <c r="DC1162" s="891">
        <v>4100</v>
      </c>
      <c r="DD1162" s="891" t="s">
        <v>4678</v>
      </c>
      <c r="DE1162" s="891" t="s">
        <v>417</v>
      </c>
      <c r="DF1162" s="891">
        <v>6</v>
      </c>
      <c r="DG1162" s="959"/>
      <c r="DH1162" s="959"/>
      <c r="ER1162" s="905">
        <v>4361</v>
      </c>
      <c r="ES1162" s="906" t="s">
        <v>2580</v>
      </c>
      <c r="ET1162" s="2686">
        <v>9</v>
      </c>
      <c r="EV1162" s="985"/>
      <c r="EW1162" s="985"/>
      <c r="EX1162" s="387"/>
      <c r="EY1162" s="939"/>
      <c r="EZ1162" s="886"/>
    </row>
    <row r="1163" spans="88:156">
      <c r="CJ1163" s="197"/>
      <c r="CK1163" s="197"/>
      <c r="CL1163" s="197"/>
      <c r="CM1163" s="213"/>
      <c r="CN1163" s="213"/>
      <c r="CO1163" s="197"/>
      <c r="CP1163" s="197"/>
      <c r="CQ1163" s="197"/>
      <c r="CR1163" s="197"/>
      <c r="CS1163" s="197"/>
      <c r="CT1163" s="197"/>
      <c r="CU1163" s="197"/>
      <c r="CV1163" s="197"/>
      <c r="CW1163" s="197"/>
      <c r="CX1163" s="959"/>
      <c r="CY1163" s="959"/>
      <c r="CZ1163" s="959"/>
      <c r="DA1163" s="959"/>
      <c r="DB1163" s="959"/>
      <c r="DC1163" s="891">
        <v>4103</v>
      </c>
      <c r="DD1163" s="891" t="s">
        <v>2662</v>
      </c>
      <c r="DE1163" s="891" t="s">
        <v>417</v>
      </c>
      <c r="DF1163" s="891">
        <v>6</v>
      </c>
      <c r="DG1163" s="959"/>
      <c r="DH1163" s="959"/>
      <c r="ER1163" s="905">
        <v>4362</v>
      </c>
      <c r="ES1163" s="906" t="s">
        <v>2581</v>
      </c>
      <c r="ET1163" s="2686">
        <v>9</v>
      </c>
      <c r="EV1163" s="985"/>
      <c r="EW1163" s="985"/>
      <c r="EX1163" s="387"/>
      <c r="EY1163" s="939"/>
      <c r="EZ1163" s="886"/>
    </row>
    <row r="1164" spans="88:156">
      <c r="CJ1164" s="197"/>
      <c r="CK1164" s="197"/>
      <c r="CL1164" s="197"/>
      <c r="CM1164" s="213"/>
      <c r="CN1164" s="213"/>
      <c r="CO1164" s="197"/>
      <c r="CP1164" s="197"/>
      <c r="CQ1164" s="197"/>
      <c r="CR1164" s="197"/>
      <c r="CS1164" s="197"/>
      <c r="CT1164" s="197"/>
      <c r="CU1164" s="197"/>
      <c r="CV1164" s="197"/>
      <c r="CW1164" s="197"/>
      <c r="CX1164" s="959"/>
      <c r="CY1164" s="959"/>
      <c r="CZ1164" s="959"/>
      <c r="DA1164" s="959"/>
      <c r="DB1164" s="959"/>
      <c r="DC1164" s="891">
        <v>4110</v>
      </c>
      <c r="DD1164" s="891" t="s">
        <v>2663</v>
      </c>
      <c r="DE1164" s="891" t="s">
        <v>417</v>
      </c>
      <c r="DF1164" s="891">
        <v>6</v>
      </c>
      <c r="DG1164" s="959"/>
      <c r="DH1164" s="959"/>
      <c r="ER1164" s="905">
        <v>4363</v>
      </c>
      <c r="ES1164" s="906" t="s">
        <v>2582</v>
      </c>
      <c r="ET1164" s="2686">
        <v>9</v>
      </c>
      <c r="EV1164" s="985"/>
      <c r="EW1164" s="985"/>
      <c r="EX1164" s="387"/>
      <c r="EY1164" s="939"/>
      <c r="EZ1164" s="886"/>
    </row>
    <row r="1165" spans="88:156">
      <c r="CJ1165" s="197"/>
      <c r="CK1165" s="197"/>
      <c r="CL1165" s="197"/>
      <c r="CM1165" s="213"/>
      <c r="CN1165" s="213"/>
      <c r="CO1165" s="197"/>
      <c r="CP1165" s="197"/>
      <c r="CQ1165" s="197"/>
      <c r="CR1165" s="197"/>
      <c r="CS1165" s="197"/>
      <c r="CT1165" s="197"/>
      <c r="CU1165" s="197"/>
      <c r="CV1165" s="197"/>
      <c r="CW1165" s="197"/>
      <c r="CX1165" s="959"/>
      <c r="CY1165" s="959"/>
      <c r="CZ1165" s="959"/>
      <c r="DA1165" s="959"/>
      <c r="DB1165" s="959"/>
      <c r="DC1165" s="891">
        <v>4114</v>
      </c>
      <c r="DD1165" s="891" t="s">
        <v>2664</v>
      </c>
      <c r="DE1165" s="891" t="s">
        <v>417</v>
      </c>
      <c r="DF1165" s="891">
        <v>6</v>
      </c>
      <c r="DG1165" s="959"/>
      <c r="DH1165" s="959"/>
      <c r="ER1165" s="905">
        <v>4371</v>
      </c>
      <c r="ES1165" s="906" t="s">
        <v>2583</v>
      </c>
      <c r="ET1165" s="2686">
        <v>9</v>
      </c>
      <c r="EV1165" s="985"/>
      <c r="EW1165" s="985"/>
      <c r="EX1165" s="387"/>
      <c r="EY1165" s="939"/>
      <c r="EZ1165" s="886"/>
    </row>
    <row r="1166" spans="88:156">
      <c r="CJ1166" s="197"/>
      <c r="CK1166" s="197"/>
      <c r="CL1166" s="197"/>
      <c r="CM1166" s="213"/>
      <c r="CN1166" s="213"/>
      <c r="CO1166" s="197"/>
      <c r="CP1166" s="197"/>
      <c r="CQ1166" s="197"/>
      <c r="CR1166" s="197"/>
      <c r="CS1166" s="197"/>
      <c r="CT1166" s="197"/>
      <c r="CU1166" s="197"/>
      <c r="CV1166" s="197"/>
      <c r="CW1166" s="197"/>
      <c r="CX1166" s="959"/>
      <c r="CY1166" s="959"/>
      <c r="CZ1166" s="959"/>
      <c r="DA1166" s="959"/>
      <c r="DB1166" s="959"/>
      <c r="DC1166" s="891">
        <v>4115</v>
      </c>
      <c r="DD1166" s="891" t="s">
        <v>2665</v>
      </c>
      <c r="DE1166" s="891" t="s">
        <v>417</v>
      </c>
      <c r="DF1166" s="891">
        <v>4</v>
      </c>
      <c r="DG1166" s="959"/>
      <c r="DH1166" s="959"/>
      <c r="ER1166" s="905">
        <v>4372</v>
      </c>
      <c r="ES1166" s="906" t="s">
        <v>2584</v>
      </c>
      <c r="ET1166" s="2686">
        <v>9</v>
      </c>
      <c r="EV1166" s="985"/>
      <c r="EW1166" s="985"/>
      <c r="EX1166" s="387"/>
      <c r="EY1166" s="939"/>
      <c r="EZ1166" s="886"/>
    </row>
    <row r="1167" spans="88:156">
      <c r="CJ1167" s="197"/>
      <c r="CK1167" s="197"/>
      <c r="CL1167" s="197"/>
      <c r="CM1167" s="213"/>
      <c r="CN1167" s="213"/>
      <c r="CO1167" s="197"/>
      <c r="CP1167" s="197"/>
      <c r="CQ1167" s="197"/>
      <c r="CR1167" s="197"/>
      <c r="CS1167" s="197"/>
      <c r="CT1167" s="197"/>
      <c r="CU1167" s="197"/>
      <c r="CV1167" s="197"/>
      <c r="CW1167" s="197"/>
      <c r="CX1167" s="959"/>
      <c r="CY1167" s="959"/>
      <c r="CZ1167" s="959"/>
      <c r="DA1167" s="959"/>
      <c r="DB1167" s="959"/>
      <c r="DC1167" s="891">
        <v>4116</v>
      </c>
      <c r="DD1167" s="891" t="s">
        <v>2666</v>
      </c>
      <c r="DE1167" s="891" t="s">
        <v>417</v>
      </c>
      <c r="DF1167" s="891">
        <v>5</v>
      </c>
      <c r="DG1167" s="959"/>
      <c r="DH1167" s="959"/>
      <c r="ER1167" s="905">
        <v>4373</v>
      </c>
      <c r="ES1167" s="906" t="s">
        <v>2585</v>
      </c>
      <c r="ET1167" s="2686">
        <v>9</v>
      </c>
      <c r="EV1167" s="985"/>
      <c r="EW1167" s="985"/>
      <c r="EX1167" s="387"/>
      <c r="EY1167" s="939"/>
      <c r="EZ1167" s="886"/>
    </row>
    <row r="1168" spans="88:156">
      <c r="CJ1168" s="197"/>
      <c r="CK1168" s="197"/>
      <c r="CL1168" s="197"/>
      <c r="CM1168" s="213"/>
      <c r="CN1168" s="213"/>
      <c r="CO1168" s="197"/>
      <c r="CP1168" s="197"/>
      <c r="CQ1168" s="197"/>
      <c r="CR1168" s="197"/>
      <c r="CS1168" s="197"/>
      <c r="CT1168" s="197"/>
      <c r="CU1168" s="197"/>
      <c r="CV1168" s="197"/>
      <c r="CW1168" s="197"/>
      <c r="CX1168" s="959"/>
      <c r="CY1168" s="959"/>
      <c r="CZ1168" s="959"/>
      <c r="DA1168" s="959"/>
      <c r="DB1168" s="959"/>
      <c r="DC1168" s="891">
        <v>4117</v>
      </c>
      <c r="DD1168" s="891" t="s">
        <v>2667</v>
      </c>
      <c r="DE1168" s="891" t="s">
        <v>423</v>
      </c>
      <c r="DF1168" s="891">
        <v>4</v>
      </c>
      <c r="DG1168" s="959"/>
      <c r="DH1168" s="959"/>
      <c r="ER1168" s="905">
        <v>4374</v>
      </c>
      <c r="ES1168" s="906" t="s">
        <v>2586</v>
      </c>
      <c r="ET1168" s="2686">
        <v>9</v>
      </c>
      <c r="EV1168" s="985"/>
      <c r="EW1168" s="985"/>
      <c r="EX1168" s="387"/>
      <c r="EY1168" s="939"/>
      <c r="EZ1168" s="886"/>
    </row>
    <row r="1169" spans="88:156">
      <c r="CJ1169" s="197"/>
      <c r="CK1169" s="197"/>
      <c r="CL1169" s="197"/>
      <c r="CM1169" s="213"/>
      <c r="CN1169" s="213"/>
      <c r="CO1169" s="197"/>
      <c r="CP1169" s="197"/>
      <c r="CQ1169" s="197"/>
      <c r="CR1169" s="197"/>
      <c r="CS1169" s="197"/>
      <c r="CT1169" s="197"/>
      <c r="CU1169" s="197"/>
      <c r="CV1169" s="197"/>
      <c r="CW1169" s="197"/>
      <c r="CX1169" s="959"/>
      <c r="CY1169" s="959"/>
      <c r="CZ1169" s="959"/>
      <c r="DA1169" s="959"/>
      <c r="DB1169" s="959"/>
      <c r="DC1169" s="891">
        <v>4118</v>
      </c>
      <c r="DD1169" s="891" t="s">
        <v>2668</v>
      </c>
      <c r="DE1169" s="891" t="s">
        <v>412</v>
      </c>
      <c r="DF1169" s="891">
        <v>5</v>
      </c>
      <c r="DG1169" s="959"/>
      <c r="DH1169" s="959"/>
      <c r="ER1169" s="905">
        <v>4375</v>
      </c>
      <c r="ES1169" s="906" t="s">
        <v>2587</v>
      </c>
      <c r="ET1169" s="2686">
        <v>9</v>
      </c>
      <c r="EV1169" s="985"/>
      <c r="EW1169" s="985"/>
      <c r="EX1169" s="387"/>
      <c r="EY1169" s="939"/>
      <c r="EZ1169" s="886"/>
    </row>
    <row r="1170" spans="88:156">
      <c r="CJ1170" s="197"/>
      <c r="CK1170" s="197"/>
      <c r="CL1170" s="197"/>
      <c r="CM1170" s="213"/>
      <c r="CN1170" s="213"/>
      <c r="CO1170" s="197"/>
      <c r="CP1170" s="197"/>
      <c r="CQ1170" s="197"/>
      <c r="CR1170" s="197"/>
      <c r="CS1170" s="197"/>
      <c r="CT1170" s="197"/>
      <c r="CU1170" s="197"/>
      <c r="CV1170" s="197"/>
      <c r="CW1170" s="197"/>
      <c r="CX1170" s="959"/>
      <c r="CY1170" s="959"/>
      <c r="CZ1170" s="959"/>
      <c r="DA1170" s="959"/>
      <c r="DB1170" s="959"/>
      <c r="DC1170" s="891">
        <v>4119</v>
      </c>
      <c r="DD1170" s="891" t="s">
        <v>2669</v>
      </c>
      <c r="DE1170" s="891" t="s">
        <v>432</v>
      </c>
      <c r="DF1170" s="891">
        <v>6</v>
      </c>
      <c r="DG1170" s="959"/>
      <c r="DH1170" s="959"/>
      <c r="ER1170" s="905">
        <v>4376</v>
      </c>
      <c r="ES1170" s="906" t="s">
        <v>2588</v>
      </c>
      <c r="ET1170" s="2686">
        <v>9</v>
      </c>
      <c r="EV1170" s="985"/>
      <c r="EW1170" s="985"/>
      <c r="EX1170" s="387"/>
      <c r="EY1170" s="939"/>
      <c r="EZ1170" s="886"/>
    </row>
    <row r="1171" spans="88:156">
      <c r="CJ1171" s="197"/>
      <c r="CK1171" s="197"/>
      <c r="CL1171" s="197"/>
      <c r="CM1171" s="213"/>
      <c r="CN1171" s="213"/>
      <c r="CO1171" s="197"/>
      <c r="CP1171" s="197"/>
      <c r="CQ1171" s="197"/>
      <c r="CR1171" s="197"/>
      <c r="CS1171" s="197"/>
      <c r="CT1171" s="197"/>
      <c r="CU1171" s="197"/>
      <c r="CV1171" s="197"/>
      <c r="CW1171" s="197"/>
      <c r="CX1171" s="959"/>
      <c r="CY1171" s="959"/>
      <c r="CZ1171" s="959"/>
      <c r="DA1171" s="959"/>
      <c r="DB1171" s="959"/>
      <c r="DC1171" s="891">
        <v>4121</v>
      </c>
      <c r="DD1171" s="891" t="s">
        <v>2670</v>
      </c>
      <c r="DE1171" s="891" t="s">
        <v>427</v>
      </c>
      <c r="DF1171" s="891">
        <v>6</v>
      </c>
      <c r="DG1171" s="959"/>
      <c r="DH1171" s="959"/>
      <c r="ER1171" s="905">
        <v>4400</v>
      </c>
      <c r="ES1171" s="906" t="s">
        <v>2589</v>
      </c>
      <c r="ET1171" s="2686">
        <v>6</v>
      </c>
      <c r="EV1171" s="985"/>
      <c r="EW1171" s="985"/>
      <c r="EX1171" s="387"/>
      <c r="EY1171" s="939"/>
      <c r="EZ1171" s="886"/>
    </row>
    <row r="1172" spans="88:156">
      <c r="CJ1172" s="197"/>
      <c r="CK1172" s="197"/>
      <c r="CL1172" s="197"/>
      <c r="CM1172" s="213"/>
      <c r="CN1172" s="213"/>
      <c r="CO1172" s="197"/>
      <c r="CP1172" s="197"/>
      <c r="CQ1172" s="197"/>
      <c r="CR1172" s="197"/>
      <c r="CS1172" s="197"/>
      <c r="CT1172" s="197"/>
      <c r="CU1172" s="197"/>
      <c r="CV1172" s="197"/>
      <c r="CW1172" s="197"/>
      <c r="CX1172" s="959"/>
      <c r="CY1172" s="959"/>
      <c r="CZ1172" s="959"/>
      <c r="DA1172" s="959"/>
      <c r="DB1172" s="959"/>
      <c r="DC1172" s="891">
        <v>4122</v>
      </c>
      <c r="DD1172" s="891" t="s">
        <v>2671</v>
      </c>
      <c r="DE1172" s="891" t="s">
        <v>434</v>
      </c>
      <c r="DF1172" s="891">
        <v>6</v>
      </c>
      <c r="DG1172" s="959"/>
      <c r="DH1172" s="959"/>
      <c r="ER1172" s="905">
        <v>4405</v>
      </c>
      <c r="ES1172" s="906" t="s">
        <v>3332</v>
      </c>
      <c r="ET1172" s="2686">
        <v>6</v>
      </c>
      <c r="EV1172" s="985"/>
      <c r="EW1172" s="985"/>
      <c r="EX1172" s="387"/>
      <c r="EY1172" s="939"/>
      <c r="EZ1172" s="886"/>
    </row>
    <row r="1173" spans="88:156">
      <c r="CJ1173" s="197"/>
      <c r="CK1173" s="197"/>
      <c r="CL1173" s="197"/>
      <c r="CM1173" s="213"/>
      <c r="CN1173" s="213"/>
      <c r="CO1173" s="197"/>
      <c r="CP1173" s="197"/>
      <c r="CQ1173" s="197"/>
      <c r="CR1173" s="197"/>
      <c r="CS1173" s="197"/>
      <c r="CT1173" s="197"/>
      <c r="CU1173" s="197"/>
      <c r="CV1173" s="197"/>
      <c r="CW1173" s="197"/>
      <c r="CX1173" s="959"/>
      <c r="CY1173" s="959"/>
      <c r="CZ1173" s="959"/>
      <c r="DA1173" s="959"/>
      <c r="DB1173" s="959"/>
      <c r="DC1173" s="891">
        <v>4123</v>
      </c>
      <c r="DD1173" s="891" t="s">
        <v>2672</v>
      </c>
      <c r="DE1173" s="891" t="s">
        <v>423</v>
      </c>
      <c r="DF1173" s="891">
        <v>6</v>
      </c>
      <c r="DG1173" s="959"/>
      <c r="DH1173" s="959"/>
      <c r="ER1173" s="905">
        <v>4413</v>
      </c>
      <c r="ES1173" s="930" t="s">
        <v>3333</v>
      </c>
      <c r="ET1173" s="2686">
        <v>9</v>
      </c>
      <c r="EV1173" s="985"/>
      <c r="EW1173" s="985"/>
      <c r="EX1173" s="387"/>
      <c r="EY1173" s="939"/>
      <c r="EZ1173" s="886"/>
    </row>
    <row r="1174" spans="88:156">
      <c r="CJ1174" s="197"/>
      <c r="CK1174" s="197"/>
      <c r="CL1174" s="197"/>
      <c r="CM1174" s="213"/>
      <c r="CN1174" s="213"/>
      <c r="CO1174" s="197"/>
      <c r="CP1174" s="197"/>
      <c r="CQ1174" s="197"/>
      <c r="CR1174" s="197"/>
      <c r="CS1174" s="197"/>
      <c r="CT1174" s="197"/>
      <c r="CU1174" s="197"/>
      <c r="CV1174" s="197"/>
      <c r="CW1174" s="197"/>
      <c r="CX1174" s="959"/>
      <c r="CY1174" s="959"/>
      <c r="CZ1174" s="959"/>
      <c r="DA1174" s="959"/>
      <c r="DB1174" s="959"/>
      <c r="DC1174" s="891">
        <v>4124</v>
      </c>
      <c r="DD1174" s="891" t="s">
        <v>2673</v>
      </c>
      <c r="DE1174" s="891" t="s">
        <v>412</v>
      </c>
      <c r="DF1174" s="891">
        <v>6</v>
      </c>
      <c r="DG1174" s="959"/>
      <c r="DH1174" s="959"/>
      <c r="ER1174" s="905">
        <v>4431</v>
      </c>
      <c r="ES1174" s="930" t="s">
        <v>2149</v>
      </c>
      <c r="ET1174" s="2686">
        <v>6</v>
      </c>
      <c r="EV1174" s="985"/>
      <c r="EW1174" s="985"/>
      <c r="EX1174" s="387"/>
      <c r="EY1174" s="939"/>
      <c r="EZ1174" s="886"/>
    </row>
    <row r="1175" spans="88:156">
      <c r="CJ1175" s="197"/>
      <c r="CK1175" s="197"/>
      <c r="CL1175" s="197"/>
      <c r="CM1175" s="213"/>
      <c r="CN1175" s="213"/>
      <c r="CO1175" s="197"/>
      <c r="CP1175" s="197"/>
      <c r="CQ1175" s="197"/>
      <c r="CR1175" s="197"/>
      <c r="CS1175" s="197"/>
      <c r="CT1175" s="197"/>
      <c r="CU1175" s="197"/>
      <c r="CV1175" s="197"/>
      <c r="CW1175" s="197"/>
      <c r="CX1175" s="959"/>
      <c r="CY1175" s="959"/>
      <c r="CZ1175" s="959"/>
      <c r="DA1175" s="959"/>
      <c r="DB1175" s="959"/>
      <c r="DC1175" s="891">
        <v>4125</v>
      </c>
      <c r="DD1175" s="891" t="s">
        <v>2674</v>
      </c>
      <c r="DE1175" s="891" t="s">
        <v>423</v>
      </c>
      <c r="DF1175" s="891">
        <v>6</v>
      </c>
      <c r="DG1175" s="959"/>
      <c r="DH1175" s="959"/>
      <c r="ER1175" s="905">
        <v>4432</v>
      </c>
      <c r="ES1175" s="930" t="s">
        <v>2150</v>
      </c>
      <c r="ET1175" s="2686">
        <v>6</v>
      </c>
      <c r="EV1175" s="985"/>
      <c r="EW1175" s="985"/>
      <c r="EX1175" s="387"/>
      <c r="EY1175" s="939"/>
      <c r="EZ1175" s="886"/>
    </row>
    <row r="1176" spans="88:156">
      <c r="CJ1176" s="197"/>
      <c r="CK1176" s="197"/>
      <c r="CL1176" s="197"/>
      <c r="CM1176" s="213"/>
      <c r="CN1176" s="213"/>
      <c r="CO1176" s="197"/>
      <c r="CP1176" s="197"/>
      <c r="CQ1176" s="197"/>
      <c r="CR1176" s="197"/>
      <c r="CS1176" s="197"/>
      <c r="CT1176" s="197"/>
      <c r="CU1176" s="197"/>
      <c r="CV1176" s="197"/>
      <c r="CW1176" s="197"/>
      <c r="CX1176" s="959"/>
      <c r="CY1176" s="959"/>
      <c r="CZ1176" s="959"/>
      <c r="DA1176" s="959"/>
      <c r="DB1176" s="959"/>
      <c r="DC1176" s="891">
        <v>4126</v>
      </c>
      <c r="DD1176" s="891" t="s">
        <v>2675</v>
      </c>
      <c r="DE1176" s="891" t="s">
        <v>423</v>
      </c>
      <c r="DF1176" s="891">
        <v>6</v>
      </c>
      <c r="DG1176" s="959"/>
      <c r="DH1176" s="959"/>
      <c r="ER1176" s="905">
        <v>4433</v>
      </c>
      <c r="ES1176" s="906" t="s">
        <v>2151</v>
      </c>
      <c r="ET1176" s="2686">
        <v>6</v>
      </c>
      <c r="EV1176" s="985"/>
      <c r="EW1176" s="985"/>
      <c r="EX1176" s="387"/>
      <c r="EY1176" s="939"/>
      <c r="EZ1176" s="886"/>
    </row>
    <row r="1177" spans="88:156">
      <c r="CJ1177" s="197"/>
      <c r="CK1177" s="197"/>
      <c r="CL1177" s="197"/>
      <c r="CM1177" s="213"/>
      <c r="CN1177" s="213"/>
      <c r="CO1177" s="197"/>
      <c r="CP1177" s="197"/>
      <c r="CQ1177" s="197"/>
      <c r="CR1177" s="197"/>
      <c r="CS1177" s="197"/>
      <c r="CT1177" s="197"/>
      <c r="CU1177" s="197"/>
      <c r="CV1177" s="197"/>
      <c r="CW1177" s="197"/>
      <c r="CX1177" s="959"/>
      <c r="CY1177" s="959"/>
      <c r="CZ1177" s="959"/>
      <c r="DA1177" s="959"/>
      <c r="DB1177" s="959"/>
      <c r="DC1177" s="891">
        <v>4127</v>
      </c>
      <c r="DD1177" s="891" t="s">
        <v>2676</v>
      </c>
      <c r="DE1177" s="891" t="s">
        <v>423</v>
      </c>
      <c r="DF1177" s="891">
        <v>6</v>
      </c>
      <c r="DG1177" s="959"/>
      <c r="DH1177" s="959"/>
      <c r="ER1177" s="905">
        <v>4434</v>
      </c>
      <c r="ES1177" s="906" t="s">
        <v>2593</v>
      </c>
      <c r="ET1177" s="2686">
        <v>9</v>
      </c>
      <c r="EV1177" s="985"/>
      <c r="EW1177" s="985"/>
      <c r="EX1177" s="387"/>
      <c r="EY1177" s="939"/>
      <c r="EZ1177" s="886"/>
    </row>
    <row r="1178" spans="88:156">
      <c r="CJ1178" s="197"/>
      <c r="CK1178" s="197"/>
      <c r="CL1178" s="197"/>
      <c r="CM1178" s="213"/>
      <c r="CN1178" s="213"/>
      <c r="CO1178" s="197"/>
      <c r="CP1178" s="197"/>
      <c r="CQ1178" s="197"/>
      <c r="CR1178" s="197"/>
      <c r="CS1178" s="197"/>
      <c r="CT1178" s="197"/>
      <c r="CU1178" s="197"/>
      <c r="CV1178" s="197"/>
      <c r="CW1178" s="197"/>
      <c r="CX1178" s="959"/>
      <c r="CY1178" s="959"/>
      <c r="CZ1178" s="959"/>
      <c r="DA1178" s="959"/>
      <c r="DB1178" s="959"/>
      <c r="DC1178" s="891">
        <v>4128</v>
      </c>
      <c r="DD1178" s="891" t="s">
        <v>2677</v>
      </c>
      <c r="DE1178" s="891" t="s">
        <v>423</v>
      </c>
      <c r="DF1178" s="891">
        <v>5</v>
      </c>
      <c r="DG1178" s="959"/>
      <c r="DH1178" s="959"/>
      <c r="ER1178" s="905">
        <v>4435</v>
      </c>
      <c r="ES1178" s="930" t="s">
        <v>2152</v>
      </c>
      <c r="ET1178" s="2686">
        <v>9</v>
      </c>
      <c r="EV1178" s="985"/>
      <c r="EW1178" s="985"/>
      <c r="EX1178" s="387"/>
      <c r="EY1178" s="939"/>
      <c r="EZ1178" s="886"/>
    </row>
    <row r="1179" spans="88:156">
      <c r="CJ1179" s="197"/>
      <c r="CK1179" s="197"/>
      <c r="CL1179" s="197"/>
      <c r="CM1179" s="213"/>
      <c r="CN1179" s="213"/>
      <c r="CO1179" s="197"/>
      <c r="CP1179" s="197"/>
      <c r="CQ1179" s="197"/>
      <c r="CR1179" s="197"/>
      <c r="CS1179" s="197"/>
      <c r="CT1179" s="197"/>
      <c r="CU1179" s="197"/>
      <c r="CV1179" s="197"/>
      <c r="CW1179" s="197"/>
      <c r="CX1179" s="959"/>
      <c r="CY1179" s="959"/>
      <c r="CZ1179" s="959"/>
      <c r="DA1179" s="959"/>
      <c r="DB1179" s="959"/>
      <c r="DC1179" s="891">
        <v>4130</v>
      </c>
      <c r="DD1179" s="891" t="s">
        <v>2678</v>
      </c>
      <c r="DE1179" s="891" t="s">
        <v>431</v>
      </c>
      <c r="DF1179" s="891">
        <v>5</v>
      </c>
      <c r="DG1179" s="959"/>
      <c r="DH1179" s="959"/>
      <c r="ER1179" s="905">
        <v>4440</v>
      </c>
      <c r="ES1179" s="906" t="s">
        <v>2594</v>
      </c>
      <c r="ET1179" s="2686">
        <v>9</v>
      </c>
      <c r="EV1179" s="985"/>
      <c r="EW1179" s="985"/>
      <c r="EX1179" s="387"/>
      <c r="EY1179" s="939"/>
      <c r="EZ1179" s="886"/>
    </row>
    <row r="1180" spans="88:156">
      <c r="CJ1180" s="197"/>
      <c r="CK1180" s="197"/>
      <c r="CL1180" s="197"/>
      <c r="CM1180" s="213"/>
      <c r="CN1180" s="213"/>
      <c r="CO1180" s="197"/>
      <c r="CP1180" s="197"/>
      <c r="CQ1180" s="197"/>
      <c r="CR1180" s="197"/>
      <c r="CS1180" s="197"/>
      <c r="CT1180" s="197"/>
      <c r="CU1180" s="197"/>
      <c r="CV1180" s="197"/>
      <c r="CW1180" s="197"/>
      <c r="CX1180" s="959"/>
      <c r="CY1180" s="959"/>
      <c r="CZ1180" s="959"/>
      <c r="DA1180" s="959"/>
      <c r="DB1180" s="959"/>
      <c r="DC1180" s="891">
        <v>4132</v>
      </c>
      <c r="DD1180" s="891" t="s">
        <v>2679</v>
      </c>
      <c r="DE1180" s="891" t="s">
        <v>412</v>
      </c>
      <c r="DF1180" s="891">
        <v>5</v>
      </c>
      <c r="DG1180" s="959"/>
      <c r="DH1180" s="959"/>
      <c r="ER1180" s="905">
        <v>4441</v>
      </c>
      <c r="ES1180" s="906" t="s">
        <v>2595</v>
      </c>
      <c r="ET1180" s="2686">
        <v>9</v>
      </c>
      <c r="EV1180" s="985"/>
      <c r="EW1180" s="985"/>
      <c r="EX1180" s="387"/>
      <c r="EY1180" s="939"/>
      <c r="EZ1180" s="886"/>
    </row>
    <row r="1181" spans="88:156">
      <c r="CJ1181" s="197"/>
      <c r="CK1181" s="197"/>
      <c r="CL1181" s="197"/>
      <c r="CM1181" s="213"/>
      <c r="CN1181" s="213"/>
      <c r="CO1181" s="197"/>
      <c r="CP1181" s="197"/>
      <c r="CQ1181" s="197"/>
      <c r="CR1181" s="197"/>
      <c r="CS1181" s="197"/>
      <c r="CT1181" s="197"/>
      <c r="CU1181" s="197"/>
      <c r="CV1181" s="197"/>
      <c r="CW1181" s="197"/>
      <c r="CX1181" s="959"/>
      <c r="CY1181" s="959"/>
      <c r="CZ1181" s="959"/>
      <c r="DA1181" s="959"/>
      <c r="DB1181" s="959"/>
      <c r="DC1181" s="891">
        <v>4133</v>
      </c>
      <c r="DD1181" s="891" t="s">
        <v>2680</v>
      </c>
      <c r="DE1181" s="891" t="s">
        <v>2807</v>
      </c>
      <c r="DF1181" s="891">
        <v>5</v>
      </c>
      <c r="DG1181" s="959"/>
      <c r="DH1181" s="959"/>
      <c r="ER1181" s="905">
        <v>4445</v>
      </c>
      <c r="ES1181" s="906" t="s">
        <v>2596</v>
      </c>
      <c r="ET1181" s="2686">
        <v>9</v>
      </c>
      <c r="EV1181" s="985"/>
      <c r="EW1181" s="985"/>
      <c r="EX1181" s="387"/>
      <c r="EY1181" s="939"/>
      <c r="EZ1181" s="886"/>
    </row>
    <row r="1182" spans="88:156">
      <c r="CJ1182" s="197"/>
      <c r="CK1182" s="197"/>
      <c r="CL1182" s="197"/>
      <c r="CM1182" s="213"/>
      <c r="CN1182" s="213"/>
      <c r="CO1182" s="197"/>
      <c r="CP1182" s="197"/>
      <c r="CQ1182" s="197"/>
      <c r="CR1182" s="197"/>
      <c r="CS1182" s="197"/>
      <c r="CT1182" s="197"/>
      <c r="CU1182" s="197"/>
      <c r="CV1182" s="197"/>
      <c r="CW1182" s="197"/>
      <c r="CX1182" s="959"/>
      <c r="CY1182" s="959"/>
      <c r="CZ1182" s="959"/>
      <c r="DA1182" s="959"/>
      <c r="DB1182" s="959"/>
      <c r="DC1182" s="891">
        <v>4134</v>
      </c>
      <c r="DD1182" s="891" t="s">
        <v>2681</v>
      </c>
      <c r="DE1182" s="891" t="s">
        <v>2807</v>
      </c>
      <c r="DF1182" s="891">
        <v>6</v>
      </c>
      <c r="DG1182" s="959"/>
      <c r="DH1182" s="959"/>
      <c r="ER1182" s="905">
        <v>4446</v>
      </c>
      <c r="ES1182" s="906" t="s">
        <v>824</v>
      </c>
      <c r="ET1182" s="2686">
        <v>9</v>
      </c>
      <c r="EV1182" s="985"/>
      <c r="EW1182" s="985"/>
      <c r="EX1182" s="387"/>
      <c r="EY1182" s="939"/>
      <c r="EZ1182" s="886"/>
    </row>
    <row r="1183" spans="88:156">
      <c r="CJ1183" s="197"/>
      <c r="CK1183" s="197"/>
      <c r="CL1183" s="197"/>
      <c r="CM1183" s="213"/>
      <c r="CN1183" s="213"/>
      <c r="CO1183" s="197"/>
      <c r="CP1183" s="197"/>
      <c r="CQ1183" s="197"/>
      <c r="CR1183" s="197"/>
      <c r="CS1183" s="197"/>
      <c r="CT1183" s="197"/>
      <c r="CU1183" s="197"/>
      <c r="CV1183" s="197"/>
      <c r="CW1183" s="197"/>
      <c r="CX1183" s="959"/>
      <c r="CY1183" s="959"/>
      <c r="CZ1183" s="959"/>
      <c r="DA1183" s="959"/>
      <c r="DB1183" s="959"/>
      <c r="DC1183" s="891">
        <v>4135</v>
      </c>
      <c r="DD1183" s="891" t="s">
        <v>3433</v>
      </c>
      <c r="DE1183" s="891" t="s">
        <v>2807</v>
      </c>
      <c r="DF1183" s="891">
        <v>4</v>
      </c>
      <c r="DG1183" s="959"/>
      <c r="DH1183" s="959"/>
      <c r="ER1183" s="905">
        <v>4447</v>
      </c>
      <c r="ES1183" s="905" t="s">
        <v>825</v>
      </c>
      <c r="ET1183" s="2686">
        <v>9</v>
      </c>
      <c r="EV1183" s="985"/>
      <c r="EW1183" s="985"/>
      <c r="EX1183" s="387"/>
      <c r="EY1183" s="939"/>
      <c r="EZ1183" s="886"/>
    </row>
    <row r="1184" spans="88:156">
      <c r="CJ1184" s="197"/>
      <c r="CK1184" s="197"/>
      <c r="CL1184" s="197"/>
      <c r="CM1184" s="213"/>
      <c r="CN1184" s="213"/>
      <c r="CO1184" s="197"/>
      <c r="CP1184" s="197"/>
      <c r="CQ1184" s="197"/>
      <c r="CR1184" s="197"/>
      <c r="CS1184" s="197"/>
      <c r="CT1184" s="197"/>
      <c r="CU1184" s="197"/>
      <c r="CV1184" s="197"/>
      <c r="CW1184" s="197"/>
      <c r="CX1184" s="959"/>
      <c r="CY1184" s="959"/>
      <c r="CZ1184" s="959"/>
      <c r="DA1184" s="959"/>
      <c r="DB1184" s="959"/>
      <c r="DC1184" s="891">
        <v>4136</v>
      </c>
      <c r="DD1184" s="891" t="s">
        <v>3434</v>
      </c>
      <c r="DE1184" s="891" t="s">
        <v>431</v>
      </c>
      <c r="DF1184" s="891">
        <v>6</v>
      </c>
      <c r="DG1184" s="959"/>
      <c r="DH1184" s="959"/>
      <c r="ER1184" s="905">
        <v>4450</v>
      </c>
      <c r="ES1184" s="906" t="s">
        <v>2599</v>
      </c>
      <c r="ET1184" s="2686">
        <v>9</v>
      </c>
      <c r="EV1184" s="985"/>
      <c r="EW1184" s="985"/>
      <c r="EX1184" s="387"/>
      <c r="EY1184" s="939"/>
      <c r="EZ1184" s="886"/>
    </row>
    <row r="1185" spans="88:156">
      <c r="CJ1185" s="197"/>
      <c r="CK1185" s="197"/>
      <c r="CL1185" s="197"/>
      <c r="CM1185" s="213"/>
      <c r="CN1185" s="213"/>
      <c r="CO1185" s="197"/>
      <c r="CP1185" s="197"/>
      <c r="CQ1185" s="197"/>
      <c r="CR1185" s="197"/>
      <c r="CS1185" s="197"/>
      <c r="CT1185" s="197"/>
      <c r="CU1185" s="197"/>
      <c r="CV1185" s="197"/>
      <c r="CW1185" s="197"/>
      <c r="CX1185" s="959"/>
      <c r="CY1185" s="959"/>
      <c r="CZ1185" s="959"/>
      <c r="DA1185" s="959"/>
      <c r="DB1185" s="959"/>
      <c r="DC1185" s="891">
        <v>4137</v>
      </c>
      <c r="DD1185" s="891" t="s">
        <v>3435</v>
      </c>
      <c r="DE1185" s="891" t="s">
        <v>434</v>
      </c>
      <c r="DF1185" s="891">
        <v>6</v>
      </c>
      <c r="DG1185" s="959"/>
      <c r="DH1185" s="959"/>
      <c r="ER1185" s="905">
        <v>4455</v>
      </c>
      <c r="ES1185" s="906" t="s">
        <v>2600</v>
      </c>
      <c r="ET1185" s="2686">
        <v>9</v>
      </c>
      <c r="EV1185" s="985"/>
      <c r="EW1185" s="985"/>
      <c r="EX1185" s="387"/>
      <c r="EY1185" s="939"/>
      <c r="EZ1185" s="886"/>
    </row>
    <row r="1186" spans="88:156">
      <c r="CJ1186" s="197"/>
      <c r="CK1186" s="197"/>
      <c r="CL1186" s="197"/>
      <c r="CM1186" s="213"/>
      <c r="CN1186" s="213"/>
      <c r="CO1186" s="197"/>
      <c r="CP1186" s="197"/>
      <c r="CQ1186" s="197"/>
      <c r="CR1186" s="197"/>
      <c r="CS1186" s="197"/>
      <c r="CT1186" s="197"/>
      <c r="CU1186" s="197"/>
      <c r="CV1186" s="197"/>
      <c r="CW1186" s="197"/>
      <c r="CX1186" s="959"/>
      <c r="CY1186" s="959"/>
      <c r="CZ1186" s="959"/>
      <c r="DA1186" s="959"/>
      <c r="DB1186" s="959"/>
      <c r="DC1186" s="891">
        <v>4138</v>
      </c>
      <c r="DD1186" s="891" t="s">
        <v>3436</v>
      </c>
      <c r="DE1186" s="891" t="s">
        <v>423</v>
      </c>
      <c r="DF1186" s="891">
        <v>6</v>
      </c>
      <c r="DG1186" s="959"/>
      <c r="DH1186" s="959"/>
      <c r="ER1186" s="905">
        <v>4456</v>
      </c>
      <c r="ES1186" s="906" t="s">
        <v>2601</v>
      </c>
      <c r="ET1186" s="2686">
        <v>9</v>
      </c>
      <c r="EV1186" s="985"/>
      <c r="EW1186" s="985"/>
      <c r="EX1186" s="387"/>
      <c r="EY1186" s="939"/>
      <c r="EZ1186" s="886"/>
    </row>
    <row r="1187" spans="88:156">
      <c r="CJ1187" s="197"/>
      <c r="CK1187" s="197"/>
      <c r="CL1187" s="197"/>
      <c r="CM1187" s="213"/>
      <c r="CN1187" s="213"/>
      <c r="CO1187" s="197"/>
      <c r="CP1187" s="197"/>
      <c r="CQ1187" s="197"/>
      <c r="CR1187" s="197"/>
      <c r="CS1187" s="197"/>
      <c r="CT1187" s="197"/>
      <c r="CU1187" s="197"/>
      <c r="CV1187" s="197"/>
      <c r="CW1187" s="197"/>
      <c r="CX1187" s="959"/>
      <c r="CY1187" s="959"/>
      <c r="CZ1187" s="959"/>
      <c r="DA1187" s="959"/>
      <c r="DB1187" s="959"/>
      <c r="DC1187" s="891">
        <v>4141</v>
      </c>
      <c r="DD1187" s="891" t="s">
        <v>3437</v>
      </c>
      <c r="DE1187" s="891" t="s">
        <v>412</v>
      </c>
      <c r="DF1187" s="891">
        <v>6</v>
      </c>
      <c r="DG1187" s="959"/>
      <c r="DH1187" s="959"/>
      <c r="ER1187" s="905">
        <v>4461</v>
      </c>
      <c r="ES1187" s="906" t="s">
        <v>2602</v>
      </c>
      <c r="ET1187" s="2686">
        <v>9</v>
      </c>
      <c r="EV1187" s="985"/>
      <c r="EW1187" s="985"/>
      <c r="EX1187" s="387"/>
      <c r="EY1187" s="939"/>
      <c r="EZ1187" s="886"/>
    </row>
    <row r="1188" spans="88:156">
      <c r="CJ1188" s="197"/>
      <c r="CK1188" s="197"/>
      <c r="CL1188" s="197"/>
      <c r="CM1188" s="213"/>
      <c r="CN1188" s="213"/>
      <c r="CO1188" s="197"/>
      <c r="CP1188" s="197"/>
      <c r="CQ1188" s="197"/>
      <c r="CR1188" s="197"/>
      <c r="CS1188" s="197"/>
      <c r="CT1188" s="197"/>
      <c r="CU1188" s="197"/>
      <c r="CV1188" s="197"/>
      <c r="CW1188" s="197"/>
      <c r="CX1188" s="959"/>
      <c r="CY1188" s="959"/>
      <c r="CZ1188" s="959"/>
      <c r="DA1188" s="959"/>
      <c r="DB1188" s="959"/>
      <c r="DC1188" s="891">
        <v>4142</v>
      </c>
      <c r="DD1188" s="891" t="s">
        <v>3438</v>
      </c>
      <c r="DE1188" s="891" t="s">
        <v>434</v>
      </c>
      <c r="DF1188" s="891">
        <v>6</v>
      </c>
      <c r="DG1188" s="959"/>
      <c r="DH1188" s="959"/>
      <c r="ER1188" s="905">
        <v>4463</v>
      </c>
      <c r="ES1188" s="906" t="s">
        <v>2603</v>
      </c>
      <c r="ET1188" s="2686">
        <v>9</v>
      </c>
      <c r="EV1188" s="985"/>
      <c r="EW1188" s="985"/>
      <c r="EX1188" s="387"/>
      <c r="EY1188" s="939"/>
      <c r="EZ1188" s="886"/>
    </row>
    <row r="1189" spans="88:156">
      <c r="CJ1189" s="197"/>
      <c r="CK1189" s="197"/>
      <c r="CL1189" s="197"/>
      <c r="CM1189" s="213"/>
      <c r="CN1189" s="213"/>
      <c r="CO1189" s="197"/>
      <c r="CP1189" s="197"/>
      <c r="CQ1189" s="197"/>
      <c r="CR1189" s="197"/>
      <c r="CS1189" s="197"/>
      <c r="CT1189" s="197"/>
      <c r="CU1189" s="197"/>
      <c r="CV1189" s="197"/>
      <c r="CW1189" s="197"/>
      <c r="CX1189" s="959"/>
      <c r="CY1189" s="959"/>
      <c r="CZ1189" s="959"/>
      <c r="DA1189" s="959"/>
      <c r="DB1189" s="959"/>
      <c r="DC1189" s="891">
        <v>4143</v>
      </c>
      <c r="DD1189" s="891" t="s">
        <v>3439</v>
      </c>
      <c r="DE1189" s="891" t="s">
        <v>402</v>
      </c>
      <c r="DF1189" s="891">
        <v>6</v>
      </c>
      <c r="DG1189" s="959"/>
      <c r="DH1189" s="959"/>
      <c r="ER1189" s="905">
        <v>4464</v>
      </c>
      <c r="ES1189" s="906" t="s">
        <v>826</v>
      </c>
      <c r="ET1189" s="2686">
        <v>9</v>
      </c>
      <c r="EV1189" s="985"/>
      <c r="EW1189" s="985"/>
      <c r="EX1189" s="387"/>
      <c r="EY1189" s="939"/>
      <c r="EZ1189" s="886"/>
    </row>
    <row r="1190" spans="88:156">
      <c r="CJ1190" s="197"/>
      <c r="CK1190" s="197"/>
      <c r="CL1190" s="197"/>
      <c r="CM1190" s="213"/>
      <c r="CN1190" s="213"/>
      <c r="CO1190" s="197"/>
      <c r="CP1190" s="197"/>
      <c r="CQ1190" s="197"/>
      <c r="CR1190" s="197"/>
      <c r="CS1190" s="197"/>
      <c r="CT1190" s="197"/>
      <c r="CU1190" s="197"/>
      <c r="CV1190" s="197"/>
      <c r="CW1190" s="197"/>
      <c r="CX1190" s="959"/>
      <c r="CY1190" s="959"/>
      <c r="CZ1190" s="959"/>
      <c r="DA1190" s="959"/>
      <c r="DB1190" s="959"/>
      <c r="DC1190" s="891">
        <v>4144</v>
      </c>
      <c r="DD1190" s="891" t="s">
        <v>3440</v>
      </c>
      <c r="DE1190" s="891" t="s">
        <v>428</v>
      </c>
      <c r="DF1190" s="891">
        <v>6</v>
      </c>
      <c r="DG1190" s="959"/>
      <c r="DH1190" s="959"/>
      <c r="ER1190" s="905">
        <v>4465</v>
      </c>
      <c r="ES1190" s="906" t="s">
        <v>4233</v>
      </c>
      <c r="ET1190" s="2686">
        <v>9</v>
      </c>
      <c r="EV1190" s="985"/>
      <c r="EW1190" s="985"/>
      <c r="EX1190" s="387"/>
      <c r="EY1190" s="939"/>
      <c r="EZ1190" s="886"/>
    </row>
    <row r="1191" spans="88:156">
      <c r="CJ1191" s="197"/>
      <c r="CK1191" s="197"/>
      <c r="CL1191" s="197"/>
      <c r="CM1191" s="213"/>
      <c r="CN1191" s="213"/>
      <c r="CO1191" s="197"/>
      <c r="CP1191" s="197"/>
      <c r="CQ1191" s="197"/>
      <c r="CR1191" s="197"/>
      <c r="CS1191" s="197"/>
      <c r="CT1191" s="197"/>
      <c r="CU1191" s="197"/>
      <c r="CV1191" s="197"/>
      <c r="CW1191" s="197"/>
      <c r="CX1191" s="959"/>
      <c r="CY1191" s="959"/>
      <c r="CZ1191" s="959"/>
      <c r="DA1191" s="959"/>
      <c r="DB1191" s="959"/>
      <c r="DC1191" s="891">
        <v>4145</v>
      </c>
      <c r="DD1191" s="891" t="s">
        <v>3441</v>
      </c>
      <c r="DE1191" s="891" t="s">
        <v>434</v>
      </c>
      <c r="DF1191" s="891">
        <v>6</v>
      </c>
      <c r="DG1191" s="959"/>
      <c r="DH1191" s="959"/>
      <c r="ER1191" s="905">
        <v>4466</v>
      </c>
      <c r="ES1191" s="906" t="s">
        <v>827</v>
      </c>
      <c r="ET1191" s="2686">
        <v>9</v>
      </c>
      <c r="EV1191" s="985"/>
      <c r="EW1191" s="985"/>
      <c r="EX1191" s="387"/>
      <c r="EY1191" s="939"/>
      <c r="EZ1191" s="886"/>
    </row>
    <row r="1192" spans="88:156">
      <c r="CJ1192" s="197"/>
      <c r="CK1192" s="197"/>
      <c r="CL1192" s="197"/>
      <c r="CM1192" s="213"/>
      <c r="CN1192" s="213"/>
      <c r="CO1192" s="197"/>
      <c r="CP1192" s="197"/>
      <c r="CQ1192" s="197"/>
      <c r="CR1192" s="197"/>
      <c r="CS1192" s="197"/>
      <c r="CT1192" s="197"/>
      <c r="CU1192" s="197"/>
      <c r="CV1192" s="197"/>
      <c r="CW1192" s="197"/>
      <c r="CX1192" s="959"/>
      <c r="CY1192" s="959"/>
      <c r="CZ1192" s="959"/>
      <c r="DA1192" s="959"/>
      <c r="DB1192" s="959"/>
      <c r="DC1192" s="891">
        <v>4146</v>
      </c>
      <c r="DD1192" s="891" t="s">
        <v>3442</v>
      </c>
      <c r="DE1192" s="891" t="s">
        <v>427</v>
      </c>
      <c r="DF1192" s="891">
        <v>6</v>
      </c>
      <c r="DG1192" s="959"/>
      <c r="DH1192" s="959"/>
      <c r="ER1192" s="905">
        <v>4467</v>
      </c>
      <c r="ES1192" s="906" t="s">
        <v>4235</v>
      </c>
      <c r="ET1192" s="2686">
        <v>9</v>
      </c>
      <c r="EV1192" s="985"/>
      <c r="EW1192" s="985"/>
      <c r="EX1192" s="387"/>
      <c r="EY1192" s="939"/>
      <c r="EZ1192" s="886"/>
    </row>
    <row r="1193" spans="88:156">
      <c r="CJ1193" s="197"/>
      <c r="CK1193" s="197"/>
      <c r="CL1193" s="197"/>
      <c r="CM1193" s="213"/>
      <c r="CN1193" s="213"/>
      <c r="CO1193" s="197"/>
      <c r="CP1193" s="197"/>
      <c r="CQ1193" s="197"/>
      <c r="CR1193" s="197"/>
      <c r="CS1193" s="197"/>
      <c r="CT1193" s="197"/>
      <c r="CU1193" s="197"/>
      <c r="CV1193" s="197"/>
      <c r="CW1193" s="197"/>
      <c r="CX1193" s="959"/>
      <c r="CY1193" s="959"/>
      <c r="CZ1193" s="959"/>
      <c r="DA1193" s="959"/>
      <c r="DB1193" s="959"/>
      <c r="DC1193" s="891">
        <v>4150</v>
      </c>
      <c r="DD1193" s="891" t="s">
        <v>3443</v>
      </c>
      <c r="DE1193" s="891" t="s">
        <v>427</v>
      </c>
      <c r="DF1193" s="891">
        <v>6</v>
      </c>
      <c r="DG1193" s="959"/>
      <c r="DH1193" s="959"/>
      <c r="ER1193" s="905">
        <v>4468</v>
      </c>
      <c r="ES1193" s="906" t="s">
        <v>4236</v>
      </c>
      <c r="ET1193" s="2686">
        <v>9</v>
      </c>
      <c r="EV1193" s="985"/>
      <c r="EW1193" s="985"/>
      <c r="EX1193" s="387"/>
      <c r="EY1193" s="939"/>
      <c r="EZ1193" s="886"/>
    </row>
    <row r="1194" spans="88:156">
      <c r="CJ1194" s="197"/>
      <c r="CK1194" s="197"/>
      <c r="CL1194" s="197"/>
      <c r="CM1194" s="213"/>
      <c r="CN1194" s="213"/>
      <c r="CO1194" s="197"/>
      <c r="CP1194" s="197"/>
      <c r="CQ1194" s="197"/>
      <c r="CR1194" s="197"/>
      <c r="CS1194" s="197"/>
      <c r="CT1194" s="197"/>
      <c r="CU1194" s="197"/>
      <c r="CV1194" s="197"/>
      <c r="CW1194" s="197"/>
      <c r="CX1194" s="959"/>
      <c r="CY1194" s="959"/>
      <c r="CZ1194" s="959"/>
      <c r="DA1194" s="959"/>
      <c r="DB1194" s="959"/>
      <c r="DC1194" s="891">
        <v>4161</v>
      </c>
      <c r="DD1194" s="891" t="s">
        <v>3444</v>
      </c>
      <c r="DE1194" s="891" t="s">
        <v>427</v>
      </c>
      <c r="DF1194" s="891">
        <v>6</v>
      </c>
      <c r="DG1194" s="959"/>
      <c r="DH1194" s="959"/>
      <c r="ER1194" s="905">
        <v>4471</v>
      </c>
      <c r="ES1194" s="906" t="s">
        <v>828</v>
      </c>
      <c r="ET1194" s="2686">
        <v>9</v>
      </c>
      <c r="EV1194" s="985"/>
      <c r="EW1194" s="985"/>
      <c r="EX1194" s="387"/>
      <c r="EY1194" s="939"/>
      <c r="EZ1194" s="886"/>
    </row>
    <row r="1195" spans="88:156">
      <c r="CJ1195" s="197"/>
      <c r="CK1195" s="197"/>
      <c r="CL1195" s="197"/>
      <c r="CM1195" s="213"/>
      <c r="CN1195" s="213"/>
      <c r="CO1195" s="197"/>
      <c r="CP1195" s="197"/>
      <c r="CQ1195" s="197"/>
      <c r="CR1195" s="197"/>
      <c r="CS1195" s="197"/>
      <c r="CT1195" s="197"/>
      <c r="CU1195" s="197"/>
      <c r="CV1195" s="197"/>
      <c r="CW1195" s="197"/>
      <c r="CX1195" s="959"/>
      <c r="CY1195" s="959"/>
      <c r="CZ1195" s="959"/>
      <c r="DA1195" s="959"/>
      <c r="DB1195" s="959"/>
      <c r="DC1195" s="891">
        <v>4162</v>
      </c>
      <c r="DD1195" s="891" t="s">
        <v>3445</v>
      </c>
      <c r="DE1195" s="891" t="s">
        <v>428</v>
      </c>
      <c r="DF1195" s="891">
        <v>6</v>
      </c>
      <c r="DG1195" s="959"/>
      <c r="DH1195" s="959"/>
      <c r="ER1195" s="905">
        <v>4472</v>
      </c>
      <c r="ES1195" s="906" t="s">
        <v>829</v>
      </c>
      <c r="ET1195" s="2686">
        <v>9</v>
      </c>
      <c r="EV1195" s="985"/>
      <c r="EW1195" s="985"/>
      <c r="EX1195" s="387"/>
      <c r="EY1195" s="939"/>
      <c r="EZ1195" s="886"/>
    </row>
    <row r="1196" spans="88:156">
      <c r="CJ1196" s="197"/>
      <c r="CK1196" s="197"/>
      <c r="CL1196" s="197"/>
      <c r="CM1196" s="213"/>
      <c r="CN1196" s="213"/>
      <c r="CO1196" s="197"/>
      <c r="CP1196" s="197"/>
      <c r="CQ1196" s="197"/>
      <c r="CR1196" s="197"/>
      <c r="CS1196" s="197"/>
      <c r="CT1196" s="197"/>
      <c r="CU1196" s="197"/>
      <c r="CV1196" s="197"/>
      <c r="CW1196" s="197"/>
      <c r="CX1196" s="959"/>
      <c r="CY1196" s="959"/>
      <c r="CZ1196" s="959"/>
      <c r="DA1196" s="959"/>
      <c r="DB1196" s="959"/>
      <c r="DC1196" s="891">
        <v>4163</v>
      </c>
      <c r="DD1196" s="891" t="s">
        <v>3446</v>
      </c>
      <c r="DE1196" s="891" t="s">
        <v>435</v>
      </c>
      <c r="DF1196" s="891">
        <v>6</v>
      </c>
      <c r="DG1196" s="959"/>
      <c r="DH1196" s="959"/>
      <c r="ER1196" s="905">
        <v>4474</v>
      </c>
      <c r="ES1196" s="906" t="s">
        <v>4239</v>
      </c>
      <c r="ET1196" s="2686">
        <v>9</v>
      </c>
      <c r="EV1196" s="985"/>
      <c r="EW1196" s="985"/>
      <c r="EX1196" s="387"/>
      <c r="EY1196" s="939"/>
      <c r="EZ1196" s="886"/>
    </row>
    <row r="1197" spans="88:156">
      <c r="CJ1197" s="197"/>
      <c r="CK1197" s="197"/>
      <c r="CL1197" s="197"/>
      <c r="CM1197" s="213"/>
      <c r="CN1197" s="213"/>
      <c r="CO1197" s="197"/>
      <c r="CP1197" s="197"/>
      <c r="CQ1197" s="197"/>
      <c r="CR1197" s="197"/>
      <c r="CS1197" s="197"/>
      <c r="CT1197" s="197"/>
      <c r="CU1197" s="197"/>
      <c r="CV1197" s="197"/>
      <c r="CW1197" s="197"/>
      <c r="CX1197" s="959"/>
      <c r="CY1197" s="959"/>
      <c r="CZ1197" s="959"/>
      <c r="DA1197" s="959"/>
      <c r="DB1197" s="959"/>
      <c r="DC1197" s="891">
        <v>4164</v>
      </c>
      <c r="DD1197" s="891" t="s">
        <v>3447</v>
      </c>
      <c r="DE1197" s="891" t="s">
        <v>412</v>
      </c>
      <c r="DF1197" s="891">
        <v>6</v>
      </c>
      <c r="DG1197" s="959"/>
      <c r="DH1197" s="959"/>
      <c r="ER1197" s="905">
        <v>4475</v>
      </c>
      <c r="ES1197" s="906" t="s">
        <v>4240</v>
      </c>
      <c r="ET1197" s="2686">
        <v>9</v>
      </c>
      <c r="EV1197" s="985"/>
      <c r="EW1197" s="985"/>
      <c r="EX1197" s="387"/>
      <c r="EY1197" s="939"/>
      <c r="EZ1197" s="886"/>
    </row>
    <row r="1198" spans="88:156">
      <c r="CJ1198" s="197"/>
      <c r="CK1198" s="197"/>
      <c r="CL1198" s="197"/>
      <c r="CM1198" s="213"/>
      <c r="CN1198" s="213"/>
      <c r="CO1198" s="197"/>
      <c r="CP1198" s="197"/>
      <c r="CQ1198" s="197"/>
      <c r="CR1198" s="197"/>
      <c r="CS1198" s="197"/>
      <c r="CT1198" s="197"/>
      <c r="CU1198" s="197"/>
      <c r="CV1198" s="197"/>
      <c r="CW1198" s="197"/>
      <c r="CX1198" s="959"/>
      <c r="CY1198" s="959"/>
      <c r="CZ1198" s="959"/>
      <c r="DA1198" s="959"/>
      <c r="DB1198" s="959"/>
      <c r="DC1198" s="891">
        <v>4171</v>
      </c>
      <c r="DD1198" s="891" t="s">
        <v>3448</v>
      </c>
      <c r="DE1198" s="891" t="s">
        <v>412</v>
      </c>
      <c r="DF1198" s="891">
        <v>6</v>
      </c>
      <c r="DG1198" s="959"/>
      <c r="DH1198" s="959"/>
      <c r="ER1198" s="905">
        <v>4481</v>
      </c>
      <c r="ES1198" s="970" t="s">
        <v>830</v>
      </c>
      <c r="ET1198" s="2686">
        <v>6</v>
      </c>
      <c r="EV1198" s="985"/>
      <c r="EW1198" s="985"/>
      <c r="EX1198" s="387"/>
      <c r="EY1198" s="939"/>
      <c r="EZ1198" s="886"/>
    </row>
    <row r="1199" spans="88:156">
      <c r="CJ1199" s="197"/>
      <c r="CK1199" s="197"/>
      <c r="CL1199" s="197"/>
      <c r="CM1199" s="213"/>
      <c r="CN1199" s="213"/>
      <c r="CO1199" s="197"/>
      <c r="CP1199" s="197"/>
      <c r="CQ1199" s="197"/>
      <c r="CR1199" s="197"/>
      <c r="CS1199" s="197"/>
      <c r="CT1199" s="197"/>
      <c r="CU1199" s="197"/>
      <c r="CV1199" s="197"/>
      <c r="CW1199" s="197"/>
      <c r="CX1199" s="959"/>
      <c r="CY1199" s="959"/>
      <c r="CZ1199" s="959"/>
      <c r="DA1199" s="959"/>
      <c r="DB1199" s="959"/>
      <c r="DC1199" s="891">
        <v>4172</v>
      </c>
      <c r="DD1199" s="891" t="s">
        <v>1834</v>
      </c>
      <c r="DE1199" s="891" t="s">
        <v>412</v>
      </c>
      <c r="DF1199" s="891">
        <v>6</v>
      </c>
      <c r="DG1199" s="959"/>
      <c r="DH1199" s="959"/>
      <c r="ER1199" s="905">
        <v>4482</v>
      </c>
      <c r="ES1199" s="906" t="s">
        <v>4242</v>
      </c>
      <c r="ET1199" s="2686">
        <v>9</v>
      </c>
      <c r="EV1199" s="985"/>
      <c r="EW1199" s="985"/>
      <c r="EX1199" s="387"/>
      <c r="EY1199" s="939"/>
      <c r="EZ1199" s="886"/>
    </row>
    <row r="1200" spans="88:156">
      <c r="CJ1200" s="197"/>
      <c r="CK1200" s="197"/>
      <c r="CL1200" s="197"/>
      <c r="CM1200" s="213"/>
      <c r="CN1200" s="213"/>
      <c r="CO1200" s="197"/>
      <c r="CP1200" s="197"/>
      <c r="CQ1200" s="197"/>
      <c r="CR1200" s="197"/>
      <c r="CS1200" s="197"/>
      <c r="CT1200" s="197"/>
      <c r="CU1200" s="197"/>
      <c r="CV1200" s="197"/>
      <c r="CW1200" s="197"/>
      <c r="CX1200" s="959"/>
      <c r="CY1200" s="959"/>
      <c r="CZ1200" s="959"/>
      <c r="DA1200" s="959"/>
      <c r="DB1200" s="959"/>
      <c r="DC1200" s="891">
        <v>4173</v>
      </c>
      <c r="DD1200" s="891" t="s">
        <v>1835</v>
      </c>
      <c r="DE1200" s="891" t="s">
        <v>412</v>
      </c>
      <c r="DF1200" s="891">
        <v>6</v>
      </c>
      <c r="DG1200" s="959"/>
      <c r="DH1200" s="959"/>
      <c r="ER1200" s="905">
        <v>4483</v>
      </c>
      <c r="ES1200" s="906" t="s">
        <v>831</v>
      </c>
      <c r="ET1200" s="2686">
        <v>9</v>
      </c>
      <c r="EV1200" s="985"/>
      <c r="EW1200" s="985"/>
      <c r="EX1200" s="387"/>
      <c r="EY1200" s="939"/>
      <c r="EZ1200" s="886"/>
    </row>
    <row r="1201" spans="88:156">
      <c r="CJ1201" s="197"/>
      <c r="CK1201" s="197"/>
      <c r="CL1201" s="197"/>
      <c r="CM1201" s="213"/>
      <c r="CN1201" s="213"/>
      <c r="CO1201" s="197"/>
      <c r="CP1201" s="197"/>
      <c r="CQ1201" s="197"/>
      <c r="CR1201" s="197"/>
      <c r="CS1201" s="197"/>
      <c r="CT1201" s="197"/>
      <c r="CU1201" s="197"/>
      <c r="CV1201" s="197"/>
      <c r="CW1201" s="197"/>
      <c r="CX1201" s="959"/>
      <c r="CY1201" s="959"/>
      <c r="CZ1201" s="959"/>
      <c r="DA1201" s="959"/>
      <c r="DB1201" s="959"/>
      <c r="DC1201" s="891">
        <v>4174</v>
      </c>
      <c r="DD1201" s="891" t="s">
        <v>1836</v>
      </c>
      <c r="DE1201" s="891" t="s">
        <v>410</v>
      </c>
      <c r="DF1201" s="891">
        <v>6</v>
      </c>
      <c r="DG1201" s="959"/>
      <c r="DH1201" s="959"/>
      <c r="ER1201" s="905">
        <v>4484</v>
      </c>
      <c r="ES1201" s="906" t="s">
        <v>4244</v>
      </c>
      <c r="ET1201" s="2686">
        <v>9</v>
      </c>
      <c r="EV1201" s="985"/>
      <c r="EW1201" s="985"/>
      <c r="EX1201" s="387"/>
      <c r="EY1201" s="939"/>
      <c r="EZ1201" s="886"/>
    </row>
    <row r="1202" spans="88:156">
      <c r="CJ1202" s="197"/>
      <c r="CK1202" s="197"/>
      <c r="CL1202" s="197"/>
      <c r="CM1202" s="213"/>
      <c r="CN1202" s="213"/>
      <c r="CO1202" s="197"/>
      <c r="CP1202" s="197"/>
      <c r="CQ1202" s="197"/>
      <c r="CR1202" s="197"/>
      <c r="CS1202" s="197"/>
      <c r="CT1202" s="197"/>
      <c r="CU1202" s="197"/>
      <c r="CV1202" s="197"/>
      <c r="CW1202" s="197"/>
      <c r="CX1202" s="959"/>
      <c r="CY1202" s="959"/>
      <c r="CZ1202" s="959"/>
      <c r="DA1202" s="959"/>
      <c r="DB1202" s="959"/>
      <c r="DC1202" s="891">
        <v>4175</v>
      </c>
      <c r="DD1202" s="891" t="s">
        <v>1837</v>
      </c>
      <c r="DE1202" s="891" t="s">
        <v>410</v>
      </c>
      <c r="DF1202" s="891">
        <v>6</v>
      </c>
      <c r="DG1202" s="959"/>
      <c r="DH1202" s="959"/>
      <c r="ER1202" s="905">
        <v>4485</v>
      </c>
      <c r="ES1202" s="906" t="s">
        <v>4245</v>
      </c>
      <c r="ET1202" s="2686">
        <v>9</v>
      </c>
      <c r="EV1202" s="985"/>
      <c r="EW1202" s="985"/>
      <c r="EX1202" s="387"/>
      <c r="EY1202" s="939"/>
      <c r="EZ1202" s="886"/>
    </row>
    <row r="1203" spans="88:156">
      <c r="CJ1203" s="197"/>
      <c r="CK1203" s="197"/>
      <c r="CL1203" s="197"/>
      <c r="CM1203" s="213"/>
      <c r="CN1203" s="213"/>
      <c r="CO1203" s="197"/>
      <c r="CP1203" s="197"/>
      <c r="CQ1203" s="197"/>
      <c r="CR1203" s="197"/>
      <c r="CS1203" s="197"/>
      <c r="CT1203" s="197"/>
      <c r="CU1203" s="197"/>
      <c r="CV1203" s="197"/>
      <c r="CW1203" s="197"/>
      <c r="CX1203" s="959"/>
      <c r="CY1203" s="959"/>
      <c r="CZ1203" s="959"/>
      <c r="DA1203" s="959"/>
      <c r="DB1203" s="959"/>
      <c r="DC1203" s="891">
        <v>4176</v>
      </c>
      <c r="DD1203" s="891" t="s">
        <v>1838</v>
      </c>
      <c r="DE1203" s="891" t="s">
        <v>410</v>
      </c>
      <c r="DF1203" s="891">
        <v>6</v>
      </c>
      <c r="DG1203" s="959"/>
      <c r="DH1203" s="959"/>
      <c r="ER1203" s="905">
        <v>4486</v>
      </c>
      <c r="ES1203" s="905" t="s">
        <v>832</v>
      </c>
      <c r="ET1203" s="2686">
        <v>9</v>
      </c>
      <c r="EV1203" s="985"/>
      <c r="EW1203" s="985"/>
      <c r="EX1203" s="387"/>
      <c r="EY1203" s="939"/>
      <c r="EZ1203" s="886"/>
    </row>
    <row r="1204" spans="88:156">
      <c r="CJ1204" s="197"/>
      <c r="CK1204" s="197"/>
      <c r="CL1204" s="197"/>
      <c r="CM1204" s="213"/>
      <c r="CN1204" s="213"/>
      <c r="CO1204" s="197"/>
      <c r="CP1204" s="197"/>
      <c r="CQ1204" s="197"/>
      <c r="CR1204" s="197"/>
      <c r="CS1204" s="197"/>
      <c r="CT1204" s="197"/>
      <c r="CU1204" s="197"/>
      <c r="CV1204" s="197"/>
      <c r="CW1204" s="197"/>
      <c r="CX1204" s="959"/>
      <c r="CY1204" s="959"/>
      <c r="CZ1204" s="959"/>
      <c r="DA1204" s="959"/>
      <c r="DB1204" s="959"/>
      <c r="DC1204" s="891">
        <v>4177</v>
      </c>
      <c r="DD1204" s="891" t="s">
        <v>1839</v>
      </c>
      <c r="DE1204" s="891" t="s">
        <v>433</v>
      </c>
      <c r="DF1204" s="891">
        <v>6</v>
      </c>
      <c r="DG1204" s="959"/>
      <c r="DH1204" s="959"/>
      <c r="ER1204" s="905">
        <v>4487</v>
      </c>
      <c r="ES1204" s="906" t="s">
        <v>4247</v>
      </c>
      <c r="ET1204" s="2686">
        <v>9</v>
      </c>
      <c r="EV1204" s="985"/>
      <c r="EW1204" s="985"/>
      <c r="EX1204" s="387"/>
      <c r="EY1204" s="939"/>
      <c r="EZ1204" s="886"/>
    </row>
    <row r="1205" spans="88:156">
      <c r="CJ1205" s="197"/>
      <c r="CK1205" s="197"/>
      <c r="CL1205" s="197"/>
      <c r="CM1205" s="213"/>
      <c r="CN1205" s="213"/>
      <c r="CO1205" s="197"/>
      <c r="CP1205" s="197"/>
      <c r="CQ1205" s="197"/>
      <c r="CR1205" s="197"/>
      <c r="CS1205" s="197"/>
      <c r="CT1205" s="197"/>
      <c r="CU1205" s="197"/>
      <c r="CV1205" s="197"/>
      <c r="CW1205" s="197"/>
      <c r="CX1205" s="959"/>
      <c r="CY1205" s="959"/>
      <c r="CZ1205" s="959"/>
      <c r="DA1205" s="959"/>
      <c r="DB1205" s="959"/>
      <c r="DC1205" s="891">
        <v>4181</v>
      </c>
      <c r="DD1205" s="891" t="s">
        <v>1840</v>
      </c>
      <c r="DE1205" s="891" t="s">
        <v>432</v>
      </c>
      <c r="DF1205" s="891">
        <v>6</v>
      </c>
      <c r="DG1205" s="959"/>
      <c r="DH1205" s="959"/>
      <c r="ER1205" s="905">
        <v>4488</v>
      </c>
      <c r="ES1205" s="906" t="s">
        <v>4248</v>
      </c>
      <c r="ET1205" s="2686">
        <v>9</v>
      </c>
      <c r="EV1205" s="985"/>
      <c r="EW1205" s="985"/>
      <c r="EX1205" s="387"/>
      <c r="EY1205" s="939"/>
      <c r="EZ1205" s="886"/>
    </row>
    <row r="1206" spans="88:156">
      <c r="CJ1206" s="197"/>
      <c r="CK1206" s="197"/>
      <c r="CL1206" s="197"/>
      <c r="CM1206" s="213"/>
      <c r="CN1206" s="213"/>
      <c r="CO1206" s="197"/>
      <c r="CP1206" s="197"/>
      <c r="CQ1206" s="197"/>
      <c r="CR1206" s="197"/>
      <c r="CS1206" s="197"/>
      <c r="CT1206" s="197"/>
      <c r="CU1206" s="197"/>
      <c r="CV1206" s="197"/>
      <c r="CW1206" s="197"/>
      <c r="CX1206" s="959"/>
      <c r="CY1206" s="959"/>
      <c r="CZ1206" s="959"/>
      <c r="DA1206" s="959"/>
      <c r="DB1206" s="959"/>
      <c r="DC1206" s="891">
        <v>4183</v>
      </c>
      <c r="DD1206" s="891" t="s">
        <v>1841</v>
      </c>
      <c r="DE1206" s="891" t="s">
        <v>434</v>
      </c>
      <c r="DF1206" s="891">
        <v>6</v>
      </c>
      <c r="DG1206" s="959"/>
      <c r="DH1206" s="959"/>
      <c r="ER1206" s="905">
        <v>4491</v>
      </c>
      <c r="ES1206" s="906" t="s">
        <v>4249</v>
      </c>
      <c r="ET1206" s="2686">
        <v>9</v>
      </c>
      <c r="EV1206" s="985"/>
      <c r="EW1206" s="985"/>
      <c r="EX1206" s="387"/>
      <c r="EY1206" s="939"/>
      <c r="EZ1206" s="886"/>
    </row>
    <row r="1207" spans="88:156">
      <c r="CJ1207" s="197"/>
      <c r="CK1207" s="197"/>
      <c r="CL1207" s="197"/>
      <c r="CM1207" s="213"/>
      <c r="CN1207" s="213"/>
      <c r="CO1207" s="197"/>
      <c r="CP1207" s="197"/>
      <c r="CQ1207" s="197"/>
      <c r="CR1207" s="197"/>
      <c r="CS1207" s="197"/>
      <c r="CT1207" s="197"/>
      <c r="CU1207" s="197"/>
      <c r="CV1207" s="197"/>
      <c r="CW1207" s="197"/>
      <c r="CX1207" s="959"/>
      <c r="CY1207" s="959"/>
      <c r="CZ1207" s="959"/>
      <c r="DA1207" s="959"/>
      <c r="DB1207" s="959"/>
      <c r="DC1207" s="891">
        <v>4184</v>
      </c>
      <c r="DD1207" s="891" t="s">
        <v>1842</v>
      </c>
      <c r="DE1207" s="891" t="s">
        <v>432</v>
      </c>
      <c r="DF1207" s="891">
        <v>6</v>
      </c>
      <c r="DG1207" s="959"/>
      <c r="DH1207" s="959"/>
      <c r="ER1207" s="905">
        <v>4492</v>
      </c>
      <c r="ES1207" s="906" t="s">
        <v>4250</v>
      </c>
      <c r="ET1207" s="2686">
        <v>9</v>
      </c>
      <c r="EV1207" s="985"/>
      <c r="EW1207" s="985"/>
      <c r="EX1207" s="387"/>
      <c r="EY1207" s="939"/>
      <c r="EZ1207" s="886"/>
    </row>
    <row r="1208" spans="88:156">
      <c r="CJ1208" s="197"/>
      <c r="CK1208" s="197"/>
      <c r="CL1208" s="197"/>
      <c r="CM1208" s="213"/>
      <c r="CN1208" s="213"/>
      <c r="CO1208" s="197"/>
      <c r="CP1208" s="197"/>
      <c r="CQ1208" s="197"/>
      <c r="CR1208" s="197"/>
      <c r="CS1208" s="197"/>
      <c r="CT1208" s="197"/>
      <c r="CU1208" s="197"/>
      <c r="CV1208" s="197"/>
      <c r="CW1208" s="197"/>
      <c r="CX1208" s="959"/>
      <c r="CY1208" s="959"/>
      <c r="CZ1208" s="959"/>
      <c r="DA1208" s="959"/>
      <c r="DB1208" s="959"/>
      <c r="DC1208" s="891">
        <v>4200</v>
      </c>
      <c r="DD1208" s="891" t="s">
        <v>1843</v>
      </c>
      <c r="DE1208" s="891" t="s">
        <v>428</v>
      </c>
      <c r="DF1208" s="891">
        <v>4</v>
      </c>
      <c r="DG1208" s="959"/>
      <c r="DH1208" s="959"/>
      <c r="ER1208" s="905">
        <v>4493</v>
      </c>
      <c r="ES1208" s="906" t="s">
        <v>4251</v>
      </c>
      <c r="ET1208" s="2686">
        <v>9</v>
      </c>
      <c r="EV1208" s="985"/>
      <c r="EW1208" s="985"/>
      <c r="EX1208" s="387"/>
      <c r="EY1208" s="939"/>
      <c r="EZ1208" s="886"/>
    </row>
    <row r="1209" spans="88:156">
      <c r="CJ1209" s="197"/>
      <c r="CK1209" s="197"/>
      <c r="CL1209" s="197"/>
      <c r="CM1209" s="213"/>
      <c r="CN1209" s="213"/>
      <c r="CO1209" s="197"/>
      <c r="CP1209" s="197"/>
      <c r="CQ1209" s="197"/>
      <c r="CR1209" s="197"/>
      <c r="CS1209" s="197"/>
      <c r="CT1209" s="197"/>
      <c r="CU1209" s="197"/>
      <c r="CV1209" s="197"/>
      <c r="CW1209" s="197"/>
      <c r="CX1209" s="959"/>
      <c r="CY1209" s="959"/>
      <c r="CZ1209" s="959"/>
      <c r="DA1209" s="959"/>
      <c r="DB1209" s="959"/>
      <c r="DC1209" s="891">
        <v>4211</v>
      </c>
      <c r="DD1209" s="891" t="s">
        <v>1844</v>
      </c>
      <c r="DE1209" s="891" t="s">
        <v>423</v>
      </c>
      <c r="DF1209" s="891">
        <v>4</v>
      </c>
      <c r="DG1209" s="959"/>
      <c r="DH1209" s="959"/>
      <c r="ER1209" s="905">
        <v>4494</v>
      </c>
      <c r="ES1209" s="906" t="s">
        <v>4252</v>
      </c>
      <c r="ET1209" s="2686">
        <v>9</v>
      </c>
      <c r="EV1209" s="985"/>
      <c r="EW1209" s="985"/>
      <c r="EX1209" s="387"/>
      <c r="EY1209" s="939"/>
      <c r="EZ1209" s="886"/>
    </row>
    <row r="1210" spans="88:156">
      <c r="CJ1210" s="197"/>
      <c r="CK1210" s="197"/>
      <c r="CL1210" s="197"/>
      <c r="CM1210" s="213"/>
      <c r="CN1210" s="213"/>
      <c r="CO1210" s="197"/>
      <c r="CP1210" s="197"/>
      <c r="CQ1210" s="197"/>
      <c r="CR1210" s="197"/>
      <c r="CS1210" s="197"/>
      <c r="CT1210" s="197"/>
      <c r="CU1210" s="197"/>
      <c r="CV1210" s="197"/>
      <c r="CW1210" s="197"/>
      <c r="CX1210" s="959"/>
      <c r="CY1210" s="959"/>
      <c r="CZ1210" s="959"/>
      <c r="DA1210" s="959"/>
      <c r="DB1210" s="959"/>
      <c r="DC1210" s="891">
        <v>4212</v>
      </c>
      <c r="DD1210" s="891" t="s">
        <v>1845</v>
      </c>
      <c r="DE1210" s="891" t="s">
        <v>423</v>
      </c>
      <c r="DF1210" s="891">
        <v>5</v>
      </c>
      <c r="DG1210" s="959"/>
      <c r="DH1210" s="959"/>
      <c r="ER1210" s="905">
        <v>4495</v>
      </c>
      <c r="ES1210" s="906" t="s">
        <v>4253</v>
      </c>
      <c r="ET1210" s="2686">
        <v>9</v>
      </c>
      <c r="EV1210" s="985"/>
      <c r="EW1210" s="985"/>
      <c r="EX1210" s="387"/>
      <c r="EY1210" s="939"/>
      <c r="EZ1210" s="886"/>
    </row>
    <row r="1211" spans="88:156">
      <c r="CJ1211" s="197"/>
      <c r="CK1211" s="197"/>
      <c r="CL1211" s="197"/>
      <c r="CM1211" s="213"/>
      <c r="CN1211" s="213"/>
      <c r="CO1211" s="197"/>
      <c r="CP1211" s="197"/>
      <c r="CQ1211" s="197"/>
      <c r="CR1211" s="197"/>
      <c r="CS1211" s="197"/>
      <c r="CT1211" s="197"/>
      <c r="CU1211" s="197"/>
      <c r="CV1211" s="197"/>
      <c r="CW1211" s="197"/>
      <c r="CX1211" s="959"/>
      <c r="CY1211" s="959"/>
      <c r="CZ1211" s="959"/>
      <c r="DA1211" s="959"/>
      <c r="DB1211" s="959"/>
      <c r="DC1211" s="891">
        <v>4220</v>
      </c>
      <c r="DD1211" s="891" t="s">
        <v>4673</v>
      </c>
      <c r="DE1211" s="891" t="s">
        <v>412</v>
      </c>
      <c r="DF1211" s="891">
        <v>4</v>
      </c>
      <c r="DG1211" s="959"/>
      <c r="DH1211" s="959"/>
      <c r="ER1211" s="905">
        <v>4496</v>
      </c>
      <c r="ES1211" s="906" t="s">
        <v>4254</v>
      </c>
      <c r="ET1211" s="2686">
        <v>9</v>
      </c>
      <c r="EV1211" s="985"/>
      <c r="EW1211" s="985"/>
      <c r="EX1211" s="387"/>
      <c r="EY1211" s="939"/>
      <c r="EZ1211" s="886"/>
    </row>
    <row r="1212" spans="88:156">
      <c r="CJ1212" s="197"/>
      <c r="CK1212" s="197"/>
      <c r="CL1212" s="197"/>
      <c r="CM1212" s="213"/>
      <c r="CN1212" s="213"/>
      <c r="CO1212" s="197"/>
      <c r="CP1212" s="197"/>
      <c r="CQ1212" s="197"/>
      <c r="CR1212" s="197"/>
      <c r="CS1212" s="197"/>
      <c r="CT1212" s="197"/>
      <c r="CU1212" s="197"/>
      <c r="CV1212" s="197"/>
      <c r="CW1212" s="197"/>
      <c r="CX1212" s="959"/>
      <c r="CY1212" s="959"/>
      <c r="CZ1212" s="959"/>
      <c r="DA1212" s="959"/>
      <c r="DB1212" s="959"/>
      <c r="DC1212" s="891">
        <v>4224</v>
      </c>
      <c r="DD1212" s="891" t="s">
        <v>1846</v>
      </c>
      <c r="DE1212" s="891" t="s">
        <v>433</v>
      </c>
      <c r="DF1212" s="891">
        <v>2</v>
      </c>
      <c r="DG1212" s="959"/>
      <c r="DH1212" s="959"/>
      <c r="ER1212" s="905">
        <v>4501</v>
      </c>
      <c r="ES1212" s="906" t="s">
        <v>4255</v>
      </c>
      <c r="ET1212" s="2686">
        <v>9</v>
      </c>
      <c r="EV1212" s="985"/>
      <c r="EW1212" s="985"/>
      <c r="EX1212" s="387"/>
      <c r="EY1212" s="939"/>
      <c r="EZ1212" s="886"/>
    </row>
    <row r="1213" spans="88:156">
      <c r="CJ1213" s="197"/>
      <c r="CK1213" s="197"/>
      <c r="CL1213" s="197"/>
      <c r="CM1213" s="213"/>
      <c r="CN1213" s="213"/>
      <c r="CO1213" s="197"/>
      <c r="CP1213" s="197"/>
      <c r="CQ1213" s="197"/>
      <c r="CR1213" s="197"/>
      <c r="CS1213" s="197"/>
      <c r="CT1213" s="197"/>
      <c r="CU1213" s="197"/>
      <c r="CV1213" s="197"/>
      <c r="CW1213" s="197"/>
      <c r="CX1213" s="959"/>
      <c r="CY1213" s="959"/>
      <c r="CZ1213" s="959"/>
      <c r="DA1213" s="959"/>
      <c r="DB1213" s="959"/>
      <c r="DC1213" s="891">
        <v>4225</v>
      </c>
      <c r="DD1213" s="891" t="s">
        <v>1847</v>
      </c>
      <c r="DE1213" s="891" t="s">
        <v>412</v>
      </c>
      <c r="DF1213" s="891">
        <v>4</v>
      </c>
      <c r="DG1213" s="959"/>
      <c r="DH1213" s="959"/>
      <c r="ER1213" s="905">
        <v>4502</v>
      </c>
      <c r="ES1213" s="906" t="s">
        <v>4256</v>
      </c>
      <c r="ET1213" s="2686">
        <v>9</v>
      </c>
      <c r="EV1213" s="985"/>
      <c r="EW1213" s="985"/>
      <c r="EX1213" s="387"/>
      <c r="EY1213" s="939"/>
      <c r="EZ1213" s="886"/>
    </row>
    <row r="1214" spans="88:156">
      <c r="CJ1214" s="197"/>
      <c r="CK1214" s="197"/>
      <c r="CL1214" s="197"/>
      <c r="CM1214" s="213"/>
      <c r="CN1214" s="213"/>
      <c r="CO1214" s="197"/>
      <c r="CP1214" s="197"/>
      <c r="CQ1214" s="197"/>
      <c r="CR1214" s="197"/>
      <c r="CS1214" s="197"/>
      <c r="CT1214" s="197"/>
      <c r="CU1214" s="197"/>
      <c r="CV1214" s="197"/>
      <c r="CW1214" s="197"/>
      <c r="CX1214" s="959"/>
      <c r="CY1214" s="959"/>
      <c r="CZ1214" s="959"/>
      <c r="DA1214" s="959"/>
      <c r="DB1214" s="959"/>
      <c r="DC1214" s="891">
        <v>4231</v>
      </c>
      <c r="DD1214" s="891" t="s">
        <v>1848</v>
      </c>
      <c r="DE1214" s="891" t="s">
        <v>412</v>
      </c>
      <c r="DF1214" s="891">
        <v>5</v>
      </c>
      <c r="DG1214" s="959"/>
      <c r="DH1214" s="959"/>
      <c r="ER1214" s="905">
        <v>4503</v>
      </c>
      <c r="ES1214" s="906" t="s">
        <v>4257</v>
      </c>
      <c r="ET1214" s="2686">
        <v>9</v>
      </c>
      <c r="EV1214" s="985"/>
      <c r="EW1214" s="985"/>
      <c r="EX1214" s="387"/>
      <c r="EY1214" s="939"/>
      <c r="EZ1214" s="886"/>
    </row>
    <row r="1215" spans="88:156">
      <c r="CJ1215" s="197"/>
      <c r="CK1215" s="197"/>
      <c r="CL1215" s="197"/>
      <c r="CM1215" s="213"/>
      <c r="CN1215" s="213"/>
      <c r="CO1215" s="197"/>
      <c r="CP1215" s="197"/>
      <c r="CQ1215" s="197"/>
      <c r="CR1215" s="197"/>
      <c r="CS1215" s="197"/>
      <c r="CT1215" s="197"/>
      <c r="CU1215" s="197"/>
      <c r="CV1215" s="197"/>
      <c r="CW1215" s="197"/>
      <c r="CX1215" s="959"/>
      <c r="CY1215" s="959"/>
      <c r="CZ1215" s="959"/>
      <c r="DA1215" s="959"/>
      <c r="DB1215" s="959"/>
      <c r="DC1215" s="891">
        <v>4232</v>
      </c>
      <c r="DD1215" s="891" t="s">
        <v>1849</v>
      </c>
      <c r="DE1215" s="891" t="s">
        <v>412</v>
      </c>
      <c r="DF1215" s="891">
        <v>4</v>
      </c>
      <c r="DG1215" s="959"/>
      <c r="DH1215" s="959"/>
      <c r="ER1215" s="905">
        <v>4511</v>
      </c>
      <c r="ES1215" s="906" t="s">
        <v>833</v>
      </c>
      <c r="ET1215" s="2686">
        <v>9</v>
      </c>
      <c r="EV1215" s="985"/>
      <c r="EW1215" s="985"/>
      <c r="EX1215" s="387"/>
      <c r="EY1215" s="939"/>
      <c r="EZ1215" s="886"/>
    </row>
    <row r="1216" spans="88:156">
      <c r="CJ1216" s="197"/>
      <c r="CK1216" s="197"/>
      <c r="CL1216" s="197"/>
      <c r="CM1216" s="213"/>
      <c r="CN1216" s="213"/>
      <c r="CO1216" s="197"/>
      <c r="CP1216" s="197"/>
      <c r="CQ1216" s="197"/>
      <c r="CR1216" s="197"/>
      <c r="CS1216" s="197"/>
      <c r="CT1216" s="197"/>
      <c r="CU1216" s="197"/>
      <c r="CV1216" s="197"/>
      <c r="CW1216" s="197"/>
      <c r="CX1216" s="959"/>
      <c r="CY1216" s="959"/>
      <c r="CZ1216" s="959"/>
      <c r="DA1216" s="959"/>
      <c r="DB1216" s="959"/>
      <c r="DC1216" s="891">
        <v>4233</v>
      </c>
      <c r="DD1216" s="891" t="s">
        <v>1850</v>
      </c>
      <c r="DE1216" s="891" t="s">
        <v>432</v>
      </c>
      <c r="DF1216" s="891">
        <v>5</v>
      </c>
      <c r="DG1216" s="959"/>
      <c r="DH1216" s="959"/>
      <c r="ER1216" s="905">
        <v>4515</v>
      </c>
      <c r="ES1216" s="906" t="s">
        <v>4259</v>
      </c>
      <c r="ET1216" s="2686">
        <v>9</v>
      </c>
      <c r="EV1216" s="985"/>
      <c r="EW1216" s="985"/>
      <c r="EX1216" s="387"/>
      <c r="EY1216" s="939"/>
      <c r="EZ1216" s="886"/>
    </row>
    <row r="1217" spans="88:156">
      <c r="CJ1217" s="197"/>
      <c r="CK1217" s="197"/>
      <c r="CL1217" s="197"/>
      <c r="CM1217" s="213"/>
      <c r="CN1217" s="213"/>
      <c r="CO1217" s="197"/>
      <c r="CP1217" s="197"/>
      <c r="CQ1217" s="197"/>
      <c r="CR1217" s="197"/>
      <c r="CS1217" s="197"/>
      <c r="CT1217" s="197"/>
      <c r="CU1217" s="197"/>
      <c r="CV1217" s="197"/>
      <c r="CW1217" s="197"/>
      <c r="CX1217" s="959"/>
      <c r="CY1217" s="959"/>
      <c r="CZ1217" s="959"/>
      <c r="DA1217" s="959"/>
      <c r="DB1217" s="959"/>
      <c r="DC1217" s="891">
        <v>4234</v>
      </c>
      <c r="DD1217" s="891" t="s">
        <v>1851</v>
      </c>
      <c r="DE1217" s="891" t="s">
        <v>2808</v>
      </c>
      <c r="DF1217" s="891">
        <v>5</v>
      </c>
      <c r="DG1217" s="959"/>
      <c r="DH1217" s="959"/>
      <c r="ER1217" s="905">
        <v>4516</v>
      </c>
      <c r="ES1217" s="906" t="s">
        <v>4260</v>
      </c>
      <c r="ET1217" s="2686">
        <v>9</v>
      </c>
      <c r="EV1217" s="985"/>
      <c r="EW1217" s="985"/>
      <c r="EX1217" s="387"/>
      <c r="EY1217" s="939"/>
      <c r="EZ1217" s="886"/>
    </row>
    <row r="1218" spans="88:156">
      <c r="CJ1218" s="197"/>
      <c r="CK1218" s="197"/>
      <c r="CL1218" s="197"/>
      <c r="CM1218" s="213"/>
      <c r="CN1218" s="213"/>
      <c r="CO1218" s="197"/>
      <c r="CP1218" s="197"/>
      <c r="CQ1218" s="197"/>
      <c r="CR1218" s="197"/>
      <c r="CS1218" s="197"/>
      <c r="CT1218" s="197"/>
      <c r="CU1218" s="197"/>
      <c r="CV1218" s="197"/>
      <c r="CW1218" s="197"/>
      <c r="CX1218" s="959"/>
      <c r="CY1218" s="959"/>
      <c r="CZ1218" s="959"/>
      <c r="DA1218" s="959"/>
      <c r="DB1218" s="959"/>
      <c r="DC1218" s="891">
        <v>4235</v>
      </c>
      <c r="DD1218" s="891" t="s">
        <v>1852</v>
      </c>
      <c r="DE1218" s="891" t="s">
        <v>418</v>
      </c>
      <c r="DF1218" s="891">
        <v>4</v>
      </c>
      <c r="DG1218" s="959"/>
      <c r="DH1218" s="959"/>
      <c r="ER1218" s="905">
        <v>4517</v>
      </c>
      <c r="ES1218" s="906" t="s">
        <v>4261</v>
      </c>
      <c r="ET1218" s="2686">
        <v>9</v>
      </c>
      <c r="EV1218" s="985"/>
      <c r="EW1218" s="985"/>
      <c r="EX1218" s="387"/>
      <c r="EY1218" s="939"/>
      <c r="EZ1218" s="886"/>
    </row>
    <row r="1219" spans="88:156">
      <c r="CJ1219" s="197"/>
      <c r="CK1219" s="197"/>
      <c r="CL1219" s="197"/>
      <c r="CM1219" s="213"/>
      <c r="CN1219" s="213"/>
      <c r="CO1219" s="197"/>
      <c r="CP1219" s="197"/>
      <c r="CQ1219" s="197"/>
      <c r="CR1219" s="197"/>
      <c r="CS1219" s="197"/>
      <c r="CT1219" s="197"/>
      <c r="CU1219" s="197"/>
      <c r="CV1219" s="197"/>
      <c r="CW1219" s="197"/>
      <c r="CX1219" s="959"/>
      <c r="CY1219" s="959"/>
      <c r="CZ1219" s="959"/>
      <c r="DA1219" s="959"/>
      <c r="DB1219" s="959"/>
      <c r="DC1219" s="891">
        <v>4241</v>
      </c>
      <c r="DD1219" s="891" t="s">
        <v>1853</v>
      </c>
      <c r="DE1219" s="891" t="s">
        <v>418</v>
      </c>
      <c r="DF1219" s="891">
        <v>2</v>
      </c>
      <c r="DG1219" s="959"/>
      <c r="DH1219" s="959"/>
      <c r="ER1219" s="905">
        <v>4521</v>
      </c>
      <c r="ES1219" s="906" t="s">
        <v>834</v>
      </c>
      <c r="ET1219" s="2686">
        <v>9</v>
      </c>
      <c r="EV1219" s="985"/>
      <c r="EW1219" s="985"/>
      <c r="EX1219" s="387"/>
      <c r="EY1219" s="939"/>
      <c r="EZ1219" s="886"/>
    </row>
    <row r="1220" spans="88:156">
      <c r="CJ1220" s="197"/>
      <c r="CK1220" s="197"/>
      <c r="CL1220" s="197"/>
      <c r="CM1220" s="213"/>
      <c r="CN1220" s="213"/>
      <c r="CO1220" s="197"/>
      <c r="CP1220" s="197"/>
      <c r="CQ1220" s="197"/>
      <c r="CR1220" s="197"/>
      <c r="CS1220" s="197"/>
      <c r="CT1220" s="197"/>
      <c r="CU1220" s="197"/>
      <c r="CV1220" s="197"/>
      <c r="CW1220" s="197"/>
      <c r="CX1220" s="959"/>
      <c r="CY1220" s="959"/>
      <c r="CZ1220" s="959"/>
      <c r="DA1220" s="959"/>
      <c r="DB1220" s="959"/>
      <c r="DC1220" s="891">
        <v>4242</v>
      </c>
      <c r="DD1220" s="891" t="s">
        <v>1854</v>
      </c>
      <c r="DE1220" s="891" t="s">
        <v>418</v>
      </c>
      <c r="DF1220" s="891">
        <v>2</v>
      </c>
      <c r="DG1220" s="959"/>
      <c r="DH1220" s="959"/>
      <c r="ER1220" s="905">
        <v>4522</v>
      </c>
      <c r="ES1220" s="906" t="s">
        <v>4263</v>
      </c>
      <c r="ET1220" s="2686">
        <v>9</v>
      </c>
      <c r="EV1220" s="985"/>
      <c r="EW1220" s="985"/>
      <c r="EX1220" s="387"/>
      <c r="EY1220" s="939"/>
      <c r="EZ1220" s="886"/>
    </row>
    <row r="1221" spans="88:156">
      <c r="CJ1221" s="197"/>
      <c r="CK1221" s="197"/>
      <c r="CL1221" s="197"/>
      <c r="CM1221" s="213"/>
      <c r="CN1221" s="213"/>
      <c r="CO1221" s="197"/>
      <c r="CP1221" s="197"/>
      <c r="CQ1221" s="197"/>
      <c r="CR1221" s="197"/>
      <c r="CS1221" s="197"/>
      <c r="CT1221" s="197"/>
      <c r="CU1221" s="197"/>
      <c r="CV1221" s="197"/>
      <c r="CW1221" s="197"/>
      <c r="CX1221" s="959"/>
      <c r="CY1221" s="959"/>
      <c r="CZ1221" s="959"/>
      <c r="DA1221" s="959"/>
      <c r="DB1221" s="959"/>
      <c r="DC1221" s="891">
        <v>4243</v>
      </c>
      <c r="DD1221" s="891" t="s">
        <v>1855</v>
      </c>
      <c r="DE1221" s="891" t="s">
        <v>423</v>
      </c>
      <c r="DF1221" s="891">
        <v>4</v>
      </c>
      <c r="DG1221" s="959"/>
      <c r="DH1221" s="959"/>
      <c r="ER1221" s="905">
        <v>4523</v>
      </c>
      <c r="ES1221" s="906" t="s">
        <v>4264</v>
      </c>
      <c r="ET1221" s="2686">
        <v>9</v>
      </c>
      <c r="EV1221" s="985"/>
      <c r="EW1221" s="985"/>
      <c r="EX1221" s="387"/>
      <c r="EY1221" s="939"/>
      <c r="EZ1221" s="886"/>
    </row>
    <row r="1222" spans="88:156">
      <c r="CJ1222" s="197"/>
      <c r="CK1222" s="197"/>
      <c r="CL1222" s="197"/>
      <c r="CM1222" s="213"/>
      <c r="CN1222" s="213"/>
      <c r="CO1222" s="197"/>
      <c r="CP1222" s="197"/>
      <c r="CQ1222" s="197"/>
      <c r="CR1222" s="197"/>
      <c r="CS1222" s="197"/>
      <c r="CT1222" s="197"/>
      <c r="CU1222" s="197"/>
      <c r="CV1222" s="197"/>
      <c r="CW1222" s="197"/>
      <c r="CX1222" s="959"/>
      <c r="CY1222" s="959"/>
      <c r="CZ1222" s="959"/>
      <c r="DA1222" s="959"/>
      <c r="DB1222" s="959"/>
      <c r="DC1222" s="891">
        <v>4244</v>
      </c>
      <c r="DD1222" s="891" t="s">
        <v>1856</v>
      </c>
      <c r="DE1222" s="891" t="s">
        <v>412</v>
      </c>
      <c r="DF1222" s="891">
        <v>5</v>
      </c>
      <c r="DG1222" s="959"/>
      <c r="DH1222" s="959"/>
      <c r="ER1222" s="905">
        <v>4524</v>
      </c>
      <c r="ES1222" s="906" t="s">
        <v>4265</v>
      </c>
      <c r="ET1222" s="2686">
        <v>9</v>
      </c>
      <c r="EV1222" s="985"/>
      <c r="EW1222" s="985"/>
      <c r="EX1222" s="387"/>
      <c r="EY1222" s="939"/>
      <c r="EZ1222" s="886"/>
    </row>
    <row r="1223" spans="88:156">
      <c r="CJ1223" s="197"/>
      <c r="CK1223" s="197"/>
      <c r="CL1223" s="197"/>
      <c r="CM1223" s="213"/>
      <c r="CN1223" s="213"/>
      <c r="CO1223" s="197"/>
      <c r="CP1223" s="197"/>
      <c r="CQ1223" s="197"/>
      <c r="CR1223" s="197"/>
      <c r="CS1223" s="197"/>
      <c r="CT1223" s="197"/>
      <c r="CU1223" s="197"/>
      <c r="CV1223" s="197"/>
      <c r="CW1223" s="197"/>
      <c r="CX1223" s="959"/>
      <c r="CY1223" s="959"/>
      <c r="CZ1223" s="959"/>
      <c r="DA1223" s="959"/>
      <c r="DB1223" s="959"/>
      <c r="DC1223" s="891">
        <v>4245</v>
      </c>
      <c r="DD1223" s="891" t="s">
        <v>2533</v>
      </c>
      <c r="DE1223" s="891" t="s">
        <v>423</v>
      </c>
      <c r="DF1223" s="891">
        <v>5</v>
      </c>
      <c r="DG1223" s="959"/>
      <c r="DH1223" s="959"/>
      <c r="ER1223" s="905">
        <v>4525</v>
      </c>
      <c r="ES1223" s="906" t="s">
        <v>4266</v>
      </c>
      <c r="ET1223" s="2686">
        <v>9</v>
      </c>
      <c r="EV1223" s="985"/>
      <c r="EW1223" s="985"/>
      <c r="EX1223" s="387"/>
      <c r="EY1223" s="939"/>
      <c r="EZ1223" s="886"/>
    </row>
    <row r="1224" spans="88:156">
      <c r="CJ1224" s="197"/>
      <c r="CK1224" s="197"/>
      <c r="CL1224" s="197"/>
      <c r="CM1224" s="213"/>
      <c r="CN1224" s="213"/>
      <c r="CO1224" s="197"/>
      <c r="CP1224" s="197"/>
      <c r="CQ1224" s="197"/>
      <c r="CR1224" s="197"/>
      <c r="CS1224" s="197"/>
      <c r="CT1224" s="197"/>
      <c r="CU1224" s="197"/>
      <c r="CV1224" s="197"/>
      <c r="CW1224" s="197"/>
      <c r="CX1224" s="959"/>
      <c r="CY1224" s="959"/>
      <c r="CZ1224" s="959"/>
      <c r="DA1224" s="959"/>
      <c r="DB1224" s="959"/>
      <c r="DC1224" s="891">
        <v>4246</v>
      </c>
      <c r="DD1224" s="891" t="s">
        <v>2534</v>
      </c>
      <c r="DE1224" s="891" t="s">
        <v>419</v>
      </c>
      <c r="DF1224" s="891">
        <v>4</v>
      </c>
      <c r="DG1224" s="959"/>
      <c r="DH1224" s="959"/>
      <c r="ER1224" s="905">
        <v>4531</v>
      </c>
      <c r="ES1224" s="906" t="s">
        <v>4267</v>
      </c>
      <c r="ET1224" s="2686">
        <v>6</v>
      </c>
      <c r="EV1224" s="985"/>
      <c r="EW1224" s="985"/>
      <c r="EX1224" s="387"/>
      <c r="EY1224" s="939"/>
      <c r="EZ1224" s="886"/>
    </row>
    <row r="1225" spans="88:156">
      <c r="CJ1225" s="197"/>
      <c r="CK1225" s="197"/>
      <c r="CL1225" s="197"/>
      <c r="CM1225" s="213"/>
      <c r="CN1225" s="213"/>
      <c r="CO1225" s="197"/>
      <c r="CP1225" s="197"/>
      <c r="CQ1225" s="197"/>
      <c r="CR1225" s="197"/>
      <c r="CS1225" s="197"/>
      <c r="CT1225" s="197"/>
      <c r="CU1225" s="197"/>
      <c r="CV1225" s="197"/>
      <c r="CW1225" s="197"/>
      <c r="CX1225" s="959"/>
      <c r="CY1225" s="959"/>
      <c r="CZ1225" s="959"/>
      <c r="DA1225" s="959"/>
      <c r="DB1225" s="959"/>
      <c r="DC1225" s="891">
        <v>4251</v>
      </c>
      <c r="DD1225" s="891" t="s">
        <v>2535</v>
      </c>
      <c r="DE1225" s="891" t="s">
        <v>402</v>
      </c>
      <c r="DF1225" s="891">
        <v>4</v>
      </c>
      <c r="DG1225" s="959"/>
      <c r="DH1225" s="959"/>
      <c r="ER1225" s="905">
        <v>4532</v>
      </c>
      <c r="ES1225" s="906" t="s">
        <v>4268</v>
      </c>
      <c r="ET1225" s="2686">
        <v>9</v>
      </c>
      <c r="EV1225" s="985"/>
      <c r="EW1225" s="985"/>
      <c r="EX1225" s="387"/>
      <c r="EY1225" s="939"/>
      <c r="EZ1225" s="886"/>
    </row>
    <row r="1226" spans="88:156">
      <c r="CJ1226" s="197"/>
      <c r="CK1226" s="197"/>
      <c r="CL1226" s="197"/>
      <c r="CM1226" s="213"/>
      <c r="CN1226" s="213"/>
      <c r="CO1226" s="197"/>
      <c r="CP1226" s="197"/>
      <c r="CQ1226" s="197"/>
      <c r="CR1226" s="197"/>
      <c r="CS1226" s="197"/>
      <c r="CT1226" s="197"/>
      <c r="CU1226" s="197"/>
      <c r="CV1226" s="197"/>
      <c r="CW1226" s="197"/>
      <c r="CX1226" s="959"/>
      <c r="CY1226" s="959"/>
      <c r="CZ1226" s="959"/>
      <c r="DA1226" s="959"/>
      <c r="DB1226" s="959"/>
      <c r="DC1226" s="891">
        <v>4252</v>
      </c>
      <c r="DD1226" s="891" t="s">
        <v>2536</v>
      </c>
      <c r="DE1226" s="891" t="s">
        <v>427</v>
      </c>
      <c r="DF1226" s="891">
        <v>4</v>
      </c>
      <c r="DG1226" s="959"/>
      <c r="DH1226" s="959"/>
      <c r="ER1226" s="905">
        <v>4533</v>
      </c>
      <c r="ES1226" s="906" t="s">
        <v>4269</v>
      </c>
      <c r="ET1226" s="2686">
        <v>9</v>
      </c>
      <c r="EV1226" s="985"/>
      <c r="EW1226" s="985"/>
      <c r="EX1226" s="387"/>
      <c r="EY1226" s="939"/>
      <c r="EZ1226" s="886"/>
    </row>
    <row r="1227" spans="88:156">
      <c r="CJ1227" s="197"/>
      <c r="CK1227" s="197"/>
      <c r="CL1227" s="197"/>
      <c r="CM1227" s="213"/>
      <c r="CN1227" s="213"/>
      <c r="CO1227" s="197"/>
      <c r="CP1227" s="197"/>
      <c r="CQ1227" s="197"/>
      <c r="CR1227" s="197"/>
      <c r="CS1227" s="197"/>
      <c r="CT1227" s="197"/>
      <c r="CU1227" s="197"/>
      <c r="CV1227" s="197"/>
      <c r="CW1227" s="197"/>
      <c r="CX1227" s="959"/>
      <c r="CY1227" s="959"/>
      <c r="CZ1227" s="959"/>
      <c r="DA1227" s="959"/>
      <c r="DB1227" s="959"/>
      <c r="DC1227" s="891">
        <v>4253</v>
      </c>
      <c r="DD1227" s="891" t="s">
        <v>2537</v>
      </c>
      <c r="DE1227" s="891" t="s">
        <v>2808</v>
      </c>
      <c r="DF1227" s="891">
        <v>5</v>
      </c>
      <c r="DG1227" s="959"/>
      <c r="DH1227" s="959"/>
      <c r="ER1227" s="905">
        <v>4534</v>
      </c>
      <c r="ES1227" s="906" t="s">
        <v>4270</v>
      </c>
      <c r="ET1227" s="2686">
        <v>9</v>
      </c>
      <c r="EV1227" s="985"/>
      <c r="EW1227" s="985"/>
      <c r="EX1227" s="387"/>
      <c r="EY1227" s="939"/>
      <c r="EZ1227" s="886"/>
    </row>
    <row r="1228" spans="88:156">
      <c r="CJ1228" s="197"/>
      <c r="CK1228" s="197"/>
      <c r="CL1228" s="197"/>
      <c r="CM1228" s="213"/>
      <c r="CN1228" s="213"/>
      <c r="CO1228" s="197"/>
      <c r="CP1228" s="197"/>
      <c r="CQ1228" s="197"/>
      <c r="CR1228" s="197"/>
      <c r="CS1228" s="197"/>
      <c r="CT1228" s="197"/>
      <c r="CU1228" s="197"/>
      <c r="CV1228" s="197"/>
      <c r="CW1228" s="197"/>
      <c r="CX1228" s="959"/>
      <c r="CY1228" s="959"/>
      <c r="CZ1228" s="959"/>
      <c r="DA1228" s="959"/>
      <c r="DB1228" s="959"/>
      <c r="DC1228" s="891">
        <v>4254</v>
      </c>
      <c r="DD1228" s="891" t="s">
        <v>2538</v>
      </c>
      <c r="DE1228" s="891" t="s">
        <v>432</v>
      </c>
      <c r="DF1228" s="891">
        <v>4</v>
      </c>
      <c r="DG1228" s="959"/>
      <c r="DH1228" s="959"/>
      <c r="ER1228" s="905">
        <v>4535</v>
      </c>
      <c r="ES1228" s="906" t="s">
        <v>4271</v>
      </c>
      <c r="ET1228" s="2686">
        <v>9</v>
      </c>
      <c r="EV1228" s="985"/>
      <c r="EW1228" s="985"/>
      <c r="EX1228" s="387"/>
      <c r="EY1228" s="939"/>
      <c r="EZ1228" s="886"/>
    </row>
    <row r="1229" spans="88:156">
      <c r="CJ1229" s="197"/>
      <c r="CK1229" s="197"/>
      <c r="CL1229" s="197"/>
      <c r="CM1229" s="213"/>
      <c r="CN1229" s="213"/>
      <c r="CO1229" s="197"/>
      <c r="CP1229" s="197"/>
      <c r="CQ1229" s="197"/>
      <c r="CR1229" s="197"/>
      <c r="CS1229" s="197"/>
      <c r="CT1229" s="197"/>
      <c r="CU1229" s="197"/>
      <c r="CV1229" s="197"/>
      <c r="CW1229" s="197"/>
      <c r="CX1229" s="959"/>
      <c r="CY1229" s="959"/>
      <c r="CZ1229" s="959"/>
      <c r="DA1229" s="959"/>
      <c r="DB1229" s="959"/>
      <c r="DC1229" s="891">
        <v>4262</v>
      </c>
      <c r="DD1229" s="891" t="s">
        <v>2539</v>
      </c>
      <c r="DE1229" s="891" t="s">
        <v>412</v>
      </c>
      <c r="DF1229" s="891">
        <v>5</v>
      </c>
      <c r="DG1229" s="959"/>
      <c r="DH1229" s="959"/>
      <c r="ER1229" s="905">
        <v>4536</v>
      </c>
      <c r="ES1229" s="906" t="s">
        <v>4272</v>
      </c>
      <c r="ET1229" s="2686">
        <v>9</v>
      </c>
      <c r="EV1229" s="985"/>
      <c r="EW1229" s="985"/>
      <c r="EX1229" s="387"/>
      <c r="EY1229" s="939"/>
      <c r="EZ1229" s="886"/>
    </row>
    <row r="1230" spans="88:156">
      <c r="CJ1230" s="197"/>
      <c r="CK1230" s="197"/>
      <c r="CL1230" s="197"/>
      <c r="CM1230" s="213"/>
      <c r="CN1230" s="213"/>
      <c r="CO1230" s="197"/>
      <c r="CP1230" s="197"/>
      <c r="CQ1230" s="197"/>
      <c r="CR1230" s="197"/>
      <c r="CS1230" s="197"/>
      <c r="CT1230" s="197"/>
      <c r="CU1230" s="197"/>
      <c r="CV1230" s="197"/>
      <c r="CW1230" s="197"/>
      <c r="CX1230" s="959"/>
      <c r="CY1230" s="959"/>
      <c r="CZ1230" s="959"/>
      <c r="DA1230" s="959"/>
      <c r="DB1230" s="959"/>
      <c r="DC1230" s="891">
        <v>4263</v>
      </c>
      <c r="DD1230" s="891" t="s">
        <v>2540</v>
      </c>
      <c r="DE1230" s="891" t="s">
        <v>428</v>
      </c>
      <c r="DF1230" s="891">
        <v>4</v>
      </c>
      <c r="DG1230" s="959"/>
      <c r="DH1230" s="959"/>
      <c r="ER1230" s="905">
        <v>4537</v>
      </c>
      <c r="ES1230" s="906" t="s">
        <v>4273</v>
      </c>
      <c r="ET1230" s="2686">
        <v>9</v>
      </c>
      <c r="EV1230" s="985"/>
      <c r="EW1230" s="985"/>
      <c r="EX1230" s="387"/>
      <c r="EY1230" s="939"/>
      <c r="EZ1230" s="886"/>
    </row>
    <row r="1231" spans="88:156">
      <c r="CJ1231" s="197"/>
      <c r="CK1231" s="197"/>
      <c r="CL1231" s="197"/>
      <c r="CM1231" s="213"/>
      <c r="CN1231" s="213"/>
      <c r="CO1231" s="197"/>
      <c r="CP1231" s="197"/>
      <c r="CQ1231" s="197"/>
      <c r="CR1231" s="197"/>
      <c r="CS1231" s="197"/>
      <c r="CT1231" s="197"/>
      <c r="CU1231" s="197"/>
      <c r="CV1231" s="197"/>
      <c r="CW1231" s="197"/>
      <c r="CX1231" s="959"/>
      <c r="CY1231" s="959"/>
      <c r="CZ1231" s="959"/>
      <c r="DA1231" s="959"/>
      <c r="DB1231" s="959"/>
      <c r="DC1231" s="891">
        <v>4264</v>
      </c>
      <c r="DD1231" s="891" t="s">
        <v>2541</v>
      </c>
      <c r="DE1231" s="891" t="s">
        <v>402</v>
      </c>
      <c r="DF1231" s="891">
        <v>5</v>
      </c>
      <c r="DG1231" s="959"/>
      <c r="DH1231" s="959"/>
      <c r="ER1231" s="905">
        <v>4541</v>
      </c>
      <c r="ES1231" s="906" t="s">
        <v>4274</v>
      </c>
      <c r="ET1231" s="2686">
        <v>9</v>
      </c>
      <c r="EV1231" s="985"/>
      <c r="EW1231" s="985"/>
      <c r="EX1231" s="387"/>
      <c r="EY1231" s="939"/>
      <c r="EZ1231" s="886"/>
    </row>
    <row r="1232" spans="88:156">
      <c r="CJ1232" s="197"/>
      <c r="CK1232" s="197"/>
      <c r="CL1232" s="197"/>
      <c r="CM1232" s="213"/>
      <c r="CN1232" s="213"/>
      <c r="CO1232" s="197"/>
      <c r="CP1232" s="197"/>
      <c r="CQ1232" s="197"/>
      <c r="CR1232" s="197"/>
      <c r="CS1232" s="197"/>
      <c r="CT1232" s="197"/>
      <c r="CU1232" s="197"/>
      <c r="CV1232" s="197"/>
      <c r="CW1232" s="197"/>
      <c r="CX1232" s="959"/>
      <c r="CY1232" s="959"/>
      <c r="CZ1232" s="959"/>
      <c r="DA1232" s="959"/>
      <c r="DB1232" s="959"/>
      <c r="DC1232" s="891">
        <v>4266</v>
      </c>
      <c r="DD1232" s="891" t="s">
        <v>2542</v>
      </c>
      <c r="DE1232" s="891" t="s">
        <v>406</v>
      </c>
      <c r="DF1232" s="891">
        <v>6</v>
      </c>
      <c r="DG1232" s="959"/>
      <c r="DH1232" s="959"/>
      <c r="ER1232" s="905">
        <v>4542</v>
      </c>
      <c r="ES1232" s="906" t="s">
        <v>4275</v>
      </c>
      <c r="ET1232" s="2686">
        <v>9</v>
      </c>
      <c r="EV1232" s="985"/>
      <c r="EW1232" s="985"/>
      <c r="EX1232" s="387"/>
      <c r="EY1232" s="939"/>
      <c r="EZ1232" s="886"/>
    </row>
    <row r="1233" spans="88:156">
      <c r="CJ1233" s="197"/>
      <c r="CK1233" s="197"/>
      <c r="CL1233" s="197"/>
      <c r="CM1233" s="213"/>
      <c r="CN1233" s="213"/>
      <c r="CO1233" s="197"/>
      <c r="CP1233" s="197"/>
      <c r="CQ1233" s="197"/>
      <c r="CR1233" s="197"/>
      <c r="CS1233" s="197"/>
      <c r="CT1233" s="197"/>
      <c r="CU1233" s="197"/>
      <c r="CV1233" s="197"/>
      <c r="CW1233" s="197"/>
      <c r="CX1233" s="959"/>
      <c r="CY1233" s="959"/>
      <c r="CZ1233" s="959"/>
      <c r="DA1233" s="959"/>
      <c r="DB1233" s="959"/>
      <c r="DC1233" s="891">
        <v>4267</v>
      </c>
      <c r="DD1233" s="891" t="s">
        <v>2543</v>
      </c>
      <c r="DE1233" s="891" t="s">
        <v>421</v>
      </c>
      <c r="DF1233" s="891">
        <v>5</v>
      </c>
      <c r="DG1233" s="959"/>
      <c r="DH1233" s="959"/>
      <c r="ER1233" s="905">
        <v>4543</v>
      </c>
      <c r="ES1233" s="906" t="s">
        <v>4276</v>
      </c>
      <c r="ET1233" s="2686">
        <v>9</v>
      </c>
      <c r="EV1233" s="985"/>
      <c r="EW1233" s="985"/>
      <c r="EX1233" s="387"/>
      <c r="EY1233" s="939"/>
      <c r="EZ1233" s="886"/>
    </row>
    <row r="1234" spans="88:156">
      <c r="CJ1234" s="197"/>
      <c r="CK1234" s="197"/>
      <c r="CL1234" s="197"/>
      <c r="CM1234" s="213"/>
      <c r="CN1234" s="213"/>
      <c r="CO1234" s="197"/>
      <c r="CP1234" s="197"/>
      <c r="CQ1234" s="197"/>
      <c r="CR1234" s="197"/>
      <c r="CS1234" s="197"/>
      <c r="CT1234" s="197"/>
      <c r="CU1234" s="197"/>
      <c r="CV1234" s="197"/>
      <c r="CW1234" s="197"/>
      <c r="CX1234" s="959"/>
      <c r="CY1234" s="959"/>
      <c r="CZ1234" s="959"/>
      <c r="DA1234" s="959"/>
      <c r="DB1234" s="959"/>
      <c r="DC1234" s="891">
        <v>4271</v>
      </c>
      <c r="DD1234" s="891" t="s">
        <v>2544</v>
      </c>
      <c r="DE1234" s="891" t="s">
        <v>427</v>
      </c>
      <c r="DF1234" s="891">
        <v>4</v>
      </c>
      <c r="DG1234" s="959"/>
      <c r="DH1234" s="959"/>
      <c r="ER1234" s="905">
        <v>4544</v>
      </c>
      <c r="ES1234" s="906" t="s">
        <v>4277</v>
      </c>
      <c r="ET1234" s="2686">
        <v>9</v>
      </c>
      <c r="EV1234" s="985"/>
      <c r="EW1234" s="985"/>
      <c r="EX1234" s="387"/>
      <c r="EY1234" s="939"/>
      <c r="EZ1234" s="886"/>
    </row>
    <row r="1235" spans="88:156">
      <c r="CJ1235" s="197"/>
      <c r="CK1235" s="197"/>
      <c r="CL1235" s="197"/>
      <c r="CM1235" s="213"/>
      <c r="CN1235" s="213"/>
      <c r="CO1235" s="197"/>
      <c r="CP1235" s="197"/>
      <c r="CQ1235" s="197"/>
      <c r="CR1235" s="197"/>
      <c r="CS1235" s="197"/>
      <c r="CT1235" s="197"/>
      <c r="CU1235" s="197"/>
      <c r="CV1235" s="197"/>
      <c r="CW1235" s="197"/>
      <c r="CX1235" s="959"/>
      <c r="CY1235" s="959"/>
      <c r="CZ1235" s="959"/>
      <c r="DA1235" s="959"/>
      <c r="DB1235" s="959"/>
      <c r="DC1235" s="891">
        <v>4272</v>
      </c>
      <c r="DD1235" s="891" t="s">
        <v>2545</v>
      </c>
      <c r="DE1235" s="891" t="s">
        <v>428</v>
      </c>
      <c r="DF1235" s="891">
        <v>4</v>
      </c>
      <c r="DG1235" s="959"/>
      <c r="DH1235" s="959"/>
      <c r="ER1235" s="905">
        <v>4545</v>
      </c>
      <c r="ES1235" s="906" t="s">
        <v>4278</v>
      </c>
      <c r="ET1235" s="2686">
        <v>9</v>
      </c>
      <c r="EV1235" s="985"/>
      <c r="EW1235" s="985"/>
      <c r="EX1235" s="387"/>
      <c r="EY1235" s="939"/>
      <c r="EZ1235" s="886"/>
    </row>
    <row r="1236" spans="88:156">
      <c r="CJ1236" s="197"/>
      <c r="CK1236" s="197"/>
      <c r="CL1236" s="197"/>
      <c r="CM1236" s="213"/>
      <c r="CN1236" s="213"/>
      <c r="CO1236" s="197"/>
      <c r="CP1236" s="197"/>
      <c r="CQ1236" s="197"/>
      <c r="CR1236" s="197"/>
      <c r="CS1236" s="197"/>
      <c r="CT1236" s="197"/>
      <c r="CU1236" s="197"/>
      <c r="CV1236" s="197"/>
      <c r="CW1236" s="197"/>
      <c r="CX1236" s="959"/>
      <c r="CY1236" s="959"/>
      <c r="CZ1236" s="959"/>
      <c r="DA1236" s="959"/>
      <c r="DB1236" s="959"/>
      <c r="DC1236" s="891">
        <v>4273</v>
      </c>
      <c r="DD1236" s="891" t="s">
        <v>2546</v>
      </c>
      <c r="DE1236" s="891" t="s">
        <v>428</v>
      </c>
      <c r="DF1236" s="891">
        <v>4</v>
      </c>
      <c r="DG1236" s="959"/>
      <c r="DH1236" s="959"/>
      <c r="ER1236" s="905">
        <v>4546</v>
      </c>
      <c r="ES1236" s="906" t="s">
        <v>4279</v>
      </c>
      <c r="ET1236" s="2686">
        <v>9</v>
      </c>
      <c r="EV1236" s="985"/>
      <c r="EW1236" s="985"/>
      <c r="EX1236" s="387"/>
      <c r="EY1236" s="939"/>
      <c r="EZ1236" s="886"/>
    </row>
    <row r="1237" spans="88:156">
      <c r="CJ1237" s="197"/>
      <c r="CK1237" s="197"/>
      <c r="CL1237" s="197"/>
      <c r="CM1237" s="213"/>
      <c r="CN1237" s="213"/>
      <c r="CO1237" s="197"/>
      <c r="CP1237" s="197"/>
      <c r="CQ1237" s="197"/>
      <c r="CR1237" s="197"/>
      <c r="CS1237" s="197"/>
      <c r="CT1237" s="197"/>
      <c r="CU1237" s="197"/>
      <c r="CV1237" s="197"/>
      <c r="CW1237" s="197"/>
      <c r="CX1237" s="959"/>
      <c r="CY1237" s="959"/>
      <c r="CZ1237" s="959"/>
      <c r="DA1237" s="959"/>
      <c r="DB1237" s="959"/>
      <c r="DC1237" s="891">
        <v>4274</v>
      </c>
      <c r="DD1237" s="891" t="s">
        <v>2547</v>
      </c>
      <c r="DE1237" s="891" t="s">
        <v>428</v>
      </c>
      <c r="DF1237" s="891">
        <v>4</v>
      </c>
      <c r="DG1237" s="959"/>
      <c r="DH1237" s="959"/>
      <c r="ER1237" s="905">
        <v>4547</v>
      </c>
      <c r="ES1237" s="906" t="s">
        <v>4280</v>
      </c>
      <c r="ET1237" s="2686">
        <v>9</v>
      </c>
      <c r="EV1237" s="985"/>
      <c r="EW1237" s="985"/>
      <c r="EX1237" s="387"/>
      <c r="EY1237" s="939"/>
      <c r="EZ1237" s="886"/>
    </row>
    <row r="1238" spans="88:156">
      <c r="CJ1238" s="197"/>
      <c r="CK1238" s="197"/>
      <c r="CL1238" s="197"/>
      <c r="CM1238" s="213"/>
      <c r="CN1238" s="213"/>
      <c r="CO1238" s="197"/>
      <c r="CP1238" s="197"/>
      <c r="CQ1238" s="197"/>
      <c r="CR1238" s="197"/>
      <c r="CS1238" s="197"/>
      <c r="CT1238" s="197"/>
      <c r="CU1238" s="197"/>
      <c r="CV1238" s="197"/>
      <c r="CW1238" s="197"/>
      <c r="CX1238" s="959"/>
      <c r="CY1238" s="959"/>
      <c r="CZ1238" s="959"/>
      <c r="DA1238" s="959"/>
      <c r="DB1238" s="959"/>
      <c r="DC1238" s="891">
        <v>4275</v>
      </c>
      <c r="DD1238" s="891" t="s">
        <v>2548</v>
      </c>
      <c r="DE1238" s="891" t="s">
        <v>419</v>
      </c>
      <c r="DF1238" s="891">
        <v>4</v>
      </c>
      <c r="DG1238" s="959"/>
      <c r="DH1238" s="959"/>
      <c r="ER1238" s="905">
        <v>4551</v>
      </c>
      <c r="ES1238" s="930" t="s">
        <v>835</v>
      </c>
      <c r="ET1238" s="2686">
        <v>6</v>
      </c>
      <c r="EV1238" s="985"/>
      <c r="EW1238" s="985"/>
      <c r="EX1238" s="387"/>
      <c r="EY1238" s="939"/>
      <c r="EZ1238" s="886"/>
    </row>
    <row r="1239" spans="88:156">
      <c r="CJ1239" s="197"/>
      <c r="CK1239" s="197"/>
      <c r="CL1239" s="197"/>
      <c r="CM1239" s="213"/>
      <c r="CN1239" s="213"/>
      <c r="CO1239" s="197"/>
      <c r="CP1239" s="197"/>
      <c r="CQ1239" s="197"/>
      <c r="CR1239" s="197"/>
      <c r="CS1239" s="197"/>
      <c r="CT1239" s="197"/>
      <c r="CU1239" s="197"/>
      <c r="CV1239" s="197"/>
      <c r="CW1239" s="197"/>
      <c r="CX1239" s="959"/>
      <c r="CY1239" s="959"/>
      <c r="CZ1239" s="959"/>
      <c r="DA1239" s="959"/>
      <c r="DB1239" s="959"/>
      <c r="DC1239" s="891">
        <v>4281</v>
      </c>
      <c r="DD1239" s="891" t="s">
        <v>2549</v>
      </c>
      <c r="DE1239" s="891" t="s">
        <v>427</v>
      </c>
      <c r="DF1239" s="891">
        <v>5</v>
      </c>
      <c r="DG1239" s="959"/>
      <c r="DH1239" s="959"/>
      <c r="ER1239" s="905">
        <v>4552</v>
      </c>
      <c r="ES1239" s="906" t="s">
        <v>4282</v>
      </c>
      <c r="ET1239" s="2686">
        <v>9</v>
      </c>
      <c r="EV1239" s="985"/>
      <c r="EW1239" s="985"/>
      <c r="EX1239" s="387"/>
      <c r="EY1239" s="939"/>
      <c r="EZ1239" s="886"/>
    </row>
    <row r="1240" spans="88:156">
      <c r="CJ1240" s="197"/>
      <c r="CK1240" s="197"/>
      <c r="CL1240" s="197"/>
      <c r="CM1240" s="213"/>
      <c r="CN1240" s="213"/>
      <c r="CO1240" s="197"/>
      <c r="CP1240" s="197"/>
      <c r="CQ1240" s="197"/>
      <c r="CR1240" s="197"/>
      <c r="CS1240" s="197"/>
      <c r="CT1240" s="197"/>
      <c r="CU1240" s="197"/>
      <c r="CV1240" s="197"/>
      <c r="CW1240" s="197"/>
      <c r="CX1240" s="959"/>
      <c r="CY1240" s="959"/>
      <c r="CZ1240" s="959"/>
      <c r="DA1240" s="959"/>
      <c r="DB1240" s="959"/>
      <c r="DC1240" s="891">
        <v>4283</v>
      </c>
      <c r="DD1240" s="891" t="s">
        <v>2550</v>
      </c>
      <c r="DE1240" s="891" t="s">
        <v>428</v>
      </c>
      <c r="DF1240" s="891">
        <v>5</v>
      </c>
      <c r="DG1240" s="959"/>
      <c r="DH1240" s="959"/>
      <c r="ER1240" s="905">
        <v>4553</v>
      </c>
      <c r="ES1240" s="906" t="s">
        <v>4283</v>
      </c>
      <c r="ET1240" s="2686">
        <v>9</v>
      </c>
      <c r="EV1240" s="985"/>
      <c r="EW1240" s="985"/>
      <c r="EX1240" s="387"/>
      <c r="EY1240" s="939"/>
      <c r="EZ1240" s="886"/>
    </row>
    <row r="1241" spans="88:156">
      <c r="CJ1241" s="197"/>
      <c r="CK1241" s="197"/>
      <c r="CL1241" s="197"/>
      <c r="CM1241" s="213"/>
      <c r="CN1241" s="213"/>
      <c r="CO1241" s="197"/>
      <c r="CP1241" s="197"/>
      <c r="CQ1241" s="197"/>
      <c r="CR1241" s="197"/>
      <c r="CS1241" s="197"/>
      <c r="CT1241" s="197"/>
      <c r="CU1241" s="197"/>
      <c r="CV1241" s="197"/>
      <c r="CW1241" s="197"/>
      <c r="CX1241" s="959"/>
      <c r="CY1241" s="959"/>
      <c r="CZ1241" s="959"/>
      <c r="DA1241" s="959"/>
      <c r="DB1241" s="959"/>
      <c r="DC1241" s="891">
        <v>4284</v>
      </c>
      <c r="DD1241" s="891" t="s">
        <v>2551</v>
      </c>
      <c r="DE1241" s="891" t="s">
        <v>412</v>
      </c>
      <c r="DF1241" s="891">
        <v>6</v>
      </c>
      <c r="DG1241" s="959"/>
      <c r="DH1241" s="959"/>
      <c r="ER1241" s="905">
        <v>4554</v>
      </c>
      <c r="ES1241" s="906" t="s">
        <v>4284</v>
      </c>
      <c r="ET1241" s="2686">
        <v>9</v>
      </c>
      <c r="EV1241" s="985"/>
      <c r="EW1241" s="985"/>
      <c r="EX1241" s="387"/>
      <c r="EY1241" s="939"/>
      <c r="EZ1241" s="886"/>
    </row>
    <row r="1242" spans="88:156">
      <c r="CJ1242" s="197"/>
      <c r="CK1242" s="197"/>
      <c r="CL1242" s="197"/>
      <c r="CM1242" s="213"/>
      <c r="CN1242" s="213"/>
      <c r="CO1242" s="197"/>
      <c r="CP1242" s="197"/>
      <c r="CQ1242" s="197"/>
      <c r="CR1242" s="197"/>
      <c r="CS1242" s="197"/>
      <c r="CT1242" s="197"/>
      <c r="CU1242" s="197"/>
      <c r="CV1242" s="197"/>
      <c r="CW1242" s="197"/>
      <c r="CX1242" s="959"/>
      <c r="CY1242" s="959"/>
      <c r="CZ1242" s="959"/>
      <c r="DA1242" s="959"/>
      <c r="DB1242" s="959"/>
      <c r="DC1242" s="891">
        <v>4285</v>
      </c>
      <c r="DD1242" s="891" t="s">
        <v>2552</v>
      </c>
      <c r="DE1242" s="891" t="s">
        <v>428</v>
      </c>
      <c r="DF1242" s="891">
        <v>6</v>
      </c>
      <c r="DG1242" s="959"/>
      <c r="DH1242" s="959"/>
      <c r="ER1242" s="905">
        <v>4555</v>
      </c>
      <c r="ES1242" s="906" t="s">
        <v>4285</v>
      </c>
      <c r="ET1242" s="2686">
        <v>9</v>
      </c>
      <c r="EV1242" s="985"/>
      <c r="EW1242" s="985"/>
      <c r="EX1242" s="387"/>
      <c r="EY1242" s="939"/>
      <c r="EZ1242" s="886"/>
    </row>
    <row r="1243" spans="88:156">
      <c r="CJ1243" s="197"/>
      <c r="CK1243" s="197"/>
      <c r="CL1243" s="197"/>
      <c r="CM1243" s="213"/>
      <c r="CN1243" s="213"/>
      <c r="CO1243" s="197"/>
      <c r="CP1243" s="197"/>
      <c r="CQ1243" s="197"/>
      <c r="CR1243" s="197"/>
      <c r="CS1243" s="197"/>
      <c r="CT1243" s="197"/>
      <c r="CU1243" s="197"/>
      <c r="CV1243" s="197"/>
      <c r="CW1243" s="197"/>
      <c r="CX1243" s="959"/>
      <c r="CY1243" s="959"/>
      <c r="CZ1243" s="959"/>
      <c r="DA1243" s="959"/>
      <c r="DB1243" s="959"/>
      <c r="DC1243" s="891">
        <v>4286</v>
      </c>
      <c r="DD1243" s="891" t="s">
        <v>2553</v>
      </c>
      <c r="DE1243" s="891" t="s">
        <v>432</v>
      </c>
      <c r="DF1243" s="891">
        <v>5</v>
      </c>
      <c r="DG1243" s="959"/>
      <c r="DH1243" s="959"/>
      <c r="ER1243" s="905">
        <v>4556</v>
      </c>
      <c r="ES1243" s="906" t="s">
        <v>4286</v>
      </c>
      <c r="ET1243" s="2686">
        <v>9</v>
      </c>
      <c r="EV1243" s="985"/>
      <c r="EW1243" s="985"/>
      <c r="EX1243" s="387"/>
      <c r="EY1243" s="939"/>
      <c r="EZ1243" s="886"/>
    </row>
    <row r="1244" spans="88:156">
      <c r="CJ1244" s="197"/>
      <c r="CK1244" s="197"/>
      <c r="CL1244" s="197"/>
      <c r="CM1244" s="213"/>
      <c r="CN1244" s="213"/>
      <c r="CO1244" s="197"/>
      <c r="CP1244" s="197"/>
      <c r="CQ1244" s="197"/>
      <c r="CR1244" s="197"/>
      <c r="CS1244" s="197"/>
      <c r="CT1244" s="197"/>
      <c r="CU1244" s="197"/>
      <c r="CV1244" s="197"/>
      <c r="CW1244" s="197"/>
      <c r="CX1244" s="959"/>
      <c r="CY1244" s="959"/>
      <c r="CZ1244" s="959"/>
      <c r="DA1244" s="959"/>
      <c r="DB1244" s="959"/>
      <c r="DC1244" s="891">
        <v>4287</v>
      </c>
      <c r="DD1244" s="891" t="s">
        <v>2554</v>
      </c>
      <c r="DE1244" s="891" t="s">
        <v>432</v>
      </c>
      <c r="DF1244" s="891">
        <v>5</v>
      </c>
      <c r="DG1244" s="959"/>
      <c r="DH1244" s="959"/>
      <c r="ER1244" s="905">
        <v>4557</v>
      </c>
      <c r="ES1244" s="906" t="s">
        <v>4287</v>
      </c>
      <c r="ET1244" s="2686">
        <v>9</v>
      </c>
      <c r="EV1244" s="985"/>
      <c r="EW1244" s="985"/>
      <c r="EX1244" s="387"/>
      <c r="EY1244" s="939"/>
      <c r="EZ1244" s="886"/>
    </row>
    <row r="1245" spans="88:156">
      <c r="CJ1245" s="197"/>
      <c r="CK1245" s="197"/>
      <c r="CL1245" s="197"/>
      <c r="CM1245" s="213"/>
      <c r="CN1245" s="213"/>
      <c r="CO1245" s="197"/>
      <c r="CP1245" s="197"/>
      <c r="CQ1245" s="197"/>
      <c r="CR1245" s="197"/>
      <c r="CS1245" s="197"/>
      <c r="CT1245" s="197"/>
      <c r="CU1245" s="197"/>
      <c r="CV1245" s="197"/>
      <c r="CW1245" s="197"/>
      <c r="CX1245" s="959"/>
      <c r="CY1245" s="959"/>
      <c r="CZ1245" s="959"/>
      <c r="DA1245" s="959"/>
      <c r="DB1245" s="959"/>
      <c r="DC1245" s="891">
        <v>4288</v>
      </c>
      <c r="DD1245" s="891" t="s">
        <v>2555</v>
      </c>
      <c r="DE1245" s="891" t="s">
        <v>432</v>
      </c>
      <c r="DF1245" s="891">
        <v>5</v>
      </c>
      <c r="DG1245" s="959"/>
      <c r="DH1245" s="959"/>
      <c r="ER1245" s="905">
        <v>4558</v>
      </c>
      <c r="ES1245" s="906" t="s">
        <v>3560</v>
      </c>
      <c r="ET1245" s="2686">
        <v>9</v>
      </c>
      <c r="EV1245" s="985"/>
      <c r="EW1245" s="985"/>
      <c r="EX1245" s="387"/>
      <c r="EY1245" s="939"/>
      <c r="EZ1245" s="886"/>
    </row>
    <row r="1246" spans="88:156">
      <c r="CJ1246" s="197"/>
      <c r="CK1246" s="197"/>
      <c r="CL1246" s="197"/>
      <c r="CM1246" s="213"/>
      <c r="CN1246" s="213"/>
      <c r="CO1246" s="197"/>
      <c r="CP1246" s="197"/>
      <c r="CQ1246" s="197"/>
      <c r="CR1246" s="197"/>
      <c r="CS1246" s="197"/>
      <c r="CT1246" s="197"/>
      <c r="CU1246" s="197"/>
      <c r="CV1246" s="197"/>
      <c r="CW1246" s="197"/>
      <c r="CX1246" s="959"/>
      <c r="CY1246" s="959"/>
      <c r="CZ1246" s="959"/>
      <c r="DA1246" s="959"/>
      <c r="DB1246" s="959"/>
      <c r="DC1246" s="891">
        <v>4300</v>
      </c>
      <c r="DD1246" s="891" t="s">
        <v>2556</v>
      </c>
      <c r="DE1246" s="891" t="s">
        <v>428</v>
      </c>
      <c r="DF1246" s="891">
        <v>4</v>
      </c>
      <c r="DG1246" s="959"/>
      <c r="DH1246" s="959"/>
      <c r="ER1246" s="905">
        <v>4561</v>
      </c>
      <c r="ES1246" s="906" t="s">
        <v>3561</v>
      </c>
      <c r="ET1246" s="2686">
        <v>9</v>
      </c>
      <c r="EV1246" s="985"/>
      <c r="EW1246" s="985"/>
      <c r="EX1246" s="387"/>
      <c r="EY1246" s="939"/>
      <c r="EZ1246" s="886"/>
    </row>
    <row r="1247" spans="88:156">
      <c r="CJ1247" s="197"/>
      <c r="CK1247" s="197"/>
      <c r="CL1247" s="197"/>
      <c r="CM1247" s="213"/>
      <c r="CN1247" s="213"/>
      <c r="CO1247" s="197"/>
      <c r="CP1247" s="197"/>
      <c r="CQ1247" s="197"/>
      <c r="CR1247" s="197"/>
      <c r="CS1247" s="197"/>
      <c r="CT1247" s="197"/>
      <c r="CU1247" s="197"/>
      <c r="CV1247" s="197"/>
      <c r="CW1247" s="197"/>
      <c r="CX1247" s="959"/>
      <c r="CY1247" s="959"/>
      <c r="CZ1247" s="959"/>
      <c r="DA1247" s="959"/>
      <c r="DB1247" s="959"/>
      <c r="DC1247" s="891">
        <v>4311</v>
      </c>
      <c r="DD1247" s="891" t="s">
        <v>2557</v>
      </c>
      <c r="DE1247" s="891" t="s">
        <v>421</v>
      </c>
      <c r="DF1247" s="891">
        <v>5</v>
      </c>
      <c r="DG1247" s="959"/>
      <c r="DH1247" s="959"/>
      <c r="ER1247" s="905">
        <v>4562</v>
      </c>
      <c r="ES1247" s="906" t="s">
        <v>3562</v>
      </c>
      <c r="ET1247" s="2686">
        <v>9</v>
      </c>
      <c r="EV1247" s="985"/>
      <c r="EW1247" s="985"/>
      <c r="EX1247" s="387"/>
      <c r="EY1247" s="939"/>
      <c r="EZ1247" s="886"/>
    </row>
    <row r="1248" spans="88:156">
      <c r="CJ1248" s="197"/>
      <c r="CK1248" s="197"/>
      <c r="CL1248" s="197"/>
      <c r="CM1248" s="213"/>
      <c r="CN1248" s="213"/>
      <c r="CO1248" s="197"/>
      <c r="CP1248" s="197"/>
      <c r="CQ1248" s="197"/>
      <c r="CR1248" s="197"/>
      <c r="CS1248" s="197"/>
      <c r="CT1248" s="197"/>
      <c r="CU1248" s="197"/>
      <c r="CV1248" s="197"/>
      <c r="CW1248" s="197"/>
      <c r="CX1248" s="959"/>
      <c r="CY1248" s="959"/>
      <c r="CZ1248" s="959"/>
      <c r="DA1248" s="959"/>
      <c r="DB1248" s="959"/>
      <c r="DC1248" s="891">
        <v>4320</v>
      </c>
      <c r="DD1248" s="891" t="s">
        <v>2558</v>
      </c>
      <c r="DE1248" s="891" t="s">
        <v>421</v>
      </c>
      <c r="DF1248" s="891">
        <v>4</v>
      </c>
      <c r="DG1248" s="959"/>
      <c r="DH1248" s="959"/>
      <c r="ER1248" s="905">
        <v>4563</v>
      </c>
      <c r="ES1248" s="906" t="s">
        <v>3563</v>
      </c>
      <c r="ET1248" s="2686">
        <v>9</v>
      </c>
      <c r="EV1248" s="985"/>
      <c r="EW1248" s="985"/>
      <c r="EX1248" s="387"/>
      <c r="EY1248" s="939"/>
      <c r="EZ1248" s="886"/>
    </row>
    <row r="1249" spans="88:156">
      <c r="CJ1249" s="197"/>
      <c r="CK1249" s="197"/>
      <c r="CL1249" s="197"/>
      <c r="CM1249" s="213"/>
      <c r="CN1249" s="213"/>
      <c r="CO1249" s="197"/>
      <c r="CP1249" s="197"/>
      <c r="CQ1249" s="197"/>
      <c r="CR1249" s="197"/>
      <c r="CS1249" s="197"/>
      <c r="CT1249" s="197"/>
      <c r="CU1249" s="197"/>
      <c r="CV1249" s="197"/>
      <c r="CW1249" s="197"/>
      <c r="CX1249" s="959"/>
      <c r="CY1249" s="959"/>
      <c r="CZ1249" s="959"/>
      <c r="DA1249" s="959"/>
      <c r="DB1249" s="959"/>
      <c r="DC1249" s="891">
        <v>4324</v>
      </c>
      <c r="DD1249" s="891" t="s">
        <v>2559</v>
      </c>
      <c r="DE1249" s="891" t="s">
        <v>406</v>
      </c>
      <c r="DF1249" s="891">
        <v>4</v>
      </c>
      <c r="DG1249" s="959"/>
      <c r="DH1249" s="959"/>
      <c r="ER1249" s="905">
        <v>4564</v>
      </c>
      <c r="ES1249" s="906" t="s">
        <v>3564</v>
      </c>
      <c r="ET1249" s="2686">
        <v>9</v>
      </c>
      <c r="EV1249" s="985"/>
      <c r="EW1249" s="985"/>
      <c r="EX1249" s="387"/>
      <c r="EY1249" s="939"/>
      <c r="EZ1249" s="886"/>
    </row>
    <row r="1250" spans="88:156">
      <c r="CJ1250" s="197"/>
      <c r="CK1250" s="197"/>
      <c r="CL1250" s="197"/>
      <c r="CM1250" s="213"/>
      <c r="CN1250" s="213"/>
      <c r="CO1250" s="197"/>
      <c r="CP1250" s="197"/>
      <c r="CQ1250" s="197"/>
      <c r="CR1250" s="197"/>
      <c r="CS1250" s="197"/>
      <c r="CT1250" s="197"/>
      <c r="CU1250" s="197"/>
      <c r="CV1250" s="197"/>
      <c r="CW1250" s="197"/>
      <c r="CX1250" s="959"/>
      <c r="CY1250" s="959"/>
      <c r="CZ1250" s="959"/>
      <c r="DA1250" s="959"/>
      <c r="DB1250" s="959"/>
      <c r="DC1250" s="891">
        <v>4325</v>
      </c>
      <c r="DD1250" s="891" t="s">
        <v>2560</v>
      </c>
      <c r="DE1250" s="891" t="s">
        <v>433</v>
      </c>
      <c r="DF1250" s="891">
        <v>2</v>
      </c>
      <c r="DG1250" s="959"/>
      <c r="DH1250" s="959"/>
      <c r="ER1250" s="905">
        <v>4565</v>
      </c>
      <c r="ES1250" s="906" t="s">
        <v>3565</v>
      </c>
      <c r="ET1250" s="2686">
        <v>9</v>
      </c>
      <c r="EV1250" s="985"/>
      <c r="EW1250" s="985"/>
      <c r="EX1250" s="387"/>
      <c r="EY1250" s="939"/>
      <c r="EZ1250" s="886"/>
    </row>
    <row r="1251" spans="88:156">
      <c r="CJ1251" s="197"/>
      <c r="CK1251" s="197"/>
      <c r="CL1251" s="197"/>
      <c r="CM1251" s="213"/>
      <c r="CN1251" s="213"/>
      <c r="CO1251" s="197"/>
      <c r="CP1251" s="197"/>
      <c r="CQ1251" s="197"/>
      <c r="CR1251" s="197"/>
      <c r="CS1251" s="197"/>
      <c r="CT1251" s="197"/>
      <c r="CU1251" s="197"/>
      <c r="CV1251" s="197"/>
      <c r="CW1251" s="197"/>
      <c r="CX1251" s="959"/>
      <c r="CY1251" s="959"/>
      <c r="CZ1251" s="959"/>
      <c r="DA1251" s="959"/>
      <c r="DB1251" s="959"/>
      <c r="DC1251" s="891">
        <v>4326</v>
      </c>
      <c r="DD1251" s="891" t="s">
        <v>2561</v>
      </c>
      <c r="DE1251" s="891" t="s">
        <v>406</v>
      </c>
      <c r="DF1251" s="891">
        <v>4</v>
      </c>
      <c r="DG1251" s="959"/>
      <c r="DH1251" s="959"/>
      <c r="ER1251" s="905">
        <v>4566</v>
      </c>
      <c r="ES1251" s="906" t="s">
        <v>3566</v>
      </c>
      <c r="ET1251" s="2686">
        <v>9</v>
      </c>
      <c r="EV1251" s="985"/>
      <c r="EW1251" s="985"/>
      <c r="EX1251" s="387"/>
      <c r="EY1251" s="939"/>
      <c r="EZ1251" s="886"/>
    </row>
    <row r="1252" spans="88:156">
      <c r="CJ1252" s="197"/>
      <c r="CK1252" s="197"/>
      <c r="CL1252" s="197"/>
      <c r="CM1252" s="213"/>
      <c r="CN1252" s="213"/>
      <c r="CO1252" s="197"/>
      <c r="CP1252" s="197"/>
      <c r="CQ1252" s="197"/>
      <c r="CR1252" s="197"/>
      <c r="CS1252" s="197"/>
      <c r="CT1252" s="197"/>
      <c r="CU1252" s="197"/>
      <c r="CV1252" s="197"/>
      <c r="CW1252" s="197"/>
      <c r="CX1252" s="959"/>
      <c r="CY1252" s="959"/>
      <c r="CZ1252" s="959"/>
      <c r="DA1252" s="959"/>
      <c r="DB1252" s="959"/>
      <c r="DC1252" s="891">
        <v>4327</v>
      </c>
      <c r="DD1252" s="891" t="s">
        <v>2562</v>
      </c>
      <c r="DE1252" s="891" t="s">
        <v>406</v>
      </c>
      <c r="DF1252" s="891">
        <v>4</v>
      </c>
      <c r="DG1252" s="959"/>
      <c r="DH1252" s="959"/>
      <c r="ER1252" s="905">
        <v>4567</v>
      </c>
      <c r="ES1252" s="906" t="s">
        <v>3567</v>
      </c>
      <c r="ET1252" s="2686">
        <v>9</v>
      </c>
      <c r="EV1252" s="985"/>
      <c r="EW1252" s="985"/>
      <c r="EX1252" s="387"/>
      <c r="EY1252" s="939"/>
      <c r="EZ1252" s="886"/>
    </row>
    <row r="1253" spans="88:156">
      <c r="CJ1253" s="197"/>
      <c r="CK1253" s="197"/>
      <c r="CL1253" s="197"/>
      <c r="CM1253" s="213"/>
      <c r="CN1253" s="213"/>
      <c r="CO1253" s="197"/>
      <c r="CP1253" s="197"/>
      <c r="CQ1253" s="197"/>
      <c r="CR1253" s="197"/>
      <c r="CS1253" s="197"/>
      <c r="CT1253" s="197"/>
      <c r="CU1253" s="197"/>
      <c r="CV1253" s="197"/>
      <c r="CW1253" s="197"/>
      <c r="CX1253" s="959"/>
      <c r="CY1253" s="959"/>
      <c r="CZ1253" s="959"/>
      <c r="DA1253" s="959"/>
      <c r="DB1253" s="959"/>
      <c r="DC1253" s="891">
        <v>4331</v>
      </c>
      <c r="DD1253" s="891" t="s">
        <v>2563</v>
      </c>
      <c r="DE1253" s="891" t="s">
        <v>435</v>
      </c>
      <c r="DF1253" s="891">
        <v>5</v>
      </c>
      <c r="DG1253" s="959"/>
      <c r="DH1253" s="959"/>
      <c r="ER1253" s="905">
        <v>4600</v>
      </c>
      <c r="ES1253" s="906" t="s">
        <v>3568</v>
      </c>
      <c r="ET1253" s="2686">
        <v>9</v>
      </c>
      <c r="EV1253" s="985"/>
      <c r="EW1253" s="985"/>
      <c r="EX1253" s="387"/>
      <c r="EY1253" s="939"/>
      <c r="EZ1253" s="886"/>
    </row>
    <row r="1254" spans="88:156">
      <c r="CJ1254" s="197"/>
      <c r="CK1254" s="197"/>
      <c r="CL1254" s="197"/>
      <c r="CM1254" s="213"/>
      <c r="CN1254" s="213"/>
      <c r="CO1254" s="197"/>
      <c r="CP1254" s="197"/>
      <c r="CQ1254" s="197"/>
      <c r="CR1254" s="197"/>
      <c r="CS1254" s="197"/>
      <c r="CT1254" s="197"/>
      <c r="CU1254" s="197"/>
      <c r="CV1254" s="197"/>
      <c r="CW1254" s="197"/>
      <c r="CX1254" s="959"/>
      <c r="CY1254" s="959"/>
      <c r="CZ1254" s="959"/>
      <c r="DA1254" s="959"/>
      <c r="DB1254" s="959"/>
      <c r="DC1254" s="891">
        <v>4332</v>
      </c>
      <c r="DD1254" s="891" t="s">
        <v>2564</v>
      </c>
      <c r="DE1254" s="891" t="s">
        <v>421</v>
      </c>
      <c r="DF1254" s="891">
        <v>6</v>
      </c>
      <c r="DG1254" s="959"/>
      <c r="DH1254" s="959"/>
      <c r="ER1254" s="905">
        <v>4611</v>
      </c>
      <c r="ES1254" s="906" t="s">
        <v>3569</v>
      </c>
      <c r="ET1254" s="2686">
        <v>9</v>
      </c>
      <c r="EV1254" s="985"/>
      <c r="EW1254" s="985"/>
      <c r="EX1254" s="387"/>
      <c r="EY1254" s="939"/>
      <c r="EZ1254" s="886"/>
    </row>
    <row r="1255" spans="88:156">
      <c r="CJ1255" s="197"/>
      <c r="CK1255" s="197"/>
      <c r="CL1255" s="197"/>
      <c r="CM1255" s="213"/>
      <c r="CN1255" s="213"/>
      <c r="CO1255" s="197"/>
      <c r="CP1255" s="197"/>
      <c r="CQ1255" s="197"/>
      <c r="CR1255" s="197"/>
      <c r="CS1255" s="197"/>
      <c r="CT1255" s="197"/>
      <c r="CU1255" s="197"/>
      <c r="CV1255" s="197"/>
      <c r="CW1255" s="197"/>
      <c r="CX1255" s="959"/>
      <c r="CY1255" s="959"/>
      <c r="CZ1255" s="959"/>
      <c r="DA1255" s="959"/>
      <c r="DB1255" s="959"/>
      <c r="DC1255" s="891">
        <v>4333</v>
      </c>
      <c r="DD1255" s="891" t="s">
        <v>2565</v>
      </c>
      <c r="DE1255" s="891" t="s">
        <v>433</v>
      </c>
      <c r="DF1255" s="891">
        <v>5</v>
      </c>
      <c r="DG1255" s="959"/>
      <c r="DH1255" s="959"/>
      <c r="ER1255" s="905">
        <v>4621</v>
      </c>
      <c r="ES1255" s="906" t="s">
        <v>3570</v>
      </c>
      <c r="ET1255" s="2686">
        <v>9</v>
      </c>
      <c r="EV1255" s="985"/>
      <c r="EW1255" s="985"/>
      <c r="EX1255" s="387"/>
      <c r="EY1255" s="939"/>
      <c r="EZ1255" s="886"/>
    </row>
    <row r="1256" spans="88:156">
      <c r="CJ1256" s="197"/>
      <c r="CK1256" s="197"/>
      <c r="CL1256" s="197"/>
      <c r="CM1256" s="213"/>
      <c r="CN1256" s="213"/>
      <c r="CO1256" s="197"/>
      <c r="CP1256" s="197"/>
      <c r="CQ1256" s="197"/>
      <c r="CR1256" s="197"/>
      <c r="CS1256" s="197"/>
      <c r="CT1256" s="197"/>
      <c r="CU1256" s="197"/>
      <c r="CV1256" s="197"/>
      <c r="CW1256" s="197"/>
      <c r="CX1256" s="959"/>
      <c r="CY1256" s="959"/>
      <c r="CZ1256" s="959"/>
      <c r="DA1256" s="959"/>
      <c r="DB1256" s="959"/>
      <c r="DC1256" s="891">
        <v>4334</v>
      </c>
      <c r="DD1256" s="891" t="s">
        <v>2566</v>
      </c>
      <c r="DE1256" s="891" t="s">
        <v>412</v>
      </c>
      <c r="DF1256" s="891">
        <v>6</v>
      </c>
      <c r="DG1256" s="959"/>
      <c r="DH1256" s="959"/>
      <c r="ER1256" s="905">
        <v>4622</v>
      </c>
      <c r="ES1256" s="906" t="s">
        <v>3571</v>
      </c>
      <c r="ET1256" s="2686">
        <v>9</v>
      </c>
      <c r="EV1256" s="985"/>
      <c r="EW1256" s="985"/>
      <c r="EX1256" s="387"/>
      <c r="EY1256" s="939"/>
      <c r="EZ1256" s="886"/>
    </row>
    <row r="1257" spans="88:156">
      <c r="CJ1257" s="197"/>
      <c r="CK1257" s="197"/>
      <c r="CL1257" s="197"/>
      <c r="CM1257" s="213"/>
      <c r="CN1257" s="213"/>
      <c r="CO1257" s="197"/>
      <c r="CP1257" s="197"/>
      <c r="CQ1257" s="197"/>
      <c r="CR1257" s="197"/>
      <c r="CS1257" s="197"/>
      <c r="CT1257" s="197"/>
      <c r="CU1257" s="197"/>
      <c r="CV1257" s="197"/>
      <c r="CW1257" s="197"/>
      <c r="CX1257" s="959"/>
      <c r="CY1257" s="959"/>
      <c r="CZ1257" s="959"/>
      <c r="DA1257" s="959"/>
      <c r="DB1257" s="959"/>
      <c r="DC1257" s="891">
        <v>4335</v>
      </c>
      <c r="DD1257" s="891" t="s">
        <v>2567</v>
      </c>
      <c r="DE1257" s="891" t="s">
        <v>412</v>
      </c>
      <c r="DF1257" s="891">
        <v>6</v>
      </c>
      <c r="DG1257" s="959"/>
      <c r="DH1257" s="959"/>
      <c r="ER1257" s="905">
        <v>4623</v>
      </c>
      <c r="ES1257" s="906" t="s">
        <v>3572</v>
      </c>
      <c r="ET1257" s="2686">
        <v>9</v>
      </c>
      <c r="EV1257" s="985"/>
      <c r="EW1257" s="985"/>
      <c r="EX1257" s="387"/>
      <c r="EY1257" s="939"/>
      <c r="EZ1257" s="886"/>
    </row>
    <row r="1258" spans="88:156">
      <c r="CJ1258" s="197"/>
      <c r="CK1258" s="197"/>
      <c r="CL1258" s="197"/>
      <c r="CM1258" s="213"/>
      <c r="CN1258" s="213"/>
      <c r="CO1258" s="197"/>
      <c r="CP1258" s="197"/>
      <c r="CQ1258" s="197"/>
      <c r="CR1258" s="197"/>
      <c r="CS1258" s="197"/>
      <c r="CT1258" s="197"/>
      <c r="CU1258" s="197"/>
      <c r="CV1258" s="197"/>
      <c r="CW1258" s="197"/>
      <c r="CX1258" s="959"/>
      <c r="CY1258" s="959"/>
      <c r="CZ1258" s="959"/>
      <c r="DA1258" s="959"/>
      <c r="DB1258" s="959"/>
      <c r="DC1258" s="891">
        <v>4336</v>
      </c>
      <c r="DD1258" s="891" t="s">
        <v>2568</v>
      </c>
      <c r="DE1258" s="891" t="s">
        <v>428</v>
      </c>
      <c r="DF1258" s="891">
        <v>6</v>
      </c>
      <c r="DG1258" s="959"/>
      <c r="DH1258" s="959"/>
      <c r="ER1258" s="905">
        <v>4624</v>
      </c>
      <c r="ES1258" s="906" t="s">
        <v>3573</v>
      </c>
      <c r="ET1258" s="2686">
        <v>9</v>
      </c>
      <c r="EV1258" s="985"/>
      <c r="EW1258" s="985"/>
      <c r="EX1258" s="387"/>
      <c r="EY1258" s="939"/>
      <c r="EZ1258" s="886"/>
    </row>
    <row r="1259" spans="88:156">
      <c r="CJ1259" s="197"/>
      <c r="CK1259" s="197"/>
      <c r="CL1259" s="197"/>
      <c r="CM1259" s="213"/>
      <c r="CN1259" s="213"/>
      <c r="CO1259" s="197"/>
      <c r="CP1259" s="197"/>
      <c r="CQ1259" s="197"/>
      <c r="CR1259" s="197"/>
      <c r="CS1259" s="197"/>
      <c r="CT1259" s="197"/>
      <c r="CU1259" s="197"/>
      <c r="CV1259" s="197"/>
      <c r="CW1259" s="197"/>
      <c r="CX1259" s="959"/>
      <c r="CY1259" s="959"/>
      <c r="CZ1259" s="959"/>
      <c r="DA1259" s="959"/>
      <c r="DB1259" s="959"/>
      <c r="DC1259" s="891">
        <v>4337</v>
      </c>
      <c r="DD1259" s="891" t="s">
        <v>2569</v>
      </c>
      <c r="DE1259" s="891" t="s">
        <v>432</v>
      </c>
      <c r="DF1259" s="891">
        <v>6</v>
      </c>
      <c r="DG1259" s="959"/>
      <c r="DH1259" s="959"/>
      <c r="ER1259" s="905">
        <v>4625</v>
      </c>
      <c r="ES1259" s="906" t="s">
        <v>836</v>
      </c>
      <c r="ET1259" s="2686">
        <v>9</v>
      </c>
      <c r="EV1259" s="985"/>
      <c r="EW1259" s="985"/>
      <c r="EX1259" s="387"/>
      <c r="EY1259" s="939"/>
      <c r="EZ1259" s="886"/>
    </row>
    <row r="1260" spans="88:156">
      <c r="CJ1260" s="197"/>
      <c r="CK1260" s="197"/>
      <c r="CL1260" s="197"/>
      <c r="CM1260" s="213"/>
      <c r="CN1260" s="213"/>
      <c r="CO1260" s="197"/>
      <c r="CP1260" s="197"/>
      <c r="CQ1260" s="197"/>
      <c r="CR1260" s="197"/>
      <c r="CS1260" s="197"/>
      <c r="CT1260" s="197"/>
      <c r="CU1260" s="197"/>
      <c r="CV1260" s="197"/>
      <c r="CW1260" s="197"/>
      <c r="CX1260" s="959"/>
      <c r="CY1260" s="959"/>
      <c r="CZ1260" s="959"/>
      <c r="DA1260" s="959"/>
      <c r="DB1260" s="959"/>
      <c r="DC1260" s="891">
        <v>4338</v>
      </c>
      <c r="DD1260" s="891" t="s">
        <v>2570</v>
      </c>
      <c r="DE1260" s="891" t="s">
        <v>419</v>
      </c>
      <c r="DF1260" s="891">
        <v>6</v>
      </c>
      <c r="DG1260" s="959"/>
      <c r="DH1260" s="959"/>
      <c r="ER1260" s="905">
        <v>4625</v>
      </c>
      <c r="ES1260" s="906" t="s">
        <v>3574</v>
      </c>
      <c r="ET1260" s="2686">
        <v>9</v>
      </c>
      <c r="EV1260" s="985"/>
      <c r="EW1260" s="985"/>
      <c r="EX1260" s="387"/>
      <c r="EY1260" s="939"/>
      <c r="EZ1260" s="886"/>
    </row>
    <row r="1261" spans="88:156">
      <c r="CJ1261" s="197"/>
      <c r="CK1261" s="197"/>
      <c r="CL1261" s="197"/>
      <c r="CM1261" s="213"/>
      <c r="CN1261" s="213"/>
      <c r="CO1261" s="197"/>
      <c r="CP1261" s="197"/>
      <c r="CQ1261" s="197"/>
      <c r="CR1261" s="197"/>
      <c r="CS1261" s="197"/>
      <c r="CT1261" s="197"/>
      <c r="CU1261" s="197"/>
      <c r="CV1261" s="197"/>
      <c r="CW1261" s="197"/>
      <c r="CX1261" s="959"/>
      <c r="CY1261" s="959"/>
      <c r="CZ1261" s="959"/>
      <c r="DA1261" s="959"/>
      <c r="DB1261" s="959"/>
      <c r="DC1261" s="891">
        <v>4341</v>
      </c>
      <c r="DD1261" s="891" t="s">
        <v>2571</v>
      </c>
      <c r="DE1261" s="891" t="s">
        <v>423</v>
      </c>
      <c r="DF1261" s="891">
        <v>4</v>
      </c>
      <c r="DG1261" s="959"/>
      <c r="DH1261" s="959"/>
      <c r="ER1261" s="905">
        <v>4627</v>
      </c>
      <c r="ES1261" s="906" t="s">
        <v>3575</v>
      </c>
      <c r="ET1261" s="2686">
        <v>9</v>
      </c>
      <c r="EV1261" s="985"/>
      <c r="EW1261" s="985"/>
      <c r="EX1261" s="387"/>
      <c r="EY1261" s="939"/>
      <c r="EZ1261" s="886"/>
    </row>
    <row r="1262" spans="88:156">
      <c r="CJ1262" s="197"/>
      <c r="CK1262" s="197"/>
      <c r="CL1262" s="197"/>
      <c r="CM1262" s="213"/>
      <c r="CN1262" s="213"/>
      <c r="CO1262" s="197"/>
      <c r="CP1262" s="197"/>
      <c r="CQ1262" s="197"/>
      <c r="CR1262" s="197"/>
      <c r="CS1262" s="197"/>
      <c r="CT1262" s="197"/>
      <c r="CU1262" s="197"/>
      <c r="CV1262" s="197"/>
      <c r="CW1262" s="197"/>
      <c r="CX1262" s="959"/>
      <c r="CY1262" s="959"/>
      <c r="CZ1262" s="959"/>
      <c r="DA1262" s="959"/>
      <c r="DB1262" s="959"/>
      <c r="DC1262" s="891">
        <v>4342</v>
      </c>
      <c r="DD1262" s="891" t="s">
        <v>2572</v>
      </c>
      <c r="DE1262" s="891" t="s">
        <v>406</v>
      </c>
      <c r="DF1262" s="891">
        <v>5</v>
      </c>
      <c r="DG1262" s="959"/>
      <c r="DH1262" s="959"/>
      <c r="ER1262" s="905">
        <v>4628</v>
      </c>
      <c r="ES1262" s="906" t="s">
        <v>3576</v>
      </c>
      <c r="ET1262" s="2686">
        <v>9</v>
      </c>
      <c r="EV1262" s="985"/>
      <c r="EW1262" s="985"/>
      <c r="EX1262" s="387"/>
      <c r="EY1262" s="939"/>
      <c r="EZ1262" s="886"/>
    </row>
    <row r="1263" spans="88:156">
      <c r="CJ1263" s="197"/>
      <c r="CK1263" s="197"/>
      <c r="CL1263" s="197"/>
      <c r="CM1263" s="213"/>
      <c r="CN1263" s="213"/>
      <c r="CO1263" s="197"/>
      <c r="CP1263" s="197"/>
      <c r="CQ1263" s="197"/>
      <c r="CR1263" s="197"/>
      <c r="CS1263" s="197"/>
      <c r="CT1263" s="197"/>
      <c r="CU1263" s="197"/>
      <c r="CV1263" s="197"/>
      <c r="CW1263" s="197"/>
      <c r="CX1263" s="959"/>
      <c r="CY1263" s="959"/>
      <c r="CZ1263" s="959"/>
      <c r="DA1263" s="959"/>
      <c r="DB1263" s="959"/>
      <c r="DC1263" s="891">
        <v>4343</v>
      </c>
      <c r="DD1263" s="891" t="s">
        <v>2573</v>
      </c>
      <c r="DE1263" s="891" t="s">
        <v>412</v>
      </c>
      <c r="DF1263" s="891">
        <v>5</v>
      </c>
      <c r="DG1263" s="959"/>
      <c r="DH1263" s="959"/>
      <c r="ER1263" s="905">
        <v>4631</v>
      </c>
      <c r="ES1263" s="906" t="s">
        <v>3577</v>
      </c>
      <c r="ET1263" s="2686">
        <v>9</v>
      </c>
      <c r="EV1263" s="985"/>
      <c r="EW1263" s="985"/>
      <c r="EX1263" s="387"/>
      <c r="EY1263" s="939"/>
      <c r="EZ1263" s="886"/>
    </row>
    <row r="1264" spans="88:156">
      <c r="CJ1264" s="197"/>
      <c r="CK1264" s="197"/>
      <c r="CL1264" s="197"/>
      <c r="CM1264" s="213"/>
      <c r="CN1264" s="213"/>
      <c r="CO1264" s="197"/>
      <c r="CP1264" s="197"/>
      <c r="CQ1264" s="197"/>
      <c r="CR1264" s="197"/>
      <c r="CS1264" s="197"/>
      <c r="CT1264" s="197"/>
      <c r="CU1264" s="197"/>
      <c r="CV1264" s="197"/>
      <c r="CW1264" s="197"/>
      <c r="CX1264" s="959"/>
      <c r="CY1264" s="959"/>
      <c r="CZ1264" s="959"/>
      <c r="DA1264" s="959"/>
      <c r="DB1264" s="959"/>
      <c r="DC1264" s="891">
        <v>4351</v>
      </c>
      <c r="DD1264" s="891" t="s">
        <v>2574</v>
      </c>
      <c r="DE1264" s="891" t="s">
        <v>419</v>
      </c>
      <c r="DF1264" s="891">
        <v>6</v>
      </c>
      <c r="DG1264" s="959"/>
      <c r="DH1264" s="959"/>
      <c r="ER1264" s="905">
        <v>4632</v>
      </c>
      <c r="ES1264" s="906" t="s">
        <v>3578</v>
      </c>
      <c r="ET1264" s="2686">
        <v>9</v>
      </c>
      <c r="EV1264" s="985"/>
      <c r="EW1264" s="985"/>
      <c r="EX1264" s="387"/>
      <c r="EY1264" s="939"/>
      <c r="EZ1264" s="886"/>
    </row>
    <row r="1265" spans="88:156">
      <c r="CJ1265" s="197"/>
      <c r="CK1265" s="197"/>
      <c r="CL1265" s="197"/>
      <c r="CM1265" s="213"/>
      <c r="CN1265" s="213"/>
      <c r="CO1265" s="197"/>
      <c r="CP1265" s="197"/>
      <c r="CQ1265" s="197"/>
      <c r="CR1265" s="197"/>
      <c r="CS1265" s="197"/>
      <c r="CT1265" s="197"/>
      <c r="CU1265" s="197"/>
      <c r="CV1265" s="197"/>
      <c r="CW1265" s="197"/>
      <c r="CX1265" s="959"/>
      <c r="CY1265" s="959"/>
      <c r="CZ1265" s="959"/>
      <c r="DA1265" s="959"/>
      <c r="DB1265" s="959"/>
      <c r="DC1265" s="891">
        <v>4352</v>
      </c>
      <c r="DD1265" s="891" t="s">
        <v>2575</v>
      </c>
      <c r="DE1265" s="891" t="s">
        <v>412</v>
      </c>
      <c r="DF1265" s="891">
        <v>6</v>
      </c>
      <c r="DG1265" s="959"/>
      <c r="DH1265" s="959"/>
      <c r="ER1265" s="905">
        <v>4633</v>
      </c>
      <c r="ES1265" s="906" t="s">
        <v>3579</v>
      </c>
      <c r="ET1265" s="2686">
        <v>9</v>
      </c>
      <c r="EV1265" s="985"/>
      <c r="EW1265" s="985"/>
      <c r="EX1265" s="387"/>
      <c r="EY1265" s="939"/>
      <c r="EZ1265" s="886"/>
    </row>
    <row r="1266" spans="88:156">
      <c r="CJ1266" s="197"/>
      <c r="CK1266" s="197"/>
      <c r="CL1266" s="197"/>
      <c r="CM1266" s="213"/>
      <c r="CN1266" s="213"/>
      <c r="CO1266" s="197"/>
      <c r="CP1266" s="197"/>
      <c r="CQ1266" s="197"/>
      <c r="CR1266" s="197"/>
      <c r="CS1266" s="197"/>
      <c r="CT1266" s="197"/>
      <c r="CU1266" s="197"/>
      <c r="CV1266" s="197"/>
      <c r="CW1266" s="197"/>
      <c r="CX1266" s="959"/>
      <c r="CY1266" s="959"/>
      <c r="CZ1266" s="959"/>
      <c r="DA1266" s="959"/>
      <c r="DB1266" s="959"/>
      <c r="DC1266" s="891">
        <v>4353</v>
      </c>
      <c r="DD1266" s="891" t="s">
        <v>2576</v>
      </c>
      <c r="DE1266" s="891" t="s">
        <v>418</v>
      </c>
      <c r="DF1266" s="891">
        <v>6</v>
      </c>
      <c r="DG1266" s="959"/>
      <c r="DH1266" s="959"/>
      <c r="ER1266" s="905">
        <v>4634</v>
      </c>
      <c r="ES1266" s="906" t="s">
        <v>3580</v>
      </c>
      <c r="ET1266" s="2686">
        <v>9</v>
      </c>
      <c r="EV1266" s="985"/>
      <c r="EW1266" s="985"/>
      <c r="EX1266" s="387"/>
      <c r="EY1266" s="939"/>
      <c r="EZ1266" s="886"/>
    </row>
    <row r="1267" spans="88:156">
      <c r="CJ1267" s="197"/>
      <c r="CK1267" s="197"/>
      <c r="CL1267" s="197"/>
      <c r="CM1267" s="213"/>
      <c r="CN1267" s="213"/>
      <c r="CO1267" s="197"/>
      <c r="CP1267" s="197"/>
      <c r="CQ1267" s="197"/>
      <c r="CR1267" s="197"/>
      <c r="CS1267" s="197"/>
      <c r="CT1267" s="197"/>
      <c r="CU1267" s="197"/>
      <c r="CV1267" s="197"/>
      <c r="CW1267" s="197"/>
      <c r="CX1267" s="959"/>
      <c r="CY1267" s="959"/>
      <c r="CZ1267" s="959"/>
      <c r="DA1267" s="959"/>
      <c r="DB1267" s="959"/>
      <c r="DC1267" s="891">
        <v>4354</v>
      </c>
      <c r="DD1267" s="891" t="s">
        <v>2577</v>
      </c>
      <c r="DE1267" s="891" t="s">
        <v>432</v>
      </c>
      <c r="DF1267" s="891">
        <v>6</v>
      </c>
      <c r="DG1267" s="959"/>
      <c r="DH1267" s="959"/>
      <c r="ER1267" s="905">
        <v>4635</v>
      </c>
      <c r="ES1267" s="906" t="s">
        <v>3581</v>
      </c>
      <c r="ET1267" s="2686">
        <v>9</v>
      </c>
      <c r="EV1267" s="985"/>
      <c r="EW1267" s="985"/>
      <c r="EX1267" s="387"/>
      <c r="EY1267" s="939"/>
      <c r="EZ1267" s="886"/>
    </row>
    <row r="1268" spans="88:156">
      <c r="CJ1268" s="197"/>
      <c r="CK1268" s="197"/>
      <c r="CL1268" s="197"/>
      <c r="CM1268" s="213"/>
      <c r="CN1268" s="213"/>
      <c r="CO1268" s="197"/>
      <c r="CP1268" s="197"/>
      <c r="CQ1268" s="197"/>
      <c r="CR1268" s="197"/>
      <c r="CS1268" s="197"/>
      <c r="CT1268" s="197"/>
      <c r="CU1268" s="197"/>
      <c r="CV1268" s="197"/>
      <c r="CW1268" s="197"/>
      <c r="CX1268" s="959"/>
      <c r="CY1268" s="959"/>
      <c r="CZ1268" s="959"/>
      <c r="DA1268" s="959"/>
      <c r="DB1268" s="959"/>
      <c r="DC1268" s="891">
        <v>4355</v>
      </c>
      <c r="DD1268" s="891" t="s">
        <v>2578</v>
      </c>
      <c r="DE1268" s="891" t="s">
        <v>421</v>
      </c>
      <c r="DF1268" s="891">
        <v>5</v>
      </c>
      <c r="DG1268" s="959"/>
      <c r="DH1268" s="959"/>
      <c r="ER1268" s="905">
        <v>4641</v>
      </c>
      <c r="ES1268" s="906" t="s">
        <v>3582</v>
      </c>
      <c r="ET1268" s="2686">
        <v>9</v>
      </c>
      <c r="EV1268" s="985"/>
      <c r="EW1268" s="985"/>
      <c r="EX1268" s="387"/>
      <c r="EY1268" s="939"/>
      <c r="EZ1268" s="886"/>
    </row>
    <row r="1269" spans="88:156">
      <c r="CJ1269" s="197"/>
      <c r="CK1269" s="197"/>
      <c r="CL1269" s="197"/>
      <c r="CM1269" s="213"/>
      <c r="CN1269" s="213"/>
      <c r="CO1269" s="197"/>
      <c r="CP1269" s="197"/>
      <c r="CQ1269" s="197"/>
      <c r="CR1269" s="197"/>
      <c r="CS1269" s="197"/>
      <c r="CT1269" s="197"/>
      <c r="CU1269" s="197"/>
      <c r="CV1269" s="197"/>
      <c r="CW1269" s="197"/>
      <c r="CX1269" s="959"/>
      <c r="CY1269" s="959"/>
      <c r="CZ1269" s="959"/>
      <c r="DA1269" s="959"/>
      <c r="DB1269" s="959"/>
      <c r="DC1269" s="891">
        <v>4356</v>
      </c>
      <c r="DD1269" s="891" t="s">
        <v>2579</v>
      </c>
      <c r="DE1269" s="891" t="s">
        <v>406</v>
      </c>
      <c r="DF1269" s="891">
        <v>5</v>
      </c>
      <c r="DG1269" s="959"/>
      <c r="DH1269" s="959"/>
      <c r="ER1269" s="905">
        <v>4642</v>
      </c>
      <c r="ES1269" s="906" t="s">
        <v>3583</v>
      </c>
      <c r="ET1269" s="2686">
        <v>9</v>
      </c>
      <c r="EV1269" s="985"/>
      <c r="EW1269" s="985"/>
      <c r="EX1269" s="387"/>
      <c r="EY1269" s="939"/>
      <c r="EZ1269" s="886"/>
    </row>
    <row r="1270" spans="88:156">
      <c r="CJ1270" s="197"/>
      <c r="CK1270" s="197"/>
      <c r="CL1270" s="197"/>
      <c r="CM1270" s="213"/>
      <c r="CN1270" s="213"/>
      <c r="CO1270" s="197"/>
      <c r="CP1270" s="197"/>
      <c r="CQ1270" s="197"/>
      <c r="CR1270" s="197"/>
      <c r="CS1270" s="197"/>
      <c r="CT1270" s="197"/>
      <c r="CU1270" s="197"/>
      <c r="CV1270" s="197"/>
      <c r="CW1270" s="197"/>
      <c r="CX1270" s="959"/>
      <c r="CY1270" s="959"/>
      <c r="CZ1270" s="959"/>
      <c r="DA1270" s="959"/>
      <c r="DB1270" s="959"/>
      <c r="DC1270" s="891">
        <v>4361</v>
      </c>
      <c r="DD1270" s="891" t="s">
        <v>2580</v>
      </c>
      <c r="DE1270" s="891" t="s">
        <v>432</v>
      </c>
      <c r="DF1270" s="891">
        <v>4</v>
      </c>
      <c r="DG1270" s="959"/>
      <c r="DH1270" s="959"/>
      <c r="ER1270" s="905">
        <v>4643</v>
      </c>
      <c r="ES1270" s="906" t="s">
        <v>3584</v>
      </c>
      <c r="ET1270" s="2686">
        <v>9</v>
      </c>
      <c r="EV1270" s="985"/>
      <c r="EW1270" s="985"/>
      <c r="EX1270" s="387"/>
      <c r="EY1270" s="939"/>
      <c r="EZ1270" s="886"/>
    </row>
    <row r="1271" spans="88:156">
      <c r="CJ1271" s="197"/>
      <c r="CK1271" s="197"/>
      <c r="CL1271" s="197"/>
      <c r="CM1271" s="213"/>
      <c r="CN1271" s="213"/>
      <c r="CO1271" s="197"/>
      <c r="CP1271" s="197"/>
      <c r="CQ1271" s="197"/>
      <c r="CR1271" s="197"/>
      <c r="CS1271" s="197"/>
      <c r="CT1271" s="197"/>
      <c r="CU1271" s="197"/>
      <c r="CV1271" s="197"/>
      <c r="CW1271" s="197"/>
      <c r="CX1271" s="959"/>
      <c r="CY1271" s="959"/>
      <c r="CZ1271" s="959"/>
      <c r="DA1271" s="959"/>
      <c r="DB1271" s="959"/>
      <c r="DC1271" s="891">
        <v>4362</v>
      </c>
      <c r="DD1271" s="891" t="s">
        <v>2581</v>
      </c>
      <c r="DE1271" s="891" t="s">
        <v>2807</v>
      </c>
      <c r="DF1271" s="891">
        <v>4</v>
      </c>
      <c r="DG1271" s="959"/>
      <c r="DH1271" s="959"/>
      <c r="ER1271" s="905">
        <v>4644</v>
      </c>
      <c r="ES1271" s="906" t="s">
        <v>3585</v>
      </c>
      <c r="ET1271" s="2686">
        <v>9</v>
      </c>
      <c r="EV1271" s="985"/>
      <c r="EW1271" s="985"/>
      <c r="EX1271" s="387"/>
      <c r="EY1271" s="939"/>
      <c r="EZ1271" s="886"/>
    </row>
    <row r="1272" spans="88:156">
      <c r="CJ1272" s="197"/>
      <c r="CK1272" s="197"/>
      <c r="CL1272" s="197"/>
      <c r="CM1272" s="213"/>
      <c r="CN1272" s="213"/>
      <c r="CO1272" s="197"/>
      <c r="CP1272" s="197"/>
      <c r="CQ1272" s="197"/>
      <c r="CR1272" s="197"/>
      <c r="CS1272" s="197"/>
      <c r="CT1272" s="197"/>
      <c r="CU1272" s="197"/>
      <c r="CV1272" s="197"/>
      <c r="CW1272" s="197"/>
      <c r="CX1272" s="959"/>
      <c r="CY1272" s="959"/>
      <c r="CZ1272" s="959"/>
      <c r="DA1272" s="959"/>
      <c r="DB1272" s="959"/>
      <c r="DC1272" s="891">
        <v>4363</v>
      </c>
      <c r="DD1272" s="891" t="s">
        <v>2582</v>
      </c>
      <c r="DE1272" s="891" t="s">
        <v>2807</v>
      </c>
      <c r="DF1272" s="891">
        <v>5</v>
      </c>
      <c r="DG1272" s="959"/>
      <c r="DH1272" s="959"/>
      <c r="ER1272" s="905">
        <v>4645</v>
      </c>
      <c r="ES1272" s="906" t="s">
        <v>3586</v>
      </c>
      <c r="ET1272" s="2686">
        <v>9</v>
      </c>
      <c r="EV1272" s="985"/>
      <c r="EW1272" s="985"/>
      <c r="EX1272" s="387"/>
      <c r="EY1272" s="939"/>
      <c r="EZ1272" s="886"/>
    </row>
    <row r="1273" spans="88:156">
      <c r="CJ1273" s="197"/>
      <c r="CK1273" s="197"/>
      <c r="CL1273" s="197"/>
      <c r="CM1273" s="213"/>
      <c r="CN1273" s="213"/>
      <c r="CO1273" s="197"/>
      <c r="CP1273" s="197"/>
      <c r="CQ1273" s="197"/>
      <c r="CR1273" s="197"/>
      <c r="CS1273" s="197"/>
      <c r="CT1273" s="197"/>
      <c r="CU1273" s="197"/>
      <c r="CV1273" s="197"/>
      <c r="CW1273" s="197"/>
      <c r="CX1273" s="959"/>
      <c r="CY1273" s="959"/>
      <c r="CZ1273" s="959"/>
      <c r="DA1273" s="959"/>
      <c r="DB1273" s="959"/>
      <c r="DC1273" s="891">
        <v>4371</v>
      </c>
      <c r="DD1273" s="891" t="s">
        <v>2583</v>
      </c>
      <c r="DE1273" s="891" t="s">
        <v>2807</v>
      </c>
      <c r="DF1273" s="891">
        <v>5</v>
      </c>
      <c r="DG1273" s="959"/>
      <c r="DH1273" s="959"/>
      <c r="ER1273" s="905">
        <v>4646</v>
      </c>
      <c r="ES1273" s="906" t="s">
        <v>3587</v>
      </c>
      <c r="ET1273" s="2686">
        <v>9</v>
      </c>
      <c r="EV1273" s="985"/>
      <c r="EW1273" s="985"/>
      <c r="EX1273" s="387"/>
      <c r="EY1273" s="939"/>
      <c r="EZ1273" s="886"/>
    </row>
    <row r="1274" spans="88:156">
      <c r="CJ1274" s="197"/>
      <c r="CK1274" s="197"/>
      <c r="CL1274" s="197"/>
      <c r="CM1274" s="213"/>
      <c r="CN1274" s="213"/>
      <c r="CO1274" s="197"/>
      <c r="CP1274" s="197"/>
      <c r="CQ1274" s="197"/>
      <c r="CR1274" s="197"/>
      <c r="CS1274" s="197"/>
      <c r="CT1274" s="197"/>
      <c r="CU1274" s="197"/>
      <c r="CV1274" s="197"/>
      <c r="CW1274" s="197"/>
      <c r="CX1274" s="959"/>
      <c r="CY1274" s="959"/>
      <c r="CZ1274" s="959"/>
      <c r="DA1274" s="959"/>
      <c r="DB1274" s="959"/>
      <c r="DC1274" s="891">
        <v>4372</v>
      </c>
      <c r="DD1274" s="891" t="s">
        <v>2584</v>
      </c>
      <c r="DE1274" s="891" t="s">
        <v>2807</v>
      </c>
      <c r="DF1274" s="891">
        <v>4</v>
      </c>
      <c r="DG1274" s="959"/>
      <c r="DH1274" s="959"/>
      <c r="ER1274" s="905">
        <v>4700</v>
      </c>
      <c r="ES1274" s="906" t="s">
        <v>3588</v>
      </c>
      <c r="ET1274" s="2686">
        <v>9</v>
      </c>
      <c r="EV1274" s="985"/>
      <c r="EW1274" s="985"/>
      <c r="EX1274" s="387"/>
      <c r="EY1274" s="939"/>
      <c r="EZ1274" s="886"/>
    </row>
    <row r="1275" spans="88:156">
      <c r="CJ1275" s="197"/>
      <c r="CK1275" s="197"/>
      <c r="CL1275" s="197"/>
      <c r="CM1275" s="213"/>
      <c r="CN1275" s="213"/>
      <c r="CO1275" s="197"/>
      <c r="CP1275" s="197"/>
      <c r="CQ1275" s="197"/>
      <c r="CR1275" s="197"/>
      <c r="CS1275" s="197"/>
      <c r="CT1275" s="197"/>
      <c r="CU1275" s="197"/>
      <c r="CV1275" s="197"/>
      <c r="CW1275" s="197"/>
      <c r="CX1275" s="959"/>
      <c r="CY1275" s="959"/>
      <c r="CZ1275" s="959"/>
      <c r="DA1275" s="959"/>
      <c r="DB1275" s="959"/>
      <c r="DC1275" s="891">
        <v>4373</v>
      </c>
      <c r="DD1275" s="891" t="s">
        <v>2585</v>
      </c>
      <c r="DE1275" s="891" t="s">
        <v>2807</v>
      </c>
      <c r="DF1275" s="891">
        <v>5</v>
      </c>
      <c r="DG1275" s="959"/>
      <c r="DH1275" s="959"/>
      <c r="ER1275" s="905">
        <v>4721</v>
      </c>
      <c r="ES1275" s="906" t="s">
        <v>3589</v>
      </c>
      <c r="ET1275" s="2686">
        <v>9</v>
      </c>
      <c r="EV1275" s="985"/>
      <c r="EW1275" s="985"/>
      <c r="EX1275" s="387"/>
      <c r="EY1275" s="939"/>
      <c r="EZ1275" s="886"/>
    </row>
    <row r="1276" spans="88:156">
      <c r="CJ1276" s="197"/>
      <c r="CK1276" s="197"/>
      <c r="CL1276" s="197"/>
      <c r="CM1276" s="213"/>
      <c r="CN1276" s="213"/>
      <c r="CO1276" s="197"/>
      <c r="CP1276" s="197"/>
      <c r="CQ1276" s="197"/>
      <c r="CR1276" s="197"/>
      <c r="CS1276" s="197"/>
      <c r="CT1276" s="197"/>
      <c r="CU1276" s="197"/>
      <c r="CV1276" s="197"/>
      <c r="CW1276" s="197"/>
      <c r="CX1276" s="959"/>
      <c r="CY1276" s="959"/>
      <c r="CZ1276" s="959"/>
      <c r="DA1276" s="959"/>
      <c r="DB1276" s="959"/>
      <c r="DC1276" s="891">
        <v>4374</v>
      </c>
      <c r="DD1276" s="891" t="s">
        <v>2586</v>
      </c>
      <c r="DE1276" s="891" t="s">
        <v>2807</v>
      </c>
      <c r="DF1276" s="891">
        <v>4</v>
      </c>
      <c r="DG1276" s="959"/>
      <c r="DH1276" s="959"/>
      <c r="ER1276" s="905">
        <v>4722</v>
      </c>
      <c r="ES1276" s="906" t="s">
        <v>3590</v>
      </c>
      <c r="ET1276" s="2686">
        <v>9</v>
      </c>
      <c r="EV1276" s="985"/>
      <c r="EW1276" s="985"/>
      <c r="EX1276" s="387"/>
      <c r="EY1276" s="939"/>
      <c r="EZ1276" s="886"/>
    </row>
    <row r="1277" spans="88:156">
      <c r="CJ1277" s="197"/>
      <c r="CK1277" s="197"/>
      <c r="CL1277" s="197"/>
      <c r="CM1277" s="213"/>
      <c r="CN1277" s="213"/>
      <c r="CO1277" s="197"/>
      <c r="CP1277" s="197"/>
      <c r="CQ1277" s="197"/>
      <c r="CR1277" s="197"/>
      <c r="CS1277" s="197"/>
      <c r="CT1277" s="197"/>
      <c r="CU1277" s="197"/>
      <c r="CV1277" s="197"/>
      <c r="CW1277" s="197"/>
      <c r="CX1277" s="959"/>
      <c r="CY1277" s="959"/>
      <c r="CZ1277" s="959"/>
      <c r="DA1277" s="959"/>
      <c r="DB1277" s="959"/>
      <c r="DC1277" s="891">
        <v>4375</v>
      </c>
      <c r="DD1277" s="891" t="s">
        <v>2587</v>
      </c>
      <c r="DE1277" s="891" t="s">
        <v>2807</v>
      </c>
      <c r="DF1277" s="891">
        <v>4</v>
      </c>
      <c r="DG1277" s="959"/>
      <c r="DH1277" s="959"/>
      <c r="ER1277" s="905">
        <v>4731</v>
      </c>
      <c r="ES1277" s="906" t="s">
        <v>3591</v>
      </c>
      <c r="ET1277" s="2686">
        <v>9</v>
      </c>
      <c r="EV1277" s="985"/>
      <c r="EW1277" s="985"/>
      <c r="EX1277" s="387"/>
      <c r="EY1277" s="939"/>
      <c r="EZ1277" s="886"/>
    </row>
    <row r="1278" spans="88:156">
      <c r="CJ1278" s="197"/>
      <c r="CK1278" s="197"/>
      <c r="CL1278" s="197"/>
      <c r="CM1278" s="213"/>
      <c r="CN1278" s="213"/>
      <c r="CO1278" s="197"/>
      <c r="CP1278" s="197"/>
      <c r="CQ1278" s="197"/>
      <c r="CR1278" s="197"/>
      <c r="CS1278" s="197"/>
      <c r="CT1278" s="197"/>
      <c r="CU1278" s="197"/>
      <c r="CV1278" s="197"/>
      <c r="CW1278" s="197"/>
      <c r="CX1278" s="959"/>
      <c r="CY1278" s="959"/>
      <c r="CZ1278" s="959"/>
      <c r="DA1278" s="959"/>
      <c r="DB1278" s="959"/>
      <c r="DC1278" s="891">
        <v>4376</v>
      </c>
      <c r="DD1278" s="891" t="s">
        <v>2588</v>
      </c>
      <c r="DE1278" s="891" t="s">
        <v>406</v>
      </c>
      <c r="DF1278" s="891">
        <v>2</v>
      </c>
      <c r="DG1278" s="959"/>
      <c r="DH1278" s="959"/>
      <c r="ER1278" s="905">
        <v>4732</v>
      </c>
      <c r="ES1278" s="906" t="s">
        <v>3592</v>
      </c>
      <c r="ET1278" s="2686">
        <v>9</v>
      </c>
      <c r="EV1278" s="985"/>
      <c r="EW1278" s="985"/>
      <c r="EX1278" s="387"/>
      <c r="EY1278" s="939"/>
      <c r="EZ1278" s="886"/>
    </row>
    <row r="1279" spans="88:156">
      <c r="CJ1279" s="197"/>
      <c r="CK1279" s="197"/>
      <c r="CL1279" s="197"/>
      <c r="CM1279" s="213"/>
      <c r="CN1279" s="213"/>
      <c r="CO1279" s="197"/>
      <c r="CP1279" s="197"/>
      <c r="CQ1279" s="197"/>
      <c r="CR1279" s="197"/>
      <c r="CS1279" s="197"/>
      <c r="CT1279" s="197"/>
      <c r="CU1279" s="197"/>
      <c r="CV1279" s="197"/>
      <c r="CW1279" s="197"/>
      <c r="CX1279" s="959"/>
      <c r="CY1279" s="959"/>
      <c r="CZ1279" s="959"/>
      <c r="DA1279" s="959"/>
      <c r="DB1279" s="959"/>
      <c r="DC1279" s="891">
        <v>4400</v>
      </c>
      <c r="DD1279" s="891" t="s">
        <v>2589</v>
      </c>
      <c r="DE1279" s="891" t="s">
        <v>406</v>
      </c>
      <c r="DF1279" s="891">
        <v>4</v>
      </c>
      <c r="DG1279" s="959"/>
      <c r="DH1279" s="959"/>
      <c r="ER1279" s="905">
        <v>4733</v>
      </c>
      <c r="ES1279" s="906" t="s">
        <v>3593</v>
      </c>
      <c r="ET1279" s="2686">
        <v>9</v>
      </c>
      <c r="EV1279" s="985"/>
      <c r="EW1279" s="985"/>
      <c r="EX1279" s="387"/>
      <c r="EY1279" s="939"/>
      <c r="EZ1279" s="886"/>
    </row>
    <row r="1280" spans="88:156">
      <c r="CJ1280" s="197"/>
      <c r="CK1280" s="197"/>
      <c r="CL1280" s="197"/>
      <c r="CM1280" s="213"/>
      <c r="CN1280" s="213"/>
      <c r="CO1280" s="197"/>
      <c r="CP1280" s="197"/>
      <c r="CQ1280" s="197"/>
      <c r="CR1280" s="197"/>
      <c r="CS1280" s="197"/>
      <c r="CT1280" s="197"/>
      <c r="CU1280" s="197"/>
      <c r="CV1280" s="197"/>
      <c r="CW1280" s="197"/>
      <c r="CX1280" s="959"/>
      <c r="CY1280" s="959"/>
      <c r="CZ1280" s="959"/>
      <c r="DA1280" s="959"/>
      <c r="DB1280" s="959"/>
      <c r="DC1280" s="891">
        <v>4405</v>
      </c>
      <c r="DD1280" s="891" t="s">
        <v>2590</v>
      </c>
      <c r="DE1280" s="891" t="s">
        <v>423</v>
      </c>
      <c r="DF1280" s="891">
        <v>4</v>
      </c>
      <c r="DG1280" s="959"/>
      <c r="DH1280" s="959"/>
      <c r="ER1280" s="905">
        <v>4734</v>
      </c>
      <c r="ES1280" s="906" t="s">
        <v>3594</v>
      </c>
      <c r="ET1280" s="2686">
        <v>9</v>
      </c>
      <c r="EV1280" s="985"/>
      <c r="EW1280" s="985"/>
      <c r="EX1280" s="387"/>
      <c r="EY1280" s="939"/>
      <c r="EZ1280" s="886"/>
    </row>
    <row r="1281" spans="88:156">
      <c r="CJ1281" s="197"/>
      <c r="CK1281" s="197"/>
      <c r="CL1281" s="197"/>
      <c r="CM1281" s="213"/>
      <c r="CN1281" s="213"/>
      <c r="CO1281" s="197"/>
      <c r="CP1281" s="197"/>
      <c r="CQ1281" s="197"/>
      <c r="CR1281" s="197"/>
      <c r="CS1281" s="197"/>
      <c r="CT1281" s="197"/>
      <c r="CU1281" s="197"/>
      <c r="CV1281" s="197"/>
      <c r="CW1281" s="197"/>
      <c r="CX1281" s="959"/>
      <c r="CY1281" s="959"/>
      <c r="CZ1281" s="959"/>
      <c r="DA1281" s="959"/>
      <c r="DB1281" s="959"/>
      <c r="DC1281" s="891">
        <v>4412</v>
      </c>
      <c r="DD1281" s="891" t="s">
        <v>2591</v>
      </c>
      <c r="DE1281" s="891" t="s">
        <v>412</v>
      </c>
      <c r="DF1281" s="891">
        <v>4</v>
      </c>
      <c r="DG1281" s="959"/>
      <c r="DH1281" s="959"/>
      <c r="ER1281" s="905">
        <v>4735</v>
      </c>
      <c r="ES1281" s="906" t="s">
        <v>837</v>
      </c>
      <c r="ET1281" s="2686">
        <v>9</v>
      </c>
      <c r="EV1281" s="985"/>
      <c r="EW1281" s="985"/>
      <c r="EX1281" s="387"/>
      <c r="EY1281" s="939"/>
      <c r="EZ1281" s="886"/>
    </row>
    <row r="1282" spans="88:156">
      <c r="CJ1282" s="197"/>
      <c r="CK1282" s="197"/>
      <c r="CL1282" s="197"/>
      <c r="CM1282" s="213"/>
      <c r="CN1282" s="213"/>
      <c r="CO1282" s="197"/>
      <c r="CP1282" s="197"/>
      <c r="CQ1282" s="197"/>
      <c r="CR1282" s="197"/>
      <c r="CS1282" s="197"/>
      <c r="CT1282" s="197"/>
      <c r="CU1282" s="197"/>
      <c r="CV1282" s="197"/>
      <c r="CW1282" s="197"/>
      <c r="CX1282" s="959"/>
      <c r="CY1282" s="959"/>
      <c r="CZ1282" s="959"/>
      <c r="DA1282" s="959"/>
      <c r="DB1282" s="959"/>
      <c r="DC1282" s="891">
        <v>4413</v>
      </c>
      <c r="DD1282" s="891" t="s">
        <v>2589</v>
      </c>
      <c r="DE1282" s="891" t="s">
        <v>412</v>
      </c>
      <c r="DF1282" s="891">
        <v>5</v>
      </c>
      <c r="DG1282" s="959"/>
      <c r="DH1282" s="959"/>
      <c r="ER1282" s="905">
        <v>4735</v>
      </c>
      <c r="ES1282" s="906" t="s">
        <v>3595</v>
      </c>
      <c r="ET1282" s="2686">
        <v>9</v>
      </c>
      <c r="EV1282" s="985"/>
      <c r="EW1282" s="985"/>
      <c r="EX1282" s="387"/>
      <c r="EY1282" s="939"/>
      <c r="EZ1282" s="886"/>
    </row>
    <row r="1283" spans="88:156">
      <c r="CJ1283" s="197"/>
      <c r="CK1283" s="197"/>
      <c r="CL1283" s="197"/>
      <c r="CM1283" s="213"/>
      <c r="CN1283" s="213"/>
      <c r="CO1283" s="197"/>
      <c r="CP1283" s="197"/>
      <c r="CQ1283" s="197"/>
      <c r="CR1283" s="197"/>
      <c r="CS1283" s="197"/>
      <c r="CT1283" s="197"/>
      <c r="CU1283" s="197"/>
      <c r="CV1283" s="197"/>
      <c r="CW1283" s="197"/>
      <c r="CX1283" s="959"/>
      <c r="CY1283" s="959"/>
      <c r="CZ1283" s="959"/>
      <c r="DA1283" s="959"/>
      <c r="DB1283" s="959"/>
      <c r="DC1283" s="891">
        <v>4431</v>
      </c>
      <c r="DD1283" s="891" t="s">
        <v>2592</v>
      </c>
      <c r="DE1283" s="891" t="s">
        <v>412</v>
      </c>
      <c r="DF1283" s="891">
        <v>5</v>
      </c>
      <c r="DG1283" s="959"/>
      <c r="DH1283" s="959"/>
      <c r="ER1283" s="905">
        <v>4737</v>
      </c>
      <c r="ES1283" s="906" t="s">
        <v>838</v>
      </c>
      <c r="ET1283" s="2686">
        <v>9</v>
      </c>
      <c r="EV1283" s="985"/>
      <c r="EW1283" s="985"/>
      <c r="EX1283" s="387"/>
      <c r="EY1283" s="939"/>
      <c r="EZ1283" s="886"/>
    </row>
    <row r="1284" spans="88:156">
      <c r="CJ1284" s="197"/>
      <c r="CK1284" s="197"/>
      <c r="CL1284" s="197"/>
      <c r="CM1284" s="213"/>
      <c r="CN1284" s="213"/>
      <c r="CO1284" s="197"/>
      <c r="CP1284" s="197"/>
      <c r="CQ1284" s="197"/>
      <c r="CR1284" s="197"/>
      <c r="CS1284" s="197"/>
      <c r="CT1284" s="197"/>
      <c r="CU1284" s="197"/>
      <c r="CV1284" s="197"/>
      <c r="CW1284" s="197"/>
      <c r="CX1284" s="959"/>
      <c r="CY1284" s="959"/>
      <c r="CZ1284" s="959"/>
      <c r="DA1284" s="959"/>
      <c r="DB1284" s="959"/>
      <c r="DC1284" s="891">
        <v>4432</v>
      </c>
      <c r="DD1284" s="891" t="s">
        <v>2589</v>
      </c>
      <c r="DE1284" s="891" t="s">
        <v>417</v>
      </c>
      <c r="DF1284" s="891">
        <v>4</v>
      </c>
      <c r="DG1284" s="959"/>
      <c r="DH1284" s="959"/>
      <c r="ER1284" s="905">
        <v>4737</v>
      </c>
      <c r="ES1284" s="906" t="s">
        <v>3596</v>
      </c>
      <c r="ET1284" s="2686">
        <v>9</v>
      </c>
      <c r="EV1284" s="985"/>
      <c r="EW1284" s="985"/>
      <c r="EX1284" s="387"/>
      <c r="EY1284" s="939"/>
      <c r="EZ1284" s="886"/>
    </row>
    <row r="1285" spans="88:156">
      <c r="CJ1285" s="197"/>
      <c r="CK1285" s="197"/>
      <c r="CL1285" s="197"/>
      <c r="CM1285" s="213"/>
      <c r="CN1285" s="213"/>
      <c r="CO1285" s="197"/>
      <c r="CP1285" s="197"/>
      <c r="CQ1285" s="197"/>
      <c r="CR1285" s="197"/>
      <c r="CS1285" s="197"/>
      <c r="CT1285" s="197"/>
      <c r="CU1285" s="197"/>
      <c r="CV1285" s="197"/>
      <c r="CW1285" s="197"/>
      <c r="CX1285" s="959"/>
      <c r="CY1285" s="959"/>
      <c r="CZ1285" s="959"/>
      <c r="DA1285" s="959"/>
      <c r="DB1285" s="959"/>
      <c r="DC1285" s="891">
        <v>4433</v>
      </c>
      <c r="DD1285" s="891" t="s">
        <v>2589</v>
      </c>
      <c r="DE1285" s="891" t="s">
        <v>434</v>
      </c>
      <c r="DF1285" s="891">
        <v>5</v>
      </c>
      <c r="DG1285" s="959"/>
      <c r="DH1285" s="959"/>
      <c r="ER1285" s="905">
        <v>4741</v>
      </c>
      <c r="ES1285" s="906" t="s">
        <v>3597</v>
      </c>
      <c r="ET1285" s="2686">
        <v>9</v>
      </c>
      <c r="EV1285" s="985"/>
      <c r="EW1285" s="985"/>
      <c r="EX1285" s="387"/>
      <c r="EY1285" s="939"/>
      <c r="EZ1285" s="886"/>
    </row>
    <row r="1286" spans="88:156">
      <c r="CJ1286" s="197"/>
      <c r="CK1286" s="197"/>
      <c r="CL1286" s="197"/>
      <c r="CM1286" s="213"/>
      <c r="CN1286" s="213"/>
      <c r="CO1286" s="197"/>
      <c r="CP1286" s="197"/>
      <c r="CQ1286" s="197"/>
      <c r="CR1286" s="197"/>
      <c r="CS1286" s="197"/>
      <c r="CT1286" s="197"/>
      <c r="CU1286" s="197"/>
      <c r="CV1286" s="197"/>
      <c r="CW1286" s="197"/>
      <c r="CX1286" s="959"/>
      <c r="CY1286" s="959"/>
      <c r="CZ1286" s="959"/>
      <c r="DA1286" s="959"/>
      <c r="DB1286" s="959"/>
      <c r="DC1286" s="891">
        <v>4434</v>
      </c>
      <c r="DD1286" s="891" t="s">
        <v>2593</v>
      </c>
      <c r="DE1286" s="891" t="s">
        <v>406</v>
      </c>
      <c r="DF1286" s="891">
        <v>5</v>
      </c>
      <c r="DG1286" s="959"/>
      <c r="DH1286" s="959"/>
      <c r="ER1286" s="905">
        <v>4742</v>
      </c>
      <c r="ES1286" s="906" t="s">
        <v>3598</v>
      </c>
      <c r="ET1286" s="2686">
        <v>9</v>
      </c>
      <c r="EV1286" s="985"/>
      <c r="EW1286" s="985"/>
      <c r="EX1286" s="387"/>
      <c r="EY1286" s="939"/>
      <c r="EZ1286" s="886"/>
    </row>
    <row r="1287" spans="88:156">
      <c r="CJ1287" s="197"/>
      <c r="CK1287" s="197"/>
      <c r="CL1287" s="197"/>
      <c r="CM1287" s="213"/>
      <c r="CN1287" s="213"/>
      <c r="CO1287" s="197"/>
      <c r="CP1287" s="197"/>
      <c r="CQ1287" s="197"/>
      <c r="CR1287" s="197"/>
      <c r="CS1287" s="197"/>
      <c r="CT1287" s="197"/>
      <c r="CU1287" s="197"/>
      <c r="CV1287" s="197"/>
      <c r="CW1287" s="197"/>
      <c r="CX1287" s="959"/>
      <c r="CY1287" s="959"/>
      <c r="CZ1287" s="959"/>
      <c r="DA1287" s="959"/>
      <c r="DB1287" s="959"/>
      <c r="DC1287" s="891">
        <v>4435</v>
      </c>
      <c r="DD1287" s="891" t="s">
        <v>2589</v>
      </c>
      <c r="DE1287" s="891" t="s">
        <v>406</v>
      </c>
      <c r="DF1287" s="891">
        <v>5</v>
      </c>
      <c r="DG1287" s="959"/>
      <c r="DH1287" s="959"/>
      <c r="ER1287" s="905">
        <v>4743</v>
      </c>
      <c r="ES1287" s="906" t="s">
        <v>3599</v>
      </c>
      <c r="ET1287" s="2686">
        <v>9</v>
      </c>
      <c r="EV1287" s="985"/>
      <c r="EW1287" s="985"/>
      <c r="EX1287" s="387"/>
      <c r="EY1287" s="939"/>
      <c r="EZ1287" s="886"/>
    </row>
    <row r="1288" spans="88:156">
      <c r="CJ1288" s="197"/>
      <c r="CK1288" s="197"/>
      <c r="CL1288" s="197"/>
      <c r="CM1288" s="213"/>
      <c r="CN1288" s="213"/>
      <c r="CO1288" s="197"/>
      <c r="CP1288" s="197"/>
      <c r="CQ1288" s="197"/>
      <c r="CR1288" s="197"/>
      <c r="CS1288" s="197"/>
      <c r="CT1288" s="197"/>
      <c r="CU1288" s="197"/>
      <c r="CV1288" s="197"/>
      <c r="CW1288" s="197"/>
      <c r="CX1288" s="959"/>
      <c r="CY1288" s="959"/>
      <c r="CZ1288" s="959"/>
      <c r="DA1288" s="959"/>
      <c r="DB1288" s="959"/>
      <c r="DC1288" s="891">
        <v>4440</v>
      </c>
      <c r="DD1288" s="891" t="s">
        <v>2594</v>
      </c>
      <c r="DE1288" s="891" t="s">
        <v>423</v>
      </c>
      <c r="DF1288" s="891">
        <v>6</v>
      </c>
      <c r="DG1288" s="959"/>
      <c r="DH1288" s="959"/>
      <c r="ER1288" s="905">
        <v>4745</v>
      </c>
      <c r="ES1288" s="906" t="s">
        <v>3600</v>
      </c>
      <c r="ET1288" s="2686">
        <v>9</v>
      </c>
      <c r="EV1288" s="985"/>
      <c r="EW1288" s="985"/>
      <c r="EX1288" s="387"/>
      <c r="EY1288" s="939"/>
      <c r="EZ1288" s="886"/>
    </row>
    <row r="1289" spans="88:156">
      <c r="CJ1289" s="197"/>
      <c r="CK1289" s="197"/>
      <c r="CL1289" s="197"/>
      <c r="CM1289" s="213"/>
      <c r="CN1289" s="213"/>
      <c r="CO1289" s="197"/>
      <c r="CP1289" s="197"/>
      <c r="CQ1289" s="197"/>
      <c r="CR1289" s="197"/>
      <c r="CS1289" s="197"/>
      <c r="CT1289" s="197"/>
      <c r="CU1289" s="197"/>
      <c r="CV1289" s="197"/>
      <c r="CW1289" s="197"/>
      <c r="CX1289" s="959"/>
      <c r="CY1289" s="959"/>
      <c r="CZ1289" s="959"/>
      <c r="DA1289" s="959"/>
      <c r="DB1289" s="959"/>
      <c r="DC1289" s="891">
        <v>4441</v>
      </c>
      <c r="DD1289" s="891" t="s">
        <v>2595</v>
      </c>
      <c r="DE1289" s="891" t="s">
        <v>432</v>
      </c>
      <c r="DF1289" s="891">
        <v>6</v>
      </c>
      <c r="DG1289" s="959"/>
      <c r="DH1289" s="959"/>
      <c r="ER1289" s="905">
        <v>4746</v>
      </c>
      <c r="ES1289" s="906" t="s">
        <v>3601</v>
      </c>
      <c r="ET1289" s="2686">
        <v>9</v>
      </c>
      <c r="EV1289" s="985"/>
      <c r="EW1289" s="985"/>
      <c r="EX1289" s="387"/>
      <c r="EY1289" s="939"/>
      <c r="EZ1289" s="886"/>
    </row>
    <row r="1290" spans="88:156">
      <c r="CJ1290" s="197"/>
      <c r="CK1290" s="197"/>
      <c r="CL1290" s="197"/>
      <c r="CM1290" s="213"/>
      <c r="CN1290" s="213"/>
      <c r="CO1290" s="197"/>
      <c r="CP1290" s="197"/>
      <c r="CQ1290" s="197"/>
      <c r="CR1290" s="197"/>
      <c r="CS1290" s="197"/>
      <c r="CT1290" s="197"/>
      <c r="CU1290" s="197"/>
      <c r="CV1290" s="197"/>
      <c r="CW1290" s="197"/>
      <c r="CX1290" s="959"/>
      <c r="CY1290" s="959"/>
      <c r="CZ1290" s="959"/>
      <c r="DA1290" s="959"/>
      <c r="DB1290" s="959"/>
      <c r="DC1290" s="891">
        <v>4445</v>
      </c>
      <c r="DD1290" s="891" t="s">
        <v>2596</v>
      </c>
      <c r="DE1290" s="891" t="s">
        <v>435</v>
      </c>
      <c r="DF1290" s="891">
        <v>5</v>
      </c>
      <c r="DG1290" s="959"/>
      <c r="DH1290" s="959"/>
      <c r="ER1290" s="905">
        <v>4751</v>
      </c>
      <c r="ES1290" s="906" t="s">
        <v>3602</v>
      </c>
      <c r="ET1290" s="2686">
        <v>9</v>
      </c>
      <c r="EV1290" s="985"/>
      <c r="EW1290" s="985"/>
      <c r="EX1290" s="387"/>
      <c r="EY1290" s="939"/>
      <c r="EZ1290" s="886"/>
    </row>
    <row r="1291" spans="88:156">
      <c r="CJ1291" s="197"/>
      <c r="CK1291" s="197"/>
      <c r="CL1291" s="197"/>
      <c r="CM1291" s="213"/>
      <c r="CN1291" s="213"/>
      <c r="CO1291" s="197"/>
      <c r="CP1291" s="197"/>
      <c r="CQ1291" s="197"/>
      <c r="CR1291" s="197"/>
      <c r="CS1291" s="197"/>
      <c r="CT1291" s="197"/>
      <c r="CU1291" s="197"/>
      <c r="CV1291" s="197"/>
      <c r="CW1291" s="197"/>
      <c r="CX1291" s="959"/>
      <c r="CY1291" s="959"/>
      <c r="CZ1291" s="959"/>
      <c r="DA1291" s="959"/>
      <c r="DB1291" s="959"/>
      <c r="DC1291" s="891">
        <v>4446</v>
      </c>
      <c r="DD1291" s="891" t="s">
        <v>2597</v>
      </c>
      <c r="DE1291" s="891" t="s">
        <v>428</v>
      </c>
      <c r="DF1291" s="891">
        <v>5</v>
      </c>
      <c r="DG1291" s="959"/>
      <c r="DH1291" s="959"/>
      <c r="ER1291" s="905">
        <v>4752</v>
      </c>
      <c r="ES1291" s="906" t="s">
        <v>3603</v>
      </c>
      <c r="ET1291" s="2686">
        <v>9</v>
      </c>
      <c r="EV1291" s="985"/>
      <c r="EW1291" s="985"/>
      <c r="EX1291" s="387"/>
      <c r="EY1291" s="939"/>
      <c r="EZ1291" s="886"/>
    </row>
    <row r="1292" spans="88:156">
      <c r="CJ1292" s="197"/>
      <c r="CK1292" s="197"/>
      <c r="CL1292" s="197"/>
      <c r="CM1292" s="213"/>
      <c r="CN1292" s="213"/>
      <c r="CO1292" s="197"/>
      <c r="CP1292" s="197"/>
      <c r="CQ1292" s="197"/>
      <c r="CR1292" s="197"/>
      <c r="CS1292" s="197"/>
      <c r="CT1292" s="197"/>
      <c r="CU1292" s="197"/>
      <c r="CV1292" s="197"/>
      <c r="CW1292" s="197"/>
      <c r="CX1292" s="959"/>
      <c r="CY1292" s="959"/>
      <c r="CZ1292" s="959"/>
      <c r="DA1292" s="959"/>
      <c r="DB1292" s="959"/>
      <c r="DC1292" s="891">
        <v>4447</v>
      </c>
      <c r="DD1292" s="891" t="s">
        <v>2598</v>
      </c>
      <c r="DE1292" s="891" t="s">
        <v>432</v>
      </c>
      <c r="DF1292" s="891">
        <v>6</v>
      </c>
      <c r="DG1292" s="959"/>
      <c r="DH1292" s="959"/>
      <c r="ER1292" s="905">
        <v>4754</v>
      </c>
      <c r="ES1292" s="906" t="s">
        <v>3604</v>
      </c>
      <c r="ET1292" s="2686">
        <v>9</v>
      </c>
      <c r="EV1292" s="985"/>
      <c r="EW1292" s="985"/>
      <c r="EX1292" s="387"/>
      <c r="EY1292" s="939"/>
      <c r="EZ1292" s="886"/>
    </row>
    <row r="1293" spans="88:156">
      <c r="CJ1293" s="197"/>
      <c r="CK1293" s="197"/>
      <c r="CL1293" s="197"/>
      <c r="CM1293" s="213"/>
      <c r="CN1293" s="213"/>
      <c r="CO1293" s="197"/>
      <c r="CP1293" s="197"/>
      <c r="CQ1293" s="197"/>
      <c r="CR1293" s="197"/>
      <c r="CS1293" s="197"/>
      <c r="CT1293" s="197"/>
      <c r="CU1293" s="197"/>
      <c r="CV1293" s="197"/>
      <c r="CW1293" s="197"/>
      <c r="CX1293" s="959"/>
      <c r="CY1293" s="959"/>
      <c r="CZ1293" s="959"/>
      <c r="DA1293" s="959"/>
      <c r="DB1293" s="959"/>
      <c r="DC1293" s="891">
        <v>4450</v>
      </c>
      <c r="DD1293" s="891" t="s">
        <v>2599</v>
      </c>
      <c r="DE1293" s="891" t="s">
        <v>2807</v>
      </c>
      <c r="DF1293" s="891">
        <v>6</v>
      </c>
      <c r="DG1293" s="959"/>
      <c r="DH1293" s="959"/>
      <c r="ER1293" s="905">
        <v>4754</v>
      </c>
      <c r="ES1293" s="906" t="s">
        <v>3605</v>
      </c>
      <c r="ET1293" s="2686">
        <v>9</v>
      </c>
      <c r="EV1293" s="985"/>
      <c r="EW1293" s="985"/>
      <c r="EX1293" s="387"/>
      <c r="EY1293" s="939"/>
      <c r="EZ1293" s="886"/>
    </row>
    <row r="1294" spans="88:156">
      <c r="CJ1294" s="197"/>
      <c r="CK1294" s="197"/>
      <c r="CL1294" s="197"/>
      <c r="CM1294" s="213"/>
      <c r="CN1294" s="213"/>
      <c r="CO1294" s="197"/>
      <c r="CP1294" s="197"/>
      <c r="CQ1294" s="197"/>
      <c r="CR1294" s="197"/>
      <c r="CS1294" s="197"/>
      <c r="CT1294" s="197"/>
      <c r="CU1294" s="197"/>
      <c r="CV1294" s="197"/>
      <c r="CW1294" s="197"/>
      <c r="CX1294" s="959"/>
      <c r="CY1294" s="959"/>
      <c r="CZ1294" s="959"/>
      <c r="DA1294" s="959"/>
      <c r="DB1294" s="959"/>
      <c r="DC1294" s="891">
        <v>4455</v>
      </c>
      <c r="DD1294" s="891" t="s">
        <v>2600</v>
      </c>
      <c r="DE1294" s="891" t="s">
        <v>417</v>
      </c>
      <c r="DF1294" s="891">
        <v>6</v>
      </c>
      <c r="DG1294" s="959"/>
      <c r="DH1294" s="959"/>
      <c r="ER1294" s="905">
        <v>4755</v>
      </c>
      <c r="ES1294" s="906" t="s">
        <v>3606</v>
      </c>
      <c r="ET1294" s="2686">
        <v>9</v>
      </c>
      <c r="EV1294" s="985"/>
      <c r="EW1294" s="985"/>
      <c r="EX1294" s="387"/>
      <c r="EY1294" s="939"/>
      <c r="EZ1294" s="886"/>
    </row>
    <row r="1295" spans="88:156">
      <c r="CJ1295" s="197"/>
      <c r="CK1295" s="197"/>
      <c r="CL1295" s="197"/>
      <c r="CM1295" s="213"/>
      <c r="CN1295" s="213"/>
      <c r="CO1295" s="197"/>
      <c r="CP1295" s="197"/>
      <c r="CQ1295" s="197"/>
      <c r="CR1295" s="197"/>
      <c r="CS1295" s="197"/>
      <c r="CT1295" s="197"/>
      <c r="CU1295" s="197"/>
      <c r="CV1295" s="197"/>
      <c r="CW1295" s="197"/>
      <c r="CX1295" s="959"/>
      <c r="CY1295" s="959"/>
      <c r="CZ1295" s="959"/>
      <c r="DA1295" s="959"/>
      <c r="DB1295" s="959"/>
      <c r="DC1295" s="891">
        <v>4456</v>
      </c>
      <c r="DD1295" s="891" t="s">
        <v>2601</v>
      </c>
      <c r="DE1295" s="891" t="s">
        <v>421</v>
      </c>
      <c r="DF1295" s="891">
        <v>6</v>
      </c>
      <c r="DG1295" s="959"/>
      <c r="DH1295" s="959"/>
      <c r="ER1295" s="905">
        <v>4756</v>
      </c>
      <c r="ES1295" s="906" t="s">
        <v>3607</v>
      </c>
      <c r="ET1295" s="2686">
        <v>9</v>
      </c>
      <c r="EV1295" s="985"/>
      <c r="EW1295" s="985"/>
      <c r="EX1295" s="387"/>
      <c r="EY1295" s="939"/>
      <c r="EZ1295" s="886"/>
    </row>
    <row r="1296" spans="88:156">
      <c r="CJ1296" s="197"/>
      <c r="CK1296" s="197"/>
      <c r="CL1296" s="197"/>
      <c r="CM1296" s="213"/>
      <c r="CN1296" s="213"/>
      <c r="CO1296" s="197"/>
      <c r="CP1296" s="197"/>
      <c r="CQ1296" s="197"/>
      <c r="CR1296" s="197"/>
      <c r="CS1296" s="197"/>
      <c r="CT1296" s="197"/>
      <c r="CU1296" s="197"/>
      <c r="CV1296" s="197"/>
      <c r="CW1296" s="197"/>
      <c r="CX1296" s="959"/>
      <c r="CY1296" s="959"/>
      <c r="CZ1296" s="959"/>
      <c r="DA1296" s="959"/>
      <c r="DB1296" s="959"/>
      <c r="DC1296" s="891">
        <v>4461</v>
      </c>
      <c r="DD1296" s="891" t="s">
        <v>2602</v>
      </c>
      <c r="DE1296" s="891" t="s">
        <v>417</v>
      </c>
      <c r="DF1296" s="891">
        <v>5</v>
      </c>
      <c r="DG1296" s="959"/>
      <c r="DH1296" s="959"/>
      <c r="ER1296" s="905">
        <v>4761</v>
      </c>
      <c r="ES1296" s="906" t="s">
        <v>3608</v>
      </c>
      <c r="ET1296" s="2686">
        <v>9</v>
      </c>
      <c r="EV1296" s="985"/>
      <c r="EW1296" s="985"/>
      <c r="EX1296" s="387"/>
      <c r="EY1296" s="939"/>
      <c r="EZ1296" s="886"/>
    </row>
    <row r="1297" spans="88:156">
      <c r="CJ1297" s="197"/>
      <c r="CK1297" s="197"/>
      <c r="CL1297" s="197"/>
      <c r="CM1297" s="213"/>
      <c r="CN1297" s="213"/>
      <c r="CO1297" s="197"/>
      <c r="CP1297" s="197"/>
      <c r="CQ1297" s="197"/>
      <c r="CR1297" s="197"/>
      <c r="CS1297" s="197"/>
      <c r="CT1297" s="197"/>
      <c r="CU1297" s="197"/>
      <c r="CV1297" s="197"/>
      <c r="CW1297" s="197"/>
      <c r="CX1297" s="959"/>
      <c r="CY1297" s="959"/>
      <c r="CZ1297" s="959"/>
      <c r="DA1297" s="959"/>
      <c r="DB1297" s="959"/>
      <c r="DC1297" s="891">
        <v>4463</v>
      </c>
      <c r="DD1297" s="891" t="s">
        <v>2603</v>
      </c>
      <c r="DE1297" s="891" t="s">
        <v>423</v>
      </c>
      <c r="DF1297" s="891">
        <v>5</v>
      </c>
      <c r="DG1297" s="959"/>
      <c r="DH1297" s="959"/>
      <c r="ER1297" s="905">
        <v>4762</v>
      </c>
      <c r="ES1297" s="906" t="s">
        <v>3609</v>
      </c>
      <c r="ET1297" s="2686">
        <v>9</v>
      </c>
      <c r="EV1297" s="985"/>
      <c r="EW1297" s="985"/>
      <c r="EX1297" s="387"/>
      <c r="EY1297" s="939"/>
      <c r="EZ1297" s="886"/>
    </row>
    <row r="1298" spans="88:156">
      <c r="CJ1298" s="197"/>
      <c r="CK1298" s="197"/>
      <c r="CL1298" s="197"/>
      <c r="CM1298" s="213"/>
      <c r="CN1298" s="213"/>
      <c r="CO1298" s="197"/>
      <c r="CP1298" s="197"/>
      <c r="CQ1298" s="197"/>
      <c r="CR1298" s="197"/>
      <c r="CS1298" s="197"/>
      <c r="CT1298" s="197"/>
      <c r="CU1298" s="197"/>
      <c r="CV1298" s="197"/>
      <c r="CW1298" s="197"/>
      <c r="CX1298" s="959"/>
      <c r="CY1298" s="959"/>
      <c r="CZ1298" s="959"/>
      <c r="DA1298" s="959"/>
      <c r="DB1298" s="959"/>
      <c r="DC1298" s="891">
        <v>4464</v>
      </c>
      <c r="DD1298" s="891" t="s">
        <v>4232</v>
      </c>
      <c r="DE1298" s="891" t="s">
        <v>423</v>
      </c>
      <c r="DF1298" s="891">
        <v>6</v>
      </c>
      <c r="DG1298" s="959"/>
      <c r="DH1298" s="959"/>
      <c r="ER1298" s="905">
        <v>4763</v>
      </c>
      <c r="ES1298" s="906" t="s">
        <v>3610</v>
      </c>
      <c r="ET1298" s="2686">
        <v>9</v>
      </c>
      <c r="EV1298" s="985"/>
      <c r="EW1298" s="985"/>
      <c r="EX1298" s="387"/>
      <c r="EY1298" s="939"/>
      <c r="EZ1298" s="886"/>
    </row>
    <row r="1299" spans="88:156">
      <c r="CJ1299" s="197"/>
      <c r="CK1299" s="197"/>
      <c r="CL1299" s="197"/>
      <c r="CM1299" s="213"/>
      <c r="CN1299" s="213"/>
      <c r="CO1299" s="197"/>
      <c r="CP1299" s="197"/>
      <c r="CQ1299" s="197"/>
      <c r="CR1299" s="197"/>
      <c r="CS1299" s="197"/>
      <c r="CT1299" s="197"/>
      <c r="CU1299" s="197"/>
      <c r="CV1299" s="197"/>
      <c r="CW1299" s="197"/>
      <c r="CX1299" s="959"/>
      <c r="CY1299" s="959"/>
      <c r="CZ1299" s="959"/>
      <c r="DA1299" s="959"/>
      <c r="DB1299" s="959"/>
      <c r="DC1299" s="891">
        <v>4465</v>
      </c>
      <c r="DD1299" s="891" t="s">
        <v>4233</v>
      </c>
      <c r="DE1299" s="891" t="s">
        <v>432</v>
      </c>
      <c r="DF1299" s="891">
        <v>5</v>
      </c>
      <c r="DG1299" s="959"/>
      <c r="DH1299" s="959"/>
      <c r="ER1299" s="905">
        <v>4764</v>
      </c>
      <c r="ES1299" s="906" t="s">
        <v>3611</v>
      </c>
      <c r="ET1299" s="2686">
        <v>9</v>
      </c>
      <c r="EV1299" s="985"/>
      <c r="EW1299" s="985"/>
      <c r="EX1299" s="387"/>
      <c r="EY1299" s="939"/>
      <c r="EZ1299" s="886"/>
    </row>
    <row r="1300" spans="88:156">
      <c r="CJ1300" s="197"/>
      <c r="CK1300" s="197"/>
      <c r="CL1300" s="197"/>
      <c r="CM1300" s="213"/>
      <c r="CN1300" s="213"/>
      <c r="CO1300" s="197"/>
      <c r="CP1300" s="197"/>
      <c r="CQ1300" s="197"/>
      <c r="CR1300" s="197"/>
      <c r="CS1300" s="197"/>
      <c r="CT1300" s="197"/>
      <c r="CU1300" s="197"/>
      <c r="CV1300" s="197"/>
      <c r="CW1300" s="197"/>
      <c r="CX1300" s="959"/>
      <c r="CY1300" s="959"/>
      <c r="CZ1300" s="959"/>
      <c r="DA1300" s="959"/>
      <c r="DB1300" s="959"/>
      <c r="DC1300" s="891">
        <v>4466</v>
      </c>
      <c r="DD1300" s="891" t="s">
        <v>4234</v>
      </c>
      <c r="DE1300" s="891" t="s">
        <v>419</v>
      </c>
      <c r="DF1300" s="891">
        <v>4</v>
      </c>
      <c r="DG1300" s="959"/>
      <c r="DH1300" s="959"/>
      <c r="ER1300" s="905">
        <v>4765</v>
      </c>
      <c r="ES1300" s="906" t="s">
        <v>3612</v>
      </c>
      <c r="ET1300" s="2686">
        <v>9</v>
      </c>
      <c r="EV1300" s="985"/>
      <c r="EW1300" s="985"/>
      <c r="EX1300" s="387"/>
      <c r="EY1300" s="939"/>
      <c r="EZ1300" s="886"/>
    </row>
    <row r="1301" spans="88:156">
      <c r="CJ1301" s="197"/>
      <c r="CK1301" s="197"/>
      <c r="CL1301" s="197"/>
      <c r="CM1301" s="213"/>
      <c r="CN1301" s="213"/>
      <c r="CO1301" s="197"/>
      <c r="CP1301" s="197"/>
      <c r="CQ1301" s="197"/>
      <c r="CR1301" s="197"/>
      <c r="CS1301" s="197"/>
      <c r="CT1301" s="197"/>
      <c r="CU1301" s="197"/>
      <c r="CV1301" s="197"/>
      <c r="CW1301" s="197"/>
      <c r="CX1301" s="959"/>
      <c r="CY1301" s="959"/>
      <c r="CZ1301" s="959"/>
      <c r="DA1301" s="959"/>
      <c r="DB1301" s="959"/>
      <c r="DC1301" s="891">
        <v>4467</v>
      </c>
      <c r="DD1301" s="891" t="s">
        <v>4235</v>
      </c>
      <c r="DE1301" s="891" t="s">
        <v>420</v>
      </c>
      <c r="DF1301" s="891">
        <v>5</v>
      </c>
      <c r="DG1301" s="959"/>
      <c r="DH1301" s="959"/>
      <c r="ER1301" s="905">
        <v>4765</v>
      </c>
      <c r="ES1301" s="906" t="s">
        <v>839</v>
      </c>
      <c r="ET1301" s="2686">
        <v>9</v>
      </c>
      <c r="EV1301" s="985"/>
      <c r="EW1301" s="985"/>
      <c r="EX1301" s="387"/>
      <c r="EY1301" s="939"/>
      <c r="EZ1301" s="886"/>
    </row>
    <row r="1302" spans="88:156">
      <c r="CJ1302" s="197"/>
      <c r="CK1302" s="197"/>
      <c r="CL1302" s="197"/>
      <c r="CM1302" s="213"/>
      <c r="CN1302" s="213"/>
      <c r="CO1302" s="197"/>
      <c r="CP1302" s="197"/>
      <c r="CQ1302" s="197"/>
      <c r="CR1302" s="197"/>
      <c r="CS1302" s="197"/>
      <c r="CT1302" s="197"/>
      <c r="CU1302" s="197"/>
      <c r="CV1302" s="197"/>
      <c r="CW1302" s="197"/>
      <c r="CX1302" s="959"/>
      <c r="CY1302" s="959"/>
      <c r="CZ1302" s="959"/>
      <c r="DA1302" s="959"/>
      <c r="DB1302" s="959"/>
      <c r="DC1302" s="891">
        <v>4468</v>
      </c>
      <c r="DD1302" s="891" t="s">
        <v>4236</v>
      </c>
      <c r="DE1302" s="891" t="s">
        <v>406</v>
      </c>
      <c r="DF1302" s="891">
        <v>5</v>
      </c>
      <c r="DG1302" s="959"/>
      <c r="DH1302" s="959"/>
      <c r="ER1302" s="905">
        <v>4766</v>
      </c>
      <c r="ES1302" s="906" t="s">
        <v>3613</v>
      </c>
      <c r="ET1302" s="2686">
        <v>9</v>
      </c>
      <c r="EV1302" s="985"/>
      <c r="EW1302" s="985"/>
      <c r="EX1302" s="387"/>
      <c r="EY1302" s="939"/>
      <c r="EZ1302" s="886"/>
    </row>
    <row r="1303" spans="88:156">
      <c r="CJ1303" s="197"/>
      <c r="CK1303" s="197"/>
      <c r="CL1303" s="197"/>
      <c r="CM1303" s="213"/>
      <c r="CN1303" s="213"/>
      <c r="CO1303" s="197"/>
      <c r="CP1303" s="197"/>
      <c r="CQ1303" s="197"/>
      <c r="CR1303" s="197"/>
      <c r="CS1303" s="197"/>
      <c r="CT1303" s="197"/>
      <c r="CU1303" s="197"/>
      <c r="CV1303" s="197"/>
      <c r="CW1303" s="197"/>
      <c r="CX1303" s="959"/>
      <c r="CY1303" s="959"/>
      <c r="CZ1303" s="959"/>
      <c r="DA1303" s="959"/>
      <c r="DB1303" s="959"/>
      <c r="DC1303" s="891">
        <v>4471</v>
      </c>
      <c r="DD1303" s="891" t="s">
        <v>4237</v>
      </c>
      <c r="DE1303" s="891" t="s">
        <v>433</v>
      </c>
      <c r="DF1303" s="891">
        <v>5</v>
      </c>
      <c r="DG1303" s="959"/>
      <c r="DH1303" s="959"/>
      <c r="ER1303" s="905">
        <v>4767</v>
      </c>
      <c r="ES1303" s="906" t="s">
        <v>3614</v>
      </c>
      <c r="ET1303" s="2686">
        <v>9</v>
      </c>
      <c r="EV1303" s="985"/>
      <c r="EW1303" s="985"/>
      <c r="EX1303" s="387"/>
      <c r="EY1303" s="939"/>
      <c r="EZ1303" s="886"/>
    </row>
    <row r="1304" spans="88:156">
      <c r="CJ1304" s="197"/>
      <c r="CK1304" s="197"/>
      <c r="CL1304" s="197"/>
      <c r="CM1304" s="213"/>
      <c r="CN1304" s="213"/>
      <c r="CO1304" s="197"/>
      <c r="CP1304" s="197"/>
      <c r="CQ1304" s="197"/>
      <c r="CR1304" s="197"/>
      <c r="CS1304" s="197"/>
      <c r="CT1304" s="197"/>
      <c r="CU1304" s="197"/>
      <c r="CV1304" s="197"/>
      <c r="CW1304" s="197"/>
      <c r="CX1304" s="959"/>
      <c r="CY1304" s="959"/>
      <c r="CZ1304" s="959"/>
      <c r="DA1304" s="959"/>
      <c r="DB1304" s="959"/>
      <c r="DC1304" s="891">
        <v>4472</v>
      </c>
      <c r="DD1304" s="891" t="s">
        <v>4238</v>
      </c>
      <c r="DE1304" s="891" t="s">
        <v>433</v>
      </c>
      <c r="DF1304" s="891">
        <v>5</v>
      </c>
      <c r="DG1304" s="959"/>
      <c r="DH1304" s="959"/>
      <c r="ER1304" s="905">
        <v>4800</v>
      </c>
      <c r="ES1304" s="906" t="s">
        <v>3615</v>
      </c>
      <c r="ET1304" s="2686">
        <v>9</v>
      </c>
      <c r="EV1304" s="985"/>
      <c r="EW1304" s="985"/>
      <c r="EX1304" s="387"/>
      <c r="EY1304" s="939"/>
      <c r="EZ1304" s="886"/>
    </row>
    <row r="1305" spans="88:156">
      <c r="CJ1305" s="197"/>
      <c r="CK1305" s="197"/>
      <c r="CL1305" s="197"/>
      <c r="CM1305" s="213"/>
      <c r="CN1305" s="213"/>
      <c r="CO1305" s="197"/>
      <c r="CP1305" s="197"/>
      <c r="CQ1305" s="197"/>
      <c r="CR1305" s="197"/>
      <c r="CS1305" s="197"/>
      <c r="CT1305" s="197"/>
      <c r="CU1305" s="197"/>
      <c r="CV1305" s="197"/>
      <c r="CW1305" s="197"/>
      <c r="CX1305" s="959"/>
      <c r="CY1305" s="959"/>
      <c r="CZ1305" s="959"/>
      <c r="DA1305" s="959"/>
      <c r="DB1305" s="959"/>
      <c r="DC1305" s="891">
        <v>4474</v>
      </c>
      <c r="DD1305" s="891" t="s">
        <v>4239</v>
      </c>
      <c r="DE1305" s="891" t="s">
        <v>433</v>
      </c>
      <c r="DF1305" s="891">
        <v>4</v>
      </c>
      <c r="DG1305" s="959"/>
      <c r="DH1305" s="959"/>
      <c r="ER1305" s="905">
        <v>4803</v>
      </c>
      <c r="ES1305" s="906" t="s">
        <v>840</v>
      </c>
      <c r="ET1305" s="2686">
        <v>9</v>
      </c>
      <c r="EV1305" s="985"/>
      <c r="EW1305" s="985"/>
      <c r="EX1305" s="387"/>
      <c r="EY1305" s="939"/>
      <c r="EZ1305" s="886"/>
    </row>
    <row r="1306" spans="88:156">
      <c r="CJ1306" s="197"/>
      <c r="CK1306" s="197"/>
      <c r="CL1306" s="197"/>
      <c r="CM1306" s="213"/>
      <c r="CN1306" s="213"/>
      <c r="CO1306" s="197"/>
      <c r="CP1306" s="197"/>
      <c r="CQ1306" s="197"/>
      <c r="CR1306" s="197"/>
      <c r="CS1306" s="197"/>
      <c r="CT1306" s="197"/>
      <c r="CU1306" s="197"/>
      <c r="CV1306" s="197"/>
      <c r="CW1306" s="197"/>
      <c r="CX1306" s="959"/>
      <c r="CY1306" s="959"/>
      <c r="CZ1306" s="959"/>
      <c r="DA1306" s="959"/>
      <c r="DB1306" s="959"/>
      <c r="DC1306" s="891">
        <v>4475</v>
      </c>
      <c r="DD1306" s="891" t="s">
        <v>4240</v>
      </c>
      <c r="DE1306" s="891" t="s">
        <v>417</v>
      </c>
      <c r="DF1306" s="891">
        <v>5</v>
      </c>
      <c r="DG1306" s="959"/>
      <c r="DH1306" s="959"/>
      <c r="ER1306" s="905">
        <v>4804</v>
      </c>
      <c r="ES1306" s="906" t="s">
        <v>3617</v>
      </c>
      <c r="ET1306" s="2686">
        <v>9</v>
      </c>
      <c r="EV1306" s="985"/>
      <c r="EW1306" s="985"/>
      <c r="EX1306" s="387"/>
      <c r="EY1306" s="939"/>
      <c r="EZ1306" s="886"/>
    </row>
    <row r="1307" spans="88:156">
      <c r="CJ1307" s="197"/>
      <c r="CK1307" s="197"/>
      <c r="CL1307" s="197"/>
      <c r="CM1307" s="213"/>
      <c r="CN1307" s="213"/>
      <c r="CO1307" s="197"/>
      <c r="CP1307" s="197"/>
      <c r="CQ1307" s="197"/>
      <c r="CR1307" s="197"/>
      <c r="CS1307" s="197"/>
      <c r="CT1307" s="197"/>
      <c r="CU1307" s="197"/>
      <c r="CV1307" s="197"/>
      <c r="CW1307" s="197"/>
      <c r="CX1307" s="959"/>
      <c r="CY1307" s="959"/>
      <c r="CZ1307" s="959"/>
      <c r="DA1307" s="959"/>
      <c r="DB1307" s="959"/>
      <c r="DC1307" s="891">
        <v>4481</v>
      </c>
      <c r="DD1307" s="891" t="s">
        <v>4241</v>
      </c>
      <c r="DE1307" s="891" t="s">
        <v>417</v>
      </c>
      <c r="DF1307" s="891">
        <v>5</v>
      </c>
      <c r="DG1307" s="959"/>
      <c r="DH1307" s="959"/>
      <c r="ER1307" s="905">
        <v>4811</v>
      </c>
      <c r="ES1307" s="906" t="s">
        <v>3618</v>
      </c>
      <c r="ET1307" s="2686">
        <v>9</v>
      </c>
      <c r="EV1307" s="985"/>
      <c r="EW1307" s="985"/>
      <c r="EX1307" s="387"/>
      <c r="EY1307" s="939"/>
      <c r="EZ1307" s="886"/>
    </row>
    <row r="1308" spans="88:156">
      <c r="CJ1308" s="197"/>
      <c r="CK1308" s="197"/>
      <c r="CL1308" s="197"/>
      <c r="CM1308" s="213"/>
      <c r="CN1308" s="213"/>
      <c r="CO1308" s="197"/>
      <c r="CP1308" s="197"/>
      <c r="CQ1308" s="197"/>
      <c r="CR1308" s="197"/>
      <c r="CS1308" s="197"/>
      <c r="CT1308" s="197"/>
      <c r="CU1308" s="197"/>
      <c r="CV1308" s="197"/>
      <c r="CW1308" s="197"/>
      <c r="CX1308" s="959"/>
      <c r="CY1308" s="959"/>
      <c r="CZ1308" s="959"/>
      <c r="DA1308" s="959"/>
      <c r="DB1308" s="959"/>
      <c r="DC1308" s="891">
        <v>4482</v>
      </c>
      <c r="DD1308" s="891" t="s">
        <v>4242</v>
      </c>
      <c r="DE1308" s="891" t="s">
        <v>2807</v>
      </c>
      <c r="DF1308" s="891">
        <v>5</v>
      </c>
      <c r="DG1308" s="959"/>
      <c r="DH1308" s="959"/>
      <c r="ER1308" s="905">
        <v>4812</v>
      </c>
      <c r="ES1308" s="906" t="s">
        <v>3619</v>
      </c>
      <c r="ET1308" s="2686">
        <v>9</v>
      </c>
      <c r="EV1308" s="985"/>
      <c r="EW1308" s="985"/>
      <c r="EX1308" s="387"/>
      <c r="EY1308" s="939"/>
      <c r="EZ1308" s="886"/>
    </row>
    <row r="1309" spans="88:156">
      <c r="CJ1309" s="197"/>
      <c r="CK1309" s="197"/>
      <c r="CL1309" s="197"/>
      <c r="CM1309" s="213"/>
      <c r="CN1309" s="213"/>
      <c r="CO1309" s="197"/>
      <c r="CP1309" s="197"/>
      <c r="CQ1309" s="197"/>
      <c r="CR1309" s="197"/>
      <c r="CS1309" s="197"/>
      <c r="CT1309" s="197"/>
      <c r="CU1309" s="197"/>
      <c r="CV1309" s="197"/>
      <c r="CW1309" s="197"/>
      <c r="CX1309" s="959"/>
      <c r="CY1309" s="959"/>
      <c r="CZ1309" s="959"/>
      <c r="DA1309" s="959"/>
      <c r="DB1309" s="959"/>
      <c r="DC1309" s="891">
        <v>4483</v>
      </c>
      <c r="DD1309" s="891" t="s">
        <v>4243</v>
      </c>
      <c r="DE1309" s="891" t="s">
        <v>406</v>
      </c>
      <c r="DF1309" s="891">
        <v>5</v>
      </c>
      <c r="DG1309" s="959"/>
      <c r="DH1309" s="959"/>
      <c r="ER1309" s="905">
        <v>4813</v>
      </c>
      <c r="ES1309" s="906" t="s">
        <v>841</v>
      </c>
      <c r="ET1309" s="2686">
        <v>9</v>
      </c>
      <c r="EV1309" s="985"/>
      <c r="EW1309" s="985"/>
      <c r="EX1309" s="387"/>
      <c r="EY1309" s="939"/>
      <c r="EZ1309" s="886"/>
    </row>
    <row r="1310" spans="88:156">
      <c r="CJ1310" s="197"/>
      <c r="CK1310" s="197"/>
      <c r="CL1310" s="197"/>
      <c r="CM1310" s="213"/>
      <c r="CN1310" s="213"/>
      <c r="CO1310" s="197"/>
      <c r="CP1310" s="197"/>
      <c r="CQ1310" s="197"/>
      <c r="CR1310" s="197"/>
      <c r="CS1310" s="197"/>
      <c r="CT1310" s="197"/>
      <c r="CU1310" s="197"/>
      <c r="CV1310" s="197"/>
      <c r="CW1310" s="197"/>
      <c r="CX1310" s="959"/>
      <c r="CY1310" s="959"/>
      <c r="CZ1310" s="959"/>
      <c r="DA1310" s="959"/>
      <c r="DB1310" s="959"/>
      <c r="DC1310" s="891">
        <v>4484</v>
      </c>
      <c r="DD1310" s="891" t="s">
        <v>4244</v>
      </c>
      <c r="DE1310" s="891" t="s">
        <v>410</v>
      </c>
      <c r="DF1310" s="891">
        <v>5</v>
      </c>
      <c r="DG1310" s="959"/>
      <c r="DH1310" s="959"/>
      <c r="ER1310" s="905">
        <v>4821</v>
      </c>
      <c r="ES1310" s="906" t="s">
        <v>3621</v>
      </c>
      <c r="ET1310" s="2686">
        <v>9</v>
      </c>
      <c r="EV1310" s="985"/>
      <c r="EW1310" s="985"/>
      <c r="EX1310" s="387"/>
      <c r="EY1310" s="939"/>
      <c r="EZ1310" s="886"/>
    </row>
    <row r="1311" spans="88:156">
      <c r="CJ1311" s="197"/>
      <c r="CK1311" s="197"/>
      <c r="CL1311" s="197"/>
      <c r="CM1311" s="213"/>
      <c r="CN1311" s="213"/>
      <c r="CO1311" s="197"/>
      <c r="CP1311" s="197"/>
      <c r="CQ1311" s="197"/>
      <c r="CR1311" s="197"/>
      <c r="CS1311" s="197"/>
      <c r="CT1311" s="197"/>
      <c r="CU1311" s="197"/>
      <c r="CV1311" s="197"/>
      <c r="CW1311" s="197"/>
      <c r="CX1311" s="959"/>
      <c r="CY1311" s="959"/>
      <c r="CZ1311" s="959"/>
      <c r="DA1311" s="959"/>
      <c r="DB1311" s="959"/>
      <c r="DC1311" s="891">
        <v>4485</v>
      </c>
      <c r="DD1311" s="891" t="s">
        <v>4245</v>
      </c>
      <c r="DE1311" s="891" t="s">
        <v>410</v>
      </c>
      <c r="DF1311" s="891">
        <v>5</v>
      </c>
      <c r="DG1311" s="959"/>
      <c r="DH1311" s="959"/>
      <c r="ER1311" s="905">
        <v>4822</v>
      </c>
      <c r="ES1311" s="906" t="s">
        <v>3622</v>
      </c>
      <c r="ET1311" s="2686">
        <v>9</v>
      </c>
      <c r="EV1311" s="985"/>
      <c r="EW1311" s="985"/>
      <c r="EX1311" s="387"/>
      <c r="EY1311" s="939"/>
      <c r="EZ1311" s="886"/>
    </row>
    <row r="1312" spans="88:156">
      <c r="CJ1312" s="197"/>
      <c r="CK1312" s="197"/>
      <c r="CL1312" s="197"/>
      <c r="CM1312" s="213"/>
      <c r="CN1312" s="213"/>
      <c r="CO1312" s="197"/>
      <c r="CP1312" s="197"/>
      <c r="CQ1312" s="197"/>
      <c r="CR1312" s="197"/>
      <c r="CS1312" s="197"/>
      <c r="CT1312" s="197"/>
      <c r="CU1312" s="197"/>
      <c r="CV1312" s="197"/>
      <c r="CW1312" s="197"/>
      <c r="CX1312" s="959"/>
      <c r="CY1312" s="959"/>
      <c r="CZ1312" s="959"/>
      <c r="DA1312" s="959"/>
      <c r="DB1312" s="959"/>
      <c r="DC1312" s="891">
        <v>4486</v>
      </c>
      <c r="DD1312" s="891" t="s">
        <v>4246</v>
      </c>
      <c r="DE1312" s="891" t="s">
        <v>410</v>
      </c>
      <c r="DF1312" s="891">
        <v>5</v>
      </c>
      <c r="DG1312" s="959"/>
      <c r="DH1312" s="959"/>
      <c r="ER1312" s="905">
        <v>4823</v>
      </c>
      <c r="ES1312" s="906" t="s">
        <v>3623</v>
      </c>
      <c r="ET1312" s="2686">
        <v>9</v>
      </c>
      <c r="EV1312" s="985"/>
      <c r="EW1312" s="985"/>
      <c r="EX1312" s="387"/>
      <c r="EY1312" s="939"/>
      <c r="EZ1312" s="886"/>
    </row>
    <row r="1313" spans="88:156">
      <c r="CJ1313" s="197"/>
      <c r="CK1313" s="197"/>
      <c r="CL1313" s="197"/>
      <c r="CM1313" s="213"/>
      <c r="CN1313" s="213"/>
      <c r="CO1313" s="197"/>
      <c r="CP1313" s="197"/>
      <c r="CQ1313" s="197"/>
      <c r="CR1313" s="197"/>
      <c r="CS1313" s="197"/>
      <c r="CT1313" s="197"/>
      <c r="CU1313" s="197"/>
      <c r="CV1313" s="197"/>
      <c r="CW1313" s="197"/>
      <c r="CX1313" s="959"/>
      <c r="CY1313" s="959"/>
      <c r="CZ1313" s="959"/>
      <c r="DA1313" s="959"/>
      <c r="DB1313" s="959"/>
      <c r="DC1313" s="891">
        <v>4487</v>
      </c>
      <c r="DD1313" s="891" t="s">
        <v>4247</v>
      </c>
      <c r="DE1313" s="891" t="s">
        <v>410</v>
      </c>
      <c r="DF1313" s="891">
        <v>6</v>
      </c>
      <c r="DG1313" s="959"/>
      <c r="DH1313" s="959"/>
      <c r="ER1313" s="905">
        <v>4824</v>
      </c>
      <c r="ES1313" s="906" t="s">
        <v>3624</v>
      </c>
      <c r="ET1313" s="2686">
        <v>9</v>
      </c>
      <c r="EV1313" s="985"/>
      <c r="EW1313" s="985"/>
      <c r="EX1313" s="387"/>
      <c r="EY1313" s="939"/>
      <c r="EZ1313" s="886"/>
    </row>
    <row r="1314" spans="88:156">
      <c r="CJ1314" s="197"/>
      <c r="CK1314" s="197"/>
      <c r="CL1314" s="197"/>
      <c r="CM1314" s="213"/>
      <c r="CN1314" s="213"/>
      <c r="CO1314" s="197"/>
      <c r="CP1314" s="197"/>
      <c r="CQ1314" s="197"/>
      <c r="CR1314" s="197"/>
      <c r="CS1314" s="197"/>
      <c r="CT1314" s="197"/>
      <c r="CU1314" s="197"/>
      <c r="CV1314" s="197"/>
      <c r="CW1314" s="197"/>
      <c r="CX1314" s="959"/>
      <c r="CY1314" s="959"/>
      <c r="CZ1314" s="959"/>
      <c r="DA1314" s="959"/>
      <c r="DB1314" s="959"/>
      <c r="DC1314" s="891">
        <v>4488</v>
      </c>
      <c r="DD1314" s="891" t="s">
        <v>4248</v>
      </c>
      <c r="DE1314" s="891" t="s">
        <v>410</v>
      </c>
      <c r="DF1314" s="891">
        <v>5</v>
      </c>
      <c r="DG1314" s="959"/>
      <c r="DH1314" s="959"/>
      <c r="ER1314" s="905">
        <v>4826</v>
      </c>
      <c r="ES1314" s="906" t="s">
        <v>3625</v>
      </c>
      <c r="ET1314" s="2686">
        <v>9</v>
      </c>
      <c r="EV1314" s="985"/>
      <c r="EW1314" s="985"/>
      <c r="EX1314" s="387"/>
      <c r="EY1314" s="939"/>
      <c r="EZ1314" s="886"/>
    </row>
    <row r="1315" spans="88:156">
      <c r="CJ1315" s="197"/>
      <c r="CK1315" s="197"/>
      <c r="CL1315" s="197"/>
      <c r="CM1315" s="213"/>
      <c r="CN1315" s="213"/>
      <c r="CO1315" s="197"/>
      <c r="CP1315" s="197"/>
      <c r="CQ1315" s="197"/>
      <c r="CR1315" s="197"/>
      <c r="CS1315" s="197"/>
      <c r="CT1315" s="197"/>
      <c r="CU1315" s="197"/>
      <c r="CV1315" s="197"/>
      <c r="CW1315" s="197"/>
      <c r="CX1315" s="959"/>
      <c r="CY1315" s="959"/>
      <c r="CZ1315" s="959"/>
      <c r="DA1315" s="959"/>
      <c r="DB1315" s="959"/>
      <c r="DC1315" s="891">
        <v>4491</v>
      </c>
      <c r="DD1315" s="891" t="s">
        <v>4249</v>
      </c>
      <c r="DE1315" s="891" t="s">
        <v>410</v>
      </c>
      <c r="DF1315" s="891">
        <v>5</v>
      </c>
      <c r="DG1315" s="959"/>
      <c r="DH1315" s="959"/>
      <c r="ER1315" s="905">
        <v>4831</v>
      </c>
      <c r="ES1315" s="906" t="s">
        <v>3626</v>
      </c>
      <c r="ET1315" s="2686">
        <v>9</v>
      </c>
      <c r="EV1315" s="985"/>
      <c r="EW1315" s="985"/>
      <c r="EX1315" s="387"/>
      <c r="EY1315" s="939"/>
      <c r="EZ1315" s="886"/>
    </row>
    <row r="1316" spans="88:156">
      <c r="CJ1316" s="197"/>
      <c r="CK1316" s="197"/>
      <c r="CL1316" s="197"/>
      <c r="CM1316" s="213"/>
      <c r="CN1316" s="213"/>
      <c r="CO1316" s="197"/>
      <c r="CP1316" s="197"/>
      <c r="CQ1316" s="197"/>
      <c r="CR1316" s="197"/>
      <c r="CS1316" s="197"/>
      <c r="CT1316" s="197"/>
      <c r="CU1316" s="197"/>
      <c r="CV1316" s="197"/>
      <c r="CW1316" s="197"/>
      <c r="CX1316" s="959"/>
      <c r="CY1316" s="959"/>
      <c r="CZ1316" s="959"/>
      <c r="DA1316" s="959"/>
      <c r="DB1316" s="959"/>
      <c r="DC1316" s="891">
        <v>4492</v>
      </c>
      <c r="DD1316" s="891" t="s">
        <v>4250</v>
      </c>
      <c r="DE1316" s="891" t="s">
        <v>421</v>
      </c>
      <c r="DF1316" s="891">
        <v>5</v>
      </c>
      <c r="DG1316" s="959"/>
      <c r="DH1316" s="959"/>
      <c r="ER1316" s="905">
        <v>4832</v>
      </c>
      <c r="ES1316" s="906" t="s">
        <v>3627</v>
      </c>
      <c r="ET1316" s="2686">
        <v>9</v>
      </c>
      <c r="EV1316" s="985"/>
      <c r="EW1316" s="985"/>
      <c r="EX1316" s="387"/>
      <c r="EY1316" s="939"/>
      <c r="EZ1316" s="886"/>
    </row>
    <row r="1317" spans="88:156">
      <c r="CJ1317" s="197"/>
      <c r="CK1317" s="197"/>
      <c r="CL1317" s="197"/>
      <c r="CM1317" s="213"/>
      <c r="CN1317" s="213"/>
      <c r="CO1317" s="197"/>
      <c r="CP1317" s="197"/>
      <c r="CQ1317" s="197"/>
      <c r="CR1317" s="197"/>
      <c r="CS1317" s="197"/>
      <c r="CT1317" s="197"/>
      <c r="CU1317" s="197"/>
      <c r="CV1317" s="197"/>
      <c r="CW1317" s="197"/>
      <c r="CX1317" s="959"/>
      <c r="CY1317" s="959"/>
      <c r="CZ1317" s="959"/>
      <c r="DA1317" s="959"/>
      <c r="DB1317" s="959"/>
      <c r="DC1317" s="891">
        <v>4493</v>
      </c>
      <c r="DD1317" s="891" t="s">
        <v>4251</v>
      </c>
      <c r="DE1317" s="891" t="s">
        <v>410</v>
      </c>
      <c r="DF1317" s="891">
        <v>5</v>
      </c>
      <c r="DG1317" s="959"/>
      <c r="DH1317" s="959"/>
      <c r="ER1317" s="905">
        <v>4833</v>
      </c>
      <c r="ES1317" s="906" t="s">
        <v>3628</v>
      </c>
      <c r="ET1317" s="2686">
        <v>9</v>
      </c>
      <c r="EV1317" s="985"/>
      <c r="EW1317" s="985"/>
      <c r="EX1317" s="387"/>
      <c r="EY1317" s="939"/>
      <c r="EZ1317" s="886"/>
    </row>
    <row r="1318" spans="88:156">
      <c r="CJ1318" s="197"/>
      <c r="CK1318" s="197"/>
      <c r="CL1318" s="197"/>
      <c r="CM1318" s="213"/>
      <c r="CN1318" s="213"/>
      <c r="CO1318" s="197"/>
      <c r="CP1318" s="197"/>
      <c r="CQ1318" s="197"/>
      <c r="CR1318" s="197"/>
      <c r="CS1318" s="197"/>
      <c r="CT1318" s="197"/>
      <c r="CU1318" s="197"/>
      <c r="CV1318" s="197"/>
      <c r="CW1318" s="197"/>
      <c r="CX1318" s="959"/>
      <c r="CY1318" s="959"/>
      <c r="CZ1318" s="959"/>
      <c r="DA1318" s="959"/>
      <c r="DB1318" s="959"/>
      <c r="DC1318" s="891">
        <v>4494</v>
      </c>
      <c r="DD1318" s="891" t="s">
        <v>4252</v>
      </c>
      <c r="DE1318" s="891" t="s">
        <v>406</v>
      </c>
      <c r="DF1318" s="891">
        <v>5</v>
      </c>
      <c r="DG1318" s="959"/>
      <c r="DH1318" s="959"/>
      <c r="ER1318" s="905">
        <v>4834</v>
      </c>
      <c r="ES1318" s="906" t="s">
        <v>3629</v>
      </c>
      <c r="ET1318" s="2686">
        <v>9</v>
      </c>
      <c r="EV1318" s="985"/>
      <c r="EW1318" s="985"/>
      <c r="EX1318" s="387"/>
      <c r="EY1318" s="939"/>
      <c r="EZ1318" s="886"/>
    </row>
    <row r="1319" spans="88:156">
      <c r="CJ1319" s="197"/>
      <c r="CK1319" s="197"/>
      <c r="CL1319" s="197"/>
      <c r="CM1319" s="213"/>
      <c r="CN1319" s="213"/>
      <c r="CO1319" s="197"/>
      <c r="CP1319" s="197"/>
      <c r="CQ1319" s="197"/>
      <c r="CR1319" s="197"/>
      <c r="CS1319" s="197"/>
      <c r="CT1319" s="197"/>
      <c r="CU1319" s="197"/>
      <c r="CV1319" s="197"/>
      <c r="CW1319" s="197"/>
      <c r="CX1319" s="959"/>
      <c r="CY1319" s="959"/>
      <c r="CZ1319" s="959"/>
      <c r="DA1319" s="959"/>
      <c r="DB1319" s="959"/>
      <c r="DC1319" s="891">
        <v>4495</v>
      </c>
      <c r="DD1319" s="891" t="s">
        <v>4253</v>
      </c>
      <c r="DE1319" s="891" t="s">
        <v>410</v>
      </c>
      <c r="DF1319" s="891">
        <v>4</v>
      </c>
      <c r="DG1319" s="959"/>
      <c r="DH1319" s="959"/>
      <c r="ER1319" s="905">
        <v>4835</v>
      </c>
      <c r="ES1319" s="906" t="s">
        <v>3630</v>
      </c>
      <c r="ET1319" s="2686">
        <v>9</v>
      </c>
      <c r="EV1319" s="985"/>
      <c r="EW1319" s="985"/>
      <c r="EX1319" s="387"/>
      <c r="EY1319" s="939"/>
      <c r="EZ1319" s="886"/>
    </row>
    <row r="1320" spans="88:156">
      <c r="CJ1320" s="197"/>
      <c r="CK1320" s="197"/>
      <c r="CL1320" s="197"/>
      <c r="CM1320" s="213"/>
      <c r="CN1320" s="213"/>
      <c r="CO1320" s="197"/>
      <c r="CP1320" s="197"/>
      <c r="CQ1320" s="197"/>
      <c r="CR1320" s="197"/>
      <c r="CS1320" s="197"/>
      <c r="CT1320" s="197"/>
      <c r="CU1320" s="197"/>
      <c r="CV1320" s="197"/>
      <c r="CW1320" s="197"/>
      <c r="CX1320" s="959"/>
      <c r="CY1320" s="959"/>
      <c r="CZ1320" s="959"/>
      <c r="DA1320" s="959"/>
      <c r="DB1320" s="959"/>
      <c r="DC1320" s="891">
        <v>4496</v>
      </c>
      <c r="DD1320" s="891" t="s">
        <v>4254</v>
      </c>
      <c r="DE1320" s="891" t="s">
        <v>410</v>
      </c>
      <c r="DF1320" s="891">
        <v>2</v>
      </c>
      <c r="DG1320" s="959"/>
      <c r="DH1320" s="959"/>
      <c r="ER1320" s="905">
        <v>4836</v>
      </c>
      <c r="ES1320" s="906" t="s">
        <v>3631</v>
      </c>
      <c r="ET1320" s="2686">
        <v>9</v>
      </c>
      <c r="EV1320" s="985"/>
      <c r="EW1320" s="985"/>
      <c r="EX1320" s="387"/>
      <c r="EY1320" s="939"/>
      <c r="EZ1320" s="886"/>
    </row>
    <row r="1321" spans="88:156">
      <c r="CJ1321" s="197"/>
      <c r="CK1321" s="197"/>
      <c r="CL1321" s="197"/>
      <c r="CM1321" s="213"/>
      <c r="CN1321" s="213"/>
      <c r="CO1321" s="197"/>
      <c r="CP1321" s="197"/>
      <c r="CQ1321" s="197"/>
      <c r="CR1321" s="197"/>
      <c r="CS1321" s="197"/>
      <c r="CT1321" s="197"/>
      <c r="CU1321" s="197"/>
      <c r="CV1321" s="197"/>
      <c r="CW1321" s="197"/>
      <c r="CX1321" s="959"/>
      <c r="CY1321" s="959"/>
      <c r="CZ1321" s="959"/>
      <c r="DA1321" s="959"/>
      <c r="DB1321" s="959"/>
      <c r="DC1321" s="891">
        <v>4501</v>
      </c>
      <c r="DD1321" s="891" t="s">
        <v>4255</v>
      </c>
      <c r="DE1321" s="891" t="s">
        <v>410</v>
      </c>
      <c r="DF1321" s="891">
        <v>4</v>
      </c>
      <c r="DG1321" s="959"/>
      <c r="DH1321" s="959"/>
      <c r="ER1321" s="905">
        <v>4841</v>
      </c>
      <c r="ES1321" s="906" t="s">
        <v>3632</v>
      </c>
      <c r="ET1321" s="2686">
        <v>9</v>
      </c>
      <c r="EV1321" s="985"/>
      <c r="EW1321" s="985"/>
      <c r="EX1321" s="387"/>
      <c r="EY1321" s="939"/>
      <c r="EZ1321" s="886"/>
    </row>
    <row r="1322" spans="88:156">
      <c r="CJ1322" s="197"/>
      <c r="CK1322" s="197"/>
      <c r="CL1322" s="197"/>
      <c r="CM1322" s="213"/>
      <c r="CN1322" s="213"/>
      <c r="CO1322" s="197"/>
      <c r="CP1322" s="197"/>
      <c r="CQ1322" s="197"/>
      <c r="CR1322" s="197"/>
      <c r="CS1322" s="197"/>
      <c r="CT1322" s="197"/>
      <c r="CU1322" s="197"/>
      <c r="CV1322" s="197"/>
      <c r="CW1322" s="197"/>
      <c r="CX1322" s="959"/>
      <c r="CY1322" s="959"/>
      <c r="CZ1322" s="959"/>
      <c r="DA1322" s="959"/>
      <c r="DB1322" s="959"/>
      <c r="DC1322" s="891">
        <v>4502</v>
      </c>
      <c r="DD1322" s="891" t="s">
        <v>4256</v>
      </c>
      <c r="DE1322" s="891" t="s">
        <v>410</v>
      </c>
      <c r="DF1322" s="891">
        <v>5</v>
      </c>
      <c r="DG1322" s="959"/>
      <c r="DH1322" s="959"/>
      <c r="ER1322" s="905">
        <v>4842</v>
      </c>
      <c r="ES1322" s="906" t="s">
        <v>3633</v>
      </c>
      <c r="ET1322" s="2686">
        <v>9</v>
      </c>
      <c r="EV1322" s="985"/>
      <c r="EW1322" s="985"/>
      <c r="EX1322" s="387"/>
      <c r="EY1322" s="939"/>
      <c r="EZ1322" s="886"/>
    </row>
    <row r="1323" spans="88:156">
      <c r="CJ1323" s="197"/>
      <c r="CK1323" s="197"/>
      <c r="CL1323" s="197"/>
      <c r="CM1323" s="213"/>
      <c r="CN1323" s="213"/>
      <c r="CO1323" s="197"/>
      <c r="CP1323" s="197"/>
      <c r="CQ1323" s="197"/>
      <c r="CR1323" s="197"/>
      <c r="CS1323" s="197"/>
      <c r="CT1323" s="197"/>
      <c r="CU1323" s="197"/>
      <c r="CV1323" s="197"/>
      <c r="CW1323" s="197"/>
      <c r="CX1323" s="959"/>
      <c r="CY1323" s="959"/>
      <c r="CZ1323" s="959"/>
      <c r="DA1323" s="959"/>
      <c r="DB1323" s="959"/>
      <c r="DC1323" s="891">
        <v>4503</v>
      </c>
      <c r="DD1323" s="891" t="s">
        <v>4257</v>
      </c>
      <c r="DE1323" s="891" t="s">
        <v>435</v>
      </c>
      <c r="DF1323" s="891">
        <v>5</v>
      </c>
      <c r="DG1323" s="959"/>
      <c r="DH1323" s="959"/>
      <c r="ER1323" s="905">
        <v>4843</v>
      </c>
      <c r="ES1323" s="906" t="s">
        <v>3634</v>
      </c>
      <c r="ET1323" s="2686">
        <v>9</v>
      </c>
      <c r="EV1323" s="985"/>
      <c r="EW1323" s="985"/>
      <c r="EX1323" s="387"/>
      <c r="EY1323" s="939"/>
      <c r="EZ1323" s="886"/>
    </row>
    <row r="1324" spans="88:156">
      <c r="CJ1324" s="197"/>
      <c r="CK1324" s="197"/>
      <c r="CL1324" s="197"/>
      <c r="CM1324" s="213"/>
      <c r="CN1324" s="213"/>
      <c r="CO1324" s="197"/>
      <c r="CP1324" s="197"/>
      <c r="CQ1324" s="197"/>
      <c r="CR1324" s="197"/>
      <c r="CS1324" s="197"/>
      <c r="CT1324" s="197"/>
      <c r="CU1324" s="197"/>
      <c r="CV1324" s="197"/>
      <c r="CW1324" s="197"/>
      <c r="CX1324" s="959"/>
      <c r="CY1324" s="959"/>
      <c r="CZ1324" s="959"/>
      <c r="DA1324" s="959"/>
      <c r="DB1324" s="959"/>
      <c r="DC1324" s="891">
        <v>4511</v>
      </c>
      <c r="DD1324" s="891" t="s">
        <v>4258</v>
      </c>
      <c r="DE1324" s="891" t="s">
        <v>417</v>
      </c>
      <c r="DF1324" s="891">
        <v>4</v>
      </c>
      <c r="DG1324" s="959"/>
      <c r="DH1324" s="959"/>
      <c r="ER1324" s="905">
        <v>4844</v>
      </c>
      <c r="ES1324" s="906" t="s">
        <v>3635</v>
      </c>
      <c r="ET1324" s="2686">
        <v>9</v>
      </c>
      <c r="EV1324" s="985"/>
      <c r="EW1324" s="985"/>
      <c r="EX1324" s="387"/>
      <c r="EY1324" s="939"/>
      <c r="EZ1324" s="886"/>
    </row>
    <row r="1325" spans="88:156">
      <c r="CJ1325" s="197"/>
      <c r="CK1325" s="197"/>
      <c r="CL1325" s="197"/>
      <c r="CM1325" s="213"/>
      <c r="CN1325" s="213"/>
      <c r="CO1325" s="197"/>
      <c r="CP1325" s="197"/>
      <c r="CQ1325" s="197"/>
      <c r="CR1325" s="197"/>
      <c r="CS1325" s="197"/>
      <c r="CT1325" s="197"/>
      <c r="CU1325" s="197"/>
      <c r="CV1325" s="197"/>
      <c r="CW1325" s="197"/>
      <c r="CX1325" s="959"/>
      <c r="CY1325" s="959"/>
      <c r="CZ1325" s="959"/>
      <c r="DA1325" s="959"/>
      <c r="DB1325" s="959"/>
      <c r="DC1325" s="891">
        <v>4515</v>
      </c>
      <c r="DD1325" s="891" t="s">
        <v>4259</v>
      </c>
      <c r="DE1325" s="891" t="s">
        <v>417</v>
      </c>
      <c r="DF1325" s="891">
        <v>5</v>
      </c>
      <c r="DG1325" s="959"/>
      <c r="DH1325" s="959"/>
      <c r="ER1325" s="905">
        <v>4845</v>
      </c>
      <c r="ES1325" s="906" t="s">
        <v>3636</v>
      </c>
      <c r="ET1325" s="2686">
        <v>9</v>
      </c>
      <c r="EV1325" s="985"/>
      <c r="EW1325" s="985"/>
      <c r="EX1325" s="387"/>
      <c r="EY1325" s="939"/>
      <c r="EZ1325" s="886"/>
    </row>
    <row r="1326" spans="88:156">
      <c r="CJ1326" s="197"/>
      <c r="CK1326" s="197"/>
      <c r="CL1326" s="197"/>
      <c r="CM1326" s="213"/>
      <c r="CN1326" s="213"/>
      <c r="CO1326" s="197"/>
      <c r="CP1326" s="197"/>
      <c r="CQ1326" s="197"/>
      <c r="CR1326" s="197"/>
      <c r="CS1326" s="197"/>
      <c r="CT1326" s="197"/>
      <c r="CU1326" s="197"/>
      <c r="CV1326" s="197"/>
      <c r="CW1326" s="197"/>
      <c r="CX1326" s="959"/>
      <c r="CY1326" s="959"/>
      <c r="CZ1326" s="959"/>
      <c r="DA1326" s="959"/>
      <c r="DB1326" s="959"/>
      <c r="DC1326" s="891">
        <v>4516</v>
      </c>
      <c r="DD1326" s="891" t="s">
        <v>4260</v>
      </c>
      <c r="DE1326" s="891" t="s">
        <v>417</v>
      </c>
      <c r="DF1326" s="891">
        <v>5</v>
      </c>
      <c r="DG1326" s="959"/>
      <c r="DH1326" s="959"/>
      <c r="ER1326" s="905">
        <v>4900</v>
      </c>
      <c r="ES1326" s="906" t="s">
        <v>3637</v>
      </c>
      <c r="ET1326" s="2686">
        <v>9</v>
      </c>
      <c r="EV1326" s="985"/>
      <c r="EW1326" s="985"/>
      <c r="EX1326" s="387"/>
      <c r="EY1326" s="939"/>
      <c r="EZ1326" s="886"/>
    </row>
    <row r="1327" spans="88:156">
      <c r="CJ1327" s="197"/>
      <c r="CK1327" s="197"/>
      <c r="CL1327" s="197"/>
      <c r="CM1327" s="213"/>
      <c r="CN1327" s="213"/>
      <c r="CO1327" s="197"/>
      <c r="CP1327" s="197"/>
      <c r="CQ1327" s="197"/>
      <c r="CR1327" s="197"/>
      <c r="CS1327" s="197"/>
      <c r="CT1327" s="197"/>
      <c r="CU1327" s="197"/>
      <c r="CV1327" s="197"/>
      <c r="CW1327" s="197"/>
      <c r="CX1327" s="959"/>
      <c r="CY1327" s="959"/>
      <c r="CZ1327" s="959"/>
      <c r="DA1327" s="959"/>
      <c r="DB1327" s="959"/>
      <c r="DC1327" s="891">
        <v>4517</v>
      </c>
      <c r="DD1327" s="891" t="s">
        <v>4261</v>
      </c>
      <c r="DE1327" s="891" t="s">
        <v>417</v>
      </c>
      <c r="DF1327" s="891">
        <v>6</v>
      </c>
      <c r="DG1327" s="959"/>
      <c r="DH1327" s="959"/>
      <c r="ER1327" s="905">
        <v>4911</v>
      </c>
      <c r="ES1327" s="906" t="s">
        <v>3638</v>
      </c>
      <c r="ET1327" s="2686">
        <v>9</v>
      </c>
      <c r="EV1327" s="985"/>
      <c r="EW1327" s="985"/>
      <c r="EX1327" s="387"/>
      <c r="EY1327" s="939"/>
      <c r="EZ1327" s="886"/>
    </row>
    <row r="1328" spans="88:156">
      <c r="CJ1328" s="197"/>
      <c r="CK1328" s="197"/>
      <c r="CL1328" s="197"/>
      <c r="CM1328" s="213"/>
      <c r="CN1328" s="213"/>
      <c r="CO1328" s="197"/>
      <c r="CP1328" s="197"/>
      <c r="CQ1328" s="197"/>
      <c r="CR1328" s="197"/>
      <c r="CS1328" s="197"/>
      <c r="CT1328" s="197"/>
      <c r="CU1328" s="197"/>
      <c r="CV1328" s="197"/>
      <c r="CW1328" s="197"/>
      <c r="CX1328" s="959"/>
      <c r="CY1328" s="959"/>
      <c r="CZ1328" s="959"/>
      <c r="DA1328" s="959"/>
      <c r="DB1328" s="959"/>
      <c r="DC1328" s="891">
        <v>4521</v>
      </c>
      <c r="DD1328" s="891" t="s">
        <v>4262</v>
      </c>
      <c r="DE1328" s="891" t="s">
        <v>417</v>
      </c>
      <c r="DF1328" s="891">
        <v>5</v>
      </c>
      <c r="DG1328" s="959"/>
      <c r="DH1328" s="959"/>
      <c r="ER1328" s="905">
        <v>4912</v>
      </c>
      <c r="ES1328" s="906" t="s">
        <v>3639</v>
      </c>
      <c r="ET1328" s="2686">
        <v>9</v>
      </c>
      <c r="EV1328" s="985"/>
      <c r="EW1328" s="985"/>
      <c r="EX1328" s="387"/>
      <c r="EY1328" s="939"/>
      <c r="EZ1328" s="886"/>
    </row>
    <row r="1329" spans="88:156">
      <c r="CJ1329" s="197"/>
      <c r="CK1329" s="197"/>
      <c r="CL1329" s="197"/>
      <c r="CM1329" s="213"/>
      <c r="CN1329" s="213"/>
      <c r="CO1329" s="197"/>
      <c r="CP1329" s="197"/>
      <c r="CQ1329" s="197"/>
      <c r="CR1329" s="197"/>
      <c r="CS1329" s="197"/>
      <c r="CT1329" s="197"/>
      <c r="CU1329" s="197"/>
      <c r="CV1329" s="197"/>
      <c r="CW1329" s="197"/>
      <c r="CX1329" s="959"/>
      <c r="CY1329" s="959"/>
      <c r="CZ1329" s="959"/>
      <c r="DA1329" s="959"/>
      <c r="DB1329" s="959"/>
      <c r="DC1329" s="891">
        <v>4522</v>
      </c>
      <c r="DD1329" s="891" t="s">
        <v>4263</v>
      </c>
      <c r="DE1329" s="891" t="s">
        <v>417</v>
      </c>
      <c r="DF1329" s="891">
        <v>6</v>
      </c>
      <c r="DG1329" s="959"/>
      <c r="DH1329" s="959"/>
      <c r="ER1329" s="905">
        <v>4913</v>
      </c>
      <c r="ES1329" s="906" t="s">
        <v>3640</v>
      </c>
      <c r="ET1329" s="2686">
        <v>9</v>
      </c>
      <c r="EV1329" s="985"/>
      <c r="EW1329" s="985"/>
      <c r="EX1329" s="387"/>
      <c r="EY1329" s="939"/>
      <c r="EZ1329" s="886"/>
    </row>
    <row r="1330" spans="88:156">
      <c r="CJ1330" s="197"/>
      <c r="CK1330" s="197"/>
      <c r="CL1330" s="197"/>
      <c r="CM1330" s="213"/>
      <c r="CN1330" s="213"/>
      <c r="CO1330" s="197"/>
      <c r="CP1330" s="197"/>
      <c r="CQ1330" s="197"/>
      <c r="CR1330" s="197"/>
      <c r="CS1330" s="197"/>
      <c r="CT1330" s="197"/>
      <c r="CU1330" s="197"/>
      <c r="CV1330" s="197"/>
      <c r="CW1330" s="197"/>
      <c r="CX1330" s="959"/>
      <c r="CY1330" s="959"/>
      <c r="CZ1330" s="959"/>
      <c r="DA1330" s="959"/>
      <c r="DB1330" s="959"/>
      <c r="DC1330" s="891">
        <v>4523</v>
      </c>
      <c r="DD1330" s="891" t="s">
        <v>4264</v>
      </c>
      <c r="DE1330" s="891" t="s">
        <v>417</v>
      </c>
      <c r="DF1330" s="891">
        <v>6</v>
      </c>
      <c r="DG1330" s="959"/>
      <c r="DH1330" s="959"/>
      <c r="ER1330" s="905">
        <v>4914</v>
      </c>
      <c r="ES1330" s="906" t="s">
        <v>3641</v>
      </c>
      <c r="ET1330" s="2686">
        <v>9</v>
      </c>
      <c r="EV1330" s="985"/>
      <c r="EW1330" s="985"/>
      <c r="EX1330" s="387"/>
      <c r="EY1330" s="939"/>
      <c r="EZ1330" s="886"/>
    </row>
    <row r="1331" spans="88:156">
      <c r="CJ1331" s="197"/>
      <c r="CK1331" s="197"/>
      <c r="CL1331" s="197"/>
      <c r="CM1331" s="213"/>
      <c r="CN1331" s="213"/>
      <c r="CO1331" s="197"/>
      <c r="CP1331" s="197"/>
      <c r="CQ1331" s="197"/>
      <c r="CR1331" s="197"/>
      <c r="CS1331" s="197"/>
      <c r="CT1331" s="197"/>
      <c r="CU1331" s="197"/>
      <c r="CV1331" s="197"/>
      <c r="CW1331" s="197"/>
      <c r="CX1331" s="959"/>
      <c r="CY1331" s="959"/>
      <c r="CZ1331" s="959"/>
      <c r="DA1331" s="959"/>
      <c r="DB1331" s="959"/>
      <c r="DC1331" s="891">
        <v>4524</v>
      </c>
      <c r="DD1331" s="891" t="s">
        <v>4265</v>
      </c>
      <c r="DE1331" s="891" t="s">
        <v>417</v>
      </c>
      <c r="DF1331" s="891">
        <v>6</v>
      </c>
      <c r="DG1331" s="959"/>
      <c r="DH1331" s="959"/>
      <c r="ER1331" s="905">
        <v>4921</v>
      </c>
      <c r="ES1331" s="906" t="s">
        <v>3642</v>
      </c>
      <c r="ET1331" s="2686">
        <v>9</v>
      </c>
      <c r="EV1331" s="985"/>
      <c r="EW1331" s="985"/>
      <c r="EX1331" s="387"/>
      <c r="EY1331" s="939"/>
      <c r="EZ1331" s="886"/>
    </row>
    <row r="1332" spans="88:156">
      <c r="CJ1332" s="197"/>
      <c r="CK1332" s="197"/>
      <c r="CL1332" s="197"/>
      <c r="CM1332" s="213"/>
      <c r="CN1332" s="213"/>
      <c r="CO1332" s="197"/>
      <c r="CP1332" s="197"/>
      <c r="CQ1332" s="197"/>
      <c r="CR1332" s="197"/>
      <c r="CS1332" s="197"/>
      <c r="CT1332" s="197"/>
      <c r="CU1332" s="197"/>
      <c r="CV1332" s="197"/>
      <c r="CW1332" s="197"/>
      <c r="CX1332" s="959"/>
      <c r="CY1332" s="959"/>
      <c r="CZ1332" s="959"/>
      <c r="DA1332" s="959"/>
      <c r="DB1332" s="959"/>
      <c r="DC1332" s="891">
        <v>4525</v>
      </c>
      <c r="DD1332" s="891" t="s">
        <v>4266</v>
      </c>
      <c r="DE1332" s="891" t="s">
        <v>417</v>
      </c>
      <c r="DF1332" s="891">
        <v>6</v>
      </c>
      <c r="DG1332" s="959"/>
      <c r="DH1332" s="959"/>
      <c r="ER1332" s="905">
        <v>4921</v>
      </c>
      <c r="ES1332" s="906" t="s">
        <v>842</v>
      </c>
      <c r="ET1332" s="2686">
        <v>9</v>
      </c>
      <c r="EV1332" s="985"/>
      <c r="EW1332" s="985"/>
      <c r="EX1332" s="387"/>
      <c r="EY1332" s="939"/>
      <c r="EZ1332" s="886"/>
    </row>
    <row r="1333" spans="88:156">
      <c r="CJ1333" s="197"/>
      <c r="CK1333" s="197"/>
      <c r="CL1333" s="197"/>
      <c r="CM1333" s="213"/>
      <c r="CN1333" s="213"/>
      <c r="CO1333" s="197"/>
      <c r="CP1333" s="197"/>
      <c r="CQ1333" s="197"/>
      <c r="CR1333" s="197"/>
      <c r="CS1333" s="197"/>
      <c r="CT1333" s="197"/>
      <c r="CU1333" s="197"/>
      <c r="CV1333" s="197"/>
      <c r="CW1333" s="197"/>
      <c r="CX1333" s="959"/>
      <c r="CY1333" s="959"/>
      <c r="CZ1333" s="959"/>
      <c r="DA1333" s="959"/>
      <c r="DB1333" s="959"/>
      <c r="DC1333" s="891">
        <v>4531</v>
      </c>
      <c r="DD1333" s="891" t="s">
        <v>4267</v>
      </c>
      <c r="DE1333" s="891" t="s">
        <v>417</v>
      </c>
      <c r="DF1333" s="891">
        <v>4</v>
      </c>
      <c r="DG1333" s="959"/>
      <c r="DH1333" s="959"/>
      <c r="ER1333" s="905">
        <v>4922</v>
      </c>
      <c r="ES1333" s="906" t="s">
        <v>3643</v>
      </c>
      <c r="ET1333" s="2686">
        <v>9</v>
      </c>
      <c r="EV1333" s="985"/>
      <c r="EW1333" s="985"/>
      <c r="EX1333" s="387"/>
      <c r="EY1333" s="939"/>
      <c r="EZ1333" s="886"/>
    </row>
    <row r="1334" spans="88:156">
      <c r="CJ1334" s="197"/>
      <c r="CK1334" s="197"/>
      <c r="CL1334" s="197"/>
      <c r="CM1334" s="213"/>
      <c r="CN1334" s="213"/>
      <c r="CO1334" s="197"/>
      <c r="CP1334" s="197"/>
      <c r="CQ1334" s="197"/>
      <c r="CR1334" s="197"/>
      <c r="CS1334" s="197"/>
      <c r="CT1334" s="197"/>
      <c r="CU1334" s="197"/>
      <c r="CV1334" s="197"/>
      <c r="CW1334" s="197"/>
      <c r="CX1334" s="959"/>
      <c r="CY1334" s="959"/>
      <c r="CZ1334" s="959"/>
      <c r="DA1334" s="959"/>
      <c r="DB1334" s="959"/>
      <c r="DC1334" s="891">
        <v>4532</v>
      </c>
      <c r="DD1334" s="891" t="s">
        <v>4268</v>
      </c>
      <c r="DE1334" s="891" t="s">
        <v>417</v>
      </c>
      <c r="DF1334" s="891">
        <v>4</v>
      </c>
      <c r="DG1334" s="959"/>
      <c r="DH1334" s="959"/>
      <c r="ER1334" s="905">
        <v>4931</v>
      </c>
      <c r="ES1334" s="906" t="s">
        <v>3644</v>
      </c>
      <c r="ET1334" s="2686">
        <v>9</v>
      </c>
      <c r="EV1334" s="985"/>
      <c r="EW1334" s="985"/>
      <c r="EX1334" s="387"/>
      <c r="EY1334" s="939"/>
      <c r="EZ1334" s="886"/>
    </row>
    <row r="1335" spans="88:156">
      <c r="CJ1335" s="197"/>
      <c r="CK1335" s="197"/>
      <c r="CL1335" s="197"/>
      <c r="CM1335" s="213"/>
      <c r="CN1335" s="213"/>
      <c r="CO1335" s="197"/>
      <c r="CP1335" s="197"/>
      <c r="CQ1335" s="197"/>
      <c r="CR1335" s="197"/>
      <c r="CS1335" s="197"/>
      <c r="CT1335" s="197"/>
      <c r="CU1335" s="197"/>
      <c r="CV1335" s="197"/>
      <c r="CW1335" s="197"/>
      <c r="CX1335" s="959"/>
      <c r="CY1335" s="959"/>
      <c r="CZ1335" s="959"/>
      <c r="DA1335" s="959"/>
      <c r="DB1335" s="959"/>
      <c r="DC1335" s="891">
        <v>4533</v>
      </c>
      <c r="DD1335" s="891" t="s">
        <v>4269</v>
      </c>
      <c r="DE1335" s="891" t="s">
        <v>417</v>
      </c>
      <c r="DF1335" s="891">
        <v>5</v>
      </c>
      <c r="DG1335" s="959"/>
      <c r="DH1335" s="959"/>
      <c r="ER1335" s="905">
        <v>4932</v>
      </c>
      <c r="ES1335" s="906" t="s">
        <v>3645</v>
      </c>
      <c r="ET1335" s="2686">
        <v>9</v>
      </c>
      <c r="EV1335" s="985"/>
      <c r="EW1335" s="985"/>
      <c r="EX1335" s="387"/>
      <c r="EY1335" s="939"/>
      <c r="EZ1335" s="886"/>
    </row>
    <row r="1336" spans="88:156">
      <c r="CJ1336" s="197"/>
      <c r="CK1336" s="197"/>
      <c r="CL1336" s="197"/>
      <c r="CM1336" s="213"/>
      <c r="CN1336" s="213"/>
      <c r="CO1336" s="197"/>
      <c r="CP1336" s="197"/>
      <c r="CQ1336" s="197"/>
      <c r="CR1336" s="197"/>
      <c r="CS1336" s="197"/>
      <c r="CT1336" s="197"/>
      <c r="CU1336" s="197"/>
      <c r="CV1336" s="197"/>
      <c r="CW1336" s="197"/>
      <c r="CX1336" s="959"/>
      <c r="CY1336" s="959"/>
      <c r="CZ1336" s="959"/>
      <c r="DA1336" s="959"/>
      <c r="DB1336" s="959"/>
      <c r="DC1336" s="891">
        <v>4534</v>
      </c>
      <c r="DD1336" s="891" t="s">
        <v>4270</v>
      </c>
      <c r="DE1336" s="891" t="s">
        <v>417</v>
      </c>
      <c r="DF1336" s="891">
        <v>5</v>
      </c>
      <c r="DG1336" s="959"/>
      <c r="DH1336" s="959"/>
      <c r="ER1336" s="905">
        <v>4933</v>
      </c>
      <c r="ES1336" s="906" t="s">
        <v>3646</v>
      </c>
      <c r="ET1336" s="2686">
        <v>9</v>
      </c>
      <c r="EV1336" s="985"/>
      <c r="EW1336" s="985"/>
      <c r="EX1336" s="387"/>
      <c r="EY1336" s="939"/>
      <c r="EZ1336" s="886"/>
    </row>
    <row r="1337" spans="88:156">
      <c r="CJ1337" s="197"/>
      <c r="CK1337" s="197"/>
      <c r="CL1337" s="197"/>
      <c r="CM1337" s="213"/>
      <c r="CN1337" s="213"/>
      <c r="CO1337" s="197"/>
      <c r="CP1337" s="197"/>
      <c r="CQ1337" s="197"/>
      <c r="CR1337" s="197"/>
      <c r="CS1337" s="197"/>
      <c r="CT1337" s="197"/>
      <c r="CU1337" s="197"/>
      <c r="CV1337" s="197"/>
      <c r="CW1337" s="197"/>
      <c r="CX1337" s="959"/>
      <c r="CY1337" s="959"/>
      <c r="CZ1337" s="959"/>
      <c r="DA1337" s="959"/>
      <c r="DB1337" s="959"/>
      <c r="DC1337" s="891">
        <v>4535</v>
      </c>
      <c r="DD1337" s="891" t="s">
        <v>4271</v>
      </c>
      <c r="DE1337" s="891" t="s">
        <v>417</v>
      </c>
      <c r="DF1337" s="891">
        <v>5</v>
      </c>
      <c r="DG1337" s="959"/>
      <c r="DH1337" s="959"/>
      <c r="ER1337" s="905">
        <v>4934</v>
      </c>
      <c r="ES1337" s="906" t="s">
        <v>843</v>
      </c>
      <c r="ET1337" s="2686">
        <v>9</v>
      </c>
      <c r="EV1337" s="985"/>
      <c r="EW1337" s="985"/>
      <c r="EX1337" s="387"/>
      <c r="EY1337" s="939"/>
      <c r="EZ1337" s="886"/>
    </row>
    <row r="1338" spans="88:156">
      <c r="CJ1338" s="197"/>
      <c r="CK1338" s="197"/>
      <c r="CL1338" s="197"/>
      <c r="CM1338" s="213"/>
      <c r="CN1338" s="213"/>
      <c r="CO1338" s="197"/>
      <c r="CP1338" s="197"/>
      <c r="CQ1338" s="197"/>
      <c r="CR1338" s="197"/>
      <c r="CS1338" s="197"/>
      <c r="CT1338" s="197"/>
      <c r="CU1338" s="197"/>
      <c r="CV1338" s="197"/>
      <c r="CW1338" s="197"/>
      <c r="CX1338" s="959"/>
      <c r="CY1338" s="959"/>
      <c r="CZ1338" s="959"/>
      <c r="DA1338" s="959"/>
      <c r="DB1338" s="959"/>
      <c r="DC1338" s="891">
        <v>4536</v>
      </c>
      <c r="DD1338" s="891" t="s">
        <v>4272</v>
      </c>
      <c r="DE1338" s="891" t="s">
        <v>417</v>
      </c>
      <c r="DF1338" s="891">
        <v>5</v>
      </c>
      <c r="DG1338" s="959"/>
      <c r="DH1338" s="959"/>
      <c r="ER1338" s="905">
        <v>4935</v>
      </c>
      <c r="ES1338" s="906" t="s">
        <v>3648</v>
      </c>
      <c r="ET1338" s="2686">
        <v>9</v>
      </c>
      <c r="EV1338" s="985"/>
      <c r="EW1338" s="985"/>
      <c r="EX1338" s="387"/>
      <c r="EY1338" s="939"/>
      <c r="EZ1338" s="886"/>
    </row>
    <row r="1339" spans="88:156">
      <c r="CJ1339" s="197"/>
      <c r="CK1339" s="197"/>
      <c r="CL1339" s="197"/>
      <c r="CM1339" s="213"/>
      <c r="CN1339" s="213"/>
      <c r="CO1339" s="197"/>
      <c r="CP1339" s="197"/>
      <c r="CQ1339" s="197"/>
      <c r="CR1339" s="197"/>
      <c r="CS1339" s="197"/>
      <c r="CT1339" s="197"/>
      <c r="CU1339" s="197"/>
      <c r="CV1339" s="197"/>
      <c r="CW1339" s="197"/>
      <c r="CX1339" s="959"/>
      <c r="CY1339" s="959"/>
      <c r="CZ1339" s="959"/>
      <c r="DA1339" s="959"/>
      <c r="DB1339" s="959"/>
      <c r="DC1339" s="891">
        <v>4537</v>
      </c>
      <c r="DD1339" s="891" t="s">
        <v>4273</v>
      </c>
      <c r="DE1339" s="891" t="s">
        <v>417</v>
      </c>
      <c r="DF1339" s="891">
        <v>5</v>
      </c>
      <c r="DG1339" s="959"/>
      <c r="DH1339" s="959"/>
      <c r="ER1339" s="905">
        <v>4936</v>
      </c>
      <c r="ES1339" s="906" t="s">
        <v>3649</v>
      </c>
      <c r="ET1339" s="2686">
        <v>9</v>
      </c>
      <c r="EV1339" s="985"/>
      <c r="EW1339" s="985"/>
      <c r="EX1339" s="387"/>
      <c r="EY1339" s="939"/>
      <c r="EZ1339" s="886"/>
    </row>
    <row r="1340" spans="88:156">
      <c r="CJ1340" s="197"/>
      <c r="CK1340" s="197"/>
      <c r="CL1340" s="197"/>
      <c r="CM1340" s="213"/>
      <c r="CN1340" s="213"/>
      <c r="CO1340" s="197"/>
      <c r="CP1340" s="197"/>
      <c r="CQ1340" s="197"/>
      <c r="CR1340" s="197"/>
      <c r="CS1340" s="197"/>
      <c r="CT1340" s="197"/>
      <c r="CU1340" s="197"/>
      <c r="CV1340" s="197"/>
      <c r="CW1340" s="197"/>
      <c r="CX1340" s="959"/>
      <c r="CY1340" s="959"/>
      <c r="CZ1340" s="959"/>
      <c r="DA1340" s="959"/>
      <c r="DB1340" s="959"/>
      <c r="DC1340" s="891">
        <v>4541</v>
      </c>
      <c r="DD1340" s="891" t="s">
        <v>4274</v>
      </c>
      <c r="DE1340" s="891" t="s">
        <v>417</v>
      </c>
      <c r="DF1340" s="891">
        <v>6</v>
      </c>
      <c r="DG1340" s="959"/>
      <c r="DH1340" s="959"/>
      <c r="ER1340" s="905">
        <v>4937</v>
      </c>
      <c r="ES1340" s="906" t="s">
        <v>3650</v>
      </c>
      <c r="ET1340" s="2686">
        <v>9</v>
      </c>
      <c r="EV1340" s="985"/>
      <c r="EW1340" s="985"/>
      <c r="EX1340" s="387"/>
      <c r="EY1340" s="939"/>
      <c r="EZ1340" s="886"/>
    </row>
    <row r="1341" spans="88:156">
      <c r="CJ1341" s="197"/>
      <c r="CK1341" s="197"/>
      <c r="CL1341" s="197"/>
      <c r="CM1341" s="213"/>
      <c r="CN1341" s="213"/>
      <c r="CO1341" s="197"/>
      <c r="CP1341" s="197"/>
      <c r="CQ1341" s="197"/>
      <c r="CR1341" s="197"/>
      <c r="CS1341" s="197"/>
      <c r="CT1341" s="197"/>
      <c r="CU1341" s="197"/>
      <c r="CV1341" s="197"/>
      <c r="CW1341" s="197"/>
      <c r="CX1341" s="959"/>
      <c r="CY1341" s="959"/>
      <c r="CZ1341" s="959"/>
      <c r="DA1341" s="959"/>
      <c r="DB1341" s="959"/>
      <c r="DC1341" s="891">
        <v>4542</v>
      </c>
      <c r="DD1341" s="891" t="s">
        <v>4275</v>
      </c>
      <c r="DE1341" s="891" t="s">
        <v>417</v>
      </c>
      <c r="DF1341" s="891">
        <v>6</v>
      </c>
      <c r="DG1341" s="959"/>
      <c r="DH1341" s="959"/>
      <c r="ER1341" s="905">
        <v>4941</v>
      </c>
      <c r="ES1341" s="906" t="s">
        <v>3651</v>
      </c>
      <c r="ET1341" s="2686">
        <v>9</v>
      </c>
      <c r="EV1341" s="985"/>
      <c r="EW1341" s="985"/>
      <c r="EX1341" s="387"/>
      <c r="EY1341" s="939"/>
      <c r="EZ1341" s="886"/>
    </row>
    <row r="1342" spans="88:156">
      <c r="CJ1342" s="197"/>
      <c r="CK1342" s="197"/>
      <c r="CL1342" s="197"/>
      <c r="CM1342" s="213"/>
      <c r="CN1342" s="213"/>
      <c r="CO1342" s="197"/>
      <c r="CP1342" s="197"/>
      <c r="CQ1342" s="197"/>
      <c r="CR1342" s="197"/>
      <c r="CS1342" s="197"/>
      <c r="CT1342" s="197"/>
      <c r="CU1342" s="197"/>
      <c r="CV1342" s="197"/>
      <c r="CW1342" s="197"/>
      <c r="CX1342" s="959"/>
      <c r="CY1342" s="959"/>
      <c r="CZ1342" s="959"/>
      <c r="DA1342" s="959"/>
      <c r="DB1342" s="959"/>
      <c r="DC1342" s="891">
        <v>4543</v>
      </c>
      <c r="DD1342" s="891" t="s">
        <v>4276</v>
      </c>
      <c r="DE1342" s="891" t="s">
        <v>417</v>
      </c>
      <c r="DF1342" s="891">
        <v>5</v>
      </c>
      <c r="DG1342" s="959"/>
      <c r="DH1342" s="959"/>
      <c r="ER1342" s="905">
        <v>4942</v>
      </c>
      <c r="ES1342" s="906" t="s">
        <v>3652</v>
      </c>
      <c r="ET1342" s="2686">
        <v>9</v>
      </c>
      <c r="EV1342" s="985"/>
      <c r="EW1342" s="985"/>
      <c r="EX1342" s="387"/>
      <c r="EY1342" s="939"/>
      <c r="EZ1342" s="886"/>
    </row>
    <row r="1343" spans="88:156">
      <c r="CJ1343" s="197"/>
      <c r="CK1343" s="197"/>
      <c r="CL1343" s="197"/>
      <c r="CM1343" s="213"/>
      <c r="CN1343" s="213"/>
      <c r="CO1343" s="197"/>
      <c r="CP1343" s="197"/>
      <c r="CQ1343" s="197"/>
      <c r="CR1343" s="197"/>
      <c r="CS1343" s="197"/>
      <c r="CT1343" s="197"/>
      <c r="CU1343" s="197"/>
      <c r="CV1343" s="197"/>
      <c r="CW1343" s="197"/>
      <c r="CX1343" s="959"/>
      <c r="CY1343" s="959"/>
      <c r="CZ1343" s="959"/>
      <c r="DA1343" s="959"/>
      <c r="DB1343" s="959"/>
      <c r="DC1343" s="891">
        <v>4544</v>
      </c>
      <c r="DD1343" s="891" t="s">
        <v>4277</v>
      </c>
      <c r="DE1343" s="891" t="s">
        <v>417</v>
      </c>
      <c r="DF1343" s="891">
        <v>6</v>
      </c>
      <c r="DG1343" s="959"/>
      <c r="DH1343" s="959"/>
      <c r="ER1343" s="905">
        <v>4942</v>
      </c>
      <c r="ES1343" s="906" t="s">
        <v>844</v>
      </c>
      <c r="ET1343" s="2686">
        <v>9</v>
      </c>
      <c r="EV1343" s="985"/>
      <c r="EW1343" s="985"/>
      <c r="EX1343" s="387"/>
      <c r="EY1343" s="939"/>
      <c r="EZ1343" s="886"/>
    </row>
    <row r="1344" spans="88:156">
      <c r="CJ1344" s="197"/>
      <c r="CK1344" s="197"/>
      <c r="CL1344" s="197"/>
      <c r="CM1344" s="213"/>
      <c r="CN1344" s="213"/>
      <c r="CO1344" s="197"/>
      <c r="CP1344" s="197"/>
      <c r="CQ1344" s="197"/>
      <c r="CR1344" s="197"/>
      <c r="CS1344" s="197"/>
      <c r="CT1344" s="197"/>
      <c r="CU1344" s="197"/>
      <c r="CV1344" s="197"/>
      <c r="CW1344" s="197"/>
      <c r="CX1344" s="959"/>
      <c r="CY1344" s="959"/>
      <c r="CZ1344" s="959"/>
      <c r="DA1344" s="959"/>
      <c r="DB1344" s="959"/>
      <c r="DC1344" s="891">
        <v>4545</v>
      </c>
      <c r="DD1344" s="891" t="s">
        <v>4278</v>
      </c>
      <c r="DE1344" s="891" t="s">
        <v>417</v>
      </c>
      <c r="DF1344" s="891">
        <v>6</v>
      </c>
      <c r="DG1344" s="959"/>
      <c r="DH1344" s="959"/>
      <c r="ER1344" s="905">
        <v>4943</v>
      </c>
      <c r="ES1344" s="906" t="s">
        <v>3653</v>
      </c>
      <c r="ET1344" s="2686">
        <v>9</v>
      </c>
      <c r="EV1344" s="985"/>
      <c r="EW1344" s="985"/>
      <c r="EX1344" s="387"/>
      <c r="EY1344" s="939"/>
      <c r="EZ1344" s="886"/>
    </row>
    <row r="1345" spans="88:156">
      <c r="CJ1345" s="197"/>
      <c r="CK1345" s="197"/>
      <c r="CL1345" s="197"/>
      <c r="CM1345" s="213"/>
      <c r="CN1345" s="213"/>
      <c r="CO1345" s="197"/>
      <c r="CP1345" s="197"/>
      <c r="CQ1345" s="197"/>
      <c r="CR1345" s="197"/>
      <c r="CS1345" s="197"/>
      <c r="CT1345" s="197"/>
      <c r="CU1345" s="197"/>
      <c r="CV1345" s="197"/>
      <c r="CW1345" s="197"/>
      <c r="CX1345" s="959"/>
      <c r="CY1345" s="959"/>
      <c r="CZ1345" s="959"/>
      <c r="DA1345" s="959"/>
      <c r="DB1345" s="959"/>
      <c r="DC1345" s="891">
        <v>4546</v>
      </c>
      <c r="DD1345" s="891" t="s">
        <v>4279</v>
      </c>
      <c r="DE1345" s="891" t="s">
        <v>417</v>
      </c>
      <c r="DF1345" s="891">
        <v>6</v>
      </c>
      <c r="DG1345" s="959"/>
      <c r="DH1345" s="959"/>
      <c r="ER1345" s="905">
        <v>4944</v>
      </c>
      <c r="ES1345" s="906" t="s">
        <v>3654</v>
      </c>
      <c r="ET1345" s="2686">
        <v>9</v>
      </c>
      <c r="EV1345" s="985"/>
      <c r="EW1345" s="985"/>
      <c r="EX1345" s="387"/>
      <c r="EY1345" s="939"/>
      <c r="EZ1345" s="886"/>
    </row>
    <row r="1346" spans="88:156">
      <c r="CJ1346" s="197"/>
      <c r="CK1346" s="197"/>
      <c r="CL1346" s="197"/>
      <c r="CM1346" s="213"/>
      <c r="CN1346" s="213"/>
      <c r="CO1346" s="197"/>
      <c r="CP1346" s="197"/>
      <c r="CQ1346" s="197"/>
      <c r="CR1346" s="197"/>
      <c r="CS1346" s="197"/>
      <c r="CT1346" s="197"/>
      <c r="CU1346" s="197"/>
      <c r="CV1346" s="197"/>
      <c r="CW1346" s="197"/>
      <c r="CX1346" s="959"/>
      <c r="CY1346" s="959"/>
      <c r="CZ1346" s="959"/>
      <c r="DA1346" s="959"/>
      <c r="DB1346" s="959"/>
      <c r="DC1346" s="891">
        <v>4547</v>
      </c>
      <c r="DD1346" s="891" t="s">
        <v>4280</v>
      </c>
      <c r="DE1346" s="891" t="s">
        <v>417</v>
      </c>
      <c r="DF1346" s="891">
        <v>6</v>
      </c>
      <c r="DG1346" s="959"/>
      <c r="DH1346" s="959"/>
      <c r="ER1346" s="905">
        <v>4945</v>
      </c>
      <c r="ES1346" s="906" t="s">
        <v>3655</v>
      </c>
      <c r="ET1346" s="2686">
        <v>9</v>
      </c>
      <c r="EV1346" s="985"/>
      <c r="EW1346" s="985"/>
      <c r="EX1346" s="387"/>
      <c r="EY1346" s="939"/>
      <c r="EZ1346" s="886"/>
    </row>
    <row r="1347" spans="88:156">
      <c r="CJ1347" s="197"/>
      <c r="CK1347" s="197"/>
      <c r="CL1347" s="197"/>
      <c r="CM1347" s="213"/>
      <c r="CN1347" s="213"/>
      <c r="CO1347" s="197"/>
      <c r="CP1347" s="197"/>
      <c r="CQ1347" s="197"/>
      <c r="CR1347" s="197"/>
      <c r="CS1347" s="197"/>
      <c r="CT1347" s="197"/>
      <c r="CU1347" s="197"/>
      <c r="CV1347" s="197"/>
      <c r="CW1347" s="197"/>
      <c r="CX1347" s="959"/>
      <c r="CY1347" s="959"/>
      <c r="CZ1347" s="959"/>
      <c r="DA1347" s="959"/>
      <c r="DB1347" s="959"/>
      <c r="DC1347" s="891">
        <v>4551</v>
      </c>
      <c r="DD1347" s="891" t="s">
        <v>4281</v>
      </c>
      <c r="DE1347" s="891" t="s">
        <v>417</v>
      </c>
      <c r="DF1347" s="891">
        <v>4</v>
      </c>
      <c r="DG1347" s="959"/>
      <c r="DH1347" s="959"/>
      <c r="ER1347" s="905">
        <v>4946</v>
      </c>
      <c r="ES1347" s="906" t="s">
        <v>3656</v>
      </c>
      <c r="ET1347" s="2686">
        <v>9</v>
      </c>
      <c r="EV1347" s="985"/>
      <c r="EW1347" s="985"/>
      <c r="EX1347" s="387"/>
      <c r="EY1347" s="939"/>
      <c r="EZ1347" s="886"/>
    </row>
    <row r="1348" spans="88:156">
      <c r="CJ1348" s="197"/>
      <c r="CK1348" s="197"/>
      <c r="CL1348" s="197"/>
      <c r="CM1348" s="213"/>
      <c r="CN1348" s="213"/>
      <c r="CO1348" s="197"/>
      <c r="CP1348" s="197"/>
      <c r="CQ1348" s="197"/>
      <c r="CR1348" s="197"/>
      <c r="CS1348" s="197"/>
      <c r="CT1348" s="197"/>
      <c r="CU1348" s="197"/>
      <c r="CV1348" s="197"/>
      <c r="CW1348" s="197"/>
      <c r="CX1348" s="959"/>
      <c r="CY1348" s="959"/>
      <c r="CZ1348" s="959"/>
      <c r="DA1348" s="959"/>
      <c r="DB1348" s="959"/>
      <c r="DC1348" s="891">
        <v>4552</v>
      </c>
      <c r="DD1348" s="891" t="s">
        <v>4282</v>
      </c>
      <c r="DE1348" s="891" t="s">
        <v>417</v>
      </c>
      <c r="DF1348" s="891">
        <v>4</v>
      </c>
      <c r="DG1348" s="959"/>
      <c r="DH1348" s="959"/>
      <c r="ER1348" s="905">
        <v>4947</v>
      </c>
      <c r="ES1348" s="906" t="s">
        <v>2406</v>
      </c>
      <c r="ET1348" s="2686">
        <v>9</v>
      </c>
      <c r="EV1348" s="985"/>
      <c r="EW1348" s="985"/>
      <c r="EX1348" s="387"/>
      <c r="EY1348" s="939"/>
      <c r="EZ1348" s="886"/>
    </row>
    <row r="1349" spans="88:156">
      <c r="CJ1349" s="197"/>
      <c r="CK1349" s="197"/>
      <c r="CL1349" s="197"/>
      <c r="CM1349" s="213"/>
      <c r="CN1349" s="213"/>
      <c r="CO1349" s="197"/>
      <c r="CP1349" s="197"/>
      <c r="CQ1349" s="197"/>
      <c r="CR1349" s="197"/>
      <c r="CS1349" s="197"/>
      <c r="CT1349" s="197"/>
      <c r="CU1349" s="197"/>
      <c r="CV1349" s="197"/>
      <c r="CW1349" s="197"/>
      <c r="CX1349" s="959"/>
      <c r="CY1349" s="959"/>
      <c r="CZ1349" s="959"/>
      <c r="DA1349" s="959"/>
      <c r="DB1349" s="959"/>
      <c r="DC1349" s="891">
        <v>4553</v>
      </c>
      <c r="DD1349" s="891" t="s">
        <v>4283</v>
      </c>
      <c r="DE1349" s="891" t="s">
        <v>417</v>
      </c>
      <c r="DF1349" s="891">
        <v>5</v>
      </c>
      <c r="DG1349" s="959"/>
      <c r="DH1349" s="959"/>
      <c r="ER1349" s="905">
        <v>4948</v>
      </c>
      <c r="ES1349" s="906" t="s">
        <v>2407</v>
      </c>
      <c r="ET1349" s="2686">
        <v>9</v>
      </c>
      <c r="EV1349" s="985"/>
      <c r="EW1349" s="985"/>
      <c r="EX1349" s="387"/>
      <c r="EY1349" s="939"/>
      <c r="EZ1349" s="886"/>
    </row>
    <row r="1350" spans="88:156">
      <c r="CJ1350" s="197"/>
      <c r="CK1350" s="197"/>
      <c r="CL1350" s="197"/>
      <c r="CM1350" s="213"/>
      <c r="CN1350" s="213"/>
      <c r="CO1350" s="197"/>
      <c r="CP1350" s="197"/>
      <c r="CQ1350" s="197"/>
      <c r="CR1350" s="197"/>
      <c r="CS1350" s="197"/>
      <c r="CT1350" s="197"/>
      <c r="CU1350" s="197"/>
      <c r="CV1350" s="197"/>
      <c r="CW1350" s="197"/>
      <c r="CX1350" s="959"/>
      <c r="CY1350" s="959"/>
      <c r="CZ1350" s="959"/>
      <c r="DA1350" s="959"/>
      <c r="DB1350" s="959"/>
      <c r="DC1350" s="891">
        <v>4554</v>
      </c>
      <c r="DD1350" s="891" t="s">
        <v>4284</v>
      </c>
      <c r="DE1350" s="891" t="s">
        <v>417</v>
      </c>
      <c r="DF1350" s="891">
        <v>4</v>
      </c>
      <c r="DG1350" s="959"/>
      <c r="DH1350" s="959"/>
      <c r="ER1350" s="905">
        <v>4951</v>
      </c>
      <c r="ES1350" s="906" t="s">
        <v>2408</v>
      </c>
      <c r="ET1350" s="2686">
        <v>9</v>
      </c>
      <c r="EV1350" s="985"/>
      <c r="EW1350" s="985"/>
      <c r="EX1350" s="387"/>
      <c r="EY1350" s="939"/>
      <c r="EZ1350" s="886"/>
    </row>
    <row r="1351" spans="88:156">
      <c r="CJ1351" s="197"/>
      <c r="CK1351" s="197"/>
      <c r="CL1351" s="197"/>
      <c r="CM1351" s="213"/>
      <c r="CN1351" s="213"/>
      <c r="CO1351" s="197"/>
      <c r="CP1351" s="197"/>
      <c r="CQ1351" s="197"/>
      <c r="CR1351" s="197"/>
      <c r="CS1351" s="197"/>
      <c r="CT1351" s="197"/>
      <c r="CU1351" s="197"/>
      <c r="CV1351" s="197"/>
      <c r="CW1351" s="197"/>
      <c r="CX1351" s="959"/>
      <c r="CY1351" s="959"/>
      <c r="CZ1351" s="959"/>
      <c r="DA1351" s="959"/>
      <c r="DB1351" s="959"/>
      <c r="DC1351" s="891">
        <v>4555</v>
      </c>
      <c r="DD1351" s="891" t="s">
        <v>4285</v>
      </c>
      <c r="DE1351" s="891" t="s">
        <v>435</v>
      </c>
      <c r="DF1351" s="891">
        <v>5</v>
      </c>
      <c r="DG1351" s="959"/>
      <c r="DH1351" s="959"/>
      <c r="ER1351" s="905">
        <v>4952</v>
      </c>
      <c r="ES1351" s="906" t="s">
        <v>2409</v>
      </c>
      <c r="ET1351" s="2686">
        <v>9</v>
      </c>
      <c r="EV1351" s="985"/>
      <c r="EW1351" s="985"/>
      <c r="EX1351" s="387"/>
      <c r="EY1351" s="939"/>
      <c r="EZ1351" s="886"/>
    </row>
    <row r="1352" spans="88:156">
      <c r="CJ1352" s="197"/>
      <c r="CK1352" s="197"/>
      <c r="CL1352" s="197"/>
      <c r="CM1352" s="213"/>
      <c r="CN1352" s="213"/>
      <c r="CO1352" s="197"/>
      <c r="CP1352" s="197"/>
      <c r="CQ1352" s="197"/>
      <c r="CR1352" s="197"/>
      <c r="CS1352" s="197"/>
      <c r="CT1352" s="197"/>
      <c r="CU1352" s="197"/>
      <c r="CV1352" s="197"/>
      <c r="CW1352" s="197"/>
      <c r="CX1352" s="959"/>
      <c r="CY1352" s="959"/>
      <c r="CZ1352" s="959"/>
      <c r="DA1352" s="959"/>
      <c r="DB1352" s="959"/>
      <c r="DC1352" s="891">
        <v>4556</v>
      </c>
      <c r="DD1352" s="891" t="s">
        <v>4286</v>
      </c>
      <c r="DE1352" s="891" t="s">
        <v>412</v>
      </c>
      <c r="DF1352" s="891">
        <v>4</v>
      </c>
      <c r="DG1352" s="959"/>
      <c r="DH1352" s="959"/>
      <c r="ER1352" s="905">
        <v>4953</v>
      </c>
      <c r="ES1352" s="906" t="s">
        <v>2410</v>
      </c>
      <c r="ET1352" s="2686">
        <v>9</v>
      </c>
      <c r="EV1352" s="985"/>
      <c r="EW1352" s="985"/>
      <c r="EX1352" s="387"/>
      <c r="EY1352" s="939"/>
      <c r="EZ1352" s="886"/>
    </row>
    <row r="1353" spans="88:156">
      <c r="CJ1353" s="197"/>
      <c r="CK1353" s="197"/>
      <c r="CL1353" s="197"/>
      <c r="CM1353" s="213"/>
      <c r="CN1353" s="213"/>
      <c r="CO1353" s="197"/>
      <c r="CP1353" s="197"/>
      <c r="CQ1353" s="197"/>
      <c r="CR1353" s="197"/>
      <c r="CS1353" s="197"/>
      <c r="CT1353" s="197"/>
      <c r="CU1353" s="197"/>
      <c r="CV1353" s="197"/>
      <c r="CW1353" s="197"/>
      <c r="CX1353" s="959"/>
      <c r="CY1353" s="959"/>
      <c r="CZ1353" s="959"/>
      <c r="DA1353" s="959"/>
      <c r="DB1353" s="959"/>
      <c r="DC1353" s="891">
        <v>4557</v>
      </c>
      <c r="DD1353" s="891" t="s">
        <v>4287</v>
      </c>
      <c r="DE1353" s="891" t="s">
        <v>435</v>
      </c>
      <c r="DF1353" s="891">
        <v>6</v>
      </c>
      <c r="DG1353" s="959"/>
      <c r="DH1353" s="959"/>
      <c r="ER1353" s="905">
        <v>4954</v>
      </c>
      <c r="ES1353" s="906" t="s">
        <v>2411</v>
      </c>
      <c r="ET1353" s="2686">
        <v>9</v>
      </c>
      <c r="EV1353" s="985"/>
      <c r="EW1353" s="985"/>
      <c r="EX1353" s="387"/>
      <c r="EY1353" s="939"/>
      <c r="EZ1353" s="886"/>
    </row>
    <row r="1354" spans="88:156">
      <c r="CJ1354" s="197"/>
      <c r="CK1354" s="197"/>
      <c r="CL1354" s="197"/>
      <c r="CM1354" s="213"/>
      <c r="CN1354" s="213"/>
      <c r="CO1354" s="197"/>
      <c r="CP1354" s="197"/>
      <c r="CQ1354" s="197"/>
      <c r="CR1354" s="197"/>
      <c r="CS1354" s="197"/>
      <c r="CT1354" s="197"/>
      <c r="CU1354" s="197"/>
      <c r="CV1354" s="197"/>
      <c r="CW1354" s="197"/>
      <c r="CX1354" s="959"/>
      <c r="CY1354" s="959"/>
      <c r="CZ1354" s="959"/>
      <c r="DA1354" s="959"/>
      <c r="DB1354" s="959"/>
      <c r="DC1354" s="891">
        <v>4558</v>
      </c>
      <c r="DD1354" s="891" t="s">
        <v>3560</v>
      </c>
      <c r="DE1354" s="891" t="s">
        <v>417</v>
      </c>
      <c r="DF1354" s="891">
        <v>5</v>
      </c>
      <c r="DG1354" s="959"/>
      <c r="DH1354" s="959"/>
      <c r="ER1354" s="905">
        <v>4955</v>
      </c>
      <c r="ES1354" s="906" t="s">
        <v>2412</v>
      </c>
      <c r="ET1354" s="2686">
        <v>9</v>
      </c>
      <c r="EV1354" s="985"/>
      <c r="EW1354" s="985"/>
      <c r="EX1354" s="387"/>
      <c r="EY1354" s="939"/>
      <c r="EZ1354" s="886"/>
    </row>
    <row r="1355" spans="88:156">
      <c r="CJ1355" s="197"/>
      <c r="CK1355" s="197"/>
      <c r="CL1355" s="197"/>
      <c r="CM1355" s="213"/>
      <c r="CN1355" s="213"/>
      <c r="CO1355" s="197"/>
      <c r="CP1355" s="197"/>
      <c r="CQ1355" s="197"/>
      <c r="CR1355" s="197"/>
      <c r="CS1355" s="197"/>
      <c r="CT1355" s="197"/>
      <c r="CU1355" s="197"/>
      <c r="CV1355" s="197"/>
      <c r="CW1355" s="197"/>
      <c r="CX1355" s="959"/>
      <c r="CY1355" s="959"/>
      <c r="CZ1355" s="959"/>
      <c r="DA1355" s="959"/>
      <c r="DB1355" s="959"/>
      <c r="DC1355" s="891">
        <v>4561</v>
      </c>
      <c r="DD1355" s="891" t="s">
        <v>3561</v>
      </c>
      <c r="DE1355" s="891" t="s">
        <v>428</v>
      </c>
      <c r="DF1355" s="891">
        <v>6</v>
      </c>
      <c r="DG1355" s="959"/>
      <c r="DH1355" s="959"/>
      <c r="ER1355" s="905">
        <v>4956</v>
      </c>
      <c r="ES1355" s="906" t="s">
        <v>4803</v>
      </c>
      <c r="ET1355" s="2686">
        <v>9</v>
      </c>
      <c r="EV1355" s="985"/>
      <c r="EW1355" s="985"/>
      <c r="EX1355" s="387"/>
      <c r="EY1355" s="939"/>
      <c r="EZ1355" s="886"/>
    </row>
    <row r="1356" spans="88:156">
      <c r="CJ1356" s="197"/>
      <c r="CK1356" s="197"/>
      <c r="CL1356" s="197"/>
      <c r="CM1356" s="213"/>
      <c r="CN1356" s="213"/>
      <c r="CO1356" s="197"/>
      <c r="CP1356" s="197"/>
      <c r="CQ1356" s="197"/>
      <c r="CR1356" s="197"/>
      <c r="CS1356" s="197"/>
      <c r="CT1356" s="197"/>
      <c r="CU1356" s="197"/>
      <c r="CV1356" s="197"/>
      <c r="CW1356" s="197"/>
      <c r="CX1356" s="959"/>
      <c r="CY1356" s="959"/>
      <c r="CZ1356" s="959"/>
      <c r="DA1356" s="959"/>
      <c r="DB1356" s="959"/>
      <c r="DC1356" s="891">
        <v>4562</v>
      </c>
      <c r="DD1356" s="891" t="s">
        <v>3562</v>
      </c>
      <c r="DE1356" s="891" t="s">
        <v>417</v>
      </c>
      <c r="DF1356" s="891">
        <v>6</v>
      </c>
      <c r="DG1356" s="959"/>
      <c r="DH1356" s="959"/>
      <c r="ER1356" s="905">
        <v>4961</v>
      </c>
      <c r="ES1356" s="906" t="s">
        <v>4804</v>
      </c>
      <c r="ET1356" s="2686">
        <v>9</v>
      </c>
      <c r="EV1356" s="985"/>
      <c r="EW1356" s="985"/>
      <c r="EX1356" s="387"/>
      <c r="EY1356" s="939"/>
      <c r="EZ1356" s="886"/>
    </row>
    <row r="1357" spans="88:156">
      <c r="CJ1357" s="197"/>
      <c r="CK1357" s="197"/>
      <c r="CL1357" s="197"/>
      <c r="CM1357" s="213"/>
      <c r="CN1357" s="213"/>
      <c r="CO1357" s="197"/>
      <c r="CP1357" s="197"/>
      <c r="CQ1357" s="197"/>
      <c r="CR1357" s="197"/>
      <c r="CS1357" s="197"/>
      <c r="CT1357" s="197"/>
      <c r="CU1357" s="197"/>
      <c r="CV1357" s="197"/>
      <c r="CW1357" s="197"/>
      <c r="CX1357" s="959"/>
      <c r="CY1357" s="959"/>
      <c r="CZ1357" s="959"/>
      <c r="DA1357" s="959"/>
      <c r="DB1357" s="959"/>
      <c r="DC1357" s="891">
        <v>4563</v>
      </c>
      <c r="DD1357" s="891" t="s">
        <v>3563</v>
      </c>
      <c r="DE1357" s="891" t="s">
        <v>417</v>
      </c>
      <c r="DF1357" s="891">
        <v>6</v>
      </c>
      <c r="DG1357" s="959"/>
      <c r="DH1357" s="959"/>
      <c r="ER1357" s="905">
        <v>4962</v>
      </c>
      <c r="ES1357" s="906" t="s">
        <v>4805</v>
      </c>
      <c r="ET1357" s="2686">
        <v>9</v>
      </c>
      <c r="EV1357" s="985"/>
      <c r="EW1357" s="985"/>
      <c r="EX1357" s="387"/>
      <c r="EY1357" s="939"/>
      <c r="EZ1357" s="886"/>
    </row>
    <row r="1358" spans="88:156">
      <c r="CJ1358" s="197"/>
      <c r="CK1358" s="197"/>
      <c r="CL1358" s="197"/>
      <c r="CM1358" s="213"/>
      <c r="CN1358" s="213"/>
      <c r="CO1358" s="197"/>
      <c r="CP1358" s="197"/>
      <c r="CQ1358" s="197"/>
      <c r="CR1358" s="197"/>
      <c r="CS1358" s="197"/>
      <c r="CT1358" s="197"/>
      <c r="CU1358" s="197"/>
      <c r="CV1358" s="197"/>
      <c r="CW1358" s="197"/>
      <c r="CX1358" s="959"/>
      <c r="CY1358" s="959"/>
      <c r="CZ1358" s="959"/>
      <c r="DA1358" s="959"/>
      <c r="DB1358" s="959"/>
      <c r="DC1358" s="891">
        <v>4564</v>
      </c>
      <c r="DD1358" s="891" t="s">
        <v>3564</v>
      </c>
      <c r="DE1358" s="891" t="s">
        <v>417</v>
      </c>
      <c r="DF1358" s="891">
        <v>6</v>
      </c>
      <c r="DG1358" s="959"/>
      <c r="DH1358" s="959"/>
      <c r="ER1358" s="905">
        <v>4963</v>
      </c>
      <c r="ES1358" s="906" t="s">
        <v>4806</v>
      </c>
      <c r="ET1358" s="2686">
        <v>9</v>
      </c>
      <c r="EV1358" s="985"/>
      <c r="EW1358" s="985"/>
      <c r="EX1358" s="387"/>
      <c r="EY1358" s="939"/>
      <c r="EZ1358" s="886"/>
    </row>
    <row r="1359" spans="88:156">
      <c r="CJ1359" s="197"/>
      <c r="CK1359" s="197"/>
      <c r="CL1359" s="197"/>
      <c r="CM1359" s="213"/>
      <c r="CN1359" s="213"/>
      <c r="CO1359" s="197"/>
      <c r="CP1359" s="197"/>
      <c r="CQ1359" s="197"/>
      <c r="CR1359" s="197"/>
      <c r="CS1359" s="197"/>
      <c r="CT1359" s="197"/>
      <c r="CU1359" s="197"/>
      <c r="CV1359" s="197"/>
      <c r="CW1359" s="197"/>
      <c r="CX1359" s="959"/>
      <c r="CY1359" s="959"/>
      <c r="CZ1359" s="959"/>
      <c r="DA1359" s="959"/>
      <c r="DB1359" s="959"/>
      <c r="DC1359" s="891">
        <v>4565</v>
      </c>
      <c r="DD1359" s="891" t="s">
        <v>3565</v>
      </c>
      <c r="DE1359" s="891" t="s">
        <v>428</v>
      </c>
      <c r="DF1359" s="891">
        <v>6</v>
      </c>
      <c r="DG1359" s="959"/>
      <c r="DH1359" s="959"/>
      <c r="ER1359" s="905">
        <v>4964</v>
      </c>
      <c r="ES1359" s="906" t="s">
        <v>4807</v>
      </c>
      <c r="ET1359" s="2686">
        <v>9</v>
      </c>
      <c r="EV1359" s="985"/>
      <c r="EW1359" s="985"/>
      <c r="EX1359" s="387"/>
      <c r="EY1359" s="939"/>
      <c r="EZ1359" s="886"/>
    </row>
    <row r="1360" spans="88:156">
      <c r="CJ1360" s="197"/>
      <c r="CK1360" s="197"/>
      <c r="CL1360" s="197"/>
      <c r="CM1360" s="213"/>
      <c r="CN1360" s="213"/>
      <c r="CO1360" s="197"/>
      <c r="CP1360" s="197"/>
      <c r="CQ1360" s="197"/>
      <c r="CR1360" s="197"/>
      <c r="CS1360" s="197"/>
      <c r="CT1360" s="197"/>
      <c r="CU1360" s="197"/>
      <c r="CV1360" s="197"/>
      <c r="CW1360" s="197"/>
      <c r="CX1360" s="959"/>
      <c r="CY1360" s="959"/>
      <c r="CZ1360" s="959"/>
      <c r="DA1360" s="959"/>
      <c r="DB1360" s="959"/>
      <c r="DC1360" s="891">
        <v>4566</v>
      </c>
      <c r="DD1360" s="891" t="s">
        <v>3566</v>
      </c>
      <c r="DE1360" s="891" t="s">
        <v>417</v>
      </c>
      <c r="DF1360" s="891">
        <v>6</v>
      </c>
      <c r="DG1360" s="959"/>
      <c r="DH1360" s="959"/>
      <c r="ER1360" s="905">
        <v>4965</v>
      </c>
      <c r="ES1360" s="906" t="s">
        <v>4808</v>
      </c>
      <c r="ET1360" s="2686">
        <v>9</v>
      </c>
      <c r="EV1360" s="985"/>
      <c r="EW1360" s="985"/>
      <c r="EX1360" s="387"/>
      <c r="EY1360" s="939"/>
      <c r="EZ1360" s="886"/>
    </row>
    <row r="1361" spans="88:156">
      <c r="CJ1361" s="197"/>
      <c r="CK1361" s="197"/>
      <c r="CL1361" s="197"/>
      <c r="CM1361" s="213"/>
      <c r="CN1361" s="213"/>
      <c r="CO1361" s="197"/>
      <c r="CP1361" s="197"/>
      <c r="CQ1361" s="197"/>
      <c r="CR1361" s="197"/>
      <c r="CS1361" s="197"/>
      <c r="CT1361" s="197"/>
      <c r="CU1361" s="197"/>
      <c r="CV1361" s="197"/>
      <c r="CW1361" s="197"/>
      <c r="CX1361" s="959"/>
      <c r="CY1361" s="959"/>
      <c r="CZ1361" s="959"/>
      <c r="DA1361" s="959"/>
      <c r="DB1361" s="959"/>
      <c r="DC1361" s="891">
        <v>4567</v>
      </c>
      <c r="DD1361" s="891" t="s">
        <v>3567</v>
      </c>
      <c r="DE1361" s="891" t="s">
        <v>417</v>
      </c>
      <c r="DF1361" s="891">
        <v>5</v>
      </c>
      <c r="DG1361" s="959"/>
      <c r="DH1361" s="959"/>
      <c r="ER1361" s="905">
        <v>4966</v>
      </c>
      <c r="ES1361" s="906" t="s">
        <v>2442</v>
      </c>
      <c r="ET1361" s="2686">
        <v>9</v>
      </c>
      <c r="EV1361" s="985"/>
      <c r="EW1361" s="985"/>
      <c r="EX1361" s="387"/>
      <c r="EY1361" s="939"/>
      <c r="EZ1361" s="886"/>
    </row>
    <row r="1362" spans="88:156">
      <c r="CJ1362" s="197"/>
      <c r="CK1362" s="197"/>
      <c r="CL1362" s="197"/>
      <c r="CM1362" s="213"/>
      <c r="CN1362" s="213"/>
      <c r="CO1362" s="197"/>
      <c r="CP1362" s="197"/>
      <c r="CQ1362" s="197"/>
      <c r="CR1362" s="197"/>
      <c r="CS1362" s="197"/>
      <c r="CT1362" s="197"/>
      <c r="CU1362" s="197"/>
      <c r="CV1362" s="197"/>
      <c r="CW1362" s="197"/>
      <c r="CX1362" s="959"/>
      <c r="CY1362" s="959"/>
      <c r="CZ1362" s="959"/>
      <c r="DA1362" s="959"/>
      <c r="DB1362" s="959"/>
      <c r="DC1362" s="891">
        <v>4600</v>
      </c>
      <c r="DD1362" s="891" t="s">
        <v>3568</v>
      </c>
      <c r="DE1362" s="891" t="s">
        <v>421</v>
      </c>
      <c r="DF1362" s="891">
        <v>5</v>
      </c>
      <c r="DG1362" s="959"/>
      <c r="DH1362" s="959"/>
      <c r="ER1362" s="905">
        <v>4967</v>
      </c>
      <c r="ES1362" s="906" t="s">
        <v>2443</v>
      </c>
      <c r="ET1362" s="2686">
        <v>9</v>
      </c>
      <c r="EV1362" s="985"/>
      <c r="EW1362" s="985"/>
      <c r="EX1362" s="387"/>
      <c r="EY1362" s="939"/>
      <c r="EZ1362" s="886"/>
    </row>
    <row r="1363" spans="88:156">
      <c r="CJ1363" s="197"/>
      <c r="CK1363" s="197"/>
      <c r="CL1363" s="197"/>
      <c r="CM1363" s="213"/>
      <c r="CN1363" s="213"/>
      <c r="CO1363" s="197"/>
      <c r="CP1363" s="197"/>
      <c r="CQ1363" s="197"/>
      <c r="CR1363" s="197"/>
      <c r="CS1363" s="197"/>
      <c r="CT1363" s="197"/>
      <c r="CU1363" s="197"/>
      <c r="CV1363" s="197"/>
      <c r="CW1363" s="197"/>
      <c r="CX1363" s="959"/>
      <c r="CY1363" s="959"/>
      <c r="CZ1363" s="959"/>
      <c r="DA1363" s="959"/>
      <c r="DB1363" s="959"/>
      <c r="DC1363" s="891">
        <v>4611</v>
      </c>
      <c r="DD1363" s="891" t="s">
        <v>3569</v>
      </c>
      <c r="DE1363" s="891" t="s">
        <v>417</v>
      </c>
      <c r="DF1363" s="891">
        <v>5</v>
      </c>
      <c r="DG1363" s="959"/>
      <c r="DH1363" s="959"/>
      <c r="ER1363" s="905">
        <v>4968</v>
      </c>
      <c r="ES1363" s="906" t="s">
        <v>845</v>
      </c>
      <c r="ET1363" s="2686">
        <v>9</v>
      </c>
      <c r="EV1363" s="985"/>
      <c r="EW1363" s="985"/>
      <c r="EX1363" s="387"/>
      <c r="EY1363" s="939"/>
      <c r="EZ1363" s="886"/>
    </row>
    <row r="1364" spans="88:156">
      <c r="CJ1364" s="197"/>
      <c r="CK1364" s="197"/>
      <c r="CL1364" s="197"/>
      <c r="CM1364" s="213"/>
      <c r="CN1364" s="213"/>
      <c r="CO1364" s="197"/>
      <c r="CP1364" s="197"/>
      <c r="CQ1364" s="197"/>
      <c r="CR1364" s="197"/>
      <c r="CS1364" s="197"/>
      <c r="CT1364" s="197"/>
      <c r="CU1364" s="197"/>
      <c r="CV1364" s="197"/>
      <c r="CW1364" s="197"/>
      <c r="CX1364" s="959"/>
      <c r="CY1364" s="959"/>
      <c r="CZ1364" s="959"/>
      <c r="DA1364" s="959"/>
      <c r="DB1364" s="959"/>
      <c r="DC1364" s="891">
        <v>4621</v>
      </c>
      <c r="DD1364" s="891" t="s">
        <v>3570</v>
      </c>
      <c r="DE1364" s="891" t="s">
        <v>423</v>
      </c>
      <c r="DF1364" s="891">
        <v>4</v>
      </c>
      <c r="DG1364" s="959"/>
      <c r="DH1364" s="959"/>
      <c r="ER1364" s="905">
        <v>4969</v>
      </c>
      <c r="ES1364" s="906" t="s">
        <v>3679</v>
      </c>
      <c r="ET1364" s="2686">
        <v>9</v>
      </c>
      <c r="EV1364" s="985"/>
      <c r="EW1364" s="985"/>
      <c r="EX1364" s="387"/>
      <c r="EY1364" s="939"/>
      <c r="EZ1364" s="886"/>
    </row>
    <row r="1365" spans="88:156">
      <c r="CJ1365" s="197"/>
      <c r="CK1365" s="197"/>
      <c r="CL1365" s="197"/>
      <c r="CM1365" s="213"/>
      <c r="CN1365" s="213"/>
      <c r="CO1365" s="197"/>
      <c r="CP1365" s="197"/>
      <c r="CQ1365" s="197"/>
      <c r="CR1365" s="197"/>
      <c r="CS1365" s="197"/>
      <c r="CT1365" s="197"/>
      <c r="CU1365" s="197"/>
      <c r="CV1365" s="197"/>
      <c r="CW1365" s="197"/>
      <c r="CX1365" s="959"/>
      <c r="CY1365" s="959"/>
      <c r="CZ1365" s="959"/>
      <c r="DA1365" s="959"/>
      <c r="DB1365" s="959"/>
      <c r="DC1365" s="891">
        <v>4622</v>
      </c>
      <c r="DD1365" s="891" t="s">
        <v>3571</v>
      </c>
      <c r="DE1365" s="891" t="s">
        <v>433</v>
      </c>
      <c r="DF1365" s="891">
        <v>2</v>
      </c>
      <c r="DG1365" s="959"/>
      <c r="DH1365" s="959"/>
      <c r="ER1365" s="905">
        <v>4971</v>
      </c>
      <c r="ES1365" s="906" t="s">
        <v>3680</v>
      </c>
      <c r="ET1365" s="2686">
        <v>9</v>
      </c>
      <c r="EV1365" s="985"/>
      <c r="EW1365" s="985"/>
      <c r="EX1365" s="387"/>
      <c r="EY1365" s="939"/>
      <c r="EZ1365" s="886"/>
    </row>
    <row r="1366" spans="88:156">
      <c r="CJ1366" s="197"/>
      <c r="CK1366" s="197"/>
      <c r="CL1366" s="197"/>
      <c r="CM1366" s="213"/>
      <c r="CN1366" s="213"/>
      <c r="CO1366" s="197"/>
      <c r="CP1366" s="197"/>
      <c r="CQ1366" s="197"/>
      <c r="CR1366" s="197"/>
      <c r="CS1366" s="197"/>
      <c r="CT1366" s="197"/>
      <c r="CU1366" s="197"/>
      <c r="CV1366" s="197"/>
      <c r="CW1366" s="197"/>
      <c r="CX1366" s="959"/>
      <c r="CY1366" s="959"/>
      <c r="CZ1366" s="959"/>
      <c r="DA1366" s="959"/>
      <c r="DB1366" s="959"/>
      <c r="DC1366" s="891">
        <v>4623</v>
      </c>
      <c r="DD1366" s="891" t="s">
        <v>3572</v>
      </c>
      <c r="DE1366" s="891" t="s">
        <v>433</v>
      </c>
      <c r="DF1366" s="891">
        <v>4</v>
      </c>
      <c r="DG1366" s="959"/>
      <c r="DH1366" s="959"/>
      <c r="ER1366" s="905">
        <v>4972</v>
      </c>
      <c r="ES1366" s="906" t="s">
        <v>3681</v>
      </c>
      <c r="ET1366" s="2686">
        <v>9</v>
      </c>
      <c r="EV1366" s="985"/>
      <c r="EW1366" s="985"/>
      <c r="EX1366" s="387"/>
      <c r="EY1366" s="939"/>
      <c r="EZ1366" s="886"/>
    </row>
    <row r="1367" spans="88:156">
      <c r="CJ1367" s="197"/>
      <c r="CK1367" s="197"/>
      <c r="CL1367" s="197"/>
      <c r="CM1367" s="213"/>
      <c r="CN1367" s="213"/>
      <c r="CO1367" s="197"/>
      <c r="CP1367" s="197"/>
      <c r="CQ1367" s="197"/>
      <c r="CR1367" s="197"/>
      <c r="CS1367" s="197"/>
      <c r="CT1367" s="197"/>
      <c r="CU1367" s="197"/>
      <c r="CV1367" s="197"/>
      <c r="CW1367" s="197"/>
      <c r="CX1367" s="959"/>
      <c r="CY1367" s="959"/>
      <c r="CZ1367" s="959"/>
      <c r="DA1367" s="959"/>
      <c r="DB1367" s="959"/>
      <c r="DC1367" s="891">
        <v>4624</v>
      </c>
      <c r="DD1367" s="891" t="s">
        <v>3573</v>
      </c>
      <c r="DE1367" s="891" t="s">
        <v>433</v>
      </c>
      <c r="DF1367" s="891">
        <v>5</v>
      </c>
      <c r="DG1367" s="959"/>
      <c r="DH1367" s="959"/>
      <c r="ER1367" s="905">
        <v>4973</v>
      </c>
      <c r="ES1367" s="906" t="s">
        <v>3682</v>
      </c>
      <c r="ET1367" s="2686">
        <v>9</v>
      </c>
      <c r="EV1367" s="985"/>
      <c r="EW1367" s="985"/>
      <c r="EX1367" s="387"/>
      <c r="EY1367" s="939"/>
      <c r="EZ1367" s="886"/>
    </row>
    <row r="1368" spans="88:156">
      <c r="CJ1368" s="197"/>
      <c r="CK1368" s="197"/>
      <c r="CL1368" s="197"/>
      <c r="CM1368" s="213"/>
      <c r="CN1368" s="213"/>
      <c r="CO1368" s="197"/>
      <c r="CP1368" s="197"/>
      <c r="CQ1368" s="197"/>
      <c r="CR1368" s="197"/>
      <c r="CS1368" s="197"/>
      <c r="CT1368" s="197"/>
      <c r="CU1368" s="197"/>
      <c r="CV1368" s="197"/>
      <c r="CW1368" s="197"/>
      <c r="CX1368" s="959"/>
      <c r="CY1368" s="959"/>
      <c r="CZ1368" s="959"/>
      <c r="DA1368" s="959"/>
      <c r="DB1368" s="959"/>
      <c r="DC1368" s="891">
        <v>4625</v>
      </c>
      <c r="DD1368" s="891" t="s">
        <v>3574</v>
      </c>
      <c r="DE1368" s="891" t="s">
        <v>433</v>
      </c>
      <c r="DF1368" s="891">
        <v>2</v>
      </c>
      <c r="DG1368" s="959"/>
      <c r="DH1368" s="959"/>
      <c r="ER1368" s="905">
        <v>4974</v>
      </c>
      <c r="ES1368" s="906" t="s">
        <v>3683</v>
      </c>
      <c r="ET1368" s="2686">
        <v>9</v>
      </c>
      <c r="EV1368" s="985"/>
      <c r="EW1368" s="985"/>
      <c r="EX1368" s="387"/>
      <c r="EY1368" s="939"/>
      <c r="EZ1368" s="886"/>
    </row>
    <row r="1369" spans="88:156">
      <c r="CJ1369" s="197"/>
      <c r="CK1369" s="197"/>
      <c r="CL1369" s="197"/>
      <c r="CM1369" s="213"/>
      <c r="CN1369" s="213"/>
      <c r="CO1369" s="197"/>
      <c r="CP1369" s="197"/>
      <c r="CQ1369" s="197"/>
      <c r="CR1369" s="197"/>
      <c r="CS1369" s="197"/>
      <c r="CT1369" s="197"/>
      <c r="CU1369" s="197"/>
      <c r="CV1369" s="197"/>
      <c r="CW1369" s="197"/>
      <c r="CX1369" s="959"/>
      <c r="CY1369" s="959"/>
      <c r="CZ1369" s="959"/>
      <c r="DA1369" s="959"/>
      <c r="DB1369" s="959"/>
      <c r="DC1369" s="891">
        <v>4627</v>
      </c>
      <c r="DD1369" s="891" t="s">
        <v>3575</v>
      </c>
      <c r="DE1369" s="891" t="s">
        <v>433</v>
      </c>
      <c r="DF1369" s="891">
        <v>6</v>
      </c>
      <c r="DG1369" s="959"/>
      <c r="DH1369" s="959"/>
      <c r="ER1369" s="905">
        <v>4975</v>
      </c>
      <c r="ES1369" s="906" t="s">
        <v>3684</v>
      </c>
      <c r="ET1369" s="2686">
        <v>9</v>
      </c>
      <c r="EV1369" s="985"/>
      <c r="EW1369" s="985"/>
      <c r="EX1369" s="387"/>
      <c r="EY1369" s="939"/>
      <c r="EZ1369" s="886"/>
    </row>
    <row r="1370" spans="88:156">
      <c r="CJ1370" s="197"/>
      <c r="CK1370" s="197"/>
      <c r="CL1370" s="197"/>
      <c r="CM1370" s="213"/>
      <c r="CN1370" s="213"/>
      <c r="CO1370" s="197"/>
      <c r="CP1370" s="197"/>
      <c r="CQ1370" s="197"/>
      <c r="CR1370" s="197"/>
      <c r="CS1370" s="197"/>
      <c r="CT1370" s="197"/>
      <c r="CU1370" s="197"/>
      <c r="CV1370" s="197"/>
      <c r="CW1370" s="197"/>
      <c r="CX1370" s="959"/>
      <c r="CY1370" s="959"/>
      <c r="CZ1370" s="959"/>
      <c r="DA1370" s="959"/>
      <c r="DB1370" s="959"/>
      <c r="DC1370" s="891">
        <v>4628</v>
      </c>
      <c r="DD1370" s="891" t="s">
        <v>3576</v>
      </c>
      <c r="DE1370" s="891" t="s">
        <v>428</v>
      </c>
      <c r="DF1370" s="891">
        <v>5</v>
      </c>
      <c r="DG1370" s="959"/>
      <c r="DH1370" s="959"/>
      <c r="ER1370" s="905">
        <v>4976</v>
      </c>
      <c r="ES1370" s="906" t="s">
        <v>3685</v>
      </c>
      <c r="ET1370" s="2686">
        <v>9</v>
      </c>
      <c r="EV1370" s="985"/>
      <c r="EW1370" s="985"/>
      <c r="EX1370" s="387"/>
      <c r="EY1370" s="939"/>
      <c r="EZ1370" s="886"/>
    </row>
    <row r="1371" spans="88:156">
      <c r="CJ1371" s="197"/>
      <c r="CK1371" s="197"/>
      <c r="CL1371" s="197"/>
      <c r="CM1371" s="213"/>
      <c r="CN1371" s="213"/>
      <c r="CO1371" s="197"/>
      <c r="CP1371" s="197"/>
      <c r="CQ1371" s="197"/>
      <c r="CR1371" s="197"/>
      <c r="CS1371" s="197"/>
      <c r="CT1371" s="197"/>
      <c r="CU1371" s="197"/>
      <c r="CV1371" s="197"/>
      <c r="CW1371" s="197"/>
      <c r="CX1371" s="959"/>
      <c r="CY1371" s="959"/>
      <c r="CZ1371" s="959"/>
      <c r="DA1371" s="959"/>
      <c r="DB1371" s="959"/>
      <c r="DC1371" s="891">
        <v>4631</v>
      </c>
      <c r="DD1371" s="891" t="s">
        <v>3577</v>
      </c>
      <c r="DE1371" s="891" t="s">
        <v>435</v>
      </c>
      <c r="DF1371" s="891">
        <v>5</v>
      </c>
      <c r="DG1371" s="959"/>
      <c r="DH1371" s="959"/>
      <c r="ER1371" s="905">
        <v>4977</v>
      </c>
      <c r="ES1371" s="906" t="s">
        <v>3686</v>
      </c>
      <c r="ET1371" s="2686">
        <v>9</v>
      </c>
      <c r="EV1371" s="985"/>
      <c r="EW1371" s="985"/>
      <c r="EX1371" s="387"/>
      <c r="EY1371" s="939"/>
      <c r="EZ1371" s="886"/>
    </row>
    <row r="1372" spans="88:156">
      <c r="CJ1372" s="197"/>
      <c r="CK1372" s="197"/>
      <c r="CL1372" s="197"/>
      <c r="CM1372" s="213"/>
      <c r="CN1372" s="213"/>
      <c r="CO1372" s="197"/>
      <c r="CP1372" s="197"/>
      <c r="CQ1372" s="197"/>
      <c r="CR1372" s="197"/>
      <c r="CS1372" s="197"/>
      <c r="CT1372" s="197"/>
      <c r="CU1372" s="197"/>
      <c r="CV1372" s="197"/>
      <c r="CW1372" s="197"/>
      <c r="CX1372" s="959"/>
      <c r="CY1372" s="959"/>
      <c r="CZ1372" s="959"/>
      <c r="DA1372" s="959"/>
      <c r="DB1372" s="959"/>
      <c r="DC1372" s="891">
        <v>4632</v>
      </c>
      <c r="DD1372" s="891" t="s">
        <v>3578</v>
      </c>
      <c r="DE1372" s="891" t="s">
        <v>419</v>
      </c>
      <c r="DF1372" s="891">
        <v>5</v>
      </c>
      <c r="DG1372" s="959"/>
      <c r="DH1372" s="959"/>
      <c r="ER1372" s="905">
        <v>4977</v>
      </c>
      <c r="ES1372" s="906" t="s">
        <v>846</v>
      </c>
      <c r="ET1372" s="2686">
        <v>9</v>
      </c>
      <c r="EV1372" s="985"/>
      <c r="EW1372" s="985"/>
      <c r="EX1372" s="387"/>
      <c r="EY1372" s="939"/>
      <c r="EZ1372" s="886"/>
    </row>
    <row r="1373" spans="88:156">
      <c r="CJ1373" s="197"/>
      <c r="CK1373" s="197"/>
      <c r="CL1373" s="197"/>
      <c r="CM1373" s="213"/>
      <c r="CN1373" s="213"/>
      <c r="CO1373" s="197"/>
      <c r="CP1373" s="197"/>
      <c r="CQ1373" s="197"/>
      <c r="CR1373" s="197"/>
      <c r="CS1373" s="197"/>
      <c r="CT1373" s="197"/>
      <c r="CU1373" s="197"/>
      <c r="CV1373" s="197"/>
      <c r="CW1373" s="197"/>
      <c r="CX1373" s="959"/>
      <c r="CY1373" s="959"/>
      <c r="CZ1373" s="959"/>
      <c r="DA1373" s="959"/>
      <c r="DB1373" s="959"/>
      <c r="DC1373" s="891">
        <v>4633</v>
      </c>
      <c r="DD1373" s="891" t="s">
        <v>3579</v>
      </c>
      <c r="DE1373" s="891" t="s">
        <v>402</v>
      </c>
      <c r="DF1373" s="891">
        <v>5</v>
      </c>
      <c r="DG1373" s="959"/>
      <c r="DH1373" s="959"/>
      <c r="ER1373" s="905">
        <v>5000</v>
      </c>
      <c r="ES1373" s="906" t="s">
        <v>3687</v>
      </c>
      <c r="ET1373" s="2686">
        <v>5</v>
      </c>
      <c r="EV1373" s="985"/>
      <c r="EW1373" s="985"/>
      <c r="EX1373" s="387"/>
      <c r="EY1373" s="939"/>
      <c r="EZ1373" s="886"/>
    </row>
    <row r="1374" spans="88:156">
      <c r="CJ1374" s="197"/>
      <c r="CK1374" s="197"/>
      <c r="CL1374" s="197"/>
      <c r="CM1374" s="213"/>
      <c r="CN1374" s="213"/>
      <c r="CO1374" s="197"/>
      <c r="CP1374" s="197"/>
      <c r="CQ1374" s="197"/>
      <c r="CR1374" s="197"/>
      <c r="CS1374" s="197"/>
      <c r="CT1374" s="197"/>
      <c r="CU1374" s="197"/>
      <c r="CV1374" s="197"/>
      <c r="CW1374" s="197"/>
      <c r="CX1374" s="959"/>
      <c r="CY1374" s="959"/>
      <c r="CZ1374" s="959"/>
      <c r="DA1374" s="959"/>
      <c r="DB1374" s="959"/>
      <c r="DC1374" s="891">
        <v>4634</v>
      </c>
      <c r="DD1374" s="891" t="s">
        <v>3580</v>
      </c>
      <c r="DE1374" s="891" t="s">
        <v>428</v>
      </c>
      <c r="DF1374" s="891">
        <v>2</v>
      </c>
      <c r="DG1374" s="959"/>
      <c r="DH1374" s="959"/>
      <c r="ER1374" s="905">
        <v>5008</v>
      </c>
      <c r="ES1374" s="906" t="s">
        <v>847</v>
      </c>
      <c r="ET1374" s="2686">
        <v>5</v>
      </c>
      <c r="EV1374" s="985"/>
      <c r="EW1374" s="985"/>
      <c r="EX1374" s="387"/>
      <c r="EY1374" s="939"/>
      <c r="EZ1374" s="886"/>
    </row>
    <row r="1375" spans="88:156">
      <c r="CJ1375" s="197"/>
      <c r="CK1375" s="197"/>
      <c r="CL1375" s="197"/>
      <c r="CM1375" s="213"/>
      <c r="CN1375" s="213"/>
      <c r="CO1375" s="197"/>
      <c r="CP1375" s="197"/>
      <c r="CQ1375" s="197"/>
      <c r="CR1375" s="197"/>
      <c r="CS1375" s="197"/>
      <c r="CT1375" s="197"/>
      <c r="CU1375" s="197"/>
      <c r="CV1375" s="197"/>
      <c r="CW1375" s="197"/>
      <c r="CX1375" s="959"/>
      <c r="CY1375" s="959"/>
      <c r="CZ1375" s="959"/>
      <c r="DA1375" s="959"/>
      <c r="DB1375" s="959"/>
      <c r="DC1375" s="891">
        <v>4635</v>
      </c>
      <c r="DD1375" s="891" t="s">
        <v>3581</v>
      </c>
      <c r="DE1375" s="891" t="s">
        <v>428</v>
      </c>
      <c r="DF1375" s="891">
        <v>5</v>
      </c>
      <c r="DG1375" s="959"/>
      <c r="DH1375" s="959"/>
      <c r="ER1375" s="905">
        <v>5051</v>
      </c>
      <c r="ES1375" s="906" t="s">
        <v>3690</v>
      </c>
      <c r="ET1375" s="2686">
        <v>9</v>
      </c>
      <c r="EV1375" s="985"/>
      <c r="EW1375" s="985"/>
      <c r="EX1375" s="387"/>
      <c r="EY1375" s="939"/>
      <c r="EZ1375" s="886"/>
    </row>
    <row r="1376" spans="88:156">
      <c r="CJ1376" s="197"/>
      <c r="CK1376" s="197"/>
      <c r="CL1376" s="197"/>
      <c r="CM1376" s="213"/>
      <c r="CN1376" s="213"/>
      <c r="CO1376" s="197"/>
      <c r="CP1376" s="197"/>
      <c r="CQ1376" s="197"/>
      <c r="CR1376" s="197"/>
      <c r="CS1376" s="197"/>
      <c r="CT1376" s="197"/>
      <c r="CU1376" s="197"/>
      <c r="CV1376" s="197"/>
      <c r="CW1376" s="197"/>
      <c r="CX1376" s="959"/>
      <c r="CY1376" s="959"/>
      <c r="CZ1376" s="959"/>
      <c r="DA1376" s="959"/>
      <c r="DB1376" s="959"/>
      <c r="DC1376" s="891">
        <v>4641</v>
      </c>
      <c r="DD1376" s="891" t="s">
        <v>3582</v>
      </c>
      <c r="DE1376" s="891" t="s">
        <v>432</v>
      </c>
      <c r="DF1376" s="891">
        <v>5</v>
      </c>
      <c r="DG1376" s="959"/>
      <c r="DH1376" s="959"/>
      <c r="ER1376" s="905">
        <v>5052</v>
      </c>
      <c r="ES1376" s="906" t="s">
        <v>3691</v>
      </c>
      <c r="ET1376" s="2686">
        <v>9</v>
      </c>
      <c r="EV1376" s="985"/>
      <c r="EW1376" s="985"/>
      <c r="EX1376" s="387"/>
      <c r="EY1376" s="939"/>
      <c r="EZ1376" s="886"/>
    </row>
    <row r="1377" spans="88:156">
      <c r="CJ1377" s="197"/>
      <c r="CK1377" s="197"/>
      <c r="CL1377" s="197"/>
      <c r="CM1377" s="213"/>
      <c r="CN1377" s="213"/>
      <c r="CO1377" s="197"/>
      <c r="CP1377" s="197"/>
      <c r="CQ1377" s="197"/>
      <c r="CR1377" s="197"/>
      <c r="CS1377" s="197"/>
      <c r="CT1377" s="197"/>
      <c r="CU1377" s="197"/>
      <c r="CV1377" s="197"/>
      <c r="CW1377" s="197"/>
      <c r="CX1377" s="959"/>
      <c r="CY1377" s="959"/>
      <c r="CZ1377" s="959"/>
      <c r="DA1377" s="959"/>
      <c r="DB1377" s="959"/>
      <c r="DC1377" s="891">
        <v>4642</v>
      </c>
      <c r="DD1377" s="891" t="s">
        <v>3583</v>
      </c>
      <c r="DE1377" s="891" t="s">
        <v>423</v>
      </c>
      <c r="DF1377" s="891">
        <v>5</v>
      </c>
      <c r="DG1377" s="959"/>
      <c r="DH1377" s="959"/>
      <c r="ER1377" s="905">
        <v>5053</v>
      </c>
      <c r="ES1377" s="906" t="s">
        <v>3692</v>
      </c>
      <c r="ET1377" s="2686">
        <v>9</v>
      </c>
      <c r="EV1377" s="985"/>
      <c r="EW1377" s="985"/>
      <c r="EX1377" s="387"/>
      <c r="EY1377" s="939"/>
      <c r="EZ1377" s="886"/>
    </row>
    <row r="1378" spans="88:156">
      <c r="CJ1378" s="197"/>
      <c r="CK1378" s="197"/>
      <c r="CL1378" s="197"/>
      <c r="CM1378" s="213"/>
      <c r="CN1378" s="213"/>
      <c r="CO1378" s="197"/>
      <c r="CP1378" s="197"/>
      <c r="CQ1378" s="197"/>
      <c r="CR1378" s="197"/>
      <c r="CS1378" s="197"/>
      <c r="CT1378" s="197"/>
      <c r="CU1378" s="197"/>
      <c r="CV1378" s="197"/>
      <c r="CW1378" s="197"/>
      <c r="CX1378" s="959"/>
      <c r="CY1378" s="959"/>
      <c r="CZ1378" s="959"/>
      <c r="DA1378" s="959"/>
      <c r="DB1378" s="959"/>
      <c r="DC1378" s="891">
        <v>4643</v>
      </c>
      <c r="DD1378" s="891" t="s">
        <v>3584</v>
      </c>
      <c r="DE1378" s="891" t="s">
        <v>432</v>
      </c>
      <c r="DF1378" s="891">
        <v>5</v>
      </c>
      <c r="DG1378" s="959"/>
      <c r="DH1378" s="959"/>
      <c r="ER1378" s="905">
        <v>5054</v>
      </c>
      <c r="ES1378" s="906" t="s">
        <v>3693</v>
      </c>
      <c r="ET1378" s="2686">
        <v>9</v>
      </c>
      <c r="EV1378" s="985"/>
      <c r="EW1378" s="985"/>
      <c r="EX1378" s="387"/>
      <c r="EY1378" s="939"/>
      <c r="EZ1378" s="886"/>
    </row>
    <row r="1379" spans="88:156">
      <c r="CJ1379" s="197"/>
      <c r="CK1379" s="197"/>
      <c r="CL1379" s="197"/>
      <c r="CM1379" s="213"/>
      <c r="CN1379" s="213"/>
      <c r="CO1379" s="197"/>
      <c r="CP1379" s="197"/>
      <c r="CQ1379" s="197"/>
      <c r="CR1379" s="197"/>
      <c r="CS1379" s="197"/>
      <c r="CT1379" s="197"/>
      <c r="CU1379" s="197"/>
      <c r="CV1379" s="197"/>
      <c r="CW1379" s="197"/>
      <c r="CX1379" s="959"/>
      <c r="CY1379" s="959"/>
      <c r="CZ1379" s="959"/>
      <c r="DA1379" s="959"/>
      <c r="DB1379" s="959"/>
      <c r="DC1379" s="891">
        <v>4644</v>
      </c>
      <c r="DD1379" s="891" t="s">
        <v>3585</v>
      </c>
      <c r="DE1379" s="891" t="s">
        <v>432</v>
      </c>
      <c r="DF1379" s="891">
        <v>4</v>
      </c>
      <c r="DG1379" s="959"/>
      <c r="DH1379" s="959"/>
      <c r="ER1379" s="905">
        <v>5055</v>
      </c>
      <c r="ES1379" s="906" t="s">
        <v>3694</v>
      </c>
      <c r="ET1379" s="2686">
        <v>9</v>
      </c>
      <c r="EV1379" s="985"/>
      <c r="EW1379" s="985"/>
      <c r="EX1379" s="387"/>
      <c r="EY1379" s="939"/>
      <c r="EZ1379" s="886"/>
    </row>
    <row r="1380" spans="88:156">
      <c r="CJ1380" s="197"/>
      <c r="CK1380" s="197"/>
      <c r="CL1380" s="197"/>
      <c r="CM1380" s="213"/>
      <c r="CN1380" s="213"/>
      <c r="CO1380" s="197"/>
      <c r="CP1380" s="197"/>
      <c r="CQ1380" s="197"/>
      <c r="CR1380" s="197"/>
      <c r="CS1380" s="197"/>
      <c r="CT1380" s="197"/>
      <c r="CU1380" s="197"/>
      <c r="CV1380" s="197"/>
      <c r="CW1380" s="197"/>
      <c r="CX1380" s="959"/>
      <c r="CY1380" s="959"/>
      <c r="CZ1380" s="959"/>
      <c r="DA1380" s="959"/>
      <c r="DB1380" s="959"/>
      <c r="DC1380" s="891">
        <v>4645</v>
      </c>
      <c r="DD1380" s="891" t="s">
        <v>3586</v>
      </c>
      <c r="DE1380" s="891" t="s">
        <v>434</v>
      </c>
      <c r="DF1380" s="891">
        <v>6</v>
      </c>
      <c r="DG1380" s="959"/>
      <c r="DH1380" s="959"/>
      <c r="ER1380" s="905">
        <v>5061</v>
      </c>
      <c r="ES1380" s="906" t="s">
        <v>3695</v>
      </c>
      <c r="ET1380" s="2686">
        <v>9</v>
      </c>
      <c r="EV1380" s="985"/>
      <c r="EW1380" s="985"/>
      <c r="EX1380" s="387"/>
      <c r="EY1380" s="939"/>
      <c r="EZ1380" s="886"/>
    </row>
    <row r="1381" spans="88:156">
      <c r="CJ1381" s="197"/>
      <c r="CK1381" s="197"/>
      <c r="CL1381" s="197"/>
      <c r="CM1381" s="213"/>
      <c r="CN1381" s="213"/>
      <c r="CO1381" s="197"/>
      <c r="CP1381" s="197"/>
      <c r="CQ1381" s="197"/>
      <c r="CR1381" s="197"/>
      <c r="CS1381" s="197"/>
      <c r="CT1381" s="197"/>
      <c r="CU1381" s="197"/>
      <c r="CV1381" s="197"/>
      <c r="CW1381" s="197"/>
      <c r="CX1381" s="959"/>
      <c r="CY1381" s="959"/>
      <c r="CZ1381" s="959"/>
      <c r="DA1381" s="959"/>
      <c r="DB1381" s="959"/>
      <c r="DC1381" s="891">
        <v>4646</v>
      </c>
      <c r="DD1381" s="891" t="s">
        <v>3587</v>
      </c>
      <c r="DE1381" s="891" t="s">
        <v>434</v>
      </c>
      <c r="DF1381" s="891">
        <v>5</v>
      </c>
      <c r="DG1381" s="959"/>
      <c r="DH1381" s="959"/>
      <c r="ER1381" s="905">
        <v>5062</v>
      </c>
      <c r="ES1381" s="906" t="s">
        <v>848</v>
      </c>
      <c r="ET1381" s="2686">
        <v>9</v>
      </c>
      <c r="EV1381" s="985"/>
      <c r="EW1381" s="985"/>
      <c r="EX1381" s="387"/>
      <c r="EY1381" s="939"/>
      <c r="EZ1381" s="886"/>
    </row>
    <row r="1382" spans="88:156">
      <c r="CJ1382" s="197"/>
      <c r="CK1382" s="197"/>
      <c r="CL1382" s="197"/>
      <c r="CM1382" s="213"/>
      <c r="CN1382" s="213"/>
      <c r="CO1382" s="197"/>
      <c r="CP1382" s="197"/>
      <c r="CQ1382" s="197"/>
      <c r="CR1382" s="197"/>
      <c r="CS1382" s="197"/>
      <c r="CT1382" s="197"/>
      <c r="CU1382" s="197"/>
      <c r="CV1382" s="197"/>
      <c r="CW1382" s="197"/>
      <c r="CX1382" s="959"/>
      <c r="CY1382" s="959"/>
      <c r="CZ1382" s="959"/>
      <c r="DA1382" s="959"/>
      <c r="DB1382" s="959"/>
      <c r="DC1382" s="891">
        <v>4700</v>
      </c>
      <c r="DD1382" s="891" t="s">
        <v>3588</v>
      </c>
      <c r="DE1382" s="891" t="s">
        <v>434</v>
      </c>
      <c r="DF1382" s="891">
        <v>4</v>
      </c>
      <c r="DG1382" s="959"/>
      <c r="DH1382" s="959"/>
      <c r="ER1382" s="905">
        <v>5063</v>
      </c>
      <c r="ES1382" s="906" t="s">
        <v>4896</v>
      </c>
      <c r="ET1382" s="2686">
        <v>9</v>
      </c>
      <c r="EV1382" s="985"/>
      <c r="EW1382" s="985"/>
      <c r="EX1382" s="387"/>
      <c r="EY1382" s="939"/>
      <c r="EZ1382" s="886"/>
    </row>
    <row r="1383" spans="88:156">
      <c r="CJ1383" s="197"/>
      <c r="CK1383" s="197"/>
      <c r="CL1383" s="197"/>
      <c r="CM1383" s="213"/>
      <c r="CN1383" s="213"/>
      <c r="CO1383" s="197"/>
      <c r="CP1383" s="197"/>
      <c r="CQ1383" s="197"/>
      <c r="CR1383" s="197"/>
      <c r="CS1383" s="197"/>
      <c r="CT1383" s="197"/>
      <c r="CU1383" s="197"/>
      <c r="CV1383" s="197"/>
      <c r="CW1383" s="197"/>
      <c r="CX1383" s="959"/>
      <c r="CY1383" s="959"/>
      <c r="CZ1383" s="959"/>
      <c r="DA1383" s="959"/>
      <c r="DB1383" s="959"/>
      <c r="DC1383" s="891">
        <v>4721</v>
      </c>
      <c r="DD1383" s="891" t="s">
        <v>3589</v>
      </c>
      <c r="DE1383" s="891" t="s">
        <v>434</v>
      </c>
      <c r="DF1383" s="891">
        <v>5</v>
      </c>
      <c r="DG1383" s="959"/>
      <c r="DH1383" s="959"/>
      <c r="ER1383" s="905">
        <v>5064</v>
      </c>
      <c r="ES1383" s="906" t="s">
        <v>4897</v>
      </c>
      <c r="ET1383" s="2686">
        <v>9</v>
      </c>
      <c r="EV1383" s="985"/>
      <c r="EW1383" s="985"/>
      <c r="EX1383" s="387"/>
      <c r="EY1383" s="939"/>
      <c r="EZ1383" s="886"/>
    </row>
    <row r="1384" spans="88:156">
      <c r="CJ1384" s="197"/>
      <c r="CK1384" s="197"/>
      <c r="CL1384" s="197"/>
      <c r="CM1384" s="213"/>
      <c r="CN1384" s="213"/>
      <c r="CO1384" s="197"/>
      <c r="CP1384" s="197"/>
      <c r="CQ1384" s="197"/>
      <c r="CR1384" s="197"/>
      <c r="CS1384" s="197"/>
      <c r="CT1384" s="197"/>
      <c r="CU1384" s="197"/>
      <c r="CV1384" s="197"/>
      <c r="CW1384" s="197"/>
      <c r="CX1384" s="959"/>
      <c r="CY1384" s="959"/>
      <c r="CZ1384" s="959"/>
      <c r="DA1384" s="959"/>
      <c r="DB1384" s="959"/>
      <c r="DC1384" s="891">
        <v>4722</v>
      </c>
      <c r="DD1384" s="891" t="s">
        <v>3590</v>
      </c>
      <c r="DE1384" s="891" t="s">
        <v>434</v>
      </c>
      <c r="DF1384" s="891">
        <v>6</v>
      </c>
      <c r="DG1384" s="959"/>
      <c r="DH1384" s="959"/>
      <c r="ER1384" s="905">
        <v>5065</v>
      </c>
      <c r="ES1384" s="906" t="s">
        <v>4898</v>
      </c>
      <c r="ET1384" s="2686">
        <v>9</v>
      </c>
      <c r="EV1384" s="985"/>
      <c r="EW1384" s="985"/>
      <c r="EX1384" s="387"/>
      <c r="EY1384" s="939"/>
      <c r="EZ1384" s="886"/>
    </row>
    <row r="1385" spans="88:156">
      <c r="CJ1385" s="197"/>
      <c r="CK1385" s="197"/>
      <c r="CL1385" s="197"/>
      <c r="CM1385" s="213"/>
      <c r="CN1385" s="213"/>
      <c r="CO1385" s="197"/>
      <c r="CP1385" s="197"/>
      <c r="CQ1385" s="197"/>
      <c r="CR1385" s="197"/>
      <c r="CS1385" s="197"/>
      <c r="CT1385" s="197"/>
      <c r="CU1385" s="197"/>
      <c r="CV1385" s="197"/>
      <c r="CW1385" s="197"/>
      <c r="CX1385" s="959"/>
      <c r="CY1385" s="959"/>
      <c r="CZ1385" s="959"/>
      <c r="DA1385" s="959"/>
      <c r="DB1385" s="959"/>
      <c r="DC1385" s="891">
        <v>4731</v>
      </c>
      <c r="DD1385" s="891" t="s">
        <v>3591</v>
      </c>
      <c r="DE1385" s="891" t="s">
        <v>434</v>
      </c>
      <c r="DF1385" s="891">
        <v>5</v>
      </c>
      <c r="DG1385" s="959"/>
      <c r="DH1385" s="959"/>
      <c r="ER1385" s="905">
        <v>5071</v>
      </c>
      <c r="ES1385" s="906" t="s">
        <v>4899</v>
      </c>
      <c r="ET1385" s="2686">
        <v>9</v>
      </c>
      <c r="EV1385" s="985"/>
      <c r="EW1385" s="985"/>
      <c r="EX1385" s="387"/>
      <c r="EY1385" s="939"/>
      <c r="EZ1385" s="886"/>
    </row>
    <row r="1386" spans="88:156">
      <c r="CJ1386" s="197"/>
      <c r="CK1386" s="197"/>
      <c r="CL1386" s="197"/>
      <c r="CM1386" s="213"/>
      <c r="CN1386" s="213"/>
      <c r="CO1386" s="197"/>
      <c r="CP1386" s="197"/>
      <c r="CQ1386" s="197"/>
      <c r="CR1386" s="197"/>
      <c r="CS1386" s="197"/>
      <c r="CT1386" s="197"/>
      <c r="CU1386" s="197"/>
      <c r="CV1386" s="197"/>
      <c r="CW1386" s="197"/>
      <c r="CX1386" s="959"/>
      <c r="CY1386" s="959"/>
      <c r="CZ1386" s="959"/>
      <c r="DA1386" s="959"/>
      <c r="DB1386" s="959"/>
      <c r="DC1386" s="891">
        <v>4732</v>
      </c>
      <c r="DD1386" s="891" t="s">
        <v>3592</v>
      </c>
      <c r="DE1386" s="891" t="s">
        <v>434</v>
      </c>
      <c r="DF1386" s="891">
        <v>6</v>
      </c>
      <c r="DG1386" s="959"/>
      <c r="DH1386" s="959"/>
      <c r="ER1386" s="905">
        <v>5081</v>
      </c>
      <c r="ES1386" s="906" t="s">
        <v>4900</v>
      </c>
      <c r="ET1386" s="2686">
        <v>9</v>
      </c>
      <c r="EV1386" s="985"/>
      <c r="EW1386" s="985"/>
      <c r="EX1386" s="387"/>
      <c r="EY1386" s="939"/>
      <c r="EZ1386" s="886"/>
    </row>
    <row r="1387" spans="88:156">
      <c r="CJ1387" s="197"/>
      <c r="CK1387" s="197"/>
      <c r="CL1387" s="197"/>
      <c r="CM1387" s="213"/>
      <c r="CN1387" s="213"/>
      <c r="CO1387" s="197"/>
      <c r="CP1387" s="197"/>
      <c r="CQ1387" s="197"/>
      <c r="CR1387" s="197"/>
      <c r="CS1387" s="197"/>
      <c r="CT1387" s="197"/>
      <c r="CU1387" s="197"/>
      <c r="CV1387" s="197"/>
      <c r="CW1387" s="197"/>
      <c r="CX1387" s="959"/>
      <c r="CY1387" s="959"/>
      <c r="CZ1387" s="959"/>
      <c r="DA1387" s="959"/>
      <c r="DB1387" s="959"/>
      <c r="DC1387" s="891">
        <v>4733</v>
      </c>
      <c r="DD1387" s="891" t="s">
        <v>3593</v>
      </c>
      <c r="DE1387" s="891" t="s">
        <v>434</v>
      </c>
      <c r="DF1387" s="891">
        <v>6</v>
      </c>
      <c r="DG1387" s="959"/>
      <c r="DH1387" s="959"/>
      <c r="ER1387" s="905">
        <v>5082</v>
      </c>
      <c r="ES1387" s="906" t="s">
        <v>4901</v>
      </c>
      <c r="ET1387" s="2686">
        <v>9</v>
      </c>
      <c r="EV1387" s="985"/>
      <c r="EW1387" s="985"/>
      <c r="EX1387" s="387"/>
      <c r="EY1387" s="939"/>
      <c r="EZ1387" s="886"/>
    </row>
    <row r="1388" spans="88:156">
      <c r="CJ1388" s="197"/>
      <c r="CK1388" s="197"/>
      <c r="CL1388" s="197"/>
      <c r="CM1388" s="213"/>
      <c r="CN1388" s="213"/>
      <c r="CO1388" s="197"/>
      <c r="CP1388" s="197"/>
      <c r="CQ1388" s="197"/>
      <c r="CR1388" s="197"/>
      <c r="CS1388" s="197"/>
      <c r="CT1388" s="197"/>
      <c r="CU1388" s="197"/>
      <c r="CV1388" s="197"/>
      <c r="CW1388" s="197"/>
      <c r="CX1388" s="959"/>
      <c r="CY1388" s="959"/>
      <c r="CZ1388" s="959"/>
      <c r="DA1388" s="959"/>
      <c r="DB1388" s="959"/>
      <c r="DC1388" s="891">
        <v>4734</v>
      </c>
      <c r="DD1388" s="891" t="s">
        <v>3594</v>
      </c>
      <c r="DE1388" s="891" t="s">
        <v>434</v>
      </c>
      <c r="DF1388" s="891">
        <v>6</v>
      </c>
      <c r="DG1388" s="959"/>
      <c r="DH1388" s="959"/>
      <c r="ER1388" s="905">
        <v>5083</v>
      </c>
      <c r="ES1388" s="906" t="s">
        <v>4902</v>
      </c>
      <c r="ET1388" s="2686">
        <v>9</v>
      </c>
      <c r="EV1388" s="985"/>
      <c r="EW1388" s="985"/>
      <c r="EX1388" s="387"/>
      <c r="EY1388" s="939"/>
      <c r="EZ1388" s="886"/>
    </row>
    <row r="1389" spans="88:156">
      <c r="CJ1389" s="197"/>
      <c r="CK1389" s="197"/>
      <c r="CL1389" s="197"/>
      <c r="CM1389" s="213"/>
      <c r="CN1389" s="213"/>
      <c r="CO1389" s="197"/>
      <c r="CP1389" s="197"/>
      <c r="CQ1389" s="197"/>
      <c r="CR1389" s="197"/>
      <c r="CS1389" s="197"/>
      <c r="CT1389" s="197"/>
      <c r="CU1389" s="197"/>
      <c r="CV1389" s="197"/>
      <c r="CW1389" s="197"/>
      <c r="CX1389" s="959"/>
      <c r="CY1389" s="959"/>
      <c r="CZ1389" s="959"/>
      <c r="DA1389" s="959"/>
      <c r="DB1389" s="959"/>
      <c r="DC1389" s="891">
        <v>4735</v>
      </c>
      <c r="DD1389" s="891" t="s">
        <v>3595</v>
      </c>
      <c r="DE1389" s="891" t="s">
        <v>434</v>
      </c>
      <c r="DF1389" s="891">
        <v>6</v>
      </c>
      <c r="DG1389" s="959"/>
      <c r="DH1389" s="959"/>
      <c r="ER1389" s="905">
        <v>5084</v>
      </c>
      <c r="ES1389" s="906" t="s">
        <v>4903</v>
      </c>
      <c r="ET1389" s="2686">
        <v>9</v>
      </c>
      <c r="EV1389" s="985"/>
      <c r="EW1389" s="985"/>
      <c r="EX1389" s="387"/>
      <c r="EY1389" s="939"/>
      <c r="EZ1389" s="886"/>
    </row>
    <row r="1390" spans="88:156">
      <c r="CJ1390" s="197"/>
      <c r="CK1390" s="197"/>
      <c r="CL1390" s="197"/>
      <c r="CM1390" s="213"/>
      <c r="CN1390" s="213"/>
      <c r="CO1390" s="197"/>
      <c r="CP1390" s="197"/>
      <c r="CQ1390" s="197"/>
      <c r="CR1390" s="197"/>
      <c r="CS1390" s="197"/>
      <c r="CT1390" s="197"/>
      <c r="CU1390" s="197"/>
      <c r="CV1390" s="197"/>
      <c r="CW1390" s="197"/>
      <c r="CX1390" s="959"/>
      <c r="CY1390" s="959"/>
      <c r="CZ1390" s="959"/>
      <c r="DA1390" s="959"/>
      <c r="DB1390" s="959"/>
      <c r="DC1390" s="891">
        <v>4737</v>
      </c>
      <c r="DD1390" s="891" t="s">
        <v>3596</v>
      </c>
      <c r="DE1390" s="891" t="s">
        <v>434</v>
      </c>
      <c r="DF1390" s="891">
        <v>6</v>
      </c>
      <c r="DG1390" s="959"/>
      <c r="DH1390" s="959"/>
      <c r="ER1390" s="905">
        <v>5085</v>
      </c>
      <c r="ES1390" s="906" t="s">
        <v>4904</v>
      </c>
      <c r="ET1390" s="2686">
        <v>9</v>
      </c>
      <c r="EV1390" s="985"/>
      <c r="EW1390" s="985"/>
      <c r="EX1390" s="387"/>
      <c r="EY1390" s="939"/>
      <c r="EZ1390" s="886"/>
    </row>
    <row r="1391" spans="88:156">
      <c r="CJ1391" s="197"/>
      <c r="CK1391" s="197"/>
      <c r="CL1391" s="197"/>
      <c r="CM1391" s="213"/>
      <c r="CN1391" s="213"/>
      <c r="CO1391" s="197"/>
      <c r="CP1391" s="197"/>
      <c r="CQ1391" s="197"/>
      <c r="CR1391" s="197"/>
      <c r="CS1391" s="197"/>
      <c r="CT1391" s="197"/>
      <c r="CU1391" s="197"/>
      <c r="CV1391" s="197"/>
      <c r="CW1391" s="197"/>
      <c r="CX1391" s="959"/>
      <c r="CY1391" s="959"/>
      <c r="CZ1391" s="959"/>
      <c r="DA1391" s="959"/>
      <c r="DB1391" s="959"/>
      <c r="DC1391" s="891">
        <v>4741</v>
      </c>
      <c r="DD1391" s="891" t="s">
        <v>3597</v>
      </c>
      <c r="DE1391" s="891" t="s">
        <v>434</v>
      </c>
      <c r="DF1391" s="891">
        <v>6</v>
      </c>
      <c r="DG1391" s="959"/>
      <c r="DH1391" s="959"/>
      <c r="ER1391" s="905">
        <v>5091</v>
      </c>
      <c r="ES1391" s="906" t="s">
        <v>4905</v>
      </c>
      <c r="ET1391" s="2686">
        <v>9</v>
      </c>
      <c r="EV1391" s="985"/>
      <c r="EW1391" s="985"/>
      <c r="EX1391" s="387"/>
      <c r="EY1391" s="939"/>
      <c r="EZ1391" s="886"/>
    </row>
    <row r="1392" spans="88:156">
      <c r="CJ1392" s="197"/>
      <c r="CK1392" s="197"/>
      <c r="CL1392" s="197"/>
      <c r="CM1392" s="213"/>
      <c r="CN1392" s="213"/>
      <c r="CO1392" s="197"/>
      <c r="CP1392" s="197"/>
      <c r="CQ1392" s="197"/>
      <c r="CR1392" s="197"/>
      <c r="CS1392" s="197"/>
      <c r="CT1392" s="197"/>
      <c r="CU1392" s="197"/>
      <c r="CV1392" s="197"/>
      <c r="CW1392" s="197"/>
      <c r="CX1392" s="959"/>
      <c r="CY1392" s="959"/>
      <c r="CZ1392" s="959"/>
      <c r="DA1392" s="959"/>
      <c r="DB1392" s="959"/>
      <c r="DC1392" s="891">
        <v>4742</v>
      </c>
      <c r="DD1392" s="891" t="s">
        <v>3598</v>
      </c>
      <c r="DE1392" s="891" t="s">
        <v>434</v>
      </c>
      <c r="DF1392" s="891">
        <v>6</v>
      </c>
      <c r="DG1392" s="959"/>
      <c r="DH1392" s="959"/>
      <c r="ER1392" s="905">
        <v>5092</v>
      </c>
      <c r="ES1392" s="906" t="s">
        <v>4906</v>
      </c>
      <c r="ET1392" s="2686">
        <v>9</v>
      </c>
      <c r="EV1392" s="985"/>
      <c r="EW1392" s="985"/>
      <c r="EX1392" s="387"/>
      <c r="EY1392" s="939"/>
      <c r="EZ1392" s="886"/>
    </row>
    <row r="1393" spans="88:156">
      <c r="CJ1393" s="197"/>
      <c r="CK1393" s="197"/>
      <c r="CL1393" s="197"/>
      <c r="CM1393" s="213"/>
      <c r="CN1393" s="213"/>
      <c r="CO1393" s="197"/>
      <c r="CP1393" s="197"/>
      <c r="CQ1393" s="197"/>
      <c r="CR1393" s="197"/>
      <c r="CS1393" s="197"/>
      <c r="CT1393" s="197"/>
      <c r="CU1393" s="197"/>
      <c r="CV1393" s="197"/>
      <c r="CW1393" s="197"/>
      <c r="CX1393" s="959"/>
      <c r="CY1393" s="959"/>
      <c r="CZ1393" s="959"/>
      <c r="DA1393" s="959"/>
      <c r="DB1393" s="959"/>
      <c r="DC1393" s="891">
        <v>4743</v>
      </c>
      <c r="DD1393" s="891" t="s">
        <v>3599</v>
      </c>
      <c r="DE1393" s="891" t="s">
        <v>434</v>
      </c>
      <c r="DF1393" s="891">
        <v>5</v>
      </c>
      <c r="DG1393" s="959"/>
      <c r="DH1393" s="959"/>
      <c r="ER1393" s="905">
        <v>5093</v>
      </c>
      <c r="ES1393" s="906" t="s">
        <v>4907</v>
      </c>
      <c r="ET1393" s="2686">
        <v>9</v>
      </c>
      <c r="EV1393" s="985"/>
      <c r="EW1393" s="985"/>
      <c r="EX1393" s="387"/>
      <c r="EY1393" s="939"/>
      <c r="EZ1393" s="886"/>
    </row>
    <row r="1394" spans="88:156">
      <c r="CJ1394" s="197"/>
      <c r="CK1394" s="197"/>
      <c r="CL1394" s="197"/>
      <c r="CM1394" s="213"/>
      <c r="CN1394" s="213"/>
      <c r="CO1394" s="197"/>
      <c r="CP1394" s="197"/>
      <c r="CQ1394" s="197"/>
      <c r="CR1394" s="197"/>
      <c r="CS1394" s="197"/>
      <c r="CT1394" s="197"/>
      <c r="CU1394" s="197"/>
      <c r="CV1394" s="197"/>
      <c r="CW1394" s="197"/>
      <c r="CX1394" s="959"/>
      <c r="CY1394" s="959"/>
      <c r="CZ1394" s="959"/>
      <c r="DA1394" s="959"/>
      <c r="DB1394" s="959"/>
      <c r="DC1394" s="891">
        <v>4745</v>
      </c>
      <c r="DD1394" s="891" t="s">
        <v>3600</v>
      </c>
      <c r="DE1394" s="891" t="s">
        <v>434</v>
      </c>
      <c r="DF1394" s="891">
        <v>5</v>
      </c>
      <c r="DG1394" s="959"/>
      <c r="DH1394" s="959"/>
      <c r="ER1394" s="905">
        <v>5094</v>
      </c>
      <c r="ES1394" s="906" t="s">
        <v>4908</v>
      </c>
      <c r="ET1394" s="2686">
        <v>9</v>
      </c>
      <c r="EV1394" s="985"/>
      <c r="EW1394" s="985"/>
      <c r="EX1394" s="387"/>
      <c r="EY1394" s="939"/>
      <c r="EZ1394" s="886"/>
    </row>
    <row r="1395" spans="88:156">
      <c r="CJ1395" s="197"/>
      <c r="CK1395" s="197"/>
      <c r="CL1395" s="197"/>
      <c r="CM1395" s="213"/>
      <c r="CN1395" s="213"/>
      <c r="CO1395" s="197"/>
      <c r="CP1395" s="197"/>
      <c r="CQ1395" s="197"/>
      <c r="CR1395" s="197"/>
      <c r="CS1395" s="197"/>
      <c r="CT1395" s="197"/>
      <c r="CU1395" s="197"/>
      <c r="CV1395" s="197"/>
      <c r="CW1395" s="197"/>
      <c r="CX1395" s="959"/>
      <c r="CY1395" s="959"/>
      <c r="CZ1395" s="959"/>
      <c r="DA1395" s="959"/>
      <c r="DB1395" s="959"/>
      <c r="DC1395" s="891">
        <v>4746</v>
      </c>
      <c r="DD1395" s="891" t="s">
        <v>3601</v>
      </c>
      <c r="DE1395" s="891" t="s">
        <v>434</v>
      </c>
      <c r="DF1395" s="891">
        <v>6</v>
      </c>
      <c r="DG1395" s="959"/>
      <c r="DH1395" s="959"/>
      <c r="ER1395" s="905">
        <v>5095</v>
      </c>
      <c r="ES1395" s="906" t="s">
        <v>849</v>
      </c>
      <c r="ET1395" s="2686">
        <v>9</v>
      </c>
      <c r="EV1395" s="985"/>
      <c r="EW1395" s="985"/>
      <c r="EX1395" s="387"/>
      <c r="EY1395" s="939"/>
      <c r="EZ1395" s="886"/>
    </row>
    <row r="1396" spans="88:156">
      <c r="CJ1396" s="197"/>
      <c r="CK1396" s="197"/>
      <c r="CL1396" s="197"/>
      <c r="CM1396" s="213"/>
      <c r="CN1396" s="213"/>
      <c r="CO1396" s="197"/>
      <c r="CP1396" s="197"/>
      <c r="CQ1396" s="197"/>
      <c r="CR1396" s="197"/>
      <c r="CS1396" s="197"/>
      <c r="CT1396" s="197"/>
      <c r="CU1396" s="197"/>
      <c r="CV1396" s="197"/>
      <c r="CW1396" s="197"/>
      <c r="CX1396" s="959"/>
      <c r="CY1396" s="959"/>
      <c r="CZ1396" s="959"/>
      <c r="DA1396" s="959"/>
      <c r="DB1396" s="959"/>
      <c r="DC1396" s="891">
        <v>4751</v>
      </c>
      <c r="DD1396" s="891" t="s">
        <v>3602</v>
      </c>
      <c r="DE1396" s="891" t="s">
        <v>423</v>
      </c>
      <c r="DF1396" s="891">
        <v>5</v>
      </c>
      <c r="DG1396" s="959"/>
      <c r="DH1396" s="959"/>
      <c r="ER1396" s="905">
        <v>5100</v>
      </c>
      <c r="ES1396" s="906" t="s">
        <v>4910</v>
      </c>
      <c r="ET1396" s="2686">
        <v>9</v>
      </c>
      <c r="EV1396" s="985"/>
      <c r="EW1396" s="985"/>
      <c r="EX1396" s="387"/>
      <c r="EY1396" s="939"/>
      <c r="EZ1396" s="886"/>
    </row>
    <row r="1397" spans="88:156">
      <c r="CJ1397" s="197"/>
      <c r="CK1397" s="197"/>
      <c r="CL1397" s="197"/>
      <c r="CM1397" s="213"/>
      <c r="CN1397" s="213"/>
      <c r="CO1397" s="197"/>
      <c r="CP1397" s="197"/>
      <c r="CQ1397" s="197"/>
      <c r="CR1397" s="197"/>
      <c r="CS1397" s="197"/>
      <c r="CT1397" s="197"/>
      <c r="CU1397" s="197"/>
      <c r="CV1397" s="197"/>
      <c r="CW1397" s="197"/>
      <c r="CX1397" s="959"/>
      <c r="CY1397" s="959"/>
      <c r="CZ1397" s="959"/>
      <c r="DA1397" s="959"/>
      <c r="DB1397" s="959"/>
      <c r="DC1397" s="891">
        <v>4752</v>
      </c>
      <c r="DD1397" s="891" t="s">
        <v>3603</v>
      </c>
      <c r="DE1397" s="891" t="s">
        <v>419</v>
      </c>
      <c r="DF1397" s="891">
        <v>5</v>
      </c>
      <c r="DG1397" s="959"/>
      <c r="DH1397" s="959"/>
      <c r="ER1397" s="905">
        <v>5111</v>
      </c>
      <c r="ES1397" s="906" t="s">
        <v>4911</v>
      </c>
      <c r="ET1397" s="2686">
        <v>9</v>
      </c>
      <c r="EV1397" s="985"/>
      <c r="EW1397" s="985"/>
      <c r="EX1397" s="387"/>
      <c r="EY1397" s="939"/>
      <c r="EZ1397" s="886"/>
    </row>
    <row r="1398" spans="88:156">
      <c r="CJ1398" s="197"/>
      <c r="CK1398" s="197"/>
      <c r="CL1398" s="197"/>
      <c r="CM1398" s="213"/>
      <c r="CN1398" s="213"/>
      <c r="CO1398" s="197"/>
      <c r="CP1398" s="197"/>
      <c r="CQ1398" s="197"/>
      <c r="CR1398" s="197"/>
      <c r="CS1398" s="197"/>
      <c r="CT1398" s="197"/>
      <c r="CU1398" s="197"/>
      <c r="CV1398" s="197"/>
      <c r="CW1398" s="197"/>
      <c r="CX1398" s="959"/>
      <c r="CY1398" s="959"/>
      <c r="CZ1398" s="959"/>
      <c r="DA1398" s="959"/>
      <c r="DB1398" s="959"/>
      <c r="DC1398" s="891">
        <v>4753</v>
      </c>
      <c r="DD1398" s="891" t="s">
        <v>3604</v>
      </c>
      <c r="DE1398" s="891" t="s">
        <v>427</v>
      </c>
      <c r="DF1398" s="891">
        <v>5</v>
      </c>
      <c r="DG1398" s="959"/>
      <c r="DH1398" s="959"/>
      <c r="ER1398" s="905">
        <v>5121</v>
      </c>
      <c r="ES1398" s="906" t="s">
        <v>4912</v>
      </c>
      <c r="ET1398" s="2686">
        <v>9</v>
      </c>
      <c r="EV1398" s="985"/>
      <c r="EW1398" s="985"/>
      <c r="EX1398" s="387"/>
      <c r="EY1398" s="939"/>
      <c r="EZ1398" s="886"/>
    </row>
    <row r="1399" spans="88:156">
      <c r="CJ1399" s="197"/>
      <c r="CK1399" s="197"/>
      <c r="CL1399" s="197"/>
      <c r="CM1399" s="213"/>
      <c r="CN1399" s="213"/>
      <c r="CO1399" s="197"/>
      <c r="CP1399" s="197"/>
      <c r="CQ1399" s="197"/>
      <c r="CR1399" s="197"/>
      <c r="CS1399" s="197"/>
      <c r="CT1399" s="197"/>
      <c r="CU1399" s="197"/>
      <c r="CV1399" s="197"/>
      <c r="CW1399" s="197"/>
      <c r="CX1399" s="959"/>
      <c r="CY1399" s="959"/>
      <c r="CZ1399" s="959"/>
      <c r="DA1399" s="959"/>
      <c r="DB1399" s="959"/>
      <c r="DC1399" s="891">
        <v>4754</v>
      </c>
      <c r="DD1399" s="891" t="s">
        <v>3605</v>
      </c>
      <c r="DE1399" s="891" t="s">
        <v>421</v>
      </c>
      <c r="DF1399" s="891">
        <v>5</v>
      </c>
      <c r="DG1399" s="959"/>
      <c r="DH1399" s="959"/>
      <c r="ER1399" s="905">
        <v>5122</v>
      </c>
      <c r="ES1399" s="906" t="s">
        <v>4913</v>
      </c>
      <c r="ET1399" s="2686">
        <v>9</v>
      </c>
      <c r="EV1399" s="985"/>
      <c r="EW1399" s="985"/>
      <c r="EX1399" s="387"/>
      <c r="EY1399" s="939"/>
      <c r="EZ1399" s="886"/>
    </row>
    <row r="1400" spans="88:156">
      <c r="CJ1400" s="197"/>
      <c r="CK1400" s="197"/>
      <c r="CL1400" s="197"/>
      <c r="CM1400" s="213"/>
      <c r="CN1400" s="213"/>
      <c r="CO1400" s="197"/>
      <c r="CP1400" s="197"/>
      <c r="CQ1400" s="197"/>
      <c r="CR1400" s="197"/>
      <c r="CS1400" s="197"/>
      <c r="CT1400" s="197"/>
      <c r="CU1400" s="197"/>
      <c r="CV1400" s="197"/>
      <c r="CW1400" s="197"/>
      <c r="CX1400" s="959"/>
      <c r="CY1400" s="959"/>
      <c r="CZ1400" s="959"/>
      <c r="DA1400" s="959"/>
      <c r="DB1400" s="959"/>
      <c r="DC1400" s="891">
        <v>4755</v>
      </c>
      <c r="DD1400" s="891" t="s">
        <v>3606</v>
      </c>
      <c r="DE1400" s="891" t="s">
        <v>417</v>
      </c>
      <c r="DF1400" s="891">
        <v>5</v>
      </c>
      <c r="DG1400" s="959"/>
      <c r="DH1400" s="959"/>
      <c r="ER1400" s="905">
        <v>5123</v>
      </c>
      <c r="ES1400" s="906" t="s">
        <v>4914</v>
      </c>
      <c r="ET1400" s="2686">
        <v>9</v>
      </c>
      <c r="EV1400" s="985"/>
      <c r="EW1400" s="985"/>
      <c r="EX1400" s="387"/>
      <c r="EY1400" s="939"/>
      <c r="EZ1400" s="886"/>
    </row>
    <row r="1401" spans="88:156">
      <c r="CJ1401" s="197"/>
      <c r="CK1401" s="197"/>
      <c r="CL1401" s="197"/>
      <c r="CM1401" s="213"/>
      <c r="CN1401" s="213"/>
      <c r="CO1401" s="197"/>
      <c r="CP1401" s="197"/>
      <c r="CQ1401" s="197"/>
      <c r="CR1401" s="197"/>
      <c r="CS1401" s="197"/>
      <c r="CT1401" s="197"/>
      <c r="CU1401" s="197"/>
      <c r="CV1401" s="197"/>
      <c r="CW1401" s="197"/>
      <c r="CX1401" s="959"/>
      <c r="CY1401" s="959"/>
      <c r="CZ1401" s="959"/>
      <c r="DA1401" s="959"/>
      <c r="DB1401" s="959"/>
      <c r="DC1401" s="891">
        <v>4756</v>
      </c>
      <c r="DD1401" s="891" t="s">
        <v>3607</v>
      </c>
      <c r="DE1401" s="891" t="s">
        <v>2807</v>
      </c>
      <c r="DF1401" s="891">
        <v>6</v>
      </c>
      <c r="DG1401" s="959"/>
      <c r="DH1401" s="959"/>
      <c r="ER1401" s="905">
        <v>5124</v>
      </c>
      <c r="ES1401" s="906" t="s">
        <v>4915</v>
      </c>
      <c r="ET1401" s="2686">
        <v>9</v>
      </c>
      <c r="EV1401" s="985"/>
      <c r="EW1401" s="985"/>
      <c r="EX1401" s="387"/>
      <c r="EY1401" s="939"/>
      <c r="EZ1401" s="886"/>
    </row>
    <row r="1402" spans="88:156">
      <c r="CJ1402" s="197"/>
      <c r="CK1402" s="197"/>
      <c r="CL1402" s="197"/>
      <c r="CM1402" s="213"/>
      <c r="CN1402" s="213"/>
      <c r="CO1402" s="197"/>
      <c r="CP1402" s="197"/>
      <c r="CQ1402" s="197"/>
      <c r="CR1402" s="197"/>
      <c r="CS1402" s="197"/>
      <c r="CT1402" s="197"/>
      <c r="CU1402" s="197"/>
      <c r="CV1402" s="197"/>
      <c r="CW1402" s="197"/>
      <c r="CX1402" s="959"/>
      <c r="CY1402" s="959"/>
      <c r="CZ1402" s="959"/>
      <c r="DA1402" s="959"/>
      <c r="DB1402" s="959"/>
      <c r="DC1402" s="891">
        <v>4761</v>
      </c>
      <c r="DD1402" s="891" t="s">
        <v>3608</v>
      </c>
      <c r="DE1402" s="891" t="s">
        <v>419</v>
      </c>
      <c r="DF1402" s="891">
        <v>6</v>
      </c>
      <c r="DG1402" s="959"/>
      <c r="DH1402" s="959"/>
      <c r="ER1402" s="905">
        <v>5125</v>
      </c>
      <c r="ES1402" s="906" t="s">
        <v>4916</v>
      </c>
      <c r="ET1402" s="2686">
        <v>9</v>
      </c>
      <c r="EV1402" s="985"/>
      <c r="EW1402" s="985"/>
      <c r="EX1402" s="387"/>
      <c r="EY1402" s="939"/>
      <c r="EZ1402" s="886"/>
    </row>
    <row r="1403" spans="88:156">
      <c r="CJ1403" s="197"/>
      <c r="CK1403" s="197"/>
      <c r="CL1403" s="197"/>
      <c r="CM1403" s="213"/>
      <c r="CN1403" s="213"/>
      <c r="CO1403" s="197"/>
      <c r="CP1403" s="197"/>
      <c r="CQ1403" s="197"/>
      <c r="CR1403" s="197"/>
      <c r="CS1403" s="197"/>
      <c r="CT1403" s="197"/>
      <c r="CU1403" s="197"/>
      <c r="CV1403" s="197"/>
      <c r="CW1403" s="197"/>
      <c r="CX1403" s="959"/>
      <c r="CY1403" s="959"/>
      <c r="CZ1403" s="959"/>
      <c r="DA1403" s="959"/>
      <c r="DB1403" s="959"/>
      <c r="DC1403" s="891">
        <v>4762</v>
      </c>
      <c r="DD1403" s="891" t="s">
        <v>3609</v>
      </c>
      <c r="DE1403" s="891" t="s">
        <v>412</v>
      </c>
      <c r="DF1403" s="891">
        <v>6</v>
      </c>
      <c r="DG1403" s="959"/>
      <c r="DH1403" s="959"/>
      <c r="ER1403" s="905">
        <v>5126</v>
      </c>
      <c r="ES1403" s="906" t="s">
        <v>4917</v>
      </c>
      <c r="ET1403" s="2686">
        <v>9</v>
      </c>
      <c r="EV1403" s="985"/>
      <c r="EW1403" s="985"/>
      <c r="EX1403" s="387"/>
      <c r="EY1403" s="939"/>
      <c r="EZ1403" s="886"/>
    </row>
    <row r="1404" spans="88:156">
      <c r="CJ1404" s="197"/>
      <c r="CK1404" s="197"/>
      <c r="CL1404" s="197"/>
      <c r="CM1404" s="213"/>
      <c r="CN1404" s="213"/>
      <c r="CO1404" s="197"/>
      <c r="CP1404" s="197"/>
      <c r="CQ1404" s="197"/>
      <c r="CR1404" s="197"/>
      <c r="CS1404" s="197"/>
      <c r="CT1404" s="197"/>
      <c r="CU1404" s="197"/>
      <c r="CV1404" s="197"/>
      <c r="CW1404" s="197"/>
      <c r="CX1404" s="959"/>
      <c r="CY1404" s="959"/>
      <c r="CZ1404" s="959"/>
      <c r="DA1404" s="959"/>
      <c r="DB1404" s="959"/>
      <c r="DC1404" s="891">
        <v>4763</v>
      </c>
      <c r="DD1404" s="891" t="s">
        <v>3610</v>
      </c>
      <c r="DE1404" s="891" t="s">
        <v>410</v>
      </c>
      <c r="DF1404" s="891">
        <v>4</v>
      </c>
      <c r="DG1404" s="959"/>
      <c r="DH1404" s="959"/>
      <c r="ER1404" s="905">
        <v>5130</v>
      </c>
      <c r="ES1404" s="906" t="s">
        <v>4918</v>
      </c>
      <c r="ET1404" s="2686">
        <v>9</v>
      </c>
      <c r="EV1404" s="985"/>
      <c r="EW1404" s="985"/>
      <c r="EX1404" s="387"/>
      <c r="EY1404" s="939"/>
      <c r="EZ1404" s="886"/>
    </row>
    <row r="1405" spans="88:156">
      <c r="CJ1405" s="197"/>
      <c r="CK1405" s="197"/>
      <c r="CL1405" s="197"/>
      <c r="CM1405" s="213"/>
      <c r="CN1405" s="213"/>
      <c r="CO1405" s="197"/>
      <c r="CP1405" s="197"/>
      <c r="CQ1405" s="197"/>
      <c r="CR1405" s="197"/>
      <c r="CS1405" s="197"/>
      <c r="CT1405" s="197"/>
      <c r="CU1405" s="197"/>
      <c r="CV1405" s="197"/>
      <c r="CW1405" s="197"/>
      <c r="CX1405" s="959"/>
      <c r="CY1405" s="959"/>
      <c r="CZ1405" s="959"/>
      <c r="DA1405" s="959"/>
      <c r="DB1405" s="959"/>
      <c r="DC1405" s="891">
        <v>4764</v>
      </c>
      <c r="DD1405" s="891" t="s">
        <v>3611</v>
      </c>
      <c r="DE1405" s="891" t="s">
        <v>421</v>
      </c>
      <c r="DF1405" s="891">
        <v>1</v>
      </c>
      <c r="DG1405" s="959"/>
      <c r="DH1405" s="959"/>
      <c r="ER1405" s="905">
        <v>5135</v>
      </c>
      <c r="ES1405" s="906" t="s">
        <v>4919</v>
      </c>
      <c r="ET1405" s="2686">
        <v>9</v>
      </c>
      <c r="EV1405" s="985"/>
      <c r="EW1405" s="985"/>
      <c r="EX1405" s="387"/>
      <c r="EY1405" s="939"/>
      <c r="EZ1405" s="886"/>
    </row>
    <row r="1406" spans="88:156">
      <c r="CJ1406" s="197"/>
      <c r="CK1406" s="197"/>
      <c r="CL1406" s="197"/>
      <c r="CM1406" s="213"/>
      <c r="CN1406" s="213"/>
      <c r="CO1406" s="197"/>
      <c r="CP1406" s="197"/>
      <c r="CQ1406" s="197"/>
      <c r="CR1406" s="197"/>
      <c r="CS1406" s="197"/>
      <c r="CT1406" s="197"/>
      <c r="CU1406" s="197"/>
      <c r="CV1406" s="197"/>
      <c r="CW1406" s="197"/>
      <c r="CX1406" s="959"/>
      <c r="CY1406" s="959"/>
      <c r="CZ1406" s="959"/>
      <c r="DA1406" s="959"/>
      <c r="DB1406" s="959"/>
      <c r="DC1406" s="891">
        <v>4765</v>
      </c>
      <c r="DD1406" s="891" t="s">
        <v>3612</v>
      </c>
      <c r="DE1406" s="891" t="s">
        <v>412</v>
      </c>
      <c r="DF1406" s="891">
        <v>4</v>
      </c>
      <c r="DG1406" s="959"/>
      <c r="DH1406" s="959"/>
      <c r="ER1406" s="905">
        <v>5136</v>
      </c>
      <c r="ES1406" s="906" t="s">
        <v>4920</v>
      </c>
      <c r="ET1406" s="2686">
        <v>9</v>
      </c>
      <c r="EV1406" s="985"/>
      <c r="EW1406" s="985"/>
      <c r="EX1406" s="387"/>
      <c r="EY1406" s="939"/>
      <c r="EZ1406" s="886"/>
    </row>
    <row r="1407" spans="88:156">
      <c r="CJ1407" s="197"/>
      <c r="CK1407" s="197"/>
      <c r="CL1407" s="197"/>
      <c r="CM1407" s="213"/>
      <c r="CN1407" s="213"/>
      <c r="CO1407" s="197"/>
      <c r="CP1407" s="197"/>
      <c r="CQ1407" s="197"/>
      <c r="CR1407" s="197"/>
      <c r="CS1407" s="197"/>
      <c r="CT1407" s="197"/>
      <c r="CU1407" s="197"/>
      <c r="CV1407" s="197"/>
      <c r="CW1407" s="197"/>
      <c r="CX1407" s="959"/>
      <c r="CY1407" s="959"/>
      <c r="CZ1407" s="959"/>
      <c r="DA1407" s="959"/>
      <c r="DB1407" s="959"/>
      <c r="DC1407" s="891">
        <v>4766</v>
      </c>
      <c r="DD1407" s="891" t="s">
        <v>3613</v>
      </c>
      <c r="DE1407" s="891" t="s">
        <v>412</v>
      </c>
      <c r="DF1407" s="891">
        <v>5</v>
      </c>
      <c r="DG1407" s="959"/>
      <c r="DH1407" s="959"/>
      <c r="ER1407" s="905">
        <v>5137</v>
      </c>
      <c r="ES1407" s="906" t="s">
        <v>4921</v>
      </c>
      <c r="ET1407" s="2686">
        <v>9</v>
      </c>
      <c r="EV1407" s="985"/>
      <c r="EW1407" s="985"/>
      <c r="EX1407" s="387"/>
      <c r="EY1407" s="939"/>
      <c r="EZ1407" s="886"/>
    </row>
    <row r="1408" spans="88:156">
      <c r="CJ1408" s="197"/>
      <c r="CK1408" s="197"/>
      <c r="CL1408" s="197"/>
      <c r="CM1408" s="213"/>
      <c r="CN1408" s="213"/>
      <c r="CO1408" s="197"/>
      <c r="CP1408" s="197"/>
      <c r="CQ1408" s="197"/>
      <c r="CR1408" s="197"/>
      <c r="CS1408" s="197"/>
      <c r="CT1408" s="197"/>
      <c r="CU1408" s="197"/>
      <c r="CV1408" s="197"/>
      <c r="CW1408" s="197"/>
      <c r="CX1408" s="959"/>
      <c r="CY1408" s="959"/>
      <c r="CZ1408" s="959"/>
      <c r="DA1408" s="959"/>
      <c r="DB1408" s="959"/>
      <c r="DC1408" s="891">
        <v>4767</v>
      </c>
      <c r="DD1408" s="891" t="s">
        <v>3614</v>
      </c>
      <c r="DE1408" s="891" t="s">
        <v>402</v>
      </c>
      <c r="DF1408" s="891">
        <v>6</v>
      </c>
      <c r="DG1408" s="959"/>
      <c r="DH1408" s="959"/>
      <c r="ER1408" s="905">
        <v>5141</v>
      </c>
      <c r="ES1408" s="906" t="s">
        <v>4922</v>
      </c>
      <c r="ET1408" s="2686">
        <v>9</v>
      </c>
      <c r="EV1408" s="985"/>
      <c r="EW1408" s="985"/>
      <c r="EX1408" s="387"/>
      <c r="EY1408" s="939"/>
      <c r="EZ1408" s="886"/>
    </row>
    <row r="1409" spans="88:156">
      <c r="CJ1409" s="197"/>
      <c r="CK1409" s="197"/>
      <c r="CL1409" s="197"/>
      <c r="CM1409" s="213"/>
      <c r="CN1409" s="213"/>
      <c r="CO1409" s="197"/>
      <c r="CP1409" s="197"/>
      <c r="CQ1409" s="197"/>
      <c r="CR1409" s="197"/>
      <c r="CS1409" s="197"/>
      <c r="CT1409" s="197"/>
      <c r="CU1409" s="197"/>
      <c r="CV1409" s="197"/>
      <c r="CW1409" s="197"/>
      <c r="CX1409" s="959"/>
      <c r="CY1409" s="959"/>
      <c r="CZ1409" s="959"/>
      <c r="DA1409" s="959"/>
      <c r="DB1409" s="959"/>
      <c r="DC1409" s="891">
        <v>4800</v>
      </c>
      <c r="DD1409" s="891" t="s">
        <v>3615</v>
      </c>
      <c r="DE1409" s="891" t="s">
        <v>421</v>
      </c>
      <c r="DF1409" s="891">
        <v>5</v>
      </c>
      <c r="DG1409" s="959"/>
      <c r="DH1409" s="959"/>
      <c r="ER1409" s="905">
        <v>5142</v>
      </c>
      <c r="ES1409" s="906" t="s">
        <v>4923</v>
      </c>
      <c r="ET1409" s="2686">
        <v>9</v>
      </c>
      <c r="EV1409" s="985"/>
      <c r="EW1409" s="985"/>
      <c r="EX1409" s="387"/>
      <c r="EY1409" s="939"/>
      <c r="EZ1409" s="886"/>
    </row>
    <row r="1410" spans="88:156">
      <c r="CJ1410" s="197"/>
      <c r="CK1410" s="197"/>
      <c r="CL1410" s="197"/>
      <c r="CM1410" s="213"/>
      <c r="CN1410" s="213"/>
      <c r="CO1410" s="197"/>
      <c r="CP1410" s="197"/>
      <c r="CQ1410" s="197"/>
      <c r="CR1410" s="197"/>
      <c r="CS1410" s="197"/>
      <c r="CT1410" s="197"/>
      <c r="CU1410" s="197"/>
      <c r="CV1410" s="197"/>
      <c r="CW1410" s="197"/>
      <c r="CX1410" s="959"/>
      <c r="CY1410" s="959"/>
      <c r="CZ1410" s="959"/>
      <c r="DA1410" s="959"/>
      <c r="DB1410" s="959"/>
      <c r="DC1410" s="891">
        <v>4803</v>
      </c>
      <c r="DD1410" s="891" t="s">
        <v>3616</v>
      </c>
      <c r="DE1410" s="891" t="s">
        <v>435</v>
      </c>
      <c r="DF1410" s="891">
        <v>5</v>
      </c>
      <c r="DG1410" s="959"/>
      <c r="DH1410" s="959"/>
      <c r="ER1410" s="905">
        <v>5143</v>
      </c>
      <c r="ES1410" s="906" t="s">
        <v>4924</v>
      </c>
      <c r="ET1410" s="2686">
        <v>9</v>
      </c>
      <c r="EV1410" s="985"/>
      <c r="EW1410" s="985"/>
      <c r="EX1410" s="387"/>
      <c r="EY1410" s="939"/>
      <c r="EZ1410" s="886"/>
    </row>
    <row r="1411" spans="88:156">
      <c r="CJ1411" s="197"/>
      <c r="CK1411" s="197"/>
      <c r="CL1411" s="197"/>
      <c r="CM1411" s="213"/>
      <c r="CN1411" s="213"/>
      <c r="CO1411" s="197"/>
      <c r="CP1411" s="197"/>
      <c r="CQ1411" s="197"/>
      <c r="CR1411" s="197"/>
      <c r="CS1411" s="197"/>
      <c r="CT1411" s="197"/>
      <c r="CU1411" s="197"/>
      <c r="CV1411" s="197"/>
      <c r="CW1411" s="197"/>
      <c r="CX1411" s="959"/>
      <c r="CY1411" s="959"/>
      <c r="CZ1411" s="959"/>
      <c r="DA1411" s="959"/>
      <c r="DB1411" s="959"/>
      <c r="DC1411" s="891">
        <v>4804</v>
      </c>
      <c r="DD1411" s="891" t="s">
        <v>3617</v>
      </c>
      <c r="DE1411" s="891" t="s">
        <v>417</v>
      </c>
      <c r="DF1411" s="891">
        <v>6</v>
      </c>
      <c r="DG1411" s="959"/>
      <c r="DH1411" s="959"/>
      <c r="ER1411" s="905">
        <v>5144</v>
      </c>
      <c r="ES1411" s="906" t="s">
        <v>4925</v>
      </c>
      <c r="ET1411" s="2686">
        <v>9</v>
      </c>
      <c r="EV1411" s="985"/>
      <c r="EW1411" s="985"/>
      <c r="EX1411" s="387"/>
      <c r="EY1411" s="939"/>
      <c r="EZ1411" s="886"/>
    </row>
    <row r="1412" spans="88:156">
      <c r="CJ1412" s="197"/>
      <c r="CK1412" s="197"/>
      <c r="CL1412" s="197"/>
      <c r="CM1412" s="213"/>
      <c r="CN1412" s="213"/>
      <c r="CO1412" s="197"/>
      <c r="CP1412" s="197"/>
      <c r="CQ1412" s="197"/>
      <c r="CR1412" s="197"/>
      <c r="CS1412" s="197"/>
      <c r="CT1412" s="197"/>
      <c r="CU1412" s="197"/>
      <c r="CV1412" s="197"/>
      <c r="CW1412" s="197"/>
      <c r="CX1412" s="959"/>
      <c r="CY1412" s="959"/>
      <c r="CZ1412" s="959"/>
      <c r="DA1412" s="959"/>
      <c r="DB1412" s="959"/>
      <c r="DC1412" s="891">
        <v>4811</v>
      </c>
      <c r="DD1412" s="891" t="s">
        <v>3618</v>
      </c>
      <c r="DE1412" s="891" t="s">
        <v>427</v>
      </c>
      <c r="DF1412" s="891">
        <v>4</v>
      </c>
      <c r="DG1412" s="959"/>
      <c r="DH1412" s="959"/>
      <c r="ER1412" s="905">
        <v>5152</v>
      </c>
      <c r="ES1412" s="905" t="s">
        <v>850</v>
      </c>
      <c r="ET1412" s="2686">
        <v>9</v>
      </c>
      <c r="EV1412" s="985"/>
      <c r="EW1412" s="985"/>
      <c r="EX1412" s="387"/>
      <c r="EY1412" s="939"/>
      <c r="EZ1412" s="886"/>
    </row>
    <row r="1413" spans="88:156">
      <c r="CJ1413" s="197"/>
      <c r="CK1413" s="197"/>
      <c r="CL1413" s="197"/>
      <c r="CM1413" s="213"/>
      <c r="CN1413" s="213"/>
      <c r="CO1413" s="197"/>
      <c r="CP1413" s="197"/>
      <c r="CQ1413" s="197"/>
      <c r="CR1413" s="197"/>
      <c r="CS1413" s="197"/>
      <c r="CT1413" s="197"/>
      <c r="CU1413" s="197"/>
      <c r="CV1413" s="197"/>
      <c r="CW1413" s="197"/>
      <c r="CX1413" s="959"/>
      <c r="CY1413" s="959"/>
      <c r="CZ1413" s="959"/>
      <c r="DA1413" s="959"/>
      <c r="DB1413" s="959"/>
      <c r="DC1413" s="891">
        <v>4812</v>
      </c>
      <c r="DD1413" s="891" t="s">
        <v>3619</v>
      </c>
      <c r="DE1413" s="891" t="s">
        <v>406</v>
      </c>
      <c r="DF1413" s="891">
        <v>1</v>
      </c>
      <c r="DG1413" s="959"/>
      <c r="DH1413" s="959"/>
      <c r="ER1413" s="905">
        <v>5200</v>
      </c>
      <c r="ES1413" s="906" t="s">
        <v>4927</v>
      </c>
      <c r="ET1413" s="2686">
        <v>9</v>
      </c>
      <c r="EV1413" s="985"/>
      <c r="EW1413" s="985"/>
      <c r="EX1413" s="387"/>
      <c r="EY1413" s="939"/>
      <c r="EZ1413" s="886"/>
    </row>
    <row r="1414" spans="88:156">
      <c r="CJ1414" s="197"/>
      <c r="CK1414" s="197"/>
      <c r="CL1414" s="197"/>
      <c r="CM1414" s="213"/>
      <c r="CN1414" s="213"/>
      <c r="CO1414" s="197"/>
      <c r="CP1414" s="197"/>
      <c r="CQ1414" s="197"/>
      <c r="CR1414" s="197"/>
      <c r="CS1414" s="197"/>
      <c r="CT1414" s="197"/>
      <c r="CU1414" s="197"/>
      <c r="CV1414" s="197"/>
      <c r="CW1414" s="197"/>
      <c r="CX1414" s="959"/>
      <c r="CY1414" s="959"/>
      <c r="CZ1414" s="959"/>
      <c r="DA1414" s="959"/>
      <c r="DB1414" s="959"/>
      <c r="DC1414" s="891">
        <v>4813</v>
      </c>
      <c r="DD1414" s="891" t="s">
        <v>3620</v>
      </c>
      <c r="DE1414" s="891" t="s">
        <v>423</v>
      </c>
      <c r="DF1414" s="891">
        <v>5</v>
      </c>
      <c r="DG1414" s="959"/>
      <c r="DH1414" s="959"/>
      <c r="ER1414" s="905">
        <v>5211</v>
      </c>
      <c r="ES1414" s="906" t="s">
        <v>4928</v>
      </c>
      <c r="ET1414" s="2686">
        <v>9</v>
      </c>
      <c r="EV1414" s="985"/>
      <c r="EW1414" s="985"/>
      <c r="EX1414" s="387"/>
      <c r="EY1414" s="939"/>
      <c r="EZ1414" s="886"/>
    </row>
    <row r="1415" spans="88:156">
      <c r="CJ1415" s="197"/>
      <c r="CK1415" s="197"/>
      <c r="CL1415" s="197"/>
      <c r="CM1415" s="213"/>
      <c r="CN1415" s="213"/>
      <c r="CO1415" s="197"/>
      <c r="CP1415" s="197"/>
      <c r="CQ1415" s="197"/>
      <c r="CR1415" s="197"/>
      <c r="CS1415" s="197"/>
      <c r="CT1415" s="197"/>
      <c r="CU1415" s="197"/>
      <c r="CV1415" s="197"/>
      <c r="CW1415" s="197"/>
      <c r="CX1415" s="959"/>
      <c r="CY1415" s="959"/>
      <c r="CZ1415" s="959"/>
      <c r="DA1415" s="959"/>
      <c r="DB1415" s="959"/>
      <c r="DC1415" s="891">
        <v>4821</v>
      </c>
      <c r="DD1415" s="891" t="s">
        <v>3621</v>
      </c>
      <c r="DE1415" s="891" t="s">
        <v>412</v>
      </c>
      <c r="DF1415" s="891">
        <v>6</v>
      </c>
      <c r="DG1415" s="959"/>
      <c r="DH1415" s="959"/>
      <c r="ER1415" s="905">
        <v>5212</v>
      </c>
      <c r="ES1415" s="905" t="s">
        <v>851</v>
      </c>
      <c r="ET1415" s="2686">
        <v>9</v>
      </c>
      <c r="EV1415" s="985"/>
      <c r="EW1415" s="985"/>
      <c r="EX1415" s="387"/>
      <c r="EY1415" s="939"/>
      <c r="EZ1415" s="886"/>
    </row>
    <row r="1416" spans="88:156">
      <c r="CJ1416" s="197"/>
      <c r="CK1416" s="197"/>
      <c r="CL1416" s="197"/>
      <c r="CM1416" s="213"/>
      <c r="CN1416" s="213"/>
      <c r="CO1416" s="197"/>
      <c r="CP1416" s="197"/>
      <c r="CQ1416" s="197"/>
      <c r="CR1416" s="197"/>
      <c r="CS1416" s="197"/>
      <c r="CT1416" s="197"/>
      <c r="CU1416" s="197"/>
      <c r="CV1416" s="197"/>
      <c r="CW1416" s="197"/>
      <c r="CX1416" s="959"/>
      <c r="CY1416" s="959"/>
      <c r="CZ1416" s="959"/>
      <c r="DA1416" s="959"/>
      <c r="DB1416" s="959"/>
      <c r="DC1416" s="891">
        <v>4822</v>
      </c>
      <c r="DD1416" s="891" t="s">
        <v>3622</v>
      </c>
      <c r="DE1416" s="891" t="s">
        <v>412</v>
      </c>
      <c r="DF1416" s="891">
        <v>6</v>
      </c>
      <c r="DG1416" s="959"/>
      <c r="DH1416" s="959"/>
      <c r="ER1416" s="905">
        <v>5213</v>
      </c>
      <c r="ES1416" s="905" t="s">
        <v>852</v>
      </c>
      <c r="ET1416" s="2686">
        <v>9</v>
      </c>
      <c r="EV1416" s="985"/>
      <c r="EW1416" s="985"/>
      <c r="EX1416" s="387"/>
      <c r="EY1416" s="939"/>
      <c r="EZ1416" s="886"/>
    </row>
    <row r="1417" spans="88:156">
      <c r="CJ1417" s="197"/>
      <c r="CK1417" s="197"/>
      <c r="CL1417" s="197"/>
      <c r="CM1417" s="213"/>
      <c r="CN1417" s="213"/>
      <c r="CO1417" s="197"/>
      <c r="CP1417" s="197"/>
      <c r="CQ1417" s="197"/>
      <c r="CR1417" s="197"/>
      <c r="CS1417" s="197"/>
      <c r="CT1417" s="197"/>
      <c r="CU1417" s="197"/>
      <c r="CV1417" s="197"/>
      <c r="CW1417" s="197"/>
      <c r="CX1417" s="959"/>
      <c r="CY1417" s="959"/>
      <c r="CZ1417" s="959"/>
      <c r="DA1417" s="959"/>
      <c r="DB1417" s="959"/>
      <c r="DC1417" s="891">
        <v>4823</v>
      </c>
      <c r="DD1417" s="891" t="s">
        <v>3623</v>
      </c>
      <c r="DE1417" s="891" t="s">
        <v>419</v>
      </c>
      <c r="DF1417" s="891">
        <v>6</v>
      </c>
      <c r="DG1417" s="959"/>
      <c r="DH1417" s="959"/>
      <c r="ER1417" s="905">
        <v>5222</v>
      </c>
      <c r="ES1417" s="906" t="s">
        <v>4931</v>
      </c>
      <c r="ET1417" s="2686">
        <v>9</v>
      </c>
      <c r="EV1417" s="985"/>
      <c r="EW1417" s="985"/>
      <c r="EX1417" s="387"/>
      <c r="EY1417" s="939"/>
      <c r="EZ1417" s="886"/>
    </row>
    <row r="1418" spans="88:156">
      <c r="CJ1418" s="197"/>
      <c r="CK1418" s="197"/>
      <c r="CL1418" s="197"/>
      <c r="CM1418" s="213"/>
      <c r="CN1418" s="213"/>
      <c r="CO1418" s="197"/>
      <c r="CP1418" s="197"/>
      <c r="CQ1418" s="197"/>
      <c r="CR1418" s="197"/>
      <c r="CS1418" s="197"/>
      <c r="CT1418" s="197"/>
      <c r="CU1418" s="197"/>
      <c r="CV1418" s="197"/>
      <c r="CW1418" s="197"/>
      <c r="CX1418" s="959"/>
      <c r="CY1418" s="959"/>
      <c r="CZ1418" s="959"/>
      <c r="DA1418" s="959"/>
      <c r="DB1418" s="959"/>
      <c r="DC1418" s="891">
        <v>4824</v>
      </c>
      <c r="DD1418" s="891" t="s">
        <v>3624</v>
      </c>
      <c r="DE1418" s="891" t="s">
        <v>427</v>
      </c>
      <c r="DF1418" s="891">
        <v>6</v>
      </c>
      <c r="DG1418" s="959"/>
      <c r="DH1418" s="959"/>
      <c r="ER1418" s="905">
        <v>5231</v>
      </c>
      <c r="ES1418" s="906" t="s">
        <v>4932</v>
      </c>
      <c r="ET1418" s="2686">
        <v>9</v>
      </c>
      <c r="EV1418" s="985"/>
      <c r="EW1418" s="985"/>
      <c r="EX1418" s="387"/>
      <c r="EY1418" s="939"/>
      <c r="EZ1418" s="886"/>
    </row>
    <row r="1419" spans="88:156">
      <c r="CJ1419" s="197"/>
      <c r="CK1419" s="197"/>
      <c r="CL1419" s="197"/>
      <c r="CM1419" s="213"/>
      <c r="CN1419" s="213"/>
      <c r="CO1419" s="197"/>
      <c r="CP1419" s="197"/>
      <c r="CQ1419" s="197"/>
      <c r="CR1419" s="197"/>
      <c r="CS1419" s="197"/>
      <c r="CT1419" s="197"/>
      <c r="CU1419" s="197"/>
      <c r="CV1419" s="197"/>
      <c r="CW1419" s="197"/>
      <c r="CX1419" s="959"/>
      <c r="CY1419" s="959"/>
      <c r="CZ1419" s="959"/>
      <c r="DA1419" s="959"/>
      <c r="DB1419" s="959"/>
      <c r="DC1419" s="891">
        <v>4826</v>
      </c>
      <c r="DD1419" s="891" t="s">
        <v>3625</v>
      </c>
      <c r="DE1419" s="891" t="s">
        <v>427</v>
      </c>
      <c r="DF1419" s="891">
        <v>6</v>
      </c>
      <c r="DG1419" s="959"/>
      <c r="DH1419" s="959"/>
      <c r="ER1419" s="905">
        <v>5232</v>
      </c>
      <c r="ES1419" s="906" t="s">
        <v>4933</v>
      </c>
      <c r="ET1419" s="2686">
        <v>9</v>
      </c>
      <c r="EV1419" s="985"/>
      <c r="EW1419" s="985"/>
      <c r="EX1419" s="387"/>
      <c r="EY1419" s="939"/>
      <c r="EZ1419" s="886"/>
    </row>
    <row r="1420" spans="88:156">
      <c r="CJ1420" s="197"/>
      <c r="CK1420" s="197"/>
      <c r="CL1420" s="197"/>
      <c r="CM1420" s="213"/>
      <c r="CN1420" s="213"/>
      <c r="CO1420" s="197"/>
      <c r="CP1420" s="197"/>
      <c r="CQ1420" s="197"/>
      <c r="CR1420" s="197"/>
      <c r="CS1420" s="197"/>
      <c r="CT1420" s="197"/>
      <c r="CU1420" s="197"/>
      <c r="CV1420" s="197"/>
      <c r="CW1420" s="197"/>
      <c r="CX1420" s="959"/>
      <c r="CY1420" s="959"/>
      <c r="CZ1420" s="959"/>
      <c r="DA1420" s="959"/>
      <c r="DB1420" s="959"/>
      <c r="DC1420" s="891">
        <v>4831</v>
      </c>
      <c r="DD1420" s="891" t="s">
        <v>3626</v>
      </c>
      <c r="DE1420" s="891" t="s">
        <v>406</v>
      </c>
      <c r="DF1420" s="891">
        <v>4</v>
      </c>
      <c r="DG1420" s="959"/>
      <c r="DH1420" s="959"/>
      <c r="ER1420" s="905">
        <v>5233</v>
      </c>
      <c r="ES1420" s="906" t="s">
        <v>4934</v>
      </c>
      <c r="ET1420" s="2686">
        <v>9</v>
      </c>
      <c r="EV1420" s="985"/>
      <c r="EW1420" s="985"/>
      <c r="EX1420" s="387"/>
      <c r="EY1420" s="939"/>
      <c r="EZ1420" s="886"/>
    </row>
    <row r="1421" spans="88:156">
      <c r="CJ1421" s="197"/>
      <c r="CK1421" s="197"/>
      <c r="CL1421" s="197"/>
      <c r="CM1421" s="213"/>
      <c r="CN1421" s="213"/>
      <c r="CO1421" s="197"/>
      <c r="CP1421" s="197"/>
      <c r="CQ1421" s="197"/>
      <c r="CR1421" s="197"/>
      <c r="CS1421" s="197"/>
      <c r="CT1421" s="197"/>
      <c r="CU1421" s="197"/>
      <c r="CV1421" s="197"/>
      <c r="CW1421" s="197"/>
      <c r="CX1421" s="959"/>
      <c r="CY1421" s="959"/>
      <c r="CZ1421" s="959"/>
      <c r="DA1421" s="959"/>
      <c r="DB1421" s="959"/>
      <c r="DC1421" s="891">
        <v>4832</v>
      </c>
      <c r="DD1421" s="891" t="s">
        <v>3627</v>
      </c>
      <c r="DE1421" s="891" t="s">
        <v>410</v>
      </c>
      <c r="DF1421" s="891">
        <v>2</v>
      </c>
      <c r="DG1421" s="959"/>
      <c r="DH1421" s="959"/>
      <c r="ER1421" s="905">
        <v>5234</v>
      </c>
      <c r="ES1421" s="906" t="s">
        <v>4935</v>
      </c>
      <c r="ET1421" s="2686">
        <v>9</v>
      </c>
      <c r="EV1421" s="985"/>
      <c r="EW1421" s="985"/>
      <c r="EX1421" s="387"/>
      <c r="EY1421" s="939"/>
      <c r="EZ1421" s="886"/>
    </row>
    <row r="1422" spans="88:156">
      <c r="CJ1422" s="197"/>
      <c r="CK1422" s="197"/>
      <c r="CL1422" s="197"/>
      <c r="CM1422" s="213"/>
      <c r="CN1422" s="213"/>
      <c r="CO1422" s="197"/>
      <c r="CP1422" s="197"/>
      <c r="CQ1422" s="197"/>
      <c r="CR1422" s="197"/>
      <c r="CS1422" s="197"/>
      <c r="CT1422" s="197"/>
      <c r="CU1422" s="197"/>
      <c r="CV1422" s="197"/>
      <c r="CW1422" s="197"/>
      <c r="CX1422" s="959"/>
      <c r="CY1422" s="959"/>
      <c r="CZ1422" s="959"/>
      <c r="DA1422" s="959"/>
      <c r="DB1422" s="959"/>
      <c r="DC1422" s="891">
        <v>4833</v>
      </c>
      <c r="DD1422" s="891" t="s">
        <v>3628</v>
      </c>
      <c r="DE1422" s="891" t="s">
        <v>410</v>
      </c>
      <c r="DF1422" s="891">
        <v>5</v>
      </c>
      <c r="DG1422" s="959"/>
      <c r="DH1422" s="959"/>
      <c r="ER1422" s="905">
        <v>5235</v>
      </c>
      <c r="ES1422" s="906" t="s">
        <v>853</v>
      </c>
      <c r="ET1422" s="2686">
        <v>9</v>
      </c>
      <c r="EV1422" s="985"/>
      <c r="EW1422" s="985"/>
      <c r="EX1422" s="387"/>
      <c r="EY1422" s="939"/>
      <c r="EZ1422" s="886"/>
    </row>
    <row r="1423" spans="88:156">
      <c r="CJ1423" s="197"/>
      <c r="CK1423" s="197"/>
      <c r="CL1423" s="197"/>
      <c r="CM1423" s="213"/>
      <c r="CN1423" s="213"/>
      <c r="CO1423" s="197"/>
      <c r="CP1423" s="197"/>
      <c r="CQ1423" s="197"/>
      <c r="CR1423" s="197"/>
      <c r="CS1423" s="197"/>
      <c r="CT1423" s="197"/>
      <c r="CU1423" s="197"/>
      <c r="CV1423" s="197"/>
      <c r="CW1423" s="197"/>
      <c r="CX1423" s="959"/>
      <c r="CY1423" s="959"/>
      <c r="CZ1423" s="959"/>
      <c r="DA1423" s="959"/>
      <c r="DB1423" s="959"/>
      <c r="DC1423" s="891">
        <v>4834</v>
      </c>
      <c r="DD1423" s="891" t="s">
        <v>3629</v>
      </c>
      <c r="DE1423" s="891" t="s">
        <v>410</v>
      </c>
      <c r="DF1423" s="891">
        <v>4</v>
      </c>
      <c r="DG1423" s="959"/>
      <c r="DH1423" s="959"/>
      <c r="ER1423" s="905">
        <v>5241</v>
      </c>
      <c r="ES1423" s="906" t="s">
        <v>2467</v>
      </c>
      <c r="ET1423" s="2686">
        <v>9</v>
      </c>
      <c r="EV1423" s="985"/>
      <c r="EW1423" s="985"/>
      <c r="EX1423" s="387"/>
      <c r="EY1423" s="939"/>
      <c r="EZ1423" s="886"/>
    </row>
    <row r="1424" spans="88:156">
      <c r="CJ1424" s="197"/>
      <c r="CK1424" s="197"/>
      <c r="CL1424" s="197"/>
      <c r="CM1424" s="213"/>
      <c r="CN1424" s="213"/>
      <c r="CO1424" s="197"/>
      <c r="CP1424" s="197"/>
      <c r="CQ1424" s="197"/>
      <c r="CR1424" s="197"/>
      <c r="CS1424" s="197"/>
      <c r="CT1424" s="197"/>
      <c r="CU1424" s="197"/>
      <c r="CV1424" s="197"/>
      <c r="CW1424" s="197"/>
      <c r="CX1424" s="959"/>
      <c r="CY1424" s="959"/>
      <c r="CZ1424" s="959"/>
      <c r="DA1424" s="959"/>
      <c r="DB1424" s="959"/>
      <c r="DC1424" s="891">
        <v>4835</v>
      </c>
      <c r="DD1424" s="891" t="s">
        <v>3630</v>
      </c>
      <c r="DE1424" s="891" t="s">
        <v>410</v>
      </c>
      <c r="DF1424" s="891">
        <v>6</v>
      </c>
      <c r="DG1424" s="959"/>
      <c r="DH1424" s="959"/>
      <c r="ER1424" s="905">
        <v>5243</v>
      </c>
      <c r="ES1424" s="906" t="s">
        <v>2468</v>
      </c>
      <c r="ET1424" s="2686">
        <v>9</v>
      </c>
      <c r="EV1424" s="985"/>
      <c r="EW1424" s="985"/>
      <c r="EX1424" s="387"/>
      <c r="EY1424" s="939"/>
      <c r="EZ1424" s="886"/>
    </row>
    <row r="1425" spans="88:156">
      <c r="CJ1425" s="197"/>
      <c r="CK1425" s="197"/>
      <c r="CL1425" s="197"/>
      <c r="CM1425" s="213"/>
      <c r="CN1425" s="213"/>
      <c r="CO1425" s="197"/>
      <c r="CP1425" s="197"/>
      <c r="CQ1425" s="197"/>
      <c r="CR1425" s="197"/>
      <c r="CS1425" s="197"/>
      <c r="CT1425" s="197"/>
      <c r="CU1425" s="197"/>
      <c r="CV1425" s="197"/>
      <c r="CW1425" s="197"/>
      <c r="CX1425" s="959"/>
      <c r="CY1425" s="959"/>
      <c r="CZ1425" s="959"/>
      <c r="DA1425" s="959"/>
      <c r="DB1425" s="959"/>
      <c r="DC1425" s="891">
        <v>4836</v>
      </c>
      <c r="DD1425" s="891" t="s">
        <v>3631</v>
      </c>
      <c r="DE1425" s="891" t="s">
        <v>410</v>
      </c>
      <c r="DF1425" s="891">
        <v>6</v>
      </c>
      <c r="DG1425" s="959"/>
      <c r="DH1425" s="959"/>
      <c r="ER1425" s="905">
        <v>5244</v>
      </c>
      <c r="ES1425" s="906" t="s">
        <v>2469</v>
      </c>
      <c r="ET1425" s="2686">
        <v>9</v>
      </c>
      <c r="EV1425" s="985"/>
      <c r="EW1425" s="985"/>
      <c r="EX1425" s="387"/>
      <c r="EY1425" s="939"/>
      <c r="EZ1425" s="886"/>
    </row>
    <row r="1426" spans="88:156">
      <c r="CJ1426" s="197"/>
      <c r="CK1426" s="197"/>
      <c r="CL1426" s="197"/>
      <c r="CM1426" s="213"/>
      <c r="CN1426" s="213"/>
      <c r="CO1426" s="197"/>
      <c r="CP1426" s="197"/>
      <c r="CQ1426" s="197"/>
      <c r="CR1426" s="197"/>
      <c r="CS1426" s="197"/>
      <c r="CT1426" s="197"/>
      <c r="CU1426" s="197"/>
      <c r="CV1426" s="197"/>
      <c r="CW1426" s="197"/>
      <c r="CX1426" s="959"/>
      <c r="CY1426" s="959"/>
      <c r="CZ1426" s="959"/>
      <c r="DA1426" s="959"/>
      <c r="DB1426" s="959"/>
      <c r="DC1426" s="891">
        <v>4841</v>
      </c>
      <c r="DD1426" s="891" t="s">
        <v>3632</v>
      </c>
      <c r="DE1426" s="891" t="s">
        <v>417</v>
      </c>
      <c r="DF1426" s="891">
        <v>5</v>
      </c>
      <c r="DG1426" s="959"/>
      <c r="DH1426" s="959"/>
      <c r="ER1426" s="905">
        <v>5300</v>
      </c>
      <c r="ES1426" s="906" t="s">
        <v>2470</v>
      </c>
      <c r="ET1426" s="2686">
        <v>9</v>
      </c>
      <c r="EV1426" s="985"/>
      <c r="EW1426" s="985"/>
      <c r="EX1426" s="387"/>
      <c r="EY1426" s="939"/>
      <c r="EZ1426" s="886"/>
    </row>
    <row r="1427" spans="88:156">
      <c r="CJ1427" s="197"/>
      <c r="CK1427" s="197"/>
      <c r="CL1427" s="197"/>
      <c r="CM1427" s="213"/>
      <c r="CN1427" s="213"/>
      <c r="CO1427" s="197"/>
      <c r="CP1427" s="197"/>
      <c r="CQ1427" s="197"/>
      <c r="CR1427" s="197"/>
      <c r="CS1427" s="197"/>
      <c r="CT1427" s="197"/>
      <c r="CU1427" s="197"/>
      <c r="CV1427" s="197"/>
      <c r="CW1427" s="197"/>
      <c r="CX1427" s="959"/>
      <c r="CY1427" s="959"/>
      <c r="CZ1427" s="959"/>
      <c r="DA1427" s="959"/>
      <c r="DB1427" s="959"/>
      <c r="DC1427" s="891">
        <v>4842</v>
      </c>
      <c r="DD1427" s="891" t="s">
        <v>3633</v>
      </c>
      <c r="DE1427" s="891" t="s">
        <v>423</v>
      </c>
      <c r="DF1427" s="891">
        <v>5</v>
      </c>
      <c r="DG1427" s="959"/>
      <c r="DH1427" s="959"/>
      <c r="ER1427" s="905">
        <v>5309</v>
      </c>
      <c r="ES1427" s="906" t="s">
        <v>2471</v>
      </c>
      <c r="ET1427" s="2686">
        <v>9</v>
      </c>
      <c r="EV1427" s="985"/>
      <c r="EW1427" s="985"/>
      <c r="EX1427" s="387"/>
      <c r="EY1427" s="939"/>
      <c r="EZ1427" s="886"/>
    </row>
    <row r="1428" spans="88:156">
      <c r="CJ1428" s="197"/>
      <c r="CK1428" s="197"/>
      <c r="CL1428" s="197"/>
      <c r="CM1428" s="213"/>
      <c r="CN1428" s="213"/>
      <c r="CO1428" s="197"/>
      <c r="CP1428" s="197"/>
      <c r="CQ1428" s="197"/>
      <c r="CR1428" s="197"/>
      <c r="CS1428" s="197"/>
      <c r="CT1428" s="197"/>
      <c r="CU1428" s="197"/>
      <c r="CV1428" s="197"/>
      <c r="CW1428" s="197"/>
      <c r="CX1428" s="959"/>
      <c r="CY1428" s="959"/>
      <c r="CZ1428" s="959"/>
      <c r="DA1428" s="959"/>
      <c r="DB1428" s="959"/>
      <c r="DC1428" s="891">
        <v>4843</v>
      </c>
      <c r="DD1428" s="891" t="s">
        <v>3634</v>
      </c>
      <c r="DE1428" s="891" t="s">
        <v>419</v>
      </c>
      <c r="DF1428" s="891">
        <v>5</v>
      </c>
      <c r="DG1428" s="959"/>
      <c r="DH1428" s="959"/>
      <c r="ER1428" s="905">
        <v>5310</v>
      </c>
      <c r="ES1428" s="906" t="s">
        <v>2472</v>
      </c>
      <c r="ET1428" s="2686">
        <v>9</v>
      </c>
      <c r="EV1428" s="985"/>
      <c r="EW1428" s="985"/>
      <c r="EX1428" s="387"/>
      <c r="EY1428" s="939"/>
      <c r="EZ1428" s="886"/>
    </row>
    <row r="1429" spans="88:156">
      <c r="CJ1429" s="197"/>
      <c r="CK1429" s="197"/>
      <c r="CL1429" s="197"/>
      <c r="CM1429" s="213"/>
      <c r="CN1429" s="213"/>
      <c r="CO1429" s="197"/>
      <c r="CP1429" s="197"/>
      <c r="CQ1429" s="197"/>
      <c r="CR1429" s="197"/>
      <c r="CS1429" s="197"/>
      <c r="CT1429" s="197"/>
      <c r="CU1429" s="197"/>
      <c r="CV1429" s="197"/>
      <c r="CW1429" s="197"/>
      <c r="CX1429" s="959"/>
      <c r="CY1429" s="959"/>
      <c r="CZ1429" s="959"/>
      <c r="DA1429" s="959"/>
      <c r="DB1429" s="959"/>
      <c r="DC1429" s="891">
        <v>4844</v>
      </c>
      <c r="DD1429" s="891" t="s">
        <v>3635</v>
      </c>
      <c r="DE1429" s="891" t="s">
        <v>417</v>
      </c>
      <c r="DF1429" s="891">
        <v>6</v>
      </c>
      <c r="DG1429" s="959"/>
      <c r="DH1429" s="959"/>
      <c r="ER1429" s="905">
        <v>5321</v>
      </c>
      <c r="ES1429" s="906" t="s">
        <v>2473</v>
      </c>
      <c r="ET1429" s="2686">
        <v>9</v>
      </c>
      <c r="EV1429" s="985"/>
      <c r="EW1429" s="985"/>
      <c r="EX1429" s="387"/>
      <c r="EY1429" s="939"/>
      <c r="EZ1429" s="886"/>
    </row>
    <row r="1430" spans="88:156">
      <c r="CJ1430" s="197"/>
      <c r="CK1430" s="197"/>
      <c r="CL1430" s="197"/>
      <c r="CM1430" s="213"/>
      <c r="CN1430" s="213"/>
      <c r="CO1430" s="197"/>
      <c r="CP1430" s="197"/>
      <c r="CQ1430" s="197"/>
      <c r="CR1430" s="197"/>
      <c r="CS1430" s="197"/>
      <c r="CT1430" s="197"/>
      <c r="CU1430" s="197"/>
      <c r="CV1430" s="197"/>
      <c r="CW1430" s="197"/>
      <c r="CX1430" s="959"/>
      <c r="CY1430" s="959"/>
      <c r="CZ1430" s="959"/>
      <c r="DA1430" s="959"/>
      <c r="DB1430" s="959"/>
      <c r="DC1430" s="891">
        <v>4845</v>
      </c>
      <c r="DD1430" s="891" t="s">
        <v>3636</v>
      </c>
      <c r="DE1430" s="891" t="s">
        <v>421</v>
      </c>
      <c r="DF1430" s="891">
        <v>6</v>
      </c>
      <c r="DG1430" s="959"/>
      <c r="DH1430" s="959"/>
      <c r="ER1430" s="905">
        <v>5322</v>
      </c>
      <c r="ES1430" s="906" t="s">
        <v>2474</v>
      </c>
      <c r="ET1430" s="2686">
        <v>9</v>
      </c>
      <c r="EV1430" s="985"/>
      <c r="EW1430" s="985"/>
      <c r="EX1430" s="387"/>
      <c r="EY1430" s="939"/>
      <c r="EZ1430" s="886"/>
    </row>
    <row r="1431" spans="88:156">
      <c r="CJ1431" s="197"/>
      <c r="CK1431" s="197"/>
      <c r="CL1431" s="197"/>
      <c r="CM1431" s="213"/>
      <c r="CN1431" s="213"/>
      <c r="CO1431" s="197"/>
      <c r="CP1431" s="197"/>
      <c r="CQ1431" s="197"/>
      <c r="CR1431" s="197"/>
      <c r="CS1431" s="197"/>
      <c r="CT1431" s="197"/>
      <c r="CU1431" s="197"/>
      <c r="CV1431" s="197"/>
      <c r="CW1431" s="197"/>
      <c r="CX1431" s="959"/>
      <c r="CY1431" s="959"/>
      <c r="CZ1431" s="959"/>
      <c r="DA1431" s="959"/>
      <c r="DB1431" s="959"/>
      <c r="DC1431" s="891">
        <v>4900</v>
      </c>
      <c r="DD1431" s="891" t="s">
        <v>3637</v>
      </c>
      <c r="DE1431" s="891" t="s">
        <v>421</v>
      </c>
      <c r="DF1431" s="891">
        <v>5</v>
      </c>
      <c r="DG1431" s="959"/>
      <c r="DH1431" s="959"/>
      <c r="ER1431" s="905">
        <v>5323</v>
      </c>
      <c r="ES1431" s="905" t="s">
        <v>1596</v>
      </c>
      <c r="ET1431" s="2686">
        <v>9</v>
      </c>
      <c r="EV1431" s="985"/>
      <c r="EW1431" s="985"/>
      <c r="EX1431" s="387"/>
      <c r="EY1431" s="939"/>
      <c r="EZ1431" s="886"/>
    </row>
    <row r="1432" spans="88:156">
      <c r="CJ1432" s="197"/>
      <c r="CK1432" s="197"/>
      <c r="CL1432" s="197"/>
      <c r="CM1432" s="213"/>
      <c r="CN1432" s="213"/>
      <c r="CO1432" s="197"/>
      <c r="CP1432" s="197"/>
      <c r="CQ1432" s="197"/>
      <c r="CR1432" s="197"/>
      <c r="CS1432" s="197"/>
      <c r="CT1432" s="197"/>
      <c r="CU1432" s="197"/>
      <c r="CV1432" s="197"/>
      <c r="CW1432" s="197"/>
      <c r="CX1432" s="959"/>
      <c r="CY1432" s="959"/>
      <c r="CZ1432" s="959"/>
      <c r="DA1432" s="959"/>
      <c r="DB1432" s="959"/>
      <c r="DC1432" s="891">
        <v>4911</v>
      </c>
      <c r="DD1432" s="891" t="s">
        <v>3638</v>
      </c>
      <c r="DE1432" s="891" t="s">
        <v>406</v>
      </c>
      <c r="DF1432" s="891">
        <v>5</v>
      </c>
      <c r="DG1432" s="959"/>
      <c r="DH1432" s="959"/>
      <c r="ER1432" s="905">
        <v>5324</v>
      </c>
      <c r="ES1432" s="906" t="s">
        <v>2476</v>
      </c>
      <c r="ET1432" s="2686">
        <v>9</v>
      </c>
      <c r="EV1432" s="985"/>
      <c r="EW1432" s="985"/>
      <c r="EX1432" s="387"/>
      <c r="EY1432" s="939"/>
      <c r="EZ1432" s="886"/>
    </row>
    <row r="1433" spans="88:156">
      <c r="CJ1433" s="197"/>
      <c r="CK1433" s="197"/>
      <c r="CL1433" s="197"/>
      <c r="CM1433" s="213"/>
      <c r="CN1433" s="213"/>
      <c r="CO1433" s="197"/>
      <c r="CP1433" s="197"/>
      <c r="CQ1433" s="197"/>
      <c r="CR1433" s="197"/>
      <c r="CS1433" s="197"/>
      <c r="CT1433" s="197"/>
      <c r="CU1433" s="197"/>
      <c r="CV1433" s="197"/>
      <c r="CW1433" s="197"/>
      <c r="CX1433" s="959"/>
      <c r="CY1433" s="959"/>
      <c r="CZ1433" s="959"/>
      <c r="DA1433" s="959"/>
      <c r="DB1433" s="959"/>
      <c r="DC1433" s="891">
        <v>4912</v>
      </c>
      <c r="DD1433" s="891" t="s">
        <v>3639</v>
      </c>
      <c r="DE1433" s="891" t="s">
        <v>421</v>
      </c>
      <c r="DF1433" s="891">
        <v>5</v>
      </c>
      <c r="DG1433" s="959"/>
      <c r="DH1433" s="959"/>
      <c r="ER1433" s="905">
        <v>5331</v>
      </c>
      <c r="ES1433" s="906" t="s">
        <v>2477</v>
      </c>
      <c r="ET1433" s="2686">
        <v>9</v>
      </c>
      <c r="EV1433" s="985"/>
      <c r="EW1433" s="985"/>
      <c r="EX1433" s="387"/>
      <c r="EY1433" s="939"/>
      <c r="EZ1433" s="886"/>
    </row>
    <row r="1434" spans="88:156">
      <c r="CJ1434" s="197"/>
      <c r="CK1434" s="197"/>
      <c r="CL1434" s="197"/>
      <c r="CM1434" s="213"/>
      <c r="CN1434" s="213"/>
      <c r="CO1434" s="197"/>
      <c r="CP1434" s="197"/>
      <c r="CQ1434" s="197"/>
      <c r="CR1434" s="197"/>
      <c r="CS1434" s="197"/>
      <c r="CT1434" s="197"/>
      <c r="CU1434" s="197"/>
      <c r="CV1434" s="197"/>
      <c r="CW1434" s="197"/>
      <c r="CX1434" s="959"/>
      <c r="CY1434" s="959"/>
      <c r="CZ1434" s="959"/>
      <c r="DA1434" s="959"/>
      <c r="DB1434" s="959"/>
      <c r="DC1434" s="891">
        <v>4913</v>
      </c>
      <c r="DD1434" s="891" t="s">
        <v>3640</v>
      </c>
      <c r="DE1434" s="891" t="s">
        <v>421</v>
      </c>
      <c r="DF1434" s="891">
        <v>6</v>
      </c>
      <c r="DG1434" s="959"/>
      <c r="DH1434" s="959"/>
      <c r="ER1434" s="905">
        <v>5340</v>
      </c>
      <c r="ES1434" s="906" t="s">
        <v>643</v>
      </c>
      <c r="ET1434" s="2686">
        <v>9</v>
      </c>
      <c r="EV1434" s="985"/>
      <c r="EW1434" s="985"/>
      <c r="EX1434" s="387"/>
      <c r="EY1434" s="939"/>
      <c r="EZ1434" s="886"/>
    </row>
    <row r="1435" spans="88:156">
      <c r="CJ1435" s="197"/>
      <c r="CK1435" s="197"/>
      <c r="CL1435" s="197"/>
      <c r="CM1435" s="213"/>
      <c r="CN1435" s="213"/>
      <c r="CO1435" s="197"/>
      <c r="CP1435" s="197"/>
      <c r="CQ1435" s="197"/>
      <c r="CR1435" s="197"/>
      <c r="CS1435" s="197"/>
      <c r="CT1435" s="197"/>
      <c r="CU1435" s="197"/>
      <c r="CV1435" s="197"/>
      <c r="CW1435" s="197"/>
      <c r="CX1435" s="959"/>
      <c r="CY1435" s="959"/>
      <c r="CZ1435" s="959"/>
      <c r="DA1435" s="959"/>
      <c r="DB1435" s="959"/>
      <c r="DC1435" s="891">
        <v>4914</v>
      </c>
      <c r="DD1435" s="891" t="s">
        <v>3641</v>
      </c>
      <c r="DE1435" s="891" t="s">
        <v>421</v>
      </c>
      <c r="DF1435" s="891">
        <v>6</v>
      </c>
      <c r="DG1435" s="959"/>
      <c r="DH1435" s="959"/>
      <c r="ER1435" s="905">
        <v>5349</v>
      </c>
      <c r="ES1435" s="905" t="s">
        <v>1597</v>
      </c>
      <c r="ET1435" s="2686">
        <v>9</v>
      </c>
      <c r="EV1435" s="985"/>
      <c r="EW1435" s="985"/>
      <c r="EX1435" s="387"/>
      <c r="EY1435" s="939"/>
      <c r="EZ1435" s="886"/>
    </row>
    <row r="1436" spans="88:156">
      <c r="CJ1436" s="197"/>
      <c r="CK1436" s="197"/>
      <c r="CL1436" s="197"/>
      <c r="CM1436" s="213"/>
      <c r="CN1436" s="213"/>
      <c r="CO1436" s="197"/>
      <c r="CP1436" s="197"/>
      <c r="CQ1436" s="197"/>
      <c r="CR1436" s="197"/>
      <c r="CS1436" s="197"/>
      <c r="CT1436" s="197"/>
      <c r="CU1436" s="197"/>
      <c r="CV1436" s="197"/>
      <c r="CW1436" s="197"/>
      <c r="CX1436" s="959"/>
      <c r="CY1436" s="959"/>
      <c r="CZ1436" s="959"/>
      <c r="DA1436" s="959"/>
      <c r="DB1436" s="959"/>
      <c r="DC1436" s="891">
        <v>4921</v>
      </c>
      <c r="DD1436" s="891" t="s">
        <v>3642</v>
      </c>
      <c r="DE1436" s="891" t="s">
        <v>421</v>
      </c>
      <c r="DF1436" s="891">
        <v>5</v>
      </c>
      <c r="DG1436" s="959"/>
      <c r="DH1436" s="959"/>
      <c r="ER1436" s="905">
        <v>5350</v>
      </c>
      <c r="ES1436" s="906" t="s">
        <v>645</v>
      </c>
      <c r="ET1436" s="2686">
        <v>9</v>
      </c>
      <c r="EV1436" s="985"/>
      <c r="EW1436" s="985"/>
      <c r="EX1436" s="387"/>
      <c r="EY1436" s="939"/>
      <c r="EZ1436" s="886"/>
    </row>
    <row r="1437" spans="88:156">
      <c r="CJ1437" s="197"/>
      <c r="CK1437" s="197"/>
      <c r="CL1437" s="197"/>
      <c r="CM1437" s="213"/>
      <c r="CN1437" s="213"/>
      <c r="CO1437" s="197"/>
      <c r="CP1437" s="197"/>
      <c r="CQ1437" s="197"/>
      <c r="CR1437" s="197"/>
      <c r="CS1437" s="197"/>
      <c r="CT1437" s="197"/>
      <c r="CU1437" s="197"/>
      <c r="CV1437" s="197"/>
      <c r="CW1437" s="197"/>
      <c r="CX1437" s="959"/>
      <c r="CY1437" s="959"/>
      <c r="CZ1437" s="959"/>
      <c r="DA1437" s="959"/>
      <c r="DB1437" s="959"/>
      <c r="DC1437" s="891">
        <v>4922</v>
      </c>
      <c r="DD1437" s="891" t="s">
        <v>3643</v>
      </c>
      <c r="DE1437" s="891" t="s">
        <v>417</v>
      </c>
      <c r="DF1437" s="891">
        <v>5</v>
      </c>
      <c r="DG1437" s="959"/>
      <c r="DH1437" s="959"/>
      <c r="ER1437" s="905">
        <v>5358</v>
      </c>
      <c r="ES1437" s="905" t="s">
        <v>1598</v>
      </c>
      <c r="ET1437" s="2686">
        <v>9</v>
      </c>
      <c r="EV1437" s="985"/>
      <c r="EW1437" s="985"/>
      <c r="EX1437" s="387"/>
      <c r="EY1437" s="939"/>
      <c r="EZ1437" s="886"/>
    </row>
    <row r="1438" spans="88:156">
      <c r="CJ1438" s="197"/>
      <c r="CK1438" s="197"/>
      <c r="CL1438" s="197"/>
      <c r="CM1438" s="213"/>
      <c r="CN1438" s="213"/>
      <c r="CO1438" s="197"/>
      <c r="CP1438" s="197"/>
      <c r="CQ1438" s="197"/>
      <c r="CR1438" s="197"/>
      <c r="CS1438" s="197"/>
      <c r="CT1438" s="197"/>
      <c r="CU1438" s="197"/>
      <c r="CV1438" s="197"/>
      <c r="CW1438" s="197"/>
      <c r="CX1438" s="959"/>
      <c r="CY1438" s="959"/>
      <c r="CZ1438" s="959"/>
      <c r="DA1438" s="959"/>
      <c r="DB1438" s="959"/>
      <c r="DC1438" s="891">
        <v>4931</v>
      </c>
      <c r="DD1438" s="891" t="s">
        <v>3644</v>
      </c>
      <c r="DE1438" s="891" t="s">
        <v>419</v>
      </c>
      <c r="DF1438" s="891">
        <v>6</v>
      </c>
      <c r="DG1438" s="959"/>
      <c r="DH1438" s="959"/>
      <c r="ER1438" s="905">
        <v>5359</v>
      </c>
      <c r="ES1438" s="905" t="s">
        <v>1599</v>
      </c>
      <c r="ET1438" s="2686">
        <v>9</v>
      </c>
      <c r="EV1438" s="985"/>
      <c r="EW1438" s="985"/>
      <c r="EX1438" s="387"/>
      <c r="EY1438" s="939"/>
      <c r="EZ1438" s="886"/>
    </row>
    <row r="1439" spans="88:156">
      <c r="CJ1439" s="197"/>
      <c r="CK1439" s="197"/>
      <c r="CL1439" s="197"/>
      <c r="CM1439" s="213"/>
      <c r="CN1439" s="213"/>
      <c r="CO1439" s="197"/>
      <c r="CP1439" s="197"/>
      <c r="CQ1439" s="197"/>
      <c r="CR1439" s="197"/>
      <c r="CS1439" s="197"/>
      <c r="CT1439" s="197"/>
      <c r="CU1439" s="197"/>
      <c r="CV1439" s="197"/>
      <c r="CW1439" s="197"/>
      <c r="CX1439" s="959"/>
      <c r="CY1439" s="959"/>
      <c r="CZ1439" s="959"/>
      <c r="DA1439" s="959"/>
      <c r="DB1439" s="959"/>
      <c r="DC1439" s="891">
        <v>4932</v>
      </c>
      <c r="DD1439" s="891" t="s">
        <v>3645</v>
      </c>
      <c r="DE1439" s="891" t="s">
        <v>412</v>
      </c>
      <c r="DF1439" s="891">
        <v>5</v>
      </c>
      <c r="DG1439" s="959"/>
      <c r="DH1439" s="959"/>
      <c r="ER1439" s="905">
        <v>5361</v>
      </c>
      <c r="ES1439" s="906" t="s">
        <v>648</v>
      </c>
      <c r="ET1439" s="2686">
        <v>9</v>
      </c>
      <c r="EV1439" s="985"/>
      <c r="EW1439" s="985"/>
      <c r="EX1439" s="387"/>
      <c r="EY1439" s="939"/>
      <c r="EZ1439" s="886"/>
    </row>
    <row r="1440" spans="88:156">
      <c r="CJ1440" s="197"/>
      <c r="CK1440" s="197"/>
      <c r="CL1440" s="197"/>
      <c r="CM1440" s="213"/>
      <c r="CN1440" s="213"/>
      <c r="CO1440" s="197"/>
      <c r="CP1440" s="197"/>
      <c r="CQ1440" s="197"/>
      <c r="CR1440" s="197"/>
      <c r="CS1440" s="197"/>
      <c r="CT1440" s="197"/>
      <c r="CU1440" s="197"/>
      <c r="CV1440" s="197"/>
      <c r="CW1440" s="197"/>
      <c r="CX1440" s="959"/>
      <c r="CY1440" s="959"/>
      <c r="CZ1440" s="959"/>
      <c r="DA1440" s="959"/>
      <c r="DB1440" s="959"/>
      <c r="DC1440" s="891">
        <v>4933</v>
      </c>
      <c r="DD1440" s="891" t="s">
        <v>3646</v>
      </c>
      <c r="DE1440" s="891" t="s">
        <v>406</v>
      </c>
      <c r="DF1440" s="891">
        <v>6</v>
      </c>
      <c r="DG1440" s="959"/>
      <c r="DH1440" s="959"/>
      <c r="ER1440" s="905">
        <v>5362</v>
      </c>
      <c r="ES1440" s="906" t="s">
        <v>649</v>
      </c>
      <c r="ET1440" s="2686">
        <v>9</v>
      </c>
      <c r="EV1440" s="985"/>
      <c r="EW1440" s="985"/>
      <c r="EX1440" s="387"/>
      <c r="EY1440" s="939"/>
      <c r="EZ1440" s="886"/>
    </row>
    <row r="1441" spans="88:156">
      <c r="CJ1441" s="197"/>
      <c r="CK1441" s="197"/>
      <c r="CL1441" s="197"/>
      <c r="CM1441" s="213"/>
      <c r="CN1441" s="213"/>
      <c r="CO1441" s="197"/>
      <c r="CP1441" s="197"/>
      <c r="CQ1441" s="197"/>
      <c r="CR1441" s="197"/>
      <c r="CS1441" s="197"/>
      <c r="CT1441" s="197"/>
      <c r="CU1441" s="197"/>
      <c r="CV1441" s="197"/>
      <c r="CW1441" s="197"/>
      <c r="CX1441" s="959"/>
      <c r="CY1441" s="959"/>
      <c r="CZ1441" s="959"/>
      <c r="DA1441" s="959"/>
      <c r="DB1441" s="959"/>
      <c r="DC1441" s="891">
        <v>4934</v>
      </c>
      <c r="DD1441" s="891" t="s">
        <v>3647</v>
      </c>
      <c r="DE1441" s="891" t="s">
        <v>2808</v>
      </c>
      <c r="DF1441" s="891">
        <v>6</v>
      </c>
      <c r="DG1441" s="959"/>
      <c r="DH1441" s="959"/>
      <c r="ER1441" s="905">
        <v>5363</v>
      </c>
      <c r="ES1441" s="906" t="s">
        <v>650</v>
      </c>
      <c r="ET1441" s="2686">
        <v>9</v>
      </c>
      <c r="EV1441" s="985"/>
      <c r="EW1441" s="985"/>
      <c r="EX1441" s="387"/>
      <c r="EY1441" s="939"/>
      <c r="EZ1441" s="886"/>
    </row>
    <row r="1442" spans="88:156">
      <c r="CJ1442" s="197"/>
      <c r="CK1442" s="197"/>
      <c r="CL1442" s="197"/>
      <c r="CM1442" s="213"/>
      <c r="CN1442" s="213"/>
      <c r="CO1442" s="197"/>
      <c r="CP1442" s="197"/>
      <c r="CQ1442" s="197"/>
      <c r="CR1442" s="197"/>
      <c r="CS1442" s="197"/>
      <c r="CT1442" s="197"/>
      <c r="CU1442" s="197"/>
      <c r="CV1442" s="197"/>
      <c r="CW1442" s="197"/>
      <c r="CX1442" s="959"/>
      <c r="CY1442" s="959"/>
      <c r="CZ1442" s="959"/>
      <c r="DA1442" s="959"/>
      <c r="DB1442" s="959"/>
      <c r="DC1442" s="891">
        <v>4935</v>
      </c>
      <c r="DD1442" s="891" t="s">
        <v>3648</v>
      </c>
      <c r="DE1442" s="891" t="s">
        <v>412</v>
      </c>
      <c r="DF1442" s="891">
        <v>6</v>
      </c>
      <c r="DG1442" s="959"/>
      <c r="DH1442" s="959"/>
      <c r="ER1442" s="905">
        <v>5400</v>
      </c>
      <c r="ES1442" s="906" t="s">
        <v>651</v>
      </c>
      <c r="ET1442" s="2686">
        <v>9</v>
      </c>
      <c r="EV1442" s="985"/>
      <c r="EW1442" s="985"/>
      <c r="EX1442" s="387"/>
      <c r="EY1442" s="939"/>
      <c r="EZ1442" s="886"/>
    </row>
    <row r="1443" spans="88:156">
      <c r="CJ1443" s="197"/>
      <c r="CK1443" s="197"/>
      <c r="CL1443" s="197"/>
      <c r="CM1443" s="213"/>
      <c r="CN1443" s="213"/>
      <c r="CO1443" s="197"/>
      <c r="CP1443" s="197"/>
      <c r="CQ1443" s="197"/>
      <c r="CR1443" s="197"/>
      <c r="CS1443" s="197"/>
      <c r="CT1443" s="197"/>
      <c r="CU1443" s="197"/>
      <c r="CV1443" s="197"/>
      <c r="CW1443" s="197"/>
      <c r="CX1443" s="959"/>
      <c r="CY1443" s="959"/>
      <c r="CZ1443" s="959"/>
      <c r="DA1443" s="959"/>
      <c r="DB1443" s="959"/>
      <c r="DC1443" s="891">
        <v>4936</v>
      </c>
      <c r="DD1443" s="891" t="s">
        <v>3649</v>
      </c>
      <c r="DE1443" s="891" t="s">
        <v>412</v>
      </c>
      <c r="DF1443" s="891">
        <v>5</v>
      </c>
      <c r="DG1443" s="959"/>
      <c r="DH1443" s="959"/>
      <c r="ER1443" s="905">
        <v>5411</v>
      </c>
      <c r="ES1443" s="906" t="s">
        <v>652</v>
      </c>
      <c r="ET1443" s="2686">
        <v>9</v>
      </c>
      <c r="EV1443" s="985"/>
      <c r="EW1443" s="985"/>
      <c r="EX1443" s="387"/>
      <c r="EY1443" s="939"/>
      <c r="EZ1443" s="886"/>
    </row>
    <row r="1444" spans="88:156">
      <c r="CJ1444" s="197"/>
      <c r="CK1444" s="197"/>
      <c r="CL1444" s="197"/>
      <c r="CM1444" s="213"/>
      <c r="CN1444" s="213"/>
      <c r="CO1444" s="197"/>
      <c r="CP1444" s="197"/>
      <c r="CQ1444" s="197"/>
      <c r="CR1444" s="197"/>
      <c r="CS1444" s="197"/>
      <c r="CT1444" s="197"/>
      <c r="CU1444" s="197"/>
      <c r="CV1444" s="197"/>
      <c r="CW1444" s="197"/>
      <c r="CX1444" s="959"/>
      <c r="CY1444" s="959"/>
      <c r="CZ1444" s="959"/>
      <c r="DA1444" s="959"/>
      <c r="DB1444" s="959"/>
      <c r="DC1444" s="891">
        <v>4937</v>
      </c>
      <c r="DD1444" s="891" t="s">
        <v>3650</v>
      </c>
      <c r="DE1444" s="891" t="s">
        <v>412</v>
      </c>
      <c r="DF1444" s="891">
        <v>5</v>
      </c>
      <c r="DG1444" s="959"/>
      <c r="DH1444" s="959"/>
      <c r="ER1444" s="905">
        <v>5412</v>
      </c>
      <c r="ES1444" s="906" t="s">
        <v>653</v>
      </c>
      <c r="ET1444" s="2686">
        <v>9</v>
      </c>
      <c r="EV1444" s="985"/>
      <c r="EW1444" s="985"/>
      <c r="EX1444" s="387"/>
      <c r="EY1444" s="939"/>
      <c r="EZ1444" s="886"/>
    </row>
    <row r="1445" spans="88:156">
      <c r="CJ1445" s="197"/>
      <c r="CK1445" s="197"/>
      <c r="CL1445" s="197"/>
      <c r="CM1445" s="213"/>
      <c r="CN1445" s="213"/>
      <c r="CO1445" s="197"/>
      <c r="CP1445" s="197"/>
      <c r="CQ1445" s="197"/>
      <c r="CR1445" s="197"/>
      <c r="CS1445" s="197"/>
      <c r="CT1445" s="197"/>
      <c r="CU1445" s="197"/>
      <c r="CV1445" s="197"/>
      <c r="CW1445" s="197"/>
      <c r="CX1445" s="959"/>
      <c r="CY1445" s="959"/>
      <c r="CZ1445" s="959"/>
      <c r="DA1445" s="959"/>
      <c r="DB1445" s="959"/>
      <c r="DC1445" s="891">
        <v>4941</v>
      </c>
      <c r="DD1445" s="891" t="s">
        <v>3651</v>
      </c>
      <c r="DE1445" s="891" t="s">
        <v>412</v>
      </c>
      <c r="DF1445" s="891">
        <v>5</v>
      </c>
      <c r="DG1445" s="959"/>
      <c r="DH1445" s="959"/>
      <c r="ER1445" s="905">
        <v>5420</v>
      </c>
      <c r="ES1445" s="906" t="s">
        <v>654</v>
      </c>
      <c r="ET1445" s="2686">
        <v>9</v>
      </c>
      <c r="EV1445" s="985"/>
      <c r="EW1445" s="985"/>
      <c r="EX1445" s="387"/>
      <c r="EY1445" s="939"/>
      <c r="EZ1445" s="886"/>
    </row>
    <row r="1446" spans="88:156">
      <c r="CJ1446" s="197"/>
      <c r="CK1446" s="197"/>
      <c r="CL1446" s="197"/>
      <c r="CM1446" s="213"/>
      <c r="CN1446" s="213"/>
      <c r="CO1446" s="197"/>
      <c r="CP1446" s="197"/>
      <c r="CQ1446" s="197"/>
      <c r="CR1446" s="197"/>
      <c r="CS1446" s="197"/>
      <c r="CT1446" s="197"/>
      <c r="CU1446" s="197"/>
      <c r="CV1446" s="197"/>
      <c r="CW1446" s="197"/>
      <c r="CX1446" s="959"/>
      <c r="CY1446" s="959"/>
      <c r="CZ1446" s="959"/>
      <c r="DA1446" s="959"/>
      <c r="DB1446" s="959"/>
      <c r="DC1446" s="891">
        <v>4942</v>
      </c>
      <c r="DD1446" s="891" t="s">
        <v>3652</v>
      </c>
      <c r="DE1446" s="891" t="s">
        <v>412</v>
      </c>
      <c r="DF1446" s="891">
        <v>5</v>
      </c>
      <c r="DG1446" s="959"/>
      <c r="DH1446" s="959"/>
      <c r="ER1446" s="905">
        <v>5430</v>
      </c>
      <c r="ES1446" s="906" t="s">
        <v>655</v>
      </c>
      <c r="ET1446" s="2686">
        <v>9</v>
      </c>
      <c r="EV1446" s="985"/>
      <c r="EW1446" s="985"/>
      <c r="EX1446" s="387"/>
      <c r="EY1446" s="939"/>
      <c r="EZ1446" s="886"/>
    </row>
    <row r="1447" spans="88:156">
      <c r="CJ1447" s="197"/>
      <c r="CK1447" s="197"/>
      <c r="CL1447" s="197"/>
      <c r="CM1447" s="213"/>
      <c r="CN1447" s="213"/>
      <c r="CO1447" s="197"/>
      <c r="CP1447" s="197"/>
      <c r="CQ1447" s="197"/>
      <c r="CR1447" s="197"/>
      <c r="CS1447" s="197"/>
      <c r="CT1447" s="197"/>
      <c r="CU1447" s="197"/>
      <c r="CV1447" s="197"/>
      <c r="CW1447" s="197"/>
      <c r="CX1447" s="959"/>
      <c r="CY1447" s="959"/>
      <c r="CZ1447" s="959"/>
      <c r="DA1447" s="959"/>
      <c r="DB1447" s="959"/>
      <c r="DC1447" s="891">
        <v>4943</v>
      </c>
      <c r="DD1447" s="891" t="s">
        <v>3653</v>
      </c>
      <c r="DE1447" s="891" t="s">
        <v>412</v>
      </c>
      <c r="DF1447" s="891">
        <v>4</v>
      </c>
      <c r="DG1447" s="959"/>
      <c r="DH1447" s="959"/>
      <c r="ER1447" s="905">
        <v>5435</v>
      </c>
      <c r="ES1447" s="906" t="s">
        <v>656</v>
      </c>
      <c r="ET1447" s="2686">
        <v>9</v>
      </c>
      <c r="EV1447" s="985"/>
      <c r="EW1447" s="985"/>
      <c r="EX1447" s="387"/>
      <c r="EY1447" s="939"/>
      <c r="EZ1447" s="886"/>
    </row>
    <row r="1448" spans="88:156">
      <c r="CJ1448" s="197"/>
      <c r="CK1448" s="197"/>
      <c r="CL1448" s="197"/>
      <c r="CM1448" s="213"/>
      <c r="CN1448" s="213"/>
      <c r="CO1448" s="197"/>
      <c r="CP1448" s="197"/>
      <c r="CQ1448" s="197"/>
      <c r="CR1448" s="197"/>
      <c r="CS1448" s="197"/>
      <c r="CT1448" s="197"/>
      <c r="CU1448" s="197"/>
      <c r="CV1448" s="197"/>
      <c r="CW1448" s="197"/>
      <c r="CX1448" s="959"/>
      <c r="CY1448" s="959"/>
      <c r="CZ1448" s="959"/>
      <c r="DA1448" s="959"/>
      <c r="DB1448" s="959"/>
      <c r="DC1448" s="891">
        <v>4944</v>
      </c>
      <c r="DD1448" s="891" t="s">
        <v>3654</v>
      </c>
      <c r="DE1448" s="891" t="s">
        <v>406</v>
      </c>
      <c r="DF1448" s="891">
        <v>4</v>
      </c>
      <c r="DG1448" s="959"/>
      <c r="DH1448" s="959"/>
      <c r="ER1448" s="905">
        <v>5440</v>
      </c>
      <c r="ES1448" s="906" t="s">
        <v>657</v>
      </c>
      <c r="ET1448" s="2686">
        <v>9</v>
      </c>
      <c r="EV1448" s="985"/>
      <c r="EW1448" s="985"/>
      <c r="EX1448" s="387"/>
      <c r="EY1448" s="939"/>
      <c r="EZ1448" s="886"/>
    </row>
    <row r="1449" spans="88:156">
      <c r="CJ1449" s="197"/>
      <c r="CK1449" s="197"/>
      <c r="CL1449" s="197"/>
      <c r="CM1449" s="213"/>
      <c r="CN1449" s="213"/>
      <c r="CO1449" s="197"/>
      <c r="CP1449" s="197"/>
      <c r="CQ1449" s="197"/>
      <c r="CR1449" s="197"/>
      <c r="CS1449" s="197"/>
      <c r="CT1449" s="197"/>
      <c r="CU1449" s="197"/>
      <c r="CV1449" s="197"/>
      <c r="CW1449" s="197"/>
      <c r="CX1449" s="959"/>
      <c r="CY1449" s="959"/>
      <c r="CZ1449" s="959"/>
      <c r="DA1449" s="959"/>
      <c r="DB1449" s="959"/>
      <c r="DC1449" s="891">
        <v>4945</v>
      </c>
      <c r="DD1449" s="891" t="s">
        <v>3655</v>
      </c>
      <c r="DE1449" s="891" t="s">
        <v>427</v>
      </c>
      <c r="DF1449" s="891">
        <v>4</v>
      </c>
      <c r="DG1449" s="959"/>
      <c r="DH1449" s="959"/>
      <c r="ER1449" s="905">
        <v>5449</v>
      </c>
      <c r="ES1449" s="906" t="s">
        <v>1600</v>
      </c>
      <c r="ET1449" s="2686">
        <v>9</v>
      </c>
      <c r="EV1449" s="985"/>
      <c r="EW1449" s="985"/>
      <c r="EX1449" s="387"/>
      <c r="EY1449" s="939"/>
      <c r="EZ1449" s="886"/>
    </row>
    <row r="1450" spans="88:156">
      <c r="CJ1450" s="197"/>
      <c r="CK1450" s="197"/>
      <c r="CL1450" s="197"/>
      <c r="CM1450" s="213"/>
      <c r="CN1450" s="213"/>
      <c r="CO1450" s="197"/>
      <c r="CP1450" s="197"/>
      <c r="CQ1450" s="197"/>
      <c r="CR1450" s="197"/>
      <c r="CS1450" s="197"/>
      <c r="CT1450" s="197"/>
      <c r="CU1450" s="197"/>
      <c r="CV1450" s="197"/>
      <c r="CW1450" s="197"/>
      <c r="CX1450" s="959"/>
      <c r="CY1450" s="959"/>
      <c r="CZ1450" s="959"/>
      <c r="DA1450" s="959"/>
      <c r="DB1450" s="959"/>
      <c r="DC1450" s="891">
        <v>4946</v>
      </c>
      <c r="DD1450" s="891" t="s">
        <v>3656</v>
      </c>
      <c r="DE1450" s="891" t="s">
        <v>434</v>
      </c>
      <c r="DF1450" s="891">
        <v>4</v>
      </c>
      <c r="DG1450" s="959"/>
      <c r="DH1450" s="959"/>
      <c r="ER1450" s="905">
        <v>5451</v>
      </c>
      <c r="ES1450" s="906" t="s">
        <v>679</v>
      </c>
      <c r="ET1450" s="2686">
        <v>9</v>
      </c>
      <c r="EV1450" s="985"/>
      <c r="EW1450" s="985"/>
      <c r="EX1450" s="387"/>
      <c r="EY1450" s="939"/>
      <c r="EZ1450" s="886"/>
    </row>
    <row r="1451" spans="88:156">
      <c r="CJ1451" s="197"/>
      <c r="CK1451" s="197"/>
      <c r="CL1451" s="197"/>
      <c r="CM1451" s="213"/>
      <c r="CN1451" s="213"/>
      <c r="CO1451" s="197"/>
      <c r="CP1451" s="197"/>
      <c r="CQ1451" s="197"/>
      <c r="CR1451" s="197"/>
      <c r="CS1451" s="197"/>
      <c r="CT1451" s="197"/>
      <c r="CU1451" s="197"/>
      <c r="CV1451" s="197"/>
      <c r="CW1451" s="197"/>
      <c r="CX1451" s="959"/>
      <c r="CY1451" s="959"/>
      <c r="CZ1451" s="959"/>
      <c r="DA1451" s="959"/>
      <c r="DB1451" s="959"/>
      <c r="DC1451" s="891">
        <v>4947</v>
      </c>
      <c r="DD1451" s="891" t="s">
        <v>2406</v>
      </c>
      <c r="DE1451" s="891" t="s">
        <v>423</v>
      </c>
      <c r="DF1451" s="891">
        <v>1</v>
      </c>
      <c r="DG1451" s="959"/>
      <c r="DH1451" s="959"/>
      <c r="ER1451" s="905">
        <v>5452</v>
      </c>
      <c r="ES1451" s="906" t="s">
        <v>680</v>
      </c>
      <c r="ET1451" s="2686">
        <v>9</v>
      </c>
      <c r="EV1451" s="985"/>
      <c r="EW1451" s="985"/>
      <c r="EX1451" s="387"/>
      <c r="EY1451" s="939"/>
      <c r="EZ1451" s="886"/>
    </row>
    <row r="1452" spans="88:156">
      <c r="CJ1452" s="197"/>
      <c r="CK1452" s="197"/>
      <c r="CL1452" s="197"/>
      <c r="CM1452" s="213"/>
      <c r="CN1452" s="213"/>
      <c r="CO1452" s="197"/>
      <c r="CP1452" s="197"/>
      <c r="CQ1452" s="197"/>
      <c r="CR1452" s="197"/>
      <c r="CS1452" s="197"/>
      <c r="CT1452" s="197"/>
      <c r="CU1452" s="197"/>
      <c r="CV1452" s="197"/>
      <c r="CW1452" s="197"/>
      <c r="CX1452" s="959"/>
      <c r="CY1452" s="959"/>
      <c r="CZ1452" s="959"/>
      <c r="DA1452" s="959"/>
      <c r="DB1452" s="959"/>
      <c r="DC1452" s="891">
        <v>4948</v>
      </c>
      <c r="DD1452" s="891" t="s">
        <v>2407</v>
      </c>
      <c r="DE1452" s="891" t="s">
        <v>418</v>
      </c>
      <c r="DF1452" s="891">
        <v>1</v>
      </c>
      <c r="DG1452" s="959"/>
      <c r="DH1452" s="959"/>
      <c r="ER1452" s="905">
        <v>5453</v>
      </c>
      <c r="ES1452" s="906" t="s">
        <v>681</v>
      </c>
      <c r="ET1452" s="2686">
        <v>9</v>
      </c>
      <c r="EV1452" s="985"/>
      <c r="EW1452" s="985"/>
      <c r="EX1452" s="387"/>
      <c r="EY1452" s="939"/>
      <c r="EZ1452" s="886"/>
    </row>
    <row r="1453" spans="88:156">
      <c r="CJ1453" s="197"/>
      <c r="CK1453" s="197"/>
      <c r="CL1453" s="197"/>
      <c r="CM1453" s="213"/>
      <c r="CN1453" s="213"/>
      <c r="CO1453" s="197"/>
      <c r="CP1453" s="197"/>
      <c r="CQ1453" s="197"/>
      <c r="CR1453" s="197"/>
      <c r="CS1453" s="197"/>
      <c r="CT1453" s="197"/>
      <c r="CU1453" s="197"/>
      <c r="CV1453" s="197"/>
      <c r="CW1453" s="197"/>
      <c r="CX1453" s="959"/>
      <c r="CY1453" s="959"/>
      <c r="CZ1453" s="959"/>
      <c r="DA1453" s="959"/>
      <c r="DB1453" s="959"/>
      <c r="DC1453" s="891">
        <v>4951</v>
      </c>
      <c r="DD1453" s="891" t="s">
        <v>2408</v>
      </c>
      <c r="DE1453" s="891" t="s">
        <v>412</v>
      </c>
      <c r="DF1453" s="891">
        <v>6</v>
      </c>
      <c r="DG1453" s="959"/>
      <c r="DH1453" s="959"/>
      <c r="ER1453" s="905">
        <v>5461</v>
      </c>
      <c r="ES1453" s="905" t="s">
        <v>1601</v>
      </c>
      <c r="ET1453" s="2686">
        <v>9</v>
      </c>
      <c r="EV1453" s="985"/>
      <c r="EW1453" s="985"/>
      <c r="EX1453" s="387"/>
      <c r="EY1453" s="939"/>
      <c r="EZ1453" s="886"/>
    </row>
    <row r="1454" spans="88:156">
      <c r="CJ1454" s="197"/>
      <c r="CK1454" s="197"/>
      <c r="CL1454" s="197"/>
      <c r="CM1454" s="213"/>
      <c r="CN1454" s="213"/>
      <c r="CO1454" s="197"/>
      <c r="CP1454" s="197"/>
      <c r="CQ1454" s="197"/>
      <c r="CR1454" s="197"/>
      <c r="CS1454" s="197"/>
      <c r="CT1454" s="197"/>
      <c r="CU1454" s="197"/>
      <c r="CV1454" s="197"/>
      <c r="CW1454" s="197"/>
      <c r="CX1454" s="959"/>
      <c r="CY1454" s="959"/>
      <c r="CZ1454" s="959"/>
      <c r="DA1454" s="959"/>
      <c r="DB1454" s="959"/>
      <c r="DC1454" s="891">
        <v>4952</v>
      </c>
      <c r="DD1454" s="891" t="s">
        <v>2409</v>
      </c>
      <c r="DE1454" s="891" t="s">
        <v>427</v>
      </c>
      <c r="DF1454" s="891">
        <v>1</v>
      </c>
      <c r="DG1454" s="959"/>
      <c r="DH1454" s="959"/>
      <c r="ER1454" s="905">
        <v>5462</v>
      </c>
      <c r="ES1454" s="906" t="s">
        <v>683</v>
      </c>
      <c r="ET1454" s="2686">
        <v>9</v>
      </c>
      <c r="EV1454" s="985"/>
      <c r="EW1454" s="985"/>
      <c r="EX1454" s="387"/>
      <c r="EY1454" s="939"/>
      <c r="EZ1454" s="886"/>
    </row>
    <row r="1455" spans="88:156">
      <c r="CJ1455" s="197"/>
      <c r="CK1455" s="197"/>
      <c r="CL1455" s="197"/>
      <c r="CM1455" s="213"/>
      <c r="CN1455" s="213"/>
      <c r="CO1455" s="197"/>
      <c r="CP1455" s="197"/>
      <c r="CQ1455" s="197"/>
      <c r="CR1455" s="197"/>
      <c r="CS1455" s="197"/>
      <c r="CT1455" s="197"/>
      <c r="CU1455" s="197"/>
      <c r="CV1455" s="197"/>
      <c r="CW1455" s="197"/>
      <c r="CX1455" s="959"/>
      <c r="CY1455" s="959"/>
      <c r="CZ1455" s="959"/>
      <c r="DA1455" s="959"/>
      <c r="DB1455" s="959"/>
      <c r="DC1455" s="891">
        <v>4953</v>
      </c>
      <c r="DD1455" s="891" t="s">
        <v>2410</v>
      </c>
      <c r="DE1455" s="891" t="s">
        <v>410</v>
      </c>
      <c r="DF1455" s="891">
        <v>1</v>
      </c>
      <c r="DG1455" s="959"/>
      <c r="DH1455" s="959"/>
      <c r="ER1455" s="905">
        <v>5463</v>
      </c>
      <c r="ES1455" s="906" t="s">
        <v>684</v>
      </c>
      <c r="ET1455" s="2686">
        <v>9</v>
      </c>
      <c r="EV1455" s="985"/>
      <c r="EW1455" s="985"/>
      <c r="EX1455" s="387"/>
      <c r="EY1455" s="939"/>
      <c r="EZ1455" s="886"/>
    </row>
    <row r="1456" spans="88:156">
      <c r="CJ1456" s="197"/>
      <c r="CK1456" s="197"/>
      <c r="CL1456" s="197"/>
      <c r="CM1456" s="213"/>
      <c r="CN1456" s="213"/>
      <c r="CO1456" s="197"/>
      <c r="CP1456" s="197"/>
      <c r="CQ1456" s="197"/>
      <c r="CR1456" s="197"/>
      <c r="CS1456" s="197"/>
      <c r="CT1456" s="197"/>
      <c r="CU1456" s="197"/>
      <c r="CV1456" s="197"/>
      <c r="CW1456" s="197"/>
      <c r="CX1456" s="959"/>
      <c r="CY1456" s="959"/>
      <c r="CZ1456" s="959"/>
      <c r="DA1456" s="959"/>
      <c r="DB1456" s="959"/>
      <c r="DC1456" s="891">
        <v>4954</v>
      </c>
      <c r="DD1456" s="891" t="s">
        <v>2411</v>
      </c>
      <c r="DE1456" s="891" t="s">
        <v>420</v>
      </c>
      <c r="DF1456" s="891">
        <v>1</v>
      </c>
      <c r="DG1456" s="959"/>
      <c r="DH1456" s="959"/>
      <c r="ER1456" s="905">
        <v>5464</v>
      </c>
      <c r="ES1456" s="906" t="s">
        <v>685</v>
      </c>
      <c r="ET1456" s="2686">
        <v>9</v>
      </c>
      <c r="EV1456" s="985"/>
      <c r="EW1456" s="985"/>
      <c r="EX1456" s="387"/>
      <c r="EY1456" s="939"/>
      <c r="EZ1456" s="886"/>
    </row>
    <row r="1457" spans="88:156">
      <c r="CJ1457" s="197"/>
      <c r="CK1457" s="197"/>
      <c r="CL1457" s="197"/>
      <c r="CM1457" s="213"/>
      <c r="CN1457" s="213"/>
      <c r="CO1457" s="197"/>
      <c r="CP1457" s="197"/>
      <c r="CQ1457" s="197"/>
      <c r="CR1457" s="197"/>
      <c r="CS1457" s="197"/>
      <c r="CT1457" s="197"/>
      <c r="CU1457" s="197"/>
      <c r="CV1457" s="197"/>
      <c r="CW1457" s="197"/>
      <c r="CX1457" s="959"/>
      <c r="CY1457" s="959"/>
      <c r="CZ1457" s="959"/>
      <c r="DA1457" s="959"/>
      <c r="DB1457" s="959"/>
      <c r="DC1457" s="891">
        <v>4955</v>
      </c>
      <c r="DD1457" s="891" t="s">
        <v>2412</v>
      </c>
      <c r="DE1457" s="891" t="s">
        <v>2808</v>
      </c>
      <c r="DF1457" s="891">
        <v>4</v>
      </c>
      <c r="DG1457" s="959"/>
      <c r="DH1457" s="959"/>
      <c r="ER1457" s="905">
        <v>5465</v>
      </c>
      <c r="ES1457" s="906" t="s">
        <v>686</v>
      </c>
      <c r="ET1457" s="2686">
        <v>9</v>
      </c>
      <c r="EV1457" s="985"/>
      <c r="EW1457" s="985"/>
      <c r="EX1457" s="387"/>
      <c r="EY1457" s="939"/>
      <c r="EZ1457" s="886"/>
    </row>
    <row r="1458" spans="88:156">
      <c r="CJ1458" s="197"/>
      <c r="CK1458" s="197"/>
      <c r="CL1458" s="197"/>
      <c r="CM1458" s="213"/>
      <c r="CN1458" s="213"/>
      <c r="CO1458" s="197"/>
      <c r="CP1458" s="197"/>
      <c r="CQ1458" s="197"/>
      <c r="CR1458" s="197"/>
      <c r="CS1458" s="197"/>
      <c r="CT1458" s="197"/>
      <c r="CU1458" s="197"/>
      <c r="CV1458" s="197"/>
      <c r="CW1458" s="197"/>
      <c r="CX1458" s="959"/>
      <c r="CY1458" s="959"/>
      <c r="CZ1458" s="959"/>
      <c r="DA1458" s="959"/>
      <c r="DB1458" s="959"/>
      <c r="DC1458" s="891">
        <v>4956</v>
      </c>
      <c r="DD1458" s="891" t="s">
        <v>4803</v>
      </c>
      <c r="DE1458" s="891" t="s">
        <v>419</v>
      </c>
      <c r="DF1458" s="891">
        <v>5</v>
      </c>
      <c r="DG1458" s="959"/>
      <c r="DH1458" s="959"/>
      <c r="ER1458" s="905">
        <v>5471</v>
      </c>
      <c r="ES1458" s="906" t="s">
        <v>688</v>
      </c>
      <c r="ET1458" s="2686">
        <v>9</v>
      </c>
      <c r="EV1458" s="985"/>
      <c r="EW1458" s="985"/>
      <c r="EX1458" s="387"/>
      <c r="EY1458" s="939"/>
      <c r="EZ1458" s="886"/>
    </row>
    <row r="1459" spans="88:156">
      <c r="CJ1459" s="197"/>
      <c r="CK1459" s="197"/>
      <c r="CL1459" s="197"/>
      <c r="CM1459" s="213"/>
      <c r="CN1459" s="213"/>
      <c r="CO1459" s="197"/>
      <c r="CP1459" s="197"/>
      <c r="CQ1459" s="197"/>
      <c r="CR1459" s="197"/>
      <c r="CS1459" s="197"/>
      <c r="CT1459" s="197"/>
      <c r="CU1459" s="197"/>
      <c r="CV1459" s="197"/>
      <c r="CW1459" s="197"/>
      <c r="CX1459" s="959"/>
      <c r="CY1459" s="959"/>
      <c r="CZ1459" s="959"/>
      <c r="DA1459" s="959"/>
      <c r="DB1459" s="959"/>
      <c r="DC1459" s="891">
        <v>4961</v>
      </c>
      <c r="DD1459" s="891" t="s">
        <v>4804</v>
      </c>
      <c r="DE1459" s="891" t="s">
        <v>423</v>
      </c>
      <c r="DF1459" s="891">
        <v>6</v>
      </c>
      <c r="DG1459" s="959"/>
      <c r="DH1459" s="959"/>
      <c r="ER1459" s="905">
        <v>5474</v>
      </c>
      <c r="ES1459" s="906" t="s">
        <v>690</v>
      </c>
      <c r="ET1459" s="2686">
        <v>9</v>
      </c>
      <c r="EV1459" s="985"/>
      <c r="EW1459" s="985"/>
      <c r="EX1459" s="387"/>
      <c r="EY1459" s="939"/>
      <c r="EZ1459" s="886"/>
    </row>
    <row r="1460" spans="88:156">
      <c r="CJ1460" s="197"/>
      <c r="CK1460" s="197"/>
      <c r="CL1460" s="197"/>
      <c r="CM1460" s="213"/>
      <c r="CN1460" s="213"/>
      <c r="CO1460" s="197"/>
      <c r="CP1460" s="197"/>
      <c r="CQ1460" s="197"/>
      <c r="CR1460" s="197"/>
      <c r="CS1460" s="197"/>
      <c r="CT1460" s="197"/>
      <c r="CU1460" s="197"/>
      <c r="CV1460" s="197"/>
      <c r="CW1460" s="197"/>
      <c r="CX1460" s="959"/>
      <c r="CY1460" s="959"/>
      <c r="CZ1460" s="959"/>
      <c r="DA1460" s="959"/>
      <c r="DB1460" s="959"/>
      <c r="DC1460" s="891">
        <v>4962</v>
      </c>
      <c r="DD1460" s="891" t="s">
        <v>4805</v>
      </c>
      <c r="DE1460" s="891" t="s">
        <v>428</v>
      </c>
      <c r="DF1460" s="891">
        <v>5</v>
      </c>
      <c r="DG1460" s="959"/>
      <c r="DH1460" s="959"/>
      <c r="ER1460" s="905">
        <v>5475</v>
      </c>
      <c r="ES1460" s="906" t="s">
        <v>691</v>
      </c>
      <c r="ET1460" s="2686">
        <v>9</v>
      </c>
      <c r="EV1460" s="985"/>
      <c r="EW1460" s="985"/>
      <c r="EX1460" s="387"/>
      <c r="EY1460" s="939"/>
      <c r="EZ1460" s="886"/>
    </row>
    <row r="1461" spans="88:156">
      <c r="CJ1461" s="197"/>
      <c r="CK1461" s="197"/>
      <c r="CL1461" s="197"/>
      <c r="CM1461" s="213"/>
      <c r="CN1461" s="213"/>
      <c r="CO1461" s="197"/>
      <c r="CP1461" s="197"/>
      <c r="CQ1461" s="197"/>
      <c r="CR1461" s="197"/>
      <c r="CS1461" s="197"/>
      <c r="CT1461" s="197"/>
      <c r="CU1461" s="197"/>
      <c r="CV1461" s="197"/>
      <c r="CW1461" s="197"/>
      <c r="CX1461" s="959"/>
      <c r="CY1461" s="959"/>
      <c r="CZ1461" s="959"/>
      <c r="DA1461" s="959"/>
      <c r="DB1461" s="959"/>
      <c r="DC1461" s="891">
        <v>4963</v>
      </c>
      <c r="DD1461" s="891" t="s">
        <v>4806</v>
      </c>
      <c r="DE1461" s="891" t="s">
        <v>418</v>
      </c>
      <c r="DF1461" s="891">
        <v>6</v>
      </c>
      <c r="DG1461" s="959"/>
      <c r="DH1461" s="959"/>
      <c r="ER1461" s="905">
        <v>5476</v>
      </c>
      <c r="ES1461" s="906" t="s">
        <v>1602</v>
      </c>
      <c r="ET1461" s="2686">
        <v>9</v>
      </c>
      <c r="EV1461" s="985"/>
      <c r="EW1461" s="985"/>
      <c r="EX1461" s="387"/>
      <c r="EY1461" s="939"/>
      <c r="EZ1461" s="886"/>
    </row>
    <row r="1462" spans="88:156">
      <c r="CJ1462" s="197"/>
      <c r="CK1462" s="197"/>
      <c r="CL1462" s="197"/>
      <c r="CM1462" s="213"/>
      <c r="CN1462" s="213"/>
      <c r="CO1462" s="197"/>
      <c r="CP1462" s="197"/>
      <c r="CQ1462" s="197"/>
      <c r="CR1462" s="197"/>
      <c r="CS1462" s="197"/>
      <c r="CT1462" s="197"/>
      <c r="CU1462" s="197"/>
      <c r="CV1462" s="197"/>
      <c r="CW1462" s="197"/>
      <c r="CX1462" s="959"/>
      <c r="CY1462" s="959"/>
      <c r="CZ1462" s="959"/>
      <c r="DA1462" s="959"/>
      <c r="DB1462" s="959"/>
      <c r="DC1462" s="891">
        <v>4964</v>
      </c>
      <c r="DD1462" s="891" t="s">
        <v>4807</v>
      </c>
      <c r="DE1462" s="891" t="s">
        <v>412</v>
      </c>
      <c r="DF1462" s="891">
        <v>5</v>
      </c>
      <c r="DG1462" s="959"/>
      <c r="DH1462" s="959"/>
      <c r="ER1462" s="905">
        <v>5500</v>
      </c>
      <c r="ES1462" s="906" t="s">
        <v>1603</v>
      </c>
      <c r="ET1462" s="2686">
        <v>9</v>
      </c>
      <c r="EV1462" s="985"/>
      <c r="EW1462" s="985"/>
      <c r="EX1462" s="387"/>
      <c r="EY1462" s="939"/>
      <c r="EZ1462" s="886"/>
    </row>
    <row r="1463" spans="88:156">
      <c r="CJ1463" s="197"/>
      <c r="CK1463" s="197"/>
      <c r="CL1463" s="197"/>
      <c r="CM1463" s="213"/>
      <c r="CN1463" s="213"/>
      <c r="CO1463" s="197"/>
      <c r="CP1463" s="197"/>
      <c r="CQ1463" s="197"/>
      <c r="CR1463" s="197"/>
      <c r="CS1463" s="197"/>
      <c r="CT1463" s="197"/>
      <c r="CU1463" s="197"/>
      <c r="CV1463" s="197"/>
      <c r="CW1463" s="197"/>
      <c r="CX1463" s="959"/>
      <c r="CY1463" s="959"/>
      <c r="CZ1463" s="959"/>
      <c r="DA1463" s="959"/>
      <c r="DB1463" s="959"/>
      <c r="DC1463" s="891">
        <v>4965</v>
      </c>
      <c r="DD1463" s="891" t="s">
        <v>4808</v>
      </c>
      <c r="DE1463" s="891" t="s">
        <v>412</v>
      </c>
      <c r="DF1463" s="891">
        <v>4</v>
      </c>
      <c r="DG1463" s="959"/>
      <c r="DH1463" s="959"/>
      <c r="ER1463" s="905">
        <v>5501</v>
      </c>
      <c r="ES1463" s="906" t="s">
        <v>1604</v>
      </c>
      <c r="ET1463" s="2686">
        <v>9</v>
      </c>
      <c r="EV1463" s="985"/>
      <c r="EW1463" s="985"/>
      <c r="EX1463" s="387"/>
      <c r="EY1463" s="939"/>
      <c r="EZ1463" s="886"/>
    </row>
    <row r="1464" spans="88:156">
      <c r="CJ1464" s="197"/>
      <c r="CK1464" s="197"/>
      <c r="CL1464" s="197"/>
      <c r="CM1464" s="213"/>
      <c r="CN1464" s="213"/>
      <c r="CO1464" s="197"/>
      <c r="CP1464" s="197"/>
      <c r="CQ1464" s="197"/>
      <c r="CR1464" s="197"/>
      <c r="CS1464" s="197"/>
      <c r="CT1464" s="197"/>
      <c r="CU1464" s="197"/>
      <c r="CV1464" s="197"/>
      <c r="CW1464" s="197"/>
      <c r="CX1464" s="959"/>
      <c r="CY1464" s="959"/>
      <c r="CZ1464" s="959"/>
      <c r="DA1464" s="959"/>
      <c r="DB1464" s="959"/>
      <c r="DC1464" s="891">
        <v>4966</v>
      </c>
      <c r="DD1464" s="891" t="s">
        <v>2442</v>
      </c>
      <c r="DE1464" s="891" t="s">
        <v>412</v>
      </c>
      <c r="DF1464" s="891">
        <v>5</v>
      </c>
      <c r="DG1464" s="959"/>
      <c r="DH1464" s="959"/>
      <c r="ER1464" s="905">
        <v>5502</v>
      </c>
      <c r="ES1464" s="906" t="s">
        <v>1605</v>
      </c>
      <c r="ET1464" s="2686">
        <v>9</v>
      </c>
      <c r="EV1464" s="985"/>
      <c r="EW1464" s="985"/>
      <c r="EX1464" s="387"/>
      <c r="EY1464" s="939"/>
      <c r="EZ1464" s="886"/>
    </row>
    <row r="1465" spans="88:156">
      <c r="CJ1465" s="197"/>
      <c r="CK1465" s="197"/>
      <c r="CL1465" s="197"/>
      <c r="CM1465" s="213"/>
      <c r="CN1465" s="213"/>
      <c r="CO1465" s="197"/>
      <c r="CP1465" s="197"/>
      <c r="CQ1465" s="197"/>
      <c r="CR1465" s="197"/>
      <c r="CS1465" s="197"/>
      <c r="CT1465" s="197"/>
      <c r="CU1465" s="197"/>
      <c r="CV1465" s="197"/>
      <c r="CW1465" s="197"/>
      <c r="CX1465" s="959"/>
      <c r="CY1465" s="959"/>
      <c r="CZ1465" s="959"/>
      <c r="DA1465" s="959"/>
      <c r="DB1465" s="959"/>
      <c r="DC1465" s="891">
        <v>4967</v>
      </c>
      <c r="DD1465" s="891" t="s">
        <v>2443</v>
      </c>
      <c r="DE1465" s="891" t="s">
        <v>412</v>
      </c>
      <c r="DF1465" s="891">
        <v>5</v>
      </c>
      <c r="DG1465" s="959"/>
      <c r="DH1465" s="959"/>
      <c r="ER1465" s="905">
        <v>5510</v>
      </c>
      <c r="ES1465" s="906" t="s">
        <v>696</v>
      </c>
      <c r="ET1465" s="2686">
        <v>9</v>
      </c>
      <c r="EV1465" s="985"/>
      <c r="EW1465" s="985"/>
      <c r="EX1465" s="387"/>
      <c r="EY1465" s="939"/>
      <c r="EZ1465" s="886"/>
    </row>
    <row r="1466" spans="88:156">
      <c r="CJ1466" s="197"/>
      <c r="CK1466" s="197"/>
      <c r="CL1466" s="197"/>
      <c r="CM1466" s="213"/>
      <c r="CN1466" s="213"/>
      <c r="CO1466" s="197"/>
      <c r="CP1466" s="197"/>
      <c r="CQ1466" s="197"/>
      <c r="CR1466" s="197"/>
      <c r="CS1466" s="197"/>
      <c r="CT1466" s="197"/>
      <c r="CU1466" s="197"/>
      <c r="CV1466" s="197"/>
      <c r="CW1466" s="197"/>
      <c r="CX1466" s="959"/>
      <c r="CY1466" s="959"/>
      <c r="CZ1466" s="959"/>
      <c r="DA1466" s="959"/>
      <c r="DB1466" s="959"/>
      <c r="DC1466" s="891">
        <v>4968</v>
      </c>
      <c r="DD1466" s="891" t="s">
        <v>2444</v>
      </c>
      <c r="DE1466" s="891" t="s">
        <v>412</v>
      </c>
      <c r="DF1466" s="891">
        <v>6</v>
      </c>
      <c r="DG1466" s="959"/>
      <c r="DH1466" s="959"/>
      <c r="ER1466" s="905">
        <v>5515</v>
      </c>
      <c r="ES1466" s="906" t="s">
        <v>697</v>
      </c>
      <c r="ET1466" s="2686">
        <v>9</v>
      </c>
      <c r="EV1466" s="985"/>
      <c r="EW1466" s="985"/>
      <c r="EX1466" s="387"/>
      <c r="EY1466" s="939"/>
      <c r="EZ1466" s="886"/>
    </row>
    <row r="1467" spans="88:156">
      <c r="CJ1467" s="197"/>
      <c r="CK1467" s="197"/>
      <c r="CL1467" s="197"/>
      <c r="CM1467" s="213"/>
      <c r="CN1467" s="213"/>
      <c r="CO1467" s="197"/>
      <c r="CP1467" s="197"/>
      <c r="CQ1467" s="197"/>
      <c r="CR1467" s="197"/>
      <c r="CS1467" s="197"/>
      <c r="CT1467" s="197"/>
      <c r="CU1467" s="197"/>
      <c r="CV1467" s="197"/>
      <c r="CW1467" s="197"/>
      <c r="CX1467" s="959"/>
      <c r="CY1467" s="959"/>
      <c r="CZ1467" s="959"/>
      <c r="DA1467" s="959"/>
      <c r="DB1467" s="959"/>
      <c r="DC1467" s="891">
        <v>4969</v>
      </c>
      <c r="DD1467" s="891" t="s">
        <v>3679</v>
      </c>
      <c r="DE1467" s="891" t="s">
        <v>412</v>
      </c>
      <c r="DF1467" s="891">
        <v>6</v>
      </c>
      <c r="DG1467" s="959"/>
      <c r="DH1467" s="959"/>
      <c r="ER1467" s="905">
        <v>5516</v>
      </c>
      <c r="ES1467" s="906" t="s">
        <v>698</v>
      </c>
      <c r="ET1467" s="2686">
        <v>9</v>
      </c>
      <c r="EV1467" s="985"/>
      <c r="EW1467" s="985"/>
      <c r="EX1467" s="387"/>
      <c r="EY1467" s="939"/>
      <c r="EZ1467" s="886"/>
    </row>
    <row r="1468" spans="88:156">
      <c r="CJ1468" s="197"/>
      <c r="CK1468" s="197"/>
      <c r="CL1468" s="197"/>
      <c r="CM1468" s="213"/>
      <c r="CN1468" s="213"/>
      <c r="CO1468" s="197"/>
      <c r="CP1468" s="197"/>
      <c r="CQ1468" s="197"/>
      <c r="CR1468" s="197"/>
      <c r="CS1468" s="197"/>
      <c r="CT1468" s="197"/>
      <c r="CU1468" s="197"/>
      <c r="CV1468" s="197"/>
      <c r="CW1468" s="197"/>
      <c r="CX1468" s="959"/>
      <c r="CY1468" s="959"/>
      <c r="CZ1468" s="959"/>
      <c r="DA1468" s="959"/>
      <c r="DB1468" s="959"/>
      <c r="DC1468" s="891">
        <v>4971</v>
      </c>
      <c r="DD1468" s="891" t="s">
        <v>3680</v>
      </c>
      <c r="DE1468" s="891" t="s">
        <v>412</v>
      </c>
      <c r="DF1468" s="891">
        <v>6</v>
      </c>
      <c r="DG1468" s="959"/>
      <c r="DH1468" s="959"/>
      <c r="ER1468" s="905">
        <v>5520</v>
      </c>
      <c r="ES1468" s="906" t="s">
        <v>699</v>
      </c>
      <c r="ET1468" s="2686">
        <v>9</v>
      </c>
      <c r="EV1468" s="985"/>
      <c r="EW1468" s="985"/>
      <c r="EX1468" s="387"/>
      <c r="EY1468" s="939"/>
      <c r="EZ1468" s="886"/>
    </row>
    <row r="1469" spans="88:156">
      <c r="CJ1469" s="197"/>
      <c r="CK1469" s="197"/>
      <c r="CL1469" s="197"/>
      <c r="CM1469" s="213"/>
      <c r="CN1469" s="213"/>
      <c r="CO1469" s="197"/>
      <c r="CP1469" s="197"/>
      <c r="CQ1469" s="197"/>
      <c r="CR1469" s="197"/>
      <c r="CS1469" s="197"/>
      <c r="CT1469" s="197"/>
      <c r="CU1469" s="197"/>
      <c r="CV1469" s="197"/>
      <c r="CW1469" s="197"/>
      <c r="CX1469" s="959"/>
      <c r="CY1469" s="959"/>
      <c r="CZ1469" s="959"/>
      <c r="DA1469" s="959"/>
      <c r="DB1469" s="959"/>
      <c r="DC1469" s="891">
        <v>4972</v>
      </c>
      <c r="DD1469" s="891" t="s">
        <v>3681</v>
      </c>
      <c r="DE1469" s="891" t="s">
        <v>412</v>
      </c>
      <c r="DF1469" s="891">
        <v>6</v>
      </c>
      <c r="DG1469" s="959"/>
      <c r="DH1469" s="959"/>
      <c r="ER1469" s="905">
        <v>5525</v>
      </c>
      <c r="ES1469" s="906" t="s">
        <v>700</v>
      </c>
      <c r="ET1469" s="2686">
        <v>9</v>
      </c>
      <c r="EV1469" s="985"/>
      <c r="EW1469" s="985"/>
      <c r="EX1469" s="387"/>
      <c r="EY1469" s="939"/>
      <c r="EZ1469" s="886"/>
    </row>
    <row r="1470" spans="88:156">
      <c r="CJ1470" s="197"/>
      <c r="CK1470" s="197"/>
      <c r="CL1470" s="197"/>
      <c r="CM1470" s="213"/>
      <c r="CN1470" s="213"/>
      <c r="CO1470" s="197"/>
      <c r="CP1470" s="197"/>
      <c r="CQ1470" s="197"/>
      <c r="CR1470" s="197"/>
      <c r="CS1470" s="197"/>
      <c r="CT1470" s="197"/>
      <c r="CU1470" s="197"/>
      <c r="CV1470" s="197"/>
      <c r="CW1470" s="197"/>
      <c r="CX1470" s="959"/>
      <c r="CY1470" s="959"/>
      <c r="CZ1470" s="959"/>
      <c r="DA1470" s="959"/>
      <c r="DB1470" s="959"/>
      <c r="DC1470" s="891">
        <v>4973</v>
      </c>
      <c r="DD1470" s="891" t="s">
        <v>3682</v>
      </c>
      <c r="DE1470" s="891" t="s">
        <v>412</v>
      </c>
      <c r="DF1470" s="891">
        <v>6</v>
      </c>
      <c r="DG1470" s="959"/>
      <c r="DH1470" s="959"/>
      <c r="ER1470" s="905">
        <v>5526</v>
      </c>
      <c r="ES1470" s="906" t="s">
        <v>701</v>
      </c>
      <c r="ET1470" s="2686">
        <v>9</v>
      </c>
      <c r="EV1470" s="985"/>
      <c r="EW1470" s="985"/>
      <c r="EX1470" s="387"/>
      <c r="EY1470" s="939"/>
      <c r="EZ1470" s="886"/>
    </row>
    <row r="1471" spans="88:156">
      <c r="CJ1471" s="197"/>
      <c r="CK1471" s="197"/>
      <c r="CL1471" s="197"/>
      <c r="CM1471" s="213"/>
      <c r="CN1471" s="213"/>
      <c r="CO1471" s="197"/>
      <c r="CP1471" s="197"/>
      <c r="CQ1471" s="197"/>
      <c r="CR1471" s="197"/>
      <c r="CS1471" s="197"/>
      <c r="CT1471" s="197"/>
      <c r="CU1471" s="197"/>
      <c r="CV1471" s="197"/>
      <c r="CW1471" s="197"/>
      <c r="CX1471" s="959"/>
      <c r="CY1471" s="959"/>
      <c r="CZ1471" s="959"/>
      <c r="DA1471" s="959"/>
      <c r="DB1471" s="959"/>
      <c r="DC1471" s="891">
        <v>4974</v>
      </c>
      <c r="DD1471" s="891" t="s">
        <v>3683</v>
      </c>
      <c r="DE1471" s="891" t="s">
        <v>432</v>
      </c>
      <c r="DF1471" s="891">
        <v>6</v>
      </c>
      <c r="DG1471" s="959"/>
      <c r="DH1471" s="959"/>
      <c r="ER1471" s="905">
        <v>5527</v>
      </c>
      <c r="ES1471" s="906" t="s">
        <v>702</v>
      </c>
      <c r="ET1471" s="2686">
        <v>9</v>
      </c>
      <c r="EV1471" s="985"/>
      <c r="EW1471" s="985"/>
      <c r="EX1471" s="387"/>
      <c r="EY1471" s="939"/>
      <c r="EZ1471" s="886"/>
    </row>
    <row r="1472" spans="88:156">
      <c r="CJ1472" s="197"/>
      <c r="CK1472" s="197"/>
      <c r="CL1472" s="197"/>
      <c r="CM1472" s="213"/>
      <c r="CN1472" s="213"/>
      <c r="CO1472" s="197"/>
      <c r="CP1472" s="197"/>
      <c r="CQ1472" s="197"/>
      <c r="CR1472" s="197"/>
      <c r="CS1472" s="197"/>
      <c r="CT1472" s="197"/>
      <c r="CU1472" s="197"/>
      <c r="CV1472" s="197"/>
      <c r="CW1472" s="197"/>
      <c r="CX1472" s="959"/>
      <c r="CY1472" s="959"/>
      <c r="CZ1472" s="959"/>
      <c r="DA1472" s="959"/>
      <c r="DB1472" s="959"/>
      <c r="DC1472" s="891">
        <v>4975</v>
      </c>
      <c r="DD1472" s="891" t="s">
        <v>3684</v>
      </c>
      <c r="DE1472" s="891" t="s">
        <v>412</v>
      </c>
      <c r="DF1472" s="891">
        <v>6</v>
      </c>
      <c r="DG1472" s="959"/>
      <c r="DH1472" s="959"/>
      <c r="ER1472" s="905">
        <v>5530</v>
      </c>
      <c r="ES1472" s="906" t="s">
        <v>854</v>
      </c>
      <c r="ET1472" s="2686">
        <v>9</v>
      </c>
      <c r="EV1472" s="985"/>
      <c r="EW1472" s="985"/>
      <c r="EX1472" s="387"/>
      <c r="EY1472" s="939"/>
      <c r="EZ1472" s="886"/>
    </row>
    <row r="1473" spans="88:156">
      <c r="CJ1473" s="197"/>
      <c r="CK1473" s="197"/>
      <c r="CL1473" s="197"/>
      <c r="CM1473" s="213"/>
      <c r="CN1473" s="213"/>
      <c r="CO1473" s="197"/>
      <c r="CP1473" s="197"/>
      <c r="CQ1473" s="197"/>
      <c r="CR1473" s="197"/>
      <c r="CS1473" s="197"/>
      <c r="CT1473" s="197"/>
      <c r="CU1473" s="197"/>
      <c r="CV1473" s="197"/>
      <c r="CW1473" s="197"/>
      <c r="CX1473" s="959"/>
      <c r="CY1473" s="959"/>
      <c r="CZ1473" s="959"/>
      <c r="DA1473" s="959"/>
      <c r="DB1473" s="959"/>
      <c r="DC1473" s="891">
        <v>4976</v>
      </c>
      <c r="DD1473" s="891" t="s">
        <v>3685</v>
      </c>
      <c r="DE1473" s="891" t="s">
        <v>428</v>
      </c>
      <c r="DF1473" s="891">
        <v>6</v>
      </c>
      <c r="DG1473" s="959"/>
      <c r="DH1473" s="959"/>
      <c r="ER1473" s="905">
        <v>5534</v>
      </c>
      <c r="ES1473" s="906" t="s">
        <v>704</v>
      </c>
      <c r="ET1473" s="2686">
        <v>9</v>
      </c>
      <c r="EV1473" s="985"/>
      <c r="EW1473" s="985"/>
      <c r="EX1473" s="387"/>
      <c r="EY1473" s="939"/>
      <c r="EZ1473" s="886"/>
    </row>
    <row r="1474" spans="88:156">
      <c r="CJ1474" s="197"/>
      <c r="CK1474" s="197"/>
      <c r="CL1474" s="197"/>
      <c r="CM1474" s="213"/>
      <c r="CN1474" s="213"/>
      <c r="CO1474" s="197"/>
      <c r="CP1474" s="197"/>
      <c r="CQ1474" s="197"/>
      <c r="CR1474" s="197"/>
      <c r="CS1474" s="197"/>
      <c r="CT1474" s="197"/>
      <c r="CU1474" s="197"/>
      <c r="CV1474" s="197"/>
      <c r="CW1474" s="197"/>
      <c r="CX1474" s="959"/>
      <c r="CY1474" s="959"/>
      <c r="CZ1474" s="959"/>
      <c r="DA1474" s="959"/>
      <c r="DB1474" s="959"/>
      <c r="DC1474" s="891">
        <v>4977</v>
      </c>
      <c r="DD1474" s="891" t="s">
        <v>3686</v>
      </c>
      <c r="DE1474" s="891" t="s">
        <v>423</v>
      </c>
      <c r="DF1474" s="891">
        <v>6</v>
      </c>
      <c r="DG1474" s="959"/>
      <c r="DH1474" s="959"/>
      <c r="ER1474" s="905">
        <v>5536</v>
      </c>
      <c r="ES1474" s="906" t="s">
        <v>2781</v>
      </c>
      <c r="ET1474" s="2686">
        <v>9</v>
      </c>
      <c r="EV1474" s="985"/>
      <c r="EW1474" s="985"/>
      <c r="EX1474" s="387"/>
      <c r="EY1474" s="939"/>
      <c r="EZ1474" s="886"/>
    </row>
    <row r="1475" spans="88:156">
      <c r="CJ1475" s="197"/>
      <c r="CK1475" s="197"/>
      <c r="CL1475" s="197"/>
      <c r="CM1475" s="213"/>
      <c r="CN1475" s="213"/>
      <c r="CO1475" s="197"/>
      <c r="CP1475" s="197"/>
      <c r="CQ1475" s="197"/>
      <c r="CR1475" s="197"/>
      <c r="CS1475" s="197"/>
      <c r="CT1475" s="197"/>
      <c r="CU1475" s="197"/>
      <c r="CV1475" s="197"/>
      <c r="CW1475" s="197"/>
      <c r="CX1475" s="959"/>
      <c r="CY1475" s="959"/>
      <c r="CZ1475" s="959"/>
      <c r="DA1475" s="959"/>
      <c r="DB1475" s="959"/>
      <c r="DC1475" s="891">
        <v>5000</v>
      </c>
      <c r="DD1475" s="891" t="s">
        <v>3687</v>
      </c>
      <c r="DE1475" s="891" t="s">
        <v>406</v>
      </c>
      <c r="DF1475" s="891">
        <v>6</v>
      </c>
      <c r="DG1475" s="959"/>
      <c r="DH1475" s="959"/>
      <c r="ER1475" s="905">
        <v>5537</v>
      </c>
      <c r="ES1475" s="906" t="s">
        <v>706</v>
      </c>
      <c r="ET1475" s="2686">
        <v>9</v>
      </c>
      <c r="EV1475" s="985"/>
      <c r="EW1475" s="985"/>
      <c r="EX1475" s="387"/>
      <c r="EY1475" s="939"/>
      <c r="EZ1475" s="886"/>
    </row>
    <row r="1476" spans="88:156">
      <c r="CJ1476" s="197"/>
      <c r="CK1476" s="197"/>
      <c r="CL1476" s="197"/>
      <c r="CM1476" s="213"/>
      <c r="CN1476" s="213"/>
      <c r="CO1476" s="197"/>
      <c r="CP1476" s="197"/>
      <c r="CQ1476" s="197"/>
      <c r="CR1476" s="197"/>
      <c r="CS1476" s="197"/>
      <c r="CT1476" s="197"/>
      <c r="CU1476" s="197"/>
      <c r="CV1476" s="197"/>
      <c r="CW1476" s="197"/>
      <c r="CX1476" s="959"/>
      <c r="CY1476" s="959"/>
      <c r="CZ1476" s="959"/>
      <c r="DA1476" s="959"/>
      <c r="DB1476" s="959"/>
      <c r="DC1476" s="891">
        <v>5002</v>
      </c>
      <c r="DD1476" s="891" t="s">
        <v>3688</v>
      </c>
      <c r="DE1476" s="891" t="s">
        <v>419</v>
      </c>
      <c r="DF1476" s="891">
        <v>6</v>
      </c>
      <c r="DG1476" s="959"/>
      <c r="DH1476" s="959"/>
      <c r="ER1476" s="905">
        <v>5538</v>
      </c>
      <c r="ES1476" s="906" t="s">
        <v>707</v>
      </c>
      <c r="ET1476" s="2686">
        <v>9</v>
      </c>
      <c r="EV1476" s="985"/>
      <c r="EW1476" s="985"/>
      <c r="EX1476" s="387"/>
      <c r="EY1476" s="939"/>
      <c r="EZ1476" s="886"/>
    </row>
    <row r="1477" spans="88:156">
      <c r="CJ1477" s="197"/>
      <c r="CK1477" s="197"/>
      <c r="CL1477" s="197"/>
      <c r="CM1477" s="213"/>
      <c r="CN1477" s="213"/>
      <c r="CO1477" s="197"/>
      <c r="CP1477" s="197"/>
      <c r="CQ1477" s="197"/>
      <c r="CR1477" s="197"/>
      <c r="CS1477" s="197"/>
      <c r="CT1477" s="197"/>
      <c r="CU1477" s="197"/>
      <c r="CV1477" s="197"/>
      <c r="CW1477" s="197"/>
      <c r="CX1477" s="959"/>
      <c r="CY1477" s="959"/>
      <c r="CZ1477" s="959"/>
      <c r="DA1477" s="959"/>
      <c r="DB1477" s="959"/>
      <c r="DC1477" s="891">
        <v>5008</v>
      </c>
      <c r="DD1477" s="891" t="s">
        <v>3689</v>
      </c>
      <c r="DE1477" s="891" t="s">
        <v>410</v>
      </c>
      <c r="DF1477" s="891">
        <v>6</v>
      </c>
      <c r="DG1477" s="959"/>
      <c r="DH1477" s="959"/>
      <c r="ER1477" s="905">
        <v>5539</v>
      </c>
      <c r="ES1477" s="906" t="s">
        <v>2782</v>
      </c>
      <c r="ET1477" s="2686">
        <v>9</v>
      </c>
      <c r="EV1477" s="985"/>
      <c r="EW1477" s="985"/>
      <c r="EX1477" s="387"/>
      <c r="EY1477" s="939"/>
      <c r="EZ1477" s="886"/>
    </row>
    <row r="1478" spans="88:156">
      <c r="CJ1478" s="197"/>
      <c r="CK1478" s="197"/>
      <c r="CL1478" s="197"/>
      <c r="CM1478" s="213"/>
      <c r="CN1478" s="213"/>
      <c r="CO1478" s="197"/>
      <c r="CP1478" s="197"/>
      <c r="CQ1478" s="197"/>
      <c r="CR1478" s="197"/>
      <c r="CS1478" s="197"/>
      <c r="CT1478" s="197"/>
      <c r="CU1478" s="197"/>
      <c r="CV1478" s="197"/>
      <c r="CW1478" s="197"/>
      <c r="CX1478" s="959"/>
      <c r="CY1478" s="959"/>
      <c r="CZ1478" s="959"/>
      <c r="DA1478" s="959"/>
      <c r="DB1478" s="959"/>
      <c r="DC1478" s="891">
        <v>5051</v>
      </c>
      <c r="DD1478" s="891" t="s">
        <v>3690</v>
      </c>
      <c r="DE1478" s="891" t="s">
        <v>410</v>
      </c>
      <c r="DF1478" s="891">
        <v>6</v>
      </c>
      <c r="DG1478" s="959"/>
      <c r="DH1478" s="959"/>
      <c r="ER1478" s="905">
        <v>5540</v>
      </c>
      <c r="ES1478" s="906" t="s">
        <v>709</v>
      </c>
      <c r="ET1478" s="2686">
        <v>9</v>
      </c>
      <c r="EV1478" s="985"/>
      <c r="EW1478" s="985"/>
      <c r="EX1478" s="387"/>
      <c r="EY1478" s="939"/>
      <c r="EZ1478" s="886"/>
    </row>
    <row r="1479" spans="88:156">
      <c r="CJ1479" s="197"/>
      <c r="CK1479" s="197"/>
      <c r="CL1479" s="197"/>
      <c r="CM1479" s="213"/>
      <c r="CN1479" s="213"/>
      <c r="CO1479" s="197"/>
      <c r="CP1479" s="197"/>
      <c r="CQ1479" s="197"/>
      <c r="CR1479" s="197"/>
      <c r="CS1479" s="197"/>
      <c r="CT1479" s="197"/>
      <c r="CU1479" s="197"/>
      <c r="CV1479" s="197"/>
      <c r="CW1479" s="197"/>
      <c r="CX1479" s="959"/>
      <c r="CY1479" s="959"/>
      <c r="CZ1479" s="959"/>
      <c r="DA1479" s="959"/>
      <c r="DB1479" s="959"/>
      <c r="DC1479" s="891">
        <v>5052</v>
      </c>
      <c r="DD1479" s="891" t="s">
        <v>3691</v>
      </c>
      <c r="DE1479" s="891" t="s">
        <v>410</v>
      </c>
      <c r="DF1479" s="891">
        <v>6</v>
      </c>
      <c r="DG1479" s="959"/>
      <c r="DH1479" s="959"/>
      <c r="ER1479" s="905">
        <v>5551</v>
      </c>
      <c r="ES1479" s="906" t="s">
        <v>2783</v>
      </c>
      <c r="ET1479" s="2686">
        <v>9</v>
      </c>
      <c r="EV1479" s="985"/>
      <c r="EW1479" s="985"/>
      <c r="EX1479" s="387"/>
      <c r="EY1479" s="939"/>
      <c r="EZ1479" s="886"/>
    </row>
    <row r="1480" spans="88:156">
      <c r="CJ1480" s="197"/>
      <c r="CK1480" s="197"/>
      <c r="CL1480" s="197"/>
      <c r="CM1480" s="213"/>
      <c r="CN1480" s="213"/>
      <c r="CO1480" s="197"/>
      <c r="CP1480" s="197"/>
      <c r="CQ1480" s="197"/>
      <c r="CR1480" s="197"/>
      <c r="CS1480" s="197"/>
      <c r="CT1480" s="197"/>
      <c r="CU1480" s="197"/>
      <c r="CV1480" s="197"/>
      <c r="CW1480" s="197"/>
      <c r="CX1480" s="959"/>
      <c r="CY1480" s="959"/>
      <c r="CZ1480" s="959"/>
      <c r="DA1480" s="959"/>
      <c r="DB1480" s="959"/>
      <c r="DC1480" s="891">
        <v>5053</v>
      </c>
      <c r="DD1480" s="891" t="s">
        <v>3692</v>
      </c>
      <c r="DE1480" s="891" t="s">
        <v>432</v>
      </c>
      <c r="DF1480" s="891">
        <v>6</v>
      </c>
      <c r="DG1480" s="959"/>
      <c r="DH1480" s="959"/>
      <c r="ER1480" s="905">
        <v>5552</v>
      </c>
      <c r="ES1480" s="906" t="s">
        <v>711</v>
      </c>
      <c r="ET1480" s="2686">
        <v>9</v>
      </c>
      <c r="EV1480" s="985"/>
      <c r="EW1480" s="985"/>
      <c r="EX1480" s="387"/>
      <c r="EY1480" s="939"/>
      <c r="EZ1480" s="886"/>
    </row>
    <row r="1481" spans="88:156">
      <c r="CJ1481" s="197"/>
      <c r="CK1481" s="197"/>
      <c r="CL1481" s="197"/>
      <c r="CM1481" s="213"/>
      <c r="CN1481" s="213"/>
      <c r="CO1481" s="197"/>
      <c r="CP1481" s="197"/>
      <c r="CQ1481" s="197"/>
      <c r="CR1481" s="197"/>
      <c r="CS1481" s="197"/>
      <c r="CT1481" s="197"/>
      <c r="CU1481" s="197"/>
      <c r="CV1481" s="197"/>
      <c r="CW1481" s="197"/>
      <c r="CX1481" s="959"/>
      <c r="CY1481" s="959"/>
      <c r="CZ1481" s="959"/>
      <c r="DA1481" s="959"/>
      <c r="DB1481" s="959"/>
      <c r="DC1481" s="891">
        <v>5054</v>
      </c>
      <c r="DD1481" s="891" t="s">
        <v>3693</v>
      </c>
      <c r="DE1481" s="891" t="s">
        <v>432</v>
      </c>
      <c r="DF1481" s="891">
        <v>6</v>
      </c>
      <c r="DG1481" s="959"/>
      <c r="DH1481" s="959"/>
      <c r="ER1481" s="905">
        <v>5553</v>
      </c>
      <c r="ES1481" s="906" t="s">
        <v>712</v>
      </c>
      <c r="ET1481" s="2686">
        <v>9</v>
      </c>
      <c r="EV1481" s="985"/>
      <c r="EW1481" s="985"/>
      <c r="EX1481" s="387"/>
      <c r="EY1481" s="939"/>
      <c r="EZ1481" s="886"/>
    </row>
    <row r="1482" spans="88:156">
      <c r="CJ1482" s="197"/>
      <c r="CK1482" s="197"/>
      <c r="CL1482" s="197"/>
      <c r="CM1482" s="213"/>
      <c r="CN1482" s="213"/>
      <c r="CO1482" s="197"/>
      <c r="CP1482" s="197"/>
      <c r="CQ1482" s="197"/>
      <c r="CR1482" s="197"/>
      <c r="CS1482" s="197"/>
      <c r="CT1482" s="197"/>
      <c r="CU1482" s="197"/>
      <c r="CV1482" s="197"/>
      <c r="CW1482" s="197"/>
      <c r="CX1482" s="959"/>
      <c r="CY1482" s="959"/>
      <c r="CZ1482" s="959"/>
      <c r="DA1482" s="959"/>
      <c r="DB1482" s="959"/>
      <c r="DC1482" s="891">
        <v>5055</v>
      </c>
      <c r="DD1482" s="891" t="s">
        <v>3694</v>
      </c>
      <c r="DE1482" s="891" t="s">
        <v>418</v>
      </c>
      <c r="DF1482" s="891">
        <v>6</v>
      </c>
      <c r="DG1482" s="959"/>
      <c r="DH1482" s="959"/>
      <c r="ER1482" s="905">
        <v>5555</v>
      </c>
      <c r="ES1482" s="906" t="s">
        <v>713</v>
      </c>
      <c r="ET1482" s="2686">
        <v>9</v>
      </c>
      <c r="EV1482" s="985"/>
      <c r="EW1482" s="985"/>
      <c r="EX1482" s="387"/>
      <c r="EY1482" s="939"/>
      <c r="EZ1482" s="886"/>
    </row>
    <row r="1483" spans="88:156">
      <c r="CJ1483" s="197"/>
      <c r="CK1483" s="197"/>
      <c r="CL1483" s="197"/>
      <c r="CM1483" s="213"/>
      <c r="CN1483" s="213"/>
      <c r="CO1483" s="197"/>
      <c r="CP1483" s="197"/>
      <c r="CQ1483" s="197"/>
      <c r="CR1483" s="197"/>
      <c r="CS1483" s="197"/>
      <c r="CT1483" s="197"/>
      <c r="CU1483" s="197"/>
      <c r="CV1483" s="197"/>
      <c r="CW1483" s="197"/>
      <c r="CX1483" s="959"/>
      <c r="CY1483" s="959"/>
      <c r="CZ1483" s="959"/>
      <c r="DA1483" s="959"/>
      <c r="DB1483" s="959"/>
      <c r="DC1483" s="891">
        <v>5061</v>
      </c>
      <c r="DD1483" s="891" t="s">
        <v>3695</v>
      </c>
      <c r="DE1483" s="891" t="s">
        <v>406</v>
      </c>
      <c r="DF1483" s="891">
        <v>6</v>
      </c>
      <c r="DG1483" s="959"/>
      <c r="DH1483" s="959"/>
      <c r="ER1483" s="905">
        <v>5556</v>
      </c>
      <c r="ES1483" s="906" t="s">
        <v>714</v>
      </c>
      <c r="ET1483" s="2686">
        <v>9</v>
      </c>
      <c r="EV1483" s="985"/>
      <c r="EW1483" s="985"/>
      <c r="EX1483" s="387"/>
      <c r="EY1483" s="939"/>
      <c r="EZ1483" s="886"/>
    </row>
    <row r="1484" spans="88:156">
      <c r="CJ1484" s="197"/>
      <c r="CK1484" s="197"/>
      <c r="CL1484" s="197"/>
      <c r="CM1484" s="213"/>
      <c r="CN1484" s="213"/>
      <c r="CO1484" s="197"/>
      <c r="CP1484" s="197"/>
      <c r="CQ1484" s="197"/>
      <c r="CR1484" s="197"/>
      <c r="CS1484" s="197"/>
      <c r="CT1484" s="197"/>
      <c r="CU1484" s="197"/>
      <c r="CV1484" s="197"/>
      <c r="CW1484" s="197"/>
      <c r="CX1484" s="959"/>
      <c r="CY1484" s="959"/>
      <c r="CZ1484" s="959"/>
      <c r="DA1484" s="959"/>
      <c r="DB1484" s="959"/>
      <c r="DC1484" s="891">
        <v>5062</v>
      </c>
      <c r="DD1484" s="891" t="s">
        <v>3696</v>
      </c>
      <c r="DE1484" s="891" t="s">
        <v>412</v>
      </c>
      <c r="DF1484" s="891">
        <v>6</v>
      </c>
      <c r="DG1484" s="959"/>
      <c r="DH1484" s="959"/>
      <c r="ER1484" s="905">
        <v>5561</v>
      </c>
      <c r="ES1484" s="906" t="s">
        <v>715</v>
      </c>
      <c r="ET1484" s="2686">
        <v>9</v>
      </c>
      <c r="EV1484" s="985"/>
      <c r="EW1484" s="985"/>
      <c r="EX1484" s="387"/>
      <c r="EY1484" s="939"/>
      <c r="EZ1484" s="886"/>
    </row>
    <row r="1485" spans="88:156">
      <c r="CJ1485" s="197"/>
      <c r="CK1485" s="197"/>
      <c r="CL1485" s="197"/>
      <c r="CM1485" s="213"/>
      <c r="CN1485" s="213"/>
      <c r="CO1485" s="197"/>
      <c r="CP1485" s="197"/>
      <c r="CQ1485" s="197"/>
      <c r="CR1485" s="197"/>
      <c r="CS1485" s="197"/>
      <c r="CT1485" s="197"/>
      <c r="CU1485" s="197"/>
      <c r="CV1485" s="197"/>
      <c r="CW1485" s="197"/>
      <c r="CX1485" s="959"/>
      <c r="CY1485" s="959"/>
      <c r="CZ1485" s="959"/>
      <c r="DA1485" s="959"/>
      <c r="DB1485" s="959"/>
      <c r="DC1485" s="891">
        <v>5063</v>
      </c>
      <c r="DD1485" s="891" t="s">
        <v>4896</v>
      </c>
      <c r="DE1485" s="891" t="s">
        <v>419</v>
      </c>
      <c r="DF1485" s="891">
        <v>6</v>
      </c>
      <c r="DG1485" s="959"/>
      <c r="DH1485" s="959"/>
      <c r="ER1485" s="905">
        <v>5600</v>
      </c>
      <c r="ES1485" s="906" t="s">
        <v>716</v>
      </c>
      <c r="ET1485" s="2686">
        <v>9</v>
      </c>
      <c r="EV1485" s="985"/>
      <c r="EW1485" s="985"/>
      <c r="EX1485" s="387"/>
      <c r="EY1485" s="939"/>
      <c r="EZ1485" s="886"/>
    </row>
    <row r="1486" spans="88:156">
      <c r="CJ1486" s="197"/>
      <c r="CK1486" s="197"/>
      <c r="CL1486" s="197"/>
      <c r="CM1486" s="213"/>
      <c r="CN1486" s="213"/>
      <c r="CO1486" s="197"/>
      <c r="CP1486" s="197"/>
      <c r="CQ1486" s="197"/>
      <c r="CR1486" s="197"/>
      <c r="CS1486" s="197"/>
      <c r="CT1486" s="197"/>
      <c r="CU1486" s="197"/>
      <c r="CV1486" s="197"/>
      <c r="CW1486" s="197"/>
      <c r="CX1486" s="959"/>
      <c r="CY1486" s="959"/>
      <c r="CZ1486" s="959"/>
      <c r="DA1486" s="959"/>
      <c r="DB1486" s="959"/>
      <c r="DC1486" s="891">
        <v>5064</v>
      </c>
      <c r="DD1486" s="891" t="s">
        <v>4897</v>
      </c>
      <c r="DE1486" s="891" t="s">
        <v>417</v>
      </c>
      <c r="DF1486" s="891">
        <v>6</v>
      </c>
      <c r="DG1486" s="959"/>
      <c r="DH1486" s="959"/>
      <c r="ER1486" s="905">
        <v>5609</v>
      </c>
      <c r="ES1486" s="906" t="s">
        <v>2784</v>
      </c>
      <c r="ET1486" s="2686">
        <v>9</v>
      </c>
      <c r="EV1486" s="985"/>
      <c r="EW1486" s="985"/>
      <c r="EX1486" s="387"/>
      <c r="EY1486" s="939"/>
      <c r="EZ1486" s="886"/>
    </row>
    <row r="1487" spans="88:156">
      <c r="CJ1487" s="197"/>
      <c r="CK1487" s="197"/>
      <c r="CL1487" s="197"/>
      <c r="CM1487" s="213"/>
      <c r="CN1487" s="213"/>
      <c r="CO1487" s="197"/>
      <c r="CP1487" s="197"/>
      <c r="CQ1487" s="197"/>
      <c r="CR1487" s="197"/>
      <c r="CS1487" s="197"/>
      <c r="CT1487" s="197"/>
      <c r="CU1487" s="197"/>
      <c r="CV1487" s="197"/>
      <c r="CW1487" s="197"/>
      <c r="CX1487" s="959"/>
      <c r="CY1487" s="959"/>
      <c r="CZ1487" s="959"/>
      <c r="DA1487" s="959"/>
      <c r="DB1487" s="959"/>
      <c r="DC1487" s="891">
        <v>5065</v>
      </c>
      <c r="DD1487" s="891" t="s">
        <v>4898</v>
      </c>
      <c r="DE1487" s="891" t="s">
        <v>412</v>
      </c>
      <c r="DF1487" s="891">
        <v>6</v>
      </c>
      <c r="DG1487" s="959"/>
      <c r="DH1487" s="959"/>
      <c r="ER1487" s="905">
        <v>5621</v>
      </c>
      <c r="ES1487" s="906" t="s">
        <v>718</v>
      </c>
      <c r="ET1487" s="2686">
        <v>9</v>
      </c>
      <c r="EV1487" s="985"/>
      <c r="EW1487" s="985"/>
      <c r="EX1487" s="387"/>
      <c r="EY1487" s="939"/>
      <c r="EZ1487" s="886"/>
    </row>
    <row r="1488" spans="88:156">
      <c r="CJ1488" s="197"/>
      <c r="CK1488" s="197"/>
      <c r="CL1488" s="197"/>
      <c r="CM1488" s="213"/>
      <c r="CN1488" s="213"/>
      <c r="CO1488" s="197"/>
      <c r="CP1488" s="197"/>
      <c r="CQ1488" s="197"/>
      <c r="CR1488" s="197"/>
      <c r="CS1488" s="197"/>
      <c r="CT1488" s="197"/>
      <c r="CU1488" s="197"/>
      <c r="CV1488" s="197"/>
      <c r="CW1488" s="197"/>
      <c r="CX1488" s="959"/>
      <c r="CY1488" s="959"/>
      <c r="CZ1488" s="959"/>
      <c r="DA1488" s="959"/>
      <c r="DB1488" s="959"/>
      <c r="DC1488" s="891">
        <v>5071</v>
      </c>
      <c r="DD1488" s="891" t="s">
        <v>4899</v>
      </c>
      <c r="DE1488" s="891" t="s">
        <v>406</v>
      </c>
      <c r="DF1488" s="891">
        <v>6</v>
      </c>
      <c r="DG1488" s="959"/>
      <c r="DH1488" s="959"/>
      <c r="ER1488" s="905">
        <v>5622</v>
      </c>
      <c r="ES1488" s="906" t="s">
        <v>719</v>
      </c>
      <c r="ET1488" s="2686">
        <v>9</v>
      </c>
      <c r="EV1488" s="985"/>
      <c r="EW1488" s="985"/>
      <c r="EX1488" s="387"/>
      <c r="EY1488" s="939"/>
      <c r="EZ1488" s="886"/>
    </row>
    <row r="1489" spans="88:156">
      <c r="CJ1489" s="197"/>
      <c r="CK1489" s="197"/>
      <c r="CL1489" s="197"/>
      <c r="CM1489" s="213"/>
      <c r="CN1489" s="213"/>
      <c r="CO1489" s="197"/>
      <c r="CP1489" s="197"/>
      <c r="CQ1489" s="197"/>
      <c r="CR1489" s="197"/>
      <c r="CS1489" s="197"/>
      <c r="CT1489" s="197"/>
      <c r="CU1489" s="197"/>
      <c r="CV1489" s="197"/>
      <c r="CW1489" s="197"/>
      <c r="CX1489" s="959"/>
      <c r="CY1489" s="959"/>
      <c r="CZ1489" s="959"/>
      <c r="DA1489" s="959"/>
      <c r="DB1489" s="959"/>
      <c r="DC1489" s="891">
        <v>5081</v>
      </c>
      <c r="DD1489" s="891" t="s">
        <v>4900</v>
      </c>
      <c r="DE1489" s="891" t="s">
        <v>417</v>
      </c>
      <c r="DF1489" s="891">
        <v>6</v>
      </c>
      <c r="DG1489" s="959"/>
      <c r="DH1489" s="959"/>
      <c r="ER1489" s="905">
        <v>5623</v>
      </c>
      <c r="ES1489" s="906" t="s">
        <v>2785</v>
      </c>
      <c r="ET1489" s="2686">
        <v>9</v>
      </c>
      <c r="EV1489" s="985"/>
      <c r="EW1489" s="985"/>
      <c r="EX1489" s="387"/>
      <c r="EY1489" s="939"/>
      <c r="EZ1489" s="886"/>
    </row>
    <row r="1490" spans="88:156">
      <c r="CJ1490" s="197"/>
      <c r="CK1490" s="197"/>
      <c r="CL1490" s="197"/>
      <c r="CM1490" s="213"/>
      <c r="CN1490" s="213"/>
      <c r="CO1490" s="197"/>
      <c r="CP1490" s="197"/>
      <c r="CQ1490" s="197"/>
      <c r="CR1490" s="197"/>
      <c r="CS1490" s="197"/>
      <c r="CT1490" s="197"/>
      <c r="CU1490" s="197"/>
      <c r="CV1490" s="197"/>
      <c r="CW1490" s="197"/>
      <c r="CX1490" s="959"/>
      <c r="CY1490" s="959"/>
      <c r="CZ1490" s="959"/>
      <c r="DA1490" s="959"/>
      <c r="DB1490" s="959"/>
      <c r="DC1490" s="891">
        <v>5082</v>
      </c>
      <c r="DD1490" s="891" t="s">
        <v>4901</v>
      </c>
      <c r="DE1490" s="891" t="s">
        <v>406</v>
      </c>
      <c r="DF1490" s="891">
        <v>6</v>
      </c>
      <c r="DG1490" s="959"/>
      <c r="DH1490" s="959"/>
      <c r="ER1490" s="905">
        <v>5624</v>
      </c>
      <c r="ES1490" s="906" t="s">
        <v>721</v>
      </c>
      <c r="ET1490" s="2686">
        <v>9</v>
      </c>
      <c r="EV1490" s="985"/>
      <c r="EW1490" s="985"/>
      <c r="EX1490" s="387"/>
      <c r="EY1490" s="939"/>
      <c r="EZ1490" s="886"/>
    </row>
    <row r="1491" spans="88:156">
      <c r="CJ1491" s="197"/>
      <c r="CK1491" s="197"/>
      <c r="CL1491" s="197"/>
      <c r="CM1491" s="213"/>
      <c r="CN1491" s="213"/>
      <c r="CO1491" s="197"/>
      <c r="CP1491" s="197"/>
      <c r="CQ1491" s="197"/>
      <c r="CR1491" s="197"/>
      <c r="CS1491" s="197"/>
      <c r="CT1491" s="197"/>
      <c r="CU1491" s="197"/>
      <c r="CV1491" s="197"/>
      <c r="CW1491" s="197"/>
      <c r="CX1491" s="959"/>
      <c r="CY1491" s="959"/>
      <c r="CZ1491" s="959"/>
      <c r="DA1491" s="959"/>
      <c r="DB1491" s="959"/>
      <c r="DC1491" s="891">
        <v>5083</v>
      </c>
      <c r="DD1491" s="891" t="s">
        <v>4902</v>
      </c>
      <c r="DE1491" s="891" t="s">
        <v>406</v>
      </c>
      <c r="DF1491" s="891">
        <v>6</v>
      </c>
      <c r="DG1491" s="959"/>
      <c r="DH1491" s="959"/>
      <c r="ER1491" s="905">
        <v>5630</v>
      </c>
      <c r="ES1491" s="906" t="s">
        <v>433</v>
      </c>
      <c r="ET1491" s="2686">
        <v>9</v>
      </c>
      <c r="EV1491" s="985"/>
      <c r="EW1491" s="985"/>
      <c r="EX1491" s="387"/>
      <c r="EY1491" s="939"/>
      <c r="EZ1491" s="886"/>
    </row>
    <row r="1492" spans="88:156">
      <c r="CJ1492" s="197"/>
      <c r="CK1492" s="197"/>
      <c r="CL1492" s="197"/>
      <c r="CM1492" s="213"/>
      <c r="CN1492" s="213"/>
      <c r="CO1492" s="197"/>
      <c r="CP1492" s="197"/>
      <c r="CQ1492" s="197"/>
      <c r="CR1492" s="197"/>
      <c r="CS1492" s="197"/>
      <c r="CT1492" s="197"/>
      <c r="CU1492" s="197"/>
      <c r="CV1492" s="197"/>
      <c r="CW1492" s="197"/>
      <c r="CX1492" s="959"/>
      <c r="CY1492" s="959"/>
      <c r="CZ1492" s="959"/>
      <c r="DA1492" s="959"/>
      <c r="DB1492" s="959"/>
      <c r="DC1492" s="891">
        <v>5084</v>
      </c>
      <c r="DD1492" s="891" t="s">
        <v>4903</v>
      </c>
      <c r="DE1492" s="891" t="s">
        <v>428</v>
      </c>
      <c r="DF1492" s="891">
        <v>6</v>
      </c>
      <c r="DG1492" s="959"/>
      <c r="DH1492" s="959"/>
      <c r="ER1492" s="905">
        <v>5641</v>
      </c>
      <c r="ES1492" s="906" t="s">
        <v>722</v>
      </c>
      <c r="ET1492" s="2686">
        <v>9</v>
      </c>
      <c r="EV1492" s="985"/>
      <c r="EW1492" s="985"/>
      <c r="EX1492" s="387"/>
      <c r="EY1492" s="939"/>
      <c r="EZ1492" s="886"/>
    </row>
    <row r="1493" spans="88:156">
      <c r="CJ1493" s="197"/>
      <c r="CK1493" s="197"/>
      <c r="CL1493" s="197"/>
      <c r="CM1493" s="213"/>
      <c r="CN1493" s="213"/>
      <c r="CO1493" s="197"/>
      <c r="CP1493" s="197"/>
      <c r="CQ1493" s="197"/>
      <c r="CR1493" s="197"/>
      <c r="CS1493" s="197"/>
      <c r="CT1493" s="197"/>
      <c r="CU1493" s="197"/>
      <c r="CV1493" s="197"/>
      <c r="CW1493" s="197"/>
      <c r="CX1493" s="959"/>
      <c r="CY1493" s="959"/>
      <c r="CZ1493" s="959"/>
      <c r="DA1493" s="959"/>
      <c r="DB1493" s="959"/>
      <c r="DC1493" s="891">
        <v>5085</v>
      </c>
      <c r="DD1493" s="891" t="s">
        <v>4904</v>
      </c>
      <c r="DE1493" s="891" t="s">
        <v>431</v>
      </c>
      <c r="DF1493" s="891">
        <v>6</v>
      </c>
      <c r="DG1493" s="959"/>
      <c r="DH1493" s="959"/>
      <c r="ER1493" s="905">
        <v>5643</v>
      </c>
      <c r="ES1493" s="906" t="s">
        <v>723</v>
      </c>
      <c r="ET1493" s="2686">
        <v>9</v>
      </c>
      <c r="EV1493" s="985"/>
      <c r="EW1493" s="985"/>
      <c r="EX1493" s="387"/>
      <c r="EY1493" s="939"/>
      <c r="EZ1493" s="886"/>
    </row>
    <row r="1494" spans="88:156">
      <c r="CJ1494" s="197"/>
      <c r="CK1494" s="197"/>
      <c r="CL1494" s="197"/>
      <c r="CM1494" s="213"/>
      <c r="CN1494" s="213"/>
      <c r="CO1494" s="197"/>
      <c r="CP1494" s="197"/>
      <c r="CQ1494" s="197"/>
      <c r="CR1494" s="197"/>
      <c r="CS1494" s="197"/>
      <c r="CT1494" s="197"/>
      <c r="CU1494" s="197"/>
      <c r="CV1494" s="197"/>
      <c r="CW1494" s="197"/>
      <c r="CX1494" s="959"/>
      <c r="CY1494" s="959"/>
      <c r="CZ1494" s="959"/>
      <c r="DA1494" s="959"/>
      <c r="DB1494" s="959"/>
      <c r="DC1494" s="891">
        <v>5091</v>
      </c>
      <c r="DD1494" s="891" t="s">
        <v>4905</v>
      </c>
      <c r="DE1494" s="891" t="s">
        <v>431</v>
      </c>
      <c r="DF1494" s="891">
        <v>6</v>
      </c>
      <c r="DG1494" s="959"/>
      <c r="DH1494" s="959"/>
      <c r="ER1494" s="905">
        <v>5650</v>
      </c>
      <c r="ES1494" s="906" t="s">
        <v>724</v>
      </c>
      <c r="ET1494" s="2686">
        <v>9</v>
      </c>
      <c r="EV1494" s="985"/>
      <c r="EW1494" s="985"/>
      <c r="EX1494" s="387"/>
      <c r="EY1494" s="939"/>
      <c r="EZ1494" s="886"/>
    </row>
    <row r="1495" spans="88:156">
      <c r="CJ1495" s="197"/>
      <c r="CK1495" s="197"/>
      <c r="CL1495" s="197"/>
      <c r="CM1495" s="213"/>
      <c r="CN1495" s="213"/>
      <c r="CO1495" s="197"/>
      <c r="CP1495" s="197"/>
      <c r="CQ1495" s="197"/>
      <c r="CR1495" s="197"/>
      <c r="CS1495" s="197"/>
      <c r="CT1495" s="197"/>
      <c r="CU1495" s="197"/>
      <c r="CV1495" s="197"/>
      <c r="CW1495" s="197"/>
      <c r="CX1495" s="959"/>
      <c r="CY1495" s="959"/>
      <c r="CZ1495" s="959"/>
      <c r="DA1495" s="959"/>
      <c r="DB1495" s="959"/>
      <c r="DC1495" s="891">
        <v>5092</v>
      </c>
      <c r="DD1495" s="891" t="s">
        <v>4906</v>
      </c>
      <c r="DE1495" s="891" t="s">
        <v>431</v>
      </c>
      <c r="DF1495" s="891">
        <v>6</v>
      </c>
      <c r="DG1495" s="959"/>
      <c r="DH1495" s="959"/>
      <c r="ER1495" s="905">
        <v>5661</v>
      </c>
      <c r="ES1495" s="906" t="s">
        <v>725</v>
      </c>
      <c r="ET1495" s="2686">
        <v>9</v>
      </c>
      <c r="EV1495" s="985"/>
      <c r="EW1495" s="985"/>
      <c r="EX1495" s="387"/>
      <c r="EY1495" s="939"/>
      <c r="EZ1495" s="886"/>
    </row>
    <row r="1496" spans="88:156">
      <c r="CJ1496" s="197"/>
      <c r="CK1496" s="197"/>
      <c r="CL1496" s="197"/>
      <c r="CM1496" s="213"/>
      <c r="CN1496" s="213"/>
      <c r="CO1496" s="197"/>
      <c r="CP1496" s="197"/>
      <c r="CQ1496" s="197"/>
      <c r="CR1496" s="197"/>
      <c r="CS1496" s="197"/>
      <c r="CT1496" s="197"/>
      <c r="CU1496" s="197"/>
      <c r="CV1496" s="197"/>
      <c r="CW1496" s="197"/>
      <c r="CX1496" s="959"/>
      <c r="CY1496" s="959"/>
      <c r="CZ1496" s="959"/>
      <c r="DA1496" s="959"/>
      <c r="DB1496" s="959"/>
      <c r="DC1496" s="891">
        <v>5093</v>
      </c>
      <c r="DD1496" s="891" t="s">
        <v>4907</v>
      </c>
      <c r="DE1496" s="891" t="s">
        <v>431</v>
      </c>
      <c r="DF1496" s="891">
        <v>6</v>
      </c>
      <c r="DG1496" s="959"/>
      <c r="DH1496" s="959"/>
      <c r="ER1496" s="905">
        <v>5662</v>
      </c>
      <c r="ES1496" s="906" t="s">
        <v>726</v>
      </c>
      <c r="ET1496" s="2686">
        <v>9</v>
      </c>
      <c r="EV1496" s="985"/>
      <c r="EW1496" s="985"/>
      <c r="EX1496" s="387"/>
      <c r="EY1496" s="939"/>
      <c r="EZ1496" s="886"/>
    </row>
    <row r="1497" spans="88:156">
      <c r="CJ1497" s="197"/>
      <c r="CK1497" s="197"/>
      <c r="CL1497" s="197"/>
      <c r="CM1497" s="213"/>
      <c r="CN1497" s="213"/>
      <c r="CO1497" s="197"/>
      <c r="CP1497" s="197"/>
      <c r="CQ1497" s="197"/>
      <c r="CR1497" s="197"/>
      <c r="CS1497" s="197"/>
      <c r="CT1497" s="197"/>
      <c r="CU1497" s="197"/>
      <c r="CV1497" s="197"/>
      <c r="CW1497" s="197"/>
      <c r="CX1497" s="959"/>
      <c r="CY1497" s="959"/>
      <c r="CZ1497" s="959"/>
      <c r="DA1497" s="959"/>
      <c r="DB1497" s="959"/>
      <c r="DC1497" s="891">
        <v>5094</v>
      </c>
      <c r="DD1497" s="891" t="s">
        <v>4908</v>
      </c>
      <c r="DE1497" s="891" t="s">
        <v>431</v>
      </c>
      <c r="DF1497" s="891">
        <v>6</v>
      </c>
      <c r="DG1497" s="959"/>
      <c r="DH1497" s="959"/>
      <c r="ER1497" s="905">
        <v>5663</v>
      </c>
      <c r="ES1497" s="906" t="s">
        <v>727</v>
      </c>
      <c r="ET1497" s="2686">
        <v>9</v>
      </c>
      <c r="EV1497" s="985"/>
      <c r="EW1497" s="985"/>
      <c r="EX1497" s="387"/>
      <c r="EY1497" s="939"/>
      <c r="EZ1497" s="886"/>
    </row>
    <row r="1498" spans="88:156">
      <c r="CJ1498" s="197"/>
      <c r="CK1498" s="197"/>
      <c r="CL1498" s="197"/>
      <c r="CM1498" s="213"/>
      <c r="CN1498" s="213"/>
      <c r="CO1498" s="197"/>
      <c r="CP1498" s="197"/>
      <c r="CQ1498" s="197"/>
      <c r="CR1498" s="197"/>
      <c r="CS1498" s="197"/>
      <c r="CT1498" s="197"/>
      <c r="CU1498" s="197"/>
      <c r="CV1498" s="197"/>
      <c r="CW1498" s="197"/>
      <c r="CX1498" s="959"/>
      <c r="CY1498" s="959"/>
      <c r="CZ1498" s="959"/>
      <c r="DA1498" s="959"/>
      <c r="DB1498" s="959"/>
      <c r="DC1498" s="891">
        <v>5095</v>
      </c>
      <c r="DD1498" s="891" t="s">
        <v>4909</v>
      </c>
      <c r="DE1498" s="891" t="s">
        <v>431</v>
      </c>
      <c r="DF1498" s="891">
        <v>6</v>
      </c>
      <c r="DG1498" s="959"/>
      <c r="DH1498" s="959"/>
      <c r="ER1498" s="905">
        <v>5664</v>
      </c>
      <c r="ES1498" s="905" t="s">
        <v>2786</v>
      </c>
      <c r="ET1498" s="2686">
        <v>9</v>
      </c>
      <c r="EV1498" s="985"/>
      <c r="EW1498" s="985"/>
      <c r="EX1498" s="387"/>
      <c r="EY1498" s="939"/>
      <c r="EZ1498" s="886"/>
    </row>
    <row r="1499" spans="88:156">
      <c r="CJ1499" s="197"/>
      <c r="CK1499" s="197"/>
      <c r="CL1499" s="197"/>
      <c r="CM1499" s="213"/>
      <c r="CN1499" s="213"/>
      <c r="CO1499" s="197"/>
      <c r="CP1499" s="197"/>
      <c r="CQ1499" s="197"/>
      <c r="CR1499" s="197"/>
      <c r="CS1499" s="197"/>
      <c r="CT1499" s="197"/>
      <c r="CU1499" s="197"/>
      <c r="CV1499" s="197"/>
      <c r="CW1499" s="197"/>
      <c r="CX1499" s="959"/>
      <c r="CY1499" s="959"/>
      <c r="CZ1499" s="959"/>
      <c r="DA1499" s="959"/>
      <c r="DB1499" s="959"/>
      <c r="DC1499" s="891">
        <v>5100</v>
      </c>
      <c r="DD1499" s="891" t="s">
        <v>4910</v>
      </c>
      <c r="DE1499" s="891" t="s">
        <v>431</v>
      </c>
      <c r="DF1499" s="891">
        <v>6</v>
      </c>
      <c r="DG1499" s="959"/>
      <c r="DH1499" s="959"/>
      <c r="ER1499" s="905">
        <v>5665</v>
      </c>
      <c r="ES1499" s="906" t="s">
        <v>729</v>
      </c>
      <c r="ET1499" s="2686">
        <v>9</v>
      </c>
      <c r="EV1499" s="985"/>
      <c r="EW1499" s="985"/>
      <c r="EX1499" s="387"/>
      <c r="EY1499" s="939"/>
      <c r="EZ1499" s="886"/>
    </row>
    <row r="1500" spans="88:156">
      <c r="CJ1500" s="197"/>
      <c r="CK1500" s="197"/>
      <c r="CL1500" s="197"/>
      <c r="CM1500" s="213"/>
      <c r="CN1500" s="213"/>
      <c r="CO1500" s="197"/>
      <c r="CP1500" s="197"/>
      <c r="CQ1500" s="197"/>
      <c r="CR1500" s="197"/>
      <c r="CS1500" s="197"/>
      <c r="CT1500" s="197"/>
      <c r="CU1500" s="197"/>
      <c r="CV1500" s="197"/>
      <c r="CW1500" s="197"/>
      <c r="CX1500" s="959"/>
      <c r="CY1500" s="959"/>
      <c r="CZ1500" s="959"/>
      <c r="DA1500" s="959"/>
      <c r="DB1500" s="959"/>
      <c r="DC1500" s="891">
        <v>5111</v>
      </c>
      <c r="DD1500" s="891" t="s">
        <v>4911</v>
      </c>
      <c r="DE1500" s="891" t="s">
        <v>431</v>
      </c>
      <c r="DF1500" s="891">
        <v>6</v>
      </c>
      <c r="DG1500" s="959"/>
      <c r="DH1500" s="959"/>
      <c r="ER1500" s="905">
        <v>5666</v>
      </c>
      <c r="ES1500" s="906" t="s">
        <v>2787</v>
      </c>
      <c r="ET1500" s="2686">
        <v>9</v>
      </c>
      <c r="EV1500" s="985"/>
      <c r="EW1500" s="985"/>
      <c r="EX1500" s="387"/>
      <c r="EY1500" s="939"/>
      <c r="EZ1500" s="886"/>
    </row>
    <row r="1501" spans="88:156">
      <c r="CJ1501" s="197"/>
      <c r="CK1501" s="197"/>
      <c r="CL1501" s="197"/>
      <c r="CM1501" s="213"/>
      <c r="CN1501" s="213"/>
      <c r="CO1501" s="197"/>
      <c r="CP1501" s="197"/>
      <c r="CQ1501" s="197"/>
      <c r="CR1501" s="197"/>
      <c r="CS1501" s="197"/>
      <c r="CT1501" s="197"/>
      <c r="CU1501" s="197"/>
      <c r="CV1501" s="197"/>
      <c r="CW1501" s="197"/>
      <c r="CX1501" s="959"/>
      <c r="CY1501" s="959"/>
      <c r="CZ1501" s="959"/>
      <c r="DA1501" s="959"/>
      <c r="DB1501" s="959"/>
      <c r="DC1501" s="891">
        <v>5121</v>
      </c>
      <c r="DD1501" s="891" t="s">
        <v>4912</v>
      </c>
      <c r="DE1501" s="891" t="s">
        <v>423</v>
      </c>
      <c r="DF1501" s="891">
        <v>6</v>
      </c>
      <c r="DG1501" s="959"/>
      <c r="DH1501" s="959"/>
      <c r="ER1501" s="905">
        <v>5667</v>
      </c>
      <c r="ES1501" s="906" t="s">
        <v>731</v>
      </c>
      <c r="ET1501" s="2686">
        <v>9</v>
      </c>
      <c r="EV1501" s="985"/>
      <c r="EW1501" s="985"/>
      <c r="EX1501" s="387"/>
      <c r="EY1501" s="939"/>
      <c r="EZ1501" s="886"/>
    </row>
    <row r="1502" spans="88:156">
      <c r="CJ1502" s="197"/>
      <c r="CK1502" s="197"/>
      <c r="CL1502" s="197"/>
      <c r="CM1502" s="213"/>
      <c r="CN1502" s="213"/>
      <c r="CO1502" s="197"/>
      <c r="CP1502" s="197"/>
      <c r="CQ1502" s="197"/>
      <c r="CR1502" s="197"/>
      <c r="CS1502" s="197"/>
      <c r="CT1502" s="197"/>
      <c r="CU1502" s="197"/>
      <c r="CV1502" s="197"/>
      <c r="CW1502" s="197"/>
      <c r="CX1502" s="959"/>
      <c r="CY1502" s="959"/>
      <c r="CZ1502" s="959"/>
      <c r="DA1502" s="959"/>
      <c r="DB1502" s="959"/>
      <c r="DC1502" s="891">
        <v>5122</v>
      </c>
      <c r="DD1502" s="891" t="s">
        <v>4913</v>
      </c>
      <c r="DE1502" s="891" t="s">
        <v>412</v>
      </c>
      <c r="DF1502" s="891">
        <v>6</v>
      </c>
      <c r="DG1502" s="959"/>
      <c r="DH1502" s="959"/>
      <c r="ER1502" s="905">
        <v>5668</v>
      </c>
      <c r="ES1502" s="906" t="s">
        <v>732</v>
      </c>
      <c r="ET1502" s="2686">
        <v>9</v>
      </c>
      <c r="EV1502" s="985"/>
      <c r="EW1502" s="985"/>
      <c r="EX1502" s="387"/>
      <c r="EY1502" s="939"/>
      <c r="EZ1502" s="886"/>
    </row>
    <row r="1503" spans="88:156">
      <c r="CJ1503" s="197"/>
      <c r="CK1503" s="197"/>
      <c r="CL1503" s="197"/>
      <c r="CM1503" s="213"/>
      <c r="CN1503" s="213"/>
      <c r="CO1503" s="197"/>
      <c r="CP1503" s="197"/>
      <c r="CQ1503" s="197"/>
      <c r="CR1503" s="197"/>
      <c r="CS1503" s="197"/>
      <c r="CT1503" s="197"/>
      <c r="CU1503" s="197"/>
      <c r="CV1503" s="197"/>
      <c r="CW1503" s="197"/>
      <c r="CX1503" s="959"/>
      <c r="CY1503" s="959"/>
      <c r="CZ1503" s="959"/>
      <c r="DA1503" s="959"/>
      <c r="DB1503" s="959"/>
      <c r="DC1503" s="891">
        <v>5123</v>
      </c>
      <c r="DD1503" s="891" t="s">
        <v>4914</v>
      </c>
      <c r="DE1503" s="891" t="s">
        <v>2808</v>
      </c>
      <c r="DF1503" s="891">
        <v>6</v>
      </c>
      <c r="DG1503" s="959"/>
      <c r="DH1503" s="959"/>
      <c r="ER1503" s="905">
        <v>5671</v>
      </c>
      <c r="ES1503" s="906" t="s">
        <v>2788</v>
      </c>
      <c r="ET1503" s="2686">
        <v>9</v>
      </c>
      <c r="EV1503" s="985"/>
      <c r="EW1503" s="985"/>
      <c r="EX1503" s="387"/>
      <c r="EY1503" s="939"/>
      <c r="EZ1503" s="886"/>
    </row>
    <row r="1504" spans="88:156">
      <c r="CJ1504" s="197"/>
      <c r="CK1504" s="197"/>
      <c r="CL1504" s="197"/>
      <c r="CM1504" s="213"/>
      <c r="CN1504" s="213"/>
      <c r="CO1504" s="197"/>
      <c r="CP1504" s="197"/>
      <c r="CQ1504" s="197"/>
      <c r="CR1504" s="197"/>
      <c r="CS1504" s="197"/>
      <c r="CT1504" s="197"/>
      <c r="CU1504" s="197"/>
      <c r="CV1504" s="197"/>
      <c r="CW1504" s="197"/>
      <c r="CX1504" s="959"/>
      <c r="CY1504" s="959"/>
      <c r="CZ1504" s="959"/>
      <c r="DA1504" s="959"/>
      <c r="DB1504" s="959"/>
      <c r="DC1504" s="891">
        <v>5124</v>
      </c>
      <c r="DD1504" s="891" t="s">
        <v>4915</v>
      </c>
      <c r="DE1504" s="891" t="s">
        <v>419</v>
      </c>
      <c r="DF1504" s="891">
        <v>6</v>
      </c>
      <c r="DG1504" s="959"/>
      <c r="DH1504" s="959"/>
      <c r="ER1504" s="905">
        <v>5672</v>
      </c>
      <c r="ES1504" s="906" t="s">
        <v>734</v>
      </c>
      <c r="ET1504" s="2686">
        <v>9</v>
      </c>
      <c r="EV1504" s="985"/>
      <c r="EW1504" s="985"/>
      <c r="EX1504" s="387"/>
      <c r="EY1504" s="939"/>
      <c r="EZ1504" s="886"/>
    </row>
    <row r="1505" spans="88:156">
      <c r="CJ1505" s="197"/>
      <c r="CK1505" s="197"/>
      <c r="CL1505" s="197"/>
      <c r="CM1505" s="213"/>
      <c r="CN1505" s="213"/>
      <c r="CO1505" s="197"/>
      <c r="CP1505" s="197"/>
      <c r="CQ1505" s="197"/>
      <c r="CR1505" s="197"/>
      <c r="CS1505" s="197"/>
      <c r="CT1505" s="197"/>
      <c r="CU1505" s="197"/>
      <c r="CV1505" s="197"/>
      <c r="CW1505" s="197"/>
      <c r="CX1505" s="959"/>
      <c r="CY1505" s="959"/>
      <c r="CZ1505" s="959"/>
      <c r="DA1505" s="959"/>
      <c r="DB1505" s="959"/>
      <c r="DC1505" s="891">
        <v>5125</v>
      </c>
      <c r="DD1505" s="891" t="s">
        <v>4916</v>
      </c>
      <c r="DE1505" s="891" t="s">
        <v>432</v>
      </c>
      <c r="DF1505" s="891">
        <v>6</v>
      </c>
      <c r="DG1505" s="959"/>
      <c r="DH1505" s="959"/>
      <c r="ER1505" s="905">
        <v>5673</v>
      </c>
      <c r="ES1505" s="906" t="s">
        <v>735</v>
      </c>
      <c r="ET1505" s="2686">
        <v>9</v>
      </c>
      <c r="EV1505" s="985"/>
      <c r="EW1505" s="985"/>
      <c r="EX1505" s="387"/>
      <c r="EY1505" s="939"/>
      <c r="EZ1505" s="886"/>
    </row>
    <row r="1506" spans="88:156">
      <c r="CJ1506" s="197"/>
      <c r="CK1506" s="197"/>
      <c r="CL1506" s="197"/>
      <c r="CM1506" s="213"/>
      <c r="CN1506" s="213"/>
      <c r="CO1506" s="197"/>
      <c r="CP1506" s="197"/>
      <c r="CQ1506" s="197"/>
      <c r="CR1506" s="197"/>
      <c r="CS1506" s="197"/>
      <c r="CT1506" s="197"/>
      <c r="CU1506" s="197"/>
      <c r="CV1506" s="197"/>
      <c r="CW1506" s="197"/>
      <c r="CX1506" s="959"/>
      <c r="CY1506" s="959"/>
      <c r="CZ1506" s="959"/>
      <c r="DA1506" s="959"/>
      <c r="DB1506" s="959"/>
      <c r="DC1506" s="891">
        <v>5126</v>
      </c>
      <c r="DD1506" s="891" t="s">
        <v>4917</v>
      </c>
      <c r="DE1506" s="891" t="s">
        <v>427</v>
      </c>
      <c r="DF1506" s="891">
        <v>6</v>
      </c>
      <c r="DG1506" s="959"/>
      <c r="DH1506" s="959"/>
      <c r="ER1506" s="905">
        <v>5674</v>
      </c>
      <c r="ES1506" s="906" t="s">
        <v>736</v>
      </c>
      <c r="ET1506" s="2686">
        <v>9</v>
      </c>
      <c r="EV1506" s="985"/>
      <c r="EW1506" s="985"/>
      <c r="EX1506" s="387"/>
      <c r="EY1506" s="939"/>
      <c r="EZ1506" s="886"/>
    </row>
    <row r="1507" spans="88:156">
      <c r="CJ1507" s="197"/>
      <c r="CK1507" s="197"/>
      <c r="CL1507" s="197"/>
      <c r="CM1507" s="213"/>
      <c r="CN1507" s="213"/>
      <c r="CO1507" s="197"/>
      <c r="CP1507" s="197"/>
      <c r="CQ1507" s="197"/>
      <c r="CR1507" s="197"/>
      <c r="CS1507" s="197"/>
      <c r="CT1507" s="197"/>
      <c r="CU1507" s="197"/>
      <c r="CV1507" s="197"/>
      <c r="CW1507" s="197"/>
      <c r="CX1507" s="959"/>
      <c r="CY1507" s="959"/>
      <c r="CZ1507" s="959"/>
      <c r="DA1507" s="959"/>
      <c r="DB1507" s="959"/>
      <c r="DC1507" s="891">
        <v>5130</v>
      </c>
      <c r="DD1507" s="891" t="s">
        <v>4918</v>
      </c>
      <c r="DE1507" s="891" t="s">
        <v>423</v>
      </c>
      <c r="DF1507" s="891">
        <v>6</v>
      </c>
      <c r="DG1507" s="959"/>
      <c r="DH1507" s="959"/>
      <c r="ER1507" s="905">
        <v>5675</v>
      </c>
      <c r="ES1507" s="906" t="s">
        <v>737</v>
      </c>
      <c r="ET1507" s="2686">
        <v>9</v>
      </c>
      <c r="EV1507" s="985"/>
      <c r="EW1507" s="985"/>
      <c r="EX1507" s="387"/>
      <c r="EY1507" s="939"/>
      <c r="EZ1507" s="886"/>
    </row>
    <row r="1508" spans="88:156">
      <c r="CJ1508" s="197"/>
      <c r="CK1508" s="197"/>
      <c r="CL1508" s="197"/>
      <c r="CM1508" s="213"/>
      <c r="CN1508" s="213"/>
      <c r="CO1508" s="197"/>
      <c r="CP1508" s="197"/>
      <c r="CQ1508" s="197"/>
      <c r="CR1508" s="197"/>
      <c r="CS1508" s="197"/>
      <c r="CT1508" s="197"/>
      <c r="CU1508" s="197"/>
      <c r="CV1508" s="197"/>
      <c r="CW1508" s="197"/>
      <c r="CX1508" s="959"/>
      <c r="CY1508" s="959"/>
      <c r="CZ1508" s="959"/>
      <c r="DA1508" s="959"/>
      <c r="DB1508" s="959"/>
      <c r="DC1508" s="891">
        <v>5135</v>
      </c>
      <c r="DD1508" s="891" t="s">
        <v>4919</v>
      </c>
      <c r="DE1508" s="891" t="s">
        <v>406</v>
      </c>
      <c r="DF1508" s="891">
        <v>6</v>
      </c>
      <c r="DG1508" s="959"/>
      <c r="DH1508" s="959"/>
      <c r="ER1508" s="905">
        <v>5700</v>
      </c>
      <c r="ES1508" s="906" t="s">
        <v>738</v>
      </c>
      <c r="ET1508" s="2686">
        <v>9</v>
      </c>
      <c r="EV1508" s="985"/>
      <c r="EW1508" s="985"/>
      <c r="EX1508" s="387"/>
      <c r="EY1508" s="939"/>
      <c r="EZ1508" s="886"/>
    </row>
    <row r="1509" spans="88:156">
      <c r="CJ1509" s="197"/>
      <c r="CK1509" s="197"/>
      <c r="CL1509" s="197"/>
      <c r="CM1509" s="213"/>
      <c r="CN1509" s="213"/>
      <c r="CO1509" s="197"/>
      <c r="CP1509" s="197"/>
      <c r="CQ1509" s="197"/>
      <c r="CR1509" s="197"/>
      <c r="CS1509" s="197"/>
      <c r="CT1509" s="197"/>
      <c r="CU1509" s="197"/>
      <c r="CV1509" s="197"/>
      <c r="CW1509" s="197"/>
      <c r="CX1509" s="959"/>
      <c r="CY1509" s="959"/>
      <c r="CZ1509" s="959"/>
      <c r="DA1509" s="959"/>
      <c r="DB1509" s="959"/>
      <c r="DC1509" s="891">
        <v>5136</v>
      </c>
      <c r="DD1509" s="891" t="s">
        <v>4920</v>
      </c>
      <c r="DE1509" s="891" t="s">
        <v>412</v>
      </c>
      <c r="DF1509" s="891">
        <v>6</v>
      </c>
      <c r="DG1509" s="959"/>
      <c r="DH1509" s="959"/>
      <c r="ER1509" s="905">
        <v>5703</v>
      </c>
      <c r="ES1509" s="906" t="s">
        <v>2789</v>
      </c>
      <c r="ET1509" s="2686">
        <v>9</v>
      </c>
      <c r="EV1509" s="985"/>
      <c r="EW1509" s="985"/>
      <c r="EX1509" s="387"/>
      <c r="EY1509" s="939"/>
      <c r="EZ1509" s="886"/>
    </row>
    <row r="1510" spans="88:156">
      <c r="CJ1510" s="197"/>
      <c r="CK1510" s="197"/>
      <c r="CL1510" s="197"/>
      <c r="CM1510" s="213"/>
      <c r="CN1510" s="213"/>
      <c r="CO1510" s="197"/>
      <c r="CP1510" s="197"/>
      <c r="CQ1510" s="197"/>
      <c r="CR1510" s="197"/>
      <c r="CS1510" s="197"/>
      <c r="CT1510" s="197"/>
      <c r="CU1510" s="197"/>
      <c r="CV1510" s="197"/>
      <c r="CW1510" s="197"/>
      <c r="CX1510" s="959"/>
      <c r="CY1510" s="959"/>
      <c r="CZ1510" s="959"/>
      <c r="DA1510" s="959"/>
      <c r="DB1510" s="959"/>
      <c r="DC1510" s="891">
        <v>5137</v>
      </c>
      <c r="DD1510" s="891" t="s">
        <v>4921</v>
      </c>
      <c r="DE1510" s="891" t="s">
        <v>2808</v>
      </c>
      <c r="DF1510" s="891">
        <v>6</v>
      </c>
      <c r="DG1510" s="959"/>
      <c r="DH1510" s="959"/>
      <c r="ER1510" s="905">
        <v>5711</v>
      </c>
      <c r="ES1510" s="906" t="s">
        <v>2790</v>
      </c>
      <c r="ET1510" s="2686">
        <v>9</v>
      </c>
      <c r="EV1510" s="985"/>
      <c r="EW1510" s="985"/>
      <c r="EX1510" s="387"/>
      <c r="EY1510" s="939"/>
      <c r="EZ1510" s="886"/>
    </row>
    <row r="1511" spans="88:156">
      <c r="CJ1511" s="197"/>
      <c r="CK1511" s="197"/>
      <c r="CL1511" s="197"/>
      <c r="CM1511" s="213"/>
      <c r="CN1511" s="213"/>
      <c r="CO1511" s="197"/>
      <c r="CP1511" s="197"/>
      <c r="CQ1511" s="197"/>
      <c r="CR1511" s="197"/>
      <c r="CS1511" s="197"/>
      <c r="CT1511" s="197"/>
      <c r="CU1511" s="197"/>
      <c r="CV1511" s="197"/>
      <c r="CW1511" s="197"/>
      <c r="CX1511" s="959"/>
      <c r="CY1511" s="959"/>
      <c r="CZ1511" s="959"/>
      <c r="DA1511" s="959"/>
      <c r="DB1511" s="959"/>
      <c r="DC1511" s="891">
        <v>5141</v>
      </c>
      <c r="DD1511" s="891" t="s">
        <v>4922</v>
      </c>
      <c r="DE1511" s="891" t="s">
        <v>2808</v>
      </c>
      <c r="DF1511" s="891">
        <v>6</v>
      </c>
      <c r="DG1511" s="959"/>
      <c r="DH1511" s="959"/>
      <c r="ER1511" s="905">
        <v>5712</v>
      </c>
      <c r="ES1511" s="906" t="s">
        <v>741</v>
      </c>
      <c r="ET1511" s="2686">
        <v>9</v>
      </c>
      <c r="EV1511" s="985"/>
      <c r="EW1511" s="985"/>
      <c r="EX1511" s="387"/>
      <c r="EY1511" s="939"/>
      <c r="EZ1511" s="886"/>
    </row>
    <row r="1512" spans="88:156">
      <c r="CJ1512" s="197"/>
      <c r="CK1512" s="197"/>
      <c r="CL1512" s="197"/>
      <c r="CM1512" s="213"/>
      <c r="CN1512" s="213"/>
      <c r="CO1512" s="197"/>
      <c r="CP1512" s="197"/>
      <c r="CQ1512" s="197"/>
      <c r="CR1512" s="197"/>
      <c r="CS1512" s="197"/>
      <c r="CT1512" s="197"/>
      <c r="CU1512" s="197"/>
      <c r="CV1512" s="197"/>
      <c r="CW1512" s="197"/>
      <c r="CX1512" s="959"/>
      <c r="CY1512" s="959"/>
      <c r="CZ1512" s="959"/>
      <c r="DA1512" s="959"/>
      <c r="DB1512" s="959"/>
      <c r="DC1512" s="891">
        <v>5142</v>
      </c>
      <c r="DD1512" s="891" t="s">
        <v>4923</v>
      </c>
      <c r="DE1512" s="891" t="s">
        <v>410</v>
      </c>
      <c r="DF1512" s="891">
        <v>6</v>
      </c>
      <c r="DG1512" s="959"/>
      <c r="DH1512" s="959"/>
      <c r="ER1512" s="905">
        <v>5720</v>
      </c>
      <c r="ES1512" s="906" t="s">
        <v>742</v>
      </c>
      <c r="ET1512" s="2686">
        <v>9</v>
      </c>
      <c r="EV1512" s="985"/>
      <c r="EW1512" s="985"/>
      <c r="EX1512" s="387"/>
      <c r="EY1512" s="939"/>
      <c r="EZ1512" s="886"/>
    </row>
    <row r="1513" spans="88:156">
      <c r="CJ1513" s="197"/>
      <c r="CK1513" s="197"/>
      <c r="CL1513" s="197"/>
      <c r="CM1513" s="213"/>
      <c r="CN1513" s="213"/>
      <c r="CO1513" s="197"/>
      <c r="CP1513" s="197"/>
      <c r="CQ1513" s="197"/>
      <c r="CR1513" s="197"/>
      <c r="CS1513" s="197"/>
      <c r="CT1513" s="197"/>
      <c r="CU1513" s="197"/>
      <c r="CV1513" s="197"/>
      <c r="CW1513" s="197"/>
      <c r="CX1513" s="959"/>
      <c r="CY1513" s="959"/>
      <c r="CZ1513" s="959"/>
      <c r="DA1513" s="959"/>
      <c r="DB1513" s="959"/>
      <c r="DC1513" s="891">
        <v>5143</v>
      </c>
      <c r="DD1513" s="891" t="s">
        <v>4924</v>
      </c>
      <c r="DE1513" s="891" t="s">
        <v>434</v>
      </c>
      <c r="DF1513" s="891">
        <v>6</v>
      </c>
      <c r="DG1513" s="959"/>
      <c r="DH1513" s="959"/>
      <c r="ER1513" s="905">
        <v>5722</v>
      </c>
      <c r="ES1513" s="906" t="s">
        <v>2791</v>
      </c>
      <c r="ET1513" s="2686">
        <v>9</v>
      </c>
      <c r="EV1513" s="985"/>
      <c r="EW1513" s="985"/>
      <c r="EX1513" s="387"/>
      <c r="EY1513" s="939"/>
      <c r="EZ1513" s="886"/>
    </row>
    <row r="1514" spans="88:156">
      <c r="CJ1514" s="197"/>
      <c r="CK1514" s="197"/>
      <c r="CL1514" s="197"/>
      <c r="CM1514" s="213"/>
      <c r="CN1514" s="213"/>
      <c r="CO1514" s="197"/>
      <c r="CP1514" s="197"/>
      <c r="CQ1514" s="197"/>
      <c r="CR1514" s="197"/>
      <c r="CS1514" s="197"/>
      <c r="CT1514" s="197"/>
      <c r="CU1514" s="197"/>
      <c r="CV1514" s="197"/>
      <c r="CW1514" s="197"/>
      <c r="CX1514" s="959"/>
      <c r="CY1514" s="959"/>
      <c r="CZ1514" s="959"/>
      <c r="DA1514" s="959"/>
      <c r="DB1514" s="959"/>
      <c r="DC1514" s="891">
        <v>5144</v>
      </c>
      <c r="DD1514" s="891" t="s">
        <v>4925</v>
      </c>
      <c r="DE1514" s="891" t="s">
        <v>406</v>
      </c>
      <c r="DF1514" s="891">
        <v>6</v>
      </c>
      <c r="DG1514" s="959"/>
      <c r="DH1514" s="959"/>
      <c r="ER1514" s="905">
        <v>5725</v>
      </c>
      <c r="ES1514" s="906" t="s">
        <v>743</v>
      </c>
      <c r="ET1514" s="2686">
        <v>9</v>
      </c>
      <c r="EV1514" s="985"/>
      <c r="EW1514" s="985"/>
      <c r="EX1514" s="387"/>
      <c r="EY1514" s="939"/>
      <c r="EZ1514" s="886"/>
    </row>
    <row r="1515" spans="88:156">
      <c r="CJ1515" s="197"/>
      <c r="CK1515" s="197"/>
      <c r="CL1515" s="197"/>
      <c r="CM1515" s="213"/>
      <c r="CN1515" s="213"/>
      <c r="CO1515" s="197"/>
      <c r="CP1515" s="197"/>
      <c r="CQ1515" s="197"/>
      <c r="CR1515" s="197"/>
      <c r="CS1515" s="197"/>
      <c r="CT1515" s="197"/>
      <c r="CU1515" s="197"/>
      <c r="CV1515" s="197"/>
      <c r="CW1515" s="197"/>
      <c r="CX1515" s="959"/>
      <c r="CY1515" s="959"/>
      <c r="CZ1515" s="959"/>
      <c r="DA1515" s="959"/>
      <c r="DB1515" s="959"/>
      <c r="DC1515" s="891">
        <v>5152</v>
      </c>
      <c r="DD1515" s="891" t="s">
        <v>4926</v>
      </c>
      <c r="DE1515" s="891" t="s">
        <v>421</v>
      </c>
      <c r="DF1515" s="891">
        <v>6</v>
      </c>
      <c r="DG1515" s="959"/>
      <c r="DH1515" s="959"/>
      <c r="ER1515" s="905">
        <v>5726</v>
      </c>
      <c r="ES1515" s="906" t="s">
        <v>744</v>
      </c>
      <c r="ET1515" s="2686">
        <v>9</v>
      </c>
      <c r="EV1515" s="985"/>
      <c r="EW1515" s="985"/>
      <c r="EX1515" s="387"/>
      <c r="EY1515" s="939"/>
      <c r="EZ1515" s="886"/>
    </row>
    <row r="1516" spans="88:156">
      <c r="CJ1516" s="197"/>
      <c r="CK1516" s="197"/>
      <c r="CL1516" s="197"/>
      <c r="CM1516" s="213"/>
      <c r="CN1516" s="213"/>
      <c r="CO1516" s="197"/>
      <c r="CP1516" s="197"/>
      <c r="CQ1516" s="197"/>
      <c r="CR1516" s="197"/>
      <c r="CS1516" s="197"/>
      <c r="CT1516" s="197"/>
      <c r="CU1516" s="197"/>
      <c r="CV1516" s="197"/>
      <c r="CW1516" s="197"/>
      <c r="CX1516" s="959"/>
      <c r="CY1516" s="959"/>
      <c r="CZ1516" s="959"/>
      <c r="DA1516" s="959"/>
      <c r="DB1516" s="959"/>
      <c r="DC1516" s="891">
        <v>5200</v>
      </c>
      <c r="DD1516" s="891" t="s">
        <v>4927</v>
      </c>
      <c r="DE1516" s="891" t="s">
        <v>421</v>
      </c>
      <c r="DF1516" s="891">
        <v>6</v>
      </c>
      <c r="DG1516" s="959"/>
      <c r="DH1516" s="959"/>
      <c r="ER1516" s="905">
        <v>5727</v>
      </c>
      <c r="ES1516" s="906" t="s">
        <v>745</v>
      </c>
      <c r="ET1516" s="2686">
        <v>9</v>
      </c>
      <c r="EV1516" s="985"/>
      <c r="EW1516" s="985"/>
      <c r="EX1516" s="387"/>
      <c r="EY1516" s="939"/>
      <c r="EZ1516" s="886"/>
    </row>
    <row r="1517" spans="88:156">
      <c r="CJ1517" s="197"/>
      <c r="CK1517" s="197"/>
      <c r="CL1517" s="197"/>
      <c r="CM1517" s="213"/>
      <c r="CN1517" s="213"/>
      <c r="CO1517" s="197"/>
      <c r="CP1517" s="197"/>
      <c r="CQ1517" s="197"/>
      <c r="CR1517" s="197"/>
      <c r="CS1517" s="197"/>
      <c r="CT1517" s="197"/>
      <c r="CU1517" s="197"/>
      <c r="CV1517" s="197"/>
      <c r="CW1517" s="197"/>
      <c r="CX1517" s="959"/>
      <c r="CY1517" s="959"/>
      <c r="CZ1517" s="959"/>
      <c r="DA1517" s="959"/>
      <c r="DB1517" s="959"/>
      <c r="DC1517" s="891">
        <v>5211</v>
      </c>
      <c r="DD1517" s="891" t="s">
        <v>4928</v>
      </c>
      <c r="DE1517" s="891" t="s">
        <v>406</v>
      </c>
      <c r="DF1517" s="891">
        <v>5</v>
      </c>
      <c r="DG1517" s="959"/>
      <c r="DH1517" s="959"/>
      <c r="ER1517" s="905">
        <v>5731</v>
      </c>
      <c r="ES1517" s="906" t="s">
        <v>746</v>
      </c>
      <c r="ET1517" s="2686">
        <v>9</v>
      </c>
      <c r="EV1517" s="985"/>
      <c r="EW1517" s="985"/>
      <c r="EX1517" s="387"/>
      <c r="EY1517" s="939"/>
      <c r="EZ1517" s="886"/>
    </row>
    <row r="1518" spans="88:156">
      <c r="CJ1518" s="197"/>
      <c r="CK1518" s="197"/>
      <c r="CL1518" s="197"/>
      <c r="CM1518" s="213"/>
      <c r="CN1518" s="213"/>
      <c r="CO1518" s="197"/>
      <c r="CP1518" s="197"/>
      <c r="CQ1518" s="197"/>
      <c r="CR1518" s="197"/>
      <c r="CS1518" s="197"/>
      <c r="CT1518" s="197"/>
      <c r="CU1518" s="197"/>
      <c r="CV1518" s="197"/>
      <c r="CW1518" s="197"/>
      <c r="CX1518" s="959"/>
      <c r="CY1518" s="959"/>
      <c r="CZ1518" s="959"/>
      <c r="DA1518" s="959"/>
      <c r="DB1518" s="959"/>
      <c r="DC1518" s="891">
        <v>5212</v>
      </c>
      <c r="DD1518" s="891" t="s">
        <v>4929</v>
      </c>
      <c r="DE1518" s="891" t="s">
        <v>434</v>
      </c>
      <c r="DF1518" s="891">
        <v>5</v>
      </c>
      <c r="DG1518" s="959"/>
      <c r="DH1518" s="959"/>
      <c r="ER1518" s="905">
        <v>5732</v>
      </c>
      <c r="ES1518" s="906" t="s">
        <v>747</v>
      </c>
      <c r="ET1518" s="2686">
        <v>9</v>
      </c>
      <c r="EV1518" s="985"/>
      <c r="EW1518" s="985"/>
      <c r="EX1518" s="387"/>
      <c r="EY1518" s="939"/>
      <c r="EZ1518" s="886"/>
    </row>
    <row r="1519" spans="88:156">
      <c r="CJ1519" s="197"/>
      <c r="CK1519" s="197"/>
      <c r="CL1519" s="197"/>
      <c r="CM1519" s="213"/>
      <c r="CN1519" s="213"/>
      <c r="CO1519" s="197"/>
      <c r="CP1519" s="197"/>
      <c r="CQ1519" s="197"/>
      <c r="CR1519" s="197"/>
      <c r="CS1519" s="197"/>
      <c r="CT1519" s="197"/>
      <c r="CU1519" s="197"/>
      <c r="CV1519" s="197"/>
      <c r="CW1519" s="197"/>
      <c r="CX1519" s="959"/>
      <c r="CY1519" s="959"/>
      <c r="CZ1519" s="959"/>
      <c r="DA1519" s="959"/>
      <c r="DB1519" s="959"/>
      <c r="DC1519" s="891">
        <v>5213</v>
      </c>
      <c r="DD1519" s="891" t="s">
        <v>4930</v>
      </c>
      <c r="DE1519" s="891" t="s">
        <v>421</v>
      </c>
      <c r="DF1519" s="891">
        <v>5</v>
      </c>
      <c r="DG1519" s="959"/>
      <c r="DH1519" s="959"/>
      <c r="ER1519" s="905">
        <v>5734</v>
      </c>
      <c r="ES1519" s="906" t="s">
        <v>748</v>
      </c>
      <c r="ET1519" s="2686">
        <v>9</v>
      </c>
      <c r="EV1519" s="985"/>
      <c r="EW1519" s="985"/>
      <c r="EX1519" s="387"/>
      <c r="EY1519" s="939"/>
      <c r="EZ1519" s="886"/>
    </row>
    <row r="1520" spans="88:156">
      <c r="CJ1520" s="197"/>
      <c r="CK1520" s="197"/>
      <c r="CL1520" s="197"/>
      <c r="CM1520" s="213"/>
      <c r="CN1520" s="213"/>
      <c r="CO1520" s="197"/>
      <c r="CP1520" s="197"/>
      <c r="CQ1520" s="197"/>
      <c r="CR1520" s="197"/>
      <c r="CS1520" s="197"/>
      <c r="CT1520" s="197"/>
      <c r="CU1520" s="197"/>
      <c r="CV1520" s="197"/>
      <c r="CW1520" s="197"/>
      <c r="CX1520" s="959"/>
      <c r="CY1520" s="959"/>
      <c r="CZ1520" s="959"/>
      <c r="DA1520" s="959"/>
      <c r="DB1520" s="959"/>
      <c r="DC1520" s="891">
        <v>5222</v>
      </c>
      <c r="DD1520" s="891" t="s">
        <v>4931</v>
      </c>
      <c r="DE1520" s="891" t="s">
        <v>423</v>
      </c>
      <c r="DF1520" s="891">
        <v>5</v>
      </c>
      <c r="DG1520" s="959"/>
      <c r="DH1520" s="959"/>
      <c r="ER1520" s="905">
        <v>5741</v>
      </c>
      <c r="ES1520" s="906" t="s">
        <v>749</v>
      </c>
      <c r="ET1520" s="2686">
        <v>9</v>
      </c>
      <c r="EV1520" s="985"/>
      <c r="EW1520" s="985"/>
      <c r="EX1520" s="387"/>
      <c r="EY1520" s="939"/>
      <c r="EZ1520" s="886"/>
    </row>
    <row r="1521" spans="88:156">
      <c r="CJ1521" s="197"/>
      <c r="CK1521" s="197"/>
      <c r="CL1521" s="197"/>
      <c r="CM1521" s="213"/>
      <c r="CN1521" s="213"/>
      <c r="CO1521" s="197"/>
      <c r="CP1521" s="197"/>
      <c r="CQ1521" s="197"/>
      <c r="CR1521" s="197"/>
      <c r="CS1521" s="197"/>
      <c r="CT1521" s="197"/>
      <c r="CU1521" s="197"/>
      <c r="CV1521" s="197"/>
      <c r="CW1521" s="197"/>
      <c r="CX1521" s="959"/>
      <c r="CY1521" s="959"/>
      <c r="CZ1521" s="959"/>
      <c r="DA1521" s="959"/>
      <c r="DB1521" s="959"/>
      <c r="DC1521" s="891">
        <v>5231</v>
      </c>
      <c r="DD1521" s="891" t="s">
        <v>4932</v>
      </c>
      <c r="DE1521" s="891" t="s">
        <v>432</v>
      </c>
      <c r="DF1521" s="891">
        <v>6</v>
      </c>
      <c r="DG1521" s="959"/>
      <c r="DH1521" s="959"/>
      <c r="ER1521" s="905">
        <v>5742</v>
      </c>
      <c r="ES1521" s="906" t="s">
        <v>750</v>
      </c>
      <c r="ET1521" s="2686">
        <v>9</v>
      </c>
      <c r="EV1521" s="985"/>
      <c r="EW1521" s="985"/>
      <c r="EX1521" s="387"/>
      <c r="EY1521" s="939"/>
      <c r="EZ1521" s="886"/>
    </row>
    <row r="1522" spans="88:156">
      <c r="CJ1522" s="197"/>
      <c r="CK1522" s="197"/>
      <c r="CL1522" s="197"/>
      <c r="CM1522" s="213"/>
      <c r="CN1522" s="213"/>
      <c r="CO1522" s="197"/>
      <c r="CP1522" s="197"/>
      <c r="CQ1522" s="197"/>
      <c r="CR1522" s="197"/>
      <c r="CS1522" s="197"/>
      <c r="CT1522" s="197"/>
      <c r="CU1522" s="197"/>
      <c r="CV1522" s="197"/>
      <c r="CW1522" s="197"/>
      <c r="CX1522" s="959"/>
      <c r="CY1522" s="959"/>
      <c r="CZ1522" s="959"/>
      <c r="DA1522" s="959"/>
      <c r="DB1522" s="959"/>
      <c r="DC1522" s="891">
        <v>5232</v>
      </c>
      <c r="DD1522" s="891" t="s">
        <v>4933</v>
      </c>
      <c r="DE1522" s="891" t="s">
        <v>419</v>
      </c>
      <c r="DF1522" s="891">
        <v>6</v>
      </c>
      <c r="DG1522" s="959"/>
      <c r="DH1522" s="959"/>
      <c r="ER1522" s="905">
        <v>5743</v>
      </c>
      <c r="ES1522" s="906" t="s">
        <v>2792</v>
      </c>
      <c r="ET1522" s="2686">
        <v>9</v>
      </c>
      <c r="EV1522" s="985"/>
      <c r="EW1522" s="985"/>
      <c r="EX1522" s="387"/>
      <c r="EY1522" s="939"/>
      <c r="EZ1522" s="886"/>
    </row>
    <row r="1523" spans="88:156">
      <c r="CJ1523" s="197"/>
      <c r="CK1523" s="197"/>
      <c r="CL1523" s="197"/>
      <c r="CM1523" s="213"/>
      <c r="CN1523" s="213"/>
      <c r="CO1523" s="197"/>
      <c r="CP1523" s="197"/>
      <c r="CQ1523" s="197"/>
      <c r="CR1523" s="197"/>
      <c r="CS1523" s="197"/>
      <c r="CT1523" s="197"/>
      <c r="CU1523" s="197"/>
      <c r="CV1523" s="197"/>
      <c r="CW1523" s="197"/>
      <c r="CX1523" s="959"/>
      <c r="CY1523" s="959"/>
      <c r="CZ1523" s="959"/>
      <c r="DA1523" s="959"/>
      <c r="DB1523" s="959"/>
      <c r="DC1523" s="891">
        <v>5233</v>
      </c>
      <c r="DD1523" s="891" t="s">
        <v>4934</v>
      </c>
      <c r="DE1523" s="891" t="s">
        <v>432</v>
      </c>
      <c r="DF1523" s="891">
        <v>6</v>
      </c>
      <c r="DG1523" s="959"/>
      <c r="DH1523" s="959"/>
      <c r="ER1523" s="905">
        <v>5744</v>
      </c>
      <c r="ES1523" s="906" t="s">
        <v>752</v>
      </c>
      <c r="ET1523" s="2686">
        <v>9</v>
      </c>
      <c r="EV1523" s="985"/>
      <c r="EW1523" s="985"/>
      <c r="EX1523" s="387"/>
      <c r="EY1523" s="939"/>
      <c r="EZ1523" s="886"/>
    </row>
    <row r="1524" spans="88:156">
      <c r="CJ1524" s="197"/>
      <c r="CK1524" s="197"/>
      <c r="CL1524" s="197"/>
      <c r="CM1524" s="213"/>
      <c r="CN1524" s="213"/>
      <c r="CO1524" s="197"/>
      <c r="CP1524" s="197"/>
      <c r="CQ1524" s="197"/>
      <c r="CR1524" s="197"/>
      <c r="CS1524" s="197"/>
      <c r="CT1524" s="197"/>
      <c r="CU1524" s="197"/>
      <c r="CV1524" s="197"/>
      <c r="CW1524" s="197"/>
      <c r="CX1524" s="959"/>
      <c r="CY1524" s="959"/>
      <c r="CZ1524" s="959"/>
      <c r="DA1524" s="959"/>
      <c r="DB1524" s="959"/>
      <c r="DC1524" s="891">
        <v>5234</v>
      </c>
      <c r="DD1524" s="891" t="s">
        <v>4935</v>
      </c>
      <c r="DE1524" s="891" t="s">
        <v>435</v>
      </c>
      <c r="DF1524" s="891">
        <v>6</v>
      </c>
      <c r="DG1524" s="959"/>
      <c r="DH1524" s="959"/>
      <c r="ER1524" s="905">
        <v>5745</v>
      </c>
      <c r="ES1524" s="906" t="s">
        <v>753</v>
      </c>
      <c r="ET1524" s="2686">
        <v>9</v>
      </c>
      <c r="EV1524" s="985"/>
      <c r="EW1524" s="985"/>
      <c r="EX1524" s="387"/>
      <c r="EY1524" s="939"/>
      <c r="EZ1524" s="886"/>
    </row>
    <row r="1525" spans="88:156">
      <c r="CJ1525" s="197"/>
      <c r="CK1525" s="197"/>
      <c r="CL1525" s="197"/>
      <c r="CM1525" s="213"/>
      <c r="CN1525" s="213"/>
      <c r="CO1525" s="197"/>
      <c r="CP1525" s="197"/>
      <c r="CQ1525" s="197"/>
      <c r="CR1525" s="197"/>
      <c r="CS1525" s="197"/>
      <c r="CT1525" s="197"/>
      <c r="CU1525" s="197"/>
      <c r="CV1525" s="197"/>
      <c r="CW1525" s="197"/>
      <c r="CX1525" s="959"/>
      <c r="CY1525" s="959"/>
      <c r="CZ1525" s="959"/>
      <c r="DA1525" s="959"/>
      <c r="DB1525" s="959"/>
      <c r="DC1525" s="891">
        <v>5235</v>
      </c>
      <c r="DD1525" s="891" t="s">
        <v>4936</v>
      </c>
      <c r="DE1525" s="891" t="s">
        <v>417</v>
      </c>
      <c r="DF1525" s="891">
        <v>6</v>
      </c>
      <c r="DG1525" s="959"/>
      <c r="DH1525" s="959"/>
      <c r="ER1525" s="905">
        <v>5746</v>
      </c>
      <c r="ES1525" s="906" t="s">
        <v>754</v>
      </c>
      <c r="ET1525" s="2686">
        <v>9</v>
      </c>
      <c r="EV1525" s="985"/>
      <c r="EW1525" s="985"/>
      <c r="EX1525" s="387"/>
      <c r="EY1525" s="939"/>
      <c r="EZ1525" s="886"/>
    </row>
    <row r="1526" spans="88:156">
      <c r="CJ1526" s="197"/>
      <c r="CK1526" s="197"/>
      <c r="CL1526" s="197"/>
      <c r="CM1526" s="213"/>
      <c r="CN1526" s="213"/>
      <c r="CO1526" s="197"/>
      <c r="CP1526" s="197"/>
      <c r="CQ1526" s="197"/>
      <c r="CR1526" s="197"/>
      <c r="CS1526" s="197"/>
      <c r="CT1526" s="197"/>
      <c r="CU1526" s="197"/>
      <c r="CV1526" s="197"/>
      <c r="CW1526" s="197"/>
      <c r="CX1526" s="959"/>
      <c r="CY1526" s="959"/>
      <c r="CZ1526" s="959"/>
      <c r="DA1526" s="959"/>
      <c r="DB1526" s="959"/>
      <c r="DC1526" s="891">
        <v>5241</v>
      </c>
      <c r="DD1526" s="891" t="s">
        <v>2467</v>
      </c>
      <c r="DE1526" s="891" t="s">
        <v>2808</v>
      </c>
      <c r="DF1526" s="891">
        <v>6</v>
      </c>
      <c r="DG1526" s="959"/>
      <c r="DH1526" s="959"/>
      <c r="ER1526" s="905">
        <v>5747</v>
      </c>
      <c r="ES1526" s="906" t="s">
        <v>755</v>
      </c>
      <c r="ET1526" s="2686">
        <v>9</v>
      </c>
      <c r="EV1526" s="985"/>
      <c r="EW1526" s="985"/>
      <c r="EX1526" s="387"/>
      <c r="EY1526" s="939"/>
      <c r="EZ1526" s="886"/>
    </row>
    <row r="1527" spans="88:156">
      <c r="CJ1527" s="197"/>
      <c r="CK1527" s="197"/>
      <c r="CL1527" s="197"/>
      <c r="CM1527" s="213"/>
      <c r="CN1527" s="213"/>
      <c r="CO1527" s="197"/>
      <c r="CP1527" s="197"/>
      <c r="CQ1527" s="197"/>
      <c r="CR1527" s="197"/>
      <c r="CS1527" s="197"/>
      <c r="CT1527" s="197"/>
      <c r="CU1527" s="197"/>
      <c r="CV1527" s="197"/>
      <c r="CW1527" s="197"/>
      <c r="CX1527" s="959"/>
      <c r="CY1527" s="959"/>
      <c r="CZ1527" s="959"/>
      <c r="DA1527" s="959"/>
      <c r="DB1527" s="959"/>
      <c r="DC1527" s="891">
        <v>5243</v>
      </c>
      <c r="DD1527" s="891" t="s">
        <v>2468</v>
      </c>
      <c r="DE1527" s="891" t="s">
        <v>433</v>
      </c>
      <c r="DF1527" s="891">
        <v>6</v>
      </c>
      <c r="DG1527" s="959"/>
      <c r="DH1527" s="959"/>
      <c r="ER1527" s="905">
        <v>5751</v>
      </c>
      <c r="ES1527" s="906" t="s">
        <v>756</v>
      </c>
      <c r="ET1527" s="2686">
        <v>9</v>
      </c>
      <c r="EV1527" s="985"/>
      <c r="EW1527" s="985"/>
      <c r="EX1527" s="387"/>
      <c r="EY1527" s="939"/>
      <c r="EZ1527" s="886"/>
    </row>
    <row r="1528" spans="88:156">
      <c r="CJ1528" s="197"/>
      <c r="CK1528" s="197"/>
      <c r="CL1528" s="197"/>
      <c r="CM1528" s="213"/>
      <c r="CN1528" s="213"/>
      <c r="CO1528" s="197"/>
      <c r="CP1528" s="197"/>
      <c r="CQ1528" s="197"/>
      <c r="CR1528" s="197"/>
      <c r="CS1528" s="197"/>
      <c r="CT1528" s="197"/>
      <c r="CU1528" s="197"/>
      <c r="CV1528" s="197"/>
      <c r="CW1528" s="197"/>
      <c r="CX1528" s="959"/>
      <c r="CY1528" s="959"/>
      <c r="CZ1528" s="959"/>
      <c r="DA1528" s="959"/>
      <c r="DB1528" s="959"/>
      <c r="DC1528" s="891">
        <v>5244</v>
      </c>
      <c r="DD1528" s="891" t="s">
        <v>2469</v>
      </c>
      <c r="DE1528" s="891" t="s">
        <v>404</v>
      </c>
      <c r="DF1528" s="891">
        <v>6</v>
      </c>
      <c r="DG1528" s="959"/>
      <c r="DH1528" s="959"/>
      <c r="ER1528" s="905">
        <v>5752</v>
      </c>
      <c r="ES1528" s="905" t="s">
        <v>2793</v>
      </c>
      <c r="ET1528" s="2686">
        <v>9</v>
      </c>
      <c r="EV1528" s="985"/>
      <c r="EW1528" s="985"/>
      <c r="EX1528" s="387"/>
      <c r="EY1528" s="939"/>
      <c r="EZ1528" s="886"/>
    </row>
    <row r="1529" spans="88:156">
      <c r="CJ1529" s="197"/>
      <c r="CK1529" s="197"/>
      <c r="CL1529" s="197"/>
      <c r="CM1529" s="213"/>
      <c r="CN1529" s="213"/>
      <c r="CO1529" s="197"/>
      <c r="CP1529" s="197"/>
      <c r="CQ1529" s="197"/>
      <c r="CR1529" s="197"/>
      <c r="CS1529" s="197"/>
      <c r="CT1529" s="197"/>
      <c r="CU1529" s="197"/>
      <c r="CV1529" s="197"/>
      <c r="CW1529" s="197"/>
      <c r="CX1529" s="959"/>
      <c r="CY1529" s="959"/>
      <c r="CZ1529" s="959"/>
      <c r="DA1529" s="959"/>
      <c r="DB1529" s="959"/>
      <c r="DC1529" s="891">
        <v>5300</v>
      </c>
      <c r="DD1529" s="891" t="s">
        <v>2470</v>
      </c>
      <c r="DE1529" s="891" t="s">
        <v>406</v>
      </c>
      <c r="DF1529" s="891">
        <v>2</v>
      </c>
      <c r="DG1529" s="959"/>
      <c r="DH1529" s="959"/>
      <c r="ER1529" s="905">
        <v>5800</v>
      </c>
      <c r="ES1529" s="906" t="s">
        <v>758</v>
      </c>
      <c r="ET1529" s="2686">
        <v>9</v>
      </c>
      <c r="EV1529" s="985"/>
      <c r="EW1529" s="985"/>
      <c r="EX1529" s="387"/>
      <c r="EY1529" s="939"/>
      <c r="EZ1529" s="886"/>
    </row>
    <row r="1530" spans="88:156">
      <c r="CJ1530" s="197"/>
      <c r="CK1530" s="197"/>
      <c r="CL1530" s="197"/>
      <c r="CM1530" s="213"/>
      <c r="CN1530" s="213"/>
      <c r="CO1530" s="197"/>
      <c r="CP1530" s="197"/>
      <c r="CQ1530" s="197"/>
      <c r="CR1530" s="197"/>
      <c r="CS1530" s="197"/>
      <c r="CT1530" s="197"/>
      <c r="CU1530" s="197"/>
      <c r="CV1530" s="197"/>
      <c r="CW1530" s="197"/>
      <c r="CX1530" s="959"/>
      <c r="CY1530" s="959"/>
      <c r="CZ1530" s="959"/>
      <c r="DA1530" s="959"/>
      <c r="DB1530" s="959"/>
      <c r="DC1530" s="891">
        <v>5309</v>
      </c>
      <c r="DD1530" s="891" t="s">
        <v>2471</v>
      </c>
      <c r="DE1530" s="891" t="s">
        <v>406</v>
      </c>
      <c r="DF1530" s="891">
        <v>1</v>
      </c>
      <c r="DG1530" s="959"/>
      <c r="DH1530" s="959"/>
      <c r="ER1530" s="905">
        <v>5811</v>
      </c>
      <c r="ES1530" s="906" t="s">
        <v>759</v>
      </c>
      <c r="ET1530" s="2686">
        <v>9</v>
      </c>
      <c r="EV1530" s="985"/>
      <c r="EW1530" s="985"/>
      <c r="EX1530" s="387"/>
      <c r="EY1530" s="939"/>
      <c r="EZ1530" s="886"/>
    </row>
    <row r="1531" spans="88:156">
      <c r="CJ1531" s="197"/>
      <c r="CK1531" s="197"/>
      <c r="CL1531" s="197"/>
      <c r="CM1531" s="213"/>
      <c r="CN1531" s="213"/>
      <c r="CO1531" s="197"/>
      <c r="CP1531" s="197"/>
      <c r="CQ1531" s="197"/>
      <c r="CR1531" s="197"/>
      <c r="CS1531" s="197"/>
      <c r="CT1531" s="197"/>
      <c r="CU1531" s="197"/>
      <c r="CV1531" s="197"/>
      <c r="CW1531" s="197"/>
      <c r="CX1531" s="959"/>
      <c r="CY1531" s="959"/>
      <c r="CZ1531" s="959"/>
      <c r="DA1531" s="959"/>
      <c r="DB1531" s="959"/>
      <c r="DC1531" s="891">
        <v>5310</v>
      </c>
      <c r="DD1531" s="891" t="s">
        <v>2472</v>
      </c>
      <c r="DE1531" s="891" t="s">
        <v>432</v>
      </c>
      <c r="DF1531" s="891">
        <v>6</v>
      </c>
      <c r="DG1531" s="959"/>
      <c r="DH1531" s="959"/>
      <c r="ER1531" s="905">
        <v>5820</v>
      </c>
      <c r="ES1531" s="906" t="s">
        <v>760</v>
      </c>
      <c r="ET1531" s="2686">
        <v>9</v>
      </c>
      <c r="EV1531" s="985"/>
      <c r="EW1531" s="985"/>
      <c r="EX1531" s="387"/>
      <c r="EY1531" s="939"/>
      <c r="EZ1531" s="886"/>
    </row>
    <row r="1532" spans="88:156">
      <c r="CJ1532" s="197"/>
      <c r="CK1532" s="197"/>
      <c r="CL1532" s="197"/>
      <c r="CM1532" s="213"/>
      <c r="CN1532" s="213"/>
      <c r="CO1532" s="197"/>
      <c r="CP1532" s="197"/>
      <c r="CQ1532" s="197"/>
      <c r="CR1532" s="197"/>
      <c r="CS1532" s="197"/>
      <c r="CT1532" s="197"/>
      <c r="CU1532" s="197"/>
      <c r="CV1532" s="197"/>
      <c r="CW1532" s="197"/>
      <c r="CX1532" s="959"/>
      <c r="CY1532" s="959"/>
      <c r="CZ1532" s="959"/>
      <c r="DA1532" s="959"/>
      <c r="DB1532" s="959"/>
      <c r="DC1532" s="891">
        <v>5321</v>
      </c>
      <c r="DD1532" s="891" t="s">
        <v>2473</v>
      </c>
      <c r="DE1532" s="891" t="s">
        <v>428</v>
      </c>
      <c r="DF1532" s="891">
        <v>5</v>
      </c>
      <c r="DG1532" s="959"/>
      <c r="DH1532" s="959"/>
      <c r="ER1532" s="905">
        <v>5830</v>
      </c>
      <c r="ES1532" s="906" t="s">
        <v>761</v>
      </c>
      <c r="ET1532" s="2686">
        <v>9</v>
      </c>
      <c r="EV1532" s="985"/>
      <c r="EW1532" s="985"/>
      <c r="EX1532" s="387"/>
      <c r="EY1532" s="939"/>
      <c r="EZ1532" s="886"/>
    </row>
    <row r="1533" spans="88:156">
      <c r="CJ1533" s="197"/>
      <c r="CK1533" s="197"/>
      <c r="CL1533" s="197"/>
      <c r="CM1533" s="213"/>
      <c r="CN1533" s="213"/>
      <c r="CO1533" s="197"/>
      <c r="CP1533" s="197"/>
      <c r="CQ1533" s="197"/>
      <c r="CR1533" s="197"/>
      <c r="CS1533" s="197"/>
      <c r="CT1533" s="197"/>
      <c r="CU1533" s="197"/>
      <c r="CV1533" s="197"/>
      <c r="CW1533" s="197"/>
      <c r="CX1533" s="959"/>
      <c r="CY1533" s="959"/>
      <c r="CZ1533" s="959"/>
      <c r="DA1533" s="959"/>
      <c r="DB1533" s="959"/>
      <c r="DC1533" s="891">
        <v>5322</v>
      </c>
      <c r="DD1533" s="891" t="s">
        <v>2474</v>
      </c>
      <c r="DE1533" s="891" t="s">
        <v>423</v>
      </c>
      <c r="DF1533" s="891">
        <v>6</v>
      </c>
      <c r="DG1533" s="959"/>
      <c r="DH1533" s="959"/>
      <c r="ER1533" s="905">
        <v>5836</v>
      </c>
      <c r="ES1533" s="906" t="s">
        <v>762</v>
      </c>
      <c r="ET1533" s="2686">
        <v>9</v>
      </c>
      <c r="EV1533" s="985"/>
      <c r="EW1533" s="985"/>
      <c r="EX1533" s="387"/>
      <c r="EY1533" s="939"/>
      <c r="EZ1533" s="886"/>
    </row>
    <row r="1534" spans="88:156">
      <c r="CJ1534" s="197"/>
      <c r="CK1534" s="197"/>
      <c r="CL1534" s="197"/>
      <c r="CM1534" s="213"/>
      <c r="CN1534" s="213"/>
      <c r="CO1534" s="197"/>
      <c r="CP1534" s="197"/>
      <c r="CQ1534" s="197"/>
      <c r="CR1534" s="197"/>
      <c r="CS1534" s="197"/>
      <c r="CT1534" s="197"/>
      <c r="CU1534" s="197"/>
      <c r="CV1534" s="197"/>
      <c r="CW1534" s="197"/>
      <c r="CX1534" s="959"/>
      <c r="CY1534" s="959"/>
      <c r="CZ1534" s="959"/>
      <c r="DA1534" s="959"/>
      <c r="DB1534" s="959"/>
      <c r="DC1534" s="891">
        <v>5323</v>
      </c>
      <c r="DD1534" s="891" t="s">
        <v>2475</v>
      </c>
      <c r="DE1534" s="891" t="s">
        <v>402</v>
      </c>
      <c r="DF1534" s="891">
        <v>6</v>
      </c>
      <c r="DG1534" s="959"/>
      <c r="DH1534" s="959"/>
      <c r="ER1534" s="905">
        <v>5837</v>
      </c>
      <c r="ES1534" s="906" t="s">
        <v>763</v>
      </c>
      <c r="ET1534" s="2686">
        <v>9</v>
      </c>
      <c r="EV1534" s="985"/>
      <c r="EW1534" s="985"/>
      <c r="EX1534" s="387"/>
      <c r="EY1534" s="939"/>
      <c r="EZ1534" s="886"/>
    </row>
    <row r="1535" spans="88:156">
      <c r="CJ1535" s="197"/>
      <c r="CK1535" s="197"/>
      <c r="CL1535" s="197"/>
      <c r="CM1535" s="213"/>
      <c r="CN1535" s="213"/>
      <c r="CO1535" s="197"/>
      <c r="CP1535" s="197"/>
      <c r="CQ1535" s="197"/>
      <c r="CR1535" s="197"/>
      <c r="CS1535" s="197"/>
      <c r="CT1535" s="197"/>
      <c r="CU1535" s="197"/>
      <c r="CV1535" s="197"/>
      <c r="CW1535" s="197"/>
      <c r="CX1535" s="959"/>
      <c r="CY1535" s="959"/>
      <c r="CZ1535" s="959"/>
      <c r="DA1535" s="959"/>
      <c r="DB1535" s="959"/>
      <c r="DC1535" s="891">
        <v>5324</v>
      </c>
      <c r="DD1535" s="891" t="s">
        <v>2476</v>
      </c>
      <c r="DE1535" s="891" t="s">
        <v>402</v>
      </c>
      <c r="DF1535" s="891">
        <v>6</v>
      </c>
      <c r="DG1535" s="959"/>
      <c r="DH1535" s="959"/>
      <c r="ER1535" s="905">
        <v>5838</v>
      </c>
      <c r="ES1535" s="906" t="s">
        <v>764</v>
      </c>
      <c r="ET1535" s="2686">
        <v>9</v>
      </c>
      <c r="EV1535" s="985"/>
      <c r="EW1535" s="985"/>
      <c r="EX1535" s="387"/>
      <c r="EY1535" s="939"/>
      <c r="EZ1535" s="886"/>
    </row>
    <row r="1536" spans="88:156">
      <c r="CJ1536" s="197"/>
      <c r="CK1536" s="197"/>
      <c r="CL1536" s="197"/>
      <c r="CM1536" s="213"/>
      <c r="CN1536" s="213"/>
      <c r="CO1536" s="197"/>
      <c r="CP1536" s="197"/>
      <c r="CQ1536" s="197"/>
      <c r="CR1536" s="197"/>
      <c r="CS1536" s="197"/>
      <c r="CT1536" s="197"/>
      <c r="CU1536" s="197"/>
      <c r="CV1536" s="197"/>
      <c r="CW1536" s="197"/>
      <c r="CX1536" s="959"/>
      <c r="CY1536" s="959"/>
      <c r="CZ1536" s="959"/>
      <c r="DA1536" s="959"/>
      <c r="DB1536" s="959"/>
      <c r="DC1536" s="891">
        <v>5331</v>
      </c>
      <c r="DD1536" s="891" t="s">
        <v>2477</v>
      </c>
      <c r="DE1536" s="891" t="s">
        <v>412</v>
      </c>
      <c r="DF1536" s="891">
        <v>5</v>
      </c>
      <c r="DG1536" s="959"/>
      <c r="DH1536" s="959"/>
      <c r="ER1536" s="905">
        <v>5900</v>
      </c>
      <c r="ES1536" s="906" t="s">
        <v>765</v>
      </c>
      <c r="ET1536" s="2686">
        <v>9</v>
      </c>
      <c r="EV1536" s="985"/>
      <c r="EW1536" s="985"/>
      <c r="EX1536" s="387"/>
      <c r="EY1536" s="939"/>
      <c r="EZ1536" s="886"/>
    </row>
    <row r="1537" spans="88:156">
      <c r="CJ1537" s="197"/>
      <c r="CK1537" s="197"/>
      <c r="CL1537" s="197"/>
      <c r="CM1537" s="213"/>
      <c r="CN1537" s="213"/>
      <c r="CO1537" s="197"/>
      <c r="CP1537" s="197"/>
      <c r="CQ1537" s="197"/>
      <c r="CR1537" s="197"/>
      <c r="CS1537" s="197"/>
      <c r="CT1537" s="197"/>
      <c r="CU1537" s="197"/>
      <c r="CV1537" s="197"/>
      <c r="CW1537" s="197"/>
      <c r="CX1537" s="959"/>
      <c r="CY1537" s="959"/>
      <c r="CZ1537" s="959"/>
      <c r="DA1537" s="959"/>
      <c r="DB1537" s="959"/>
      <c r="DC1537" s="891">
        <v>5340</v>
      </c>
      <c r="DD1537" s="891" t="s">
        <v>643</v>
      </c>
      <c r="DE1537" s="891" t="s">
        <v>423</v>
      </c>
      <c r="DF1537" s="891">
        <v>6</v>
      </c>
      <c r="DG1537" s="959"/>
      <c r="DH1537" s="959"/>
      <c r="ER1537" s="905">
        <v>5903</v>
      </c>
      <c r="ES1537" s="906" t="s">
        <v>2794</v>
      </c>
      <c r="ET1537" s="2686">
        <v>9</v>
      </c>
      <c r="EV1537" s="985"/>
      <c r="EW1537" s="985"/>
      <c r="EX1537" s="387"/>
      <c r="EY1537" s="939"/>
      <c r="EZ1537" s="886"/>
    </row>
    <row r="1538" spans="88:156">
      <c r="CJ1538" s="197"/>
      <c r="CK1538" s="197"/>
      <c r="CL1538" s="197"/>
      <c r="CM1538" s="213"/>
      <c r="CN1538" s="213"/>
      <c r="CO1538" s="197"/>
      <c r="CP1538" s="197"/>
      <c r="CQ1538" s="197"/>
      <c r="CR1538" s="197"/>
      <c r="CS1538" s="197"/>
      <c r="CT1538" s="197"/>
      <c r="CU1538" s="197"/>
      <c r="CV1538" s="197"/>
      <c r="CW1538" s="197"/>
      <c r="CX1538" s="959"/>
      <c r="CY1538" s="959"/>
      <c r="CZ1538" s="959"/>
      <c r="DA1538" s="959"/>
      <c r="DB1538" s="959"/>
      <c r="DC1538" s="891">
        <v>5349</v>
      </c>
      <c r="DD1538" s="891" t="s">
        <v>644</v>
      </c>
      <c r="DE1538" s="891" t="s">
        <v>423</v>
      </c>
      <c r="DF1538" s="891">
        <v>6</v>
      </c>
      <c r="DG1538" s="959"/>
      <c r="DH1538" s="959"/>
      <c r="ER1538" s="905">
        <v>5904</v>
      </c>
      <c r="ES1538" s="906" t="s">
        <v>2795</v>
      </c>
      <c r="ET1538" s="2686">
        <v>9</v>
      </c>
      <c r="EV1538" s="985"/>
      <c r="EW1538" s="985"/>
      <c r="EX1538" s="387"/>
      <c r="EY1538" s="939"/>
      <c r="EZ1538" s="886"/>
    </row>
    <row r="1539" spans="88:156">
      <c r="CJ1539" s="197"/>
      <c r="CK1539" s="197"/>
      <c r="CL1539" s="197"/>
      <c r="CM1539" s="213"/>
      <c r="CN1539" s="213"/>
      <c r="CO1539" s="197"/>
      <c r="CP1539" s="197"/>
      <c r="CQ1539" s="197"/>
      <c r="CR1539" s="197"/>
      <c r="CS1539" s="197"/>
      <c r="CT1539" s="197"/>
      <c r="CU1539" s="197"/>
      <c r="CV1539" s="197"/>
      <c r="CW1539" s="197"/>
      <c r="CX1539" s="959"/>
      <c r="CY1539" s="959"/>
      <c r="CZ1539" s="959"/>
      <c r="DA1539" s="959"/>
      <c r="DB1539" s="959"/>
      <c r="DC1539" s="891">
        <v>5350</v>
      </c>
      <c r="DD1539" s="891" t="s">
        <v>645</v>
      </c>
      <c r="DE1539" s="891" t="s">
        <v>421</v>
      </c>
      <c r="DF1539" s="891">
        <v>6</v>
      </c>
      <c r="DG1539" s="959"/>
      <c r="DH1539" s="959"/>
      <c r="ER1539" s="905">
        <v>5905</v>
      </c>
      <c r="ES1539" s="906" t="s">
        <v>2796</v>
      </c>
      <c r="ET1539" s="2686">
        <v>9</v>
      </c>
      <c r="EV1539" s="985"/>
      <c r="EW1539" s="985"/>
      <c r="EX1539" s="387"/>
      <c r="EY1539" s="939"/>
      <c r="EZ1539" s="886"/>
    </row>
    <row r="1540" spans="88:156">
      <c r="CJ1540" s="197"/>
      <c r="CK1540" s="197"/>
      <c r="CL1540" s="197"/>
      <c r="CM1540" s="213"/>
      <c r="CN1540" s="213"/>
      <c r="CO1540" s="197"/>
      <c r="CP1540" s="197"/>
      <c r="CQ1540" s="197"/>
      <c r="CR1540" s="197"/>
      <c r="CS1540" s="197"/>
      <c r="CT1540" s="197"/>
      <c r="CU1540" s="197"/>
      <c r="CV1540" s="197"/>
      <c r="CW1540" s="197"/>
      <c r="CX1540" s="959"/>
      <c r="CY1540" s="959"/>
      <c r="CZ1540" s="959"/>
      <c r="DA1540" s="959"/>
      <c r="DB1540" s="959"/>
      <c r="DC1540" s="891">
        <v>5358</v>
      </c>
      <c r="DD1540" s="891" t="s">
        <v>646</v>
      </c>
      <c r="DE1540" s="891" t="s">
        <v>418</v>
      </c>
      <c r="DF1540" s="891">
        <v>6</v>
      </c>
      <c r="DG1540" s="959"/>
      <c r="DH1540" s="959"/>
      <c r="ER1540" s="905">
        <v>5919</v>
      </c>
      <c r="ES1540" s="906" t="s">
        <v>770</v>
      </c>
      <c r="ET1540" s="2686">
        <v>9</v>
      </c>
      <c r="EV1540" s="985"/>
      <c r="EW1540" s="985"/>
      <c r="EX1540" s="387"/>
      <c r="EY1540" s="939"/>
      <c r="EZ1540" s="886"/>
    </row>
    <row r="1541" spans="88:156">
      <c r="CJ1541" s="197"/>
      <c r="CK1541" s="197"/>
      <c r="CL1541" s="197"/>
      <c r="CM1541" s="213"/>
      <c r="CN1541" s="213"/>
      <c r="CO1541" s="197"/>
      <c r="CP1541" s="197"/>
      <c r="CQ1541" s="197"/>
      <c r="CR1541" s="197"/>
      <c r="CS1541" s="197"/>
      <c r="CT1541" s="197"/>
      <c r="CU1541" s="197"/>
      <c r="CV1541" s="197"/>
      <c r="CW1541" s="197"/>
      <c r="CX1541" s="959"/>
      <c r="CY1541" s="959"/>
      <c r="CZ1541" s="959"/>
      <c r="DA1541" s="959"/>
      <c r="DB1541" s="959"/>
      <c r="DC1541" s="891">
        <v>5359</v>
      </c>
      <c r="DD1541" s="891" t="s">
        <v>647</v>
      </c>
      <c r="DE1541" s="891" t="s">
        <v>421</v>
      </c>
      <c r="DF1541" s="891">
        <v>6</v>
      </c>
      <c r="DG1541" s="959"/>
      <c r="DH1541" s="959"/>
      <c r="ER1541" s="905">
        <v>5920</v>
      </c>
      <c r="ES1541" s="906" t="s">
        <v>771</v>
      </c>
      <c r="ET1541" s="2686">
        <v>9</v>
      </c>
      <c r="EV1541" s="985"/>
      <c r="EW1541" s="985"/>
      <c r="EX1541" s="387"/>
      <c r="EY1541" s="939"/>
      <c r="EZ1541" s="886"/>
    </row>
    <row r="1542" spans="88:156">
      <c r="CJ1542" s="197"/>
      <c r="CK1542" s="197"/>
      <c r="CL1542" s="197"/>
      <c r="CM1542" s="213"/>
      <c r="CN1542" s="213"/>
      <c r="CO1542" s="197"/>
      <c r="CP1542" s="197"/>
      <c r="CQ1542" s="197"/>
      <c r="CR1542" s="197"/>
      <c r="CS1542" s="197"/>
      <c r="CT1542" s="197"/>
      <c r="CU1542" s="197"/>
      <c r="CV1542" s="197"/>
      <c r="CW1542" s="197"/>
      <c r="CX1542" s="959"/>
      <c r="CY1542" s="959"/>
      <c r="CZ1542" s="959"/>
      <c r="DA1542" s="959"/>
      <c r="DB1542" s="959"/>
      <c r="DC1542" s="891">
        <v>5361</v>
      </c>
      <c r="DD1542" s="891" t="s">
        <v>648</v>
      </c>
      <c r="DE1542" s="891" t="s">
        <v>432</v>
      </c>
      <c r="DF1542" s="891">
        <v>6</v>
      </c>
      <c r="DG1542" s="959"/>
      <c r="DH1542" s="959"/>
      <c r="ER1542" s="905">
        <v>5925</v>
      </c>
      <c r="ES1542" s="906" t="s">
        <v>772</v>
      </c>
      <c r="ET1542" s="2686">
        <v>9</v>
      </c>
      <c r="EV1542" s="985"/>
      <c r="EW1542" s="985"/>
      <c r="EX1542" s="387"/>
      <c r="EY1542" s="939"/>
      <c r="EZ1542" s="886"/>
    </row>
    <row r="1543" spans="88:156">
      <c r="CJ1543" s="197"/>
      <c r="CK1543" s="197"/>
      <c r="CL1543" s="197"/>
      <c r="CM1543" s="213"/>
      <c r="CN1543" s="213"/>
      <c r="CO1543" s="197"/>
      <c r="CP1543" s="197"/>
      <c r="CQ1543" s="197"/>
      <c r="CR1543" s="197"/>
      <c r="CS1543" s="197"/>
      <c r="CT1543" s="197"/>
      <c r="CU1543" s="197"/>
      <c r="CV1543" s="197"/>
      <c r="CW1543" s="197"/>
      <c r="CX1543" s="959"/>
      <c r="CY1543" s="959"/>
      <c r="CZ1543" s="959"/>
      <c r="DA1543" s="959"/>
      <c r="DB1543" s="959"/>
      <c r="DC1543" s="891">
        <v>5362</v>
      </c>
      <c r="DD1543" s="891" t="s">
        <v>649</v>
      </c>
      <c r="DE1543" s="891" t="s">
        <v>417</v>
      </c>
      <c r="DF1543" s="891">
        <v>6</v>
      </c>
      <c r="DG1543" s="959"/>
      <c r="DH1543" s="959"/>
      <c r="ER1543" s="905">
        <v>5931</v>
      </c>
      <c r="ES1543" s="906" t="s">
        <v>773</v>
      </c>
      <c r="ET1543" s="2686">
        <v>9</v>
      </c>
      <c r="EV1543" s="985"/>
      <c r="EW1543" s="985"/>
      <c r="EX1543" s="387"/>
      <c r="EY1543" s="939"/>
      <c r="EZ1543" s="886"/>
    </row>
    <row r="1544" spans="88:156">
      <c r="CJ1544" s="197"/>
      <c r="CK1544" s="197"/>
      <c r="CL1544" s="197"/>
      <c r="CM1544" s="213"/>
      <c r="CN1544" s="213"/>
      <c r="CO1544" s="197"/>
      <c r="CP1544" s="197"/>
      <c r="CQ1544" s="197"/>
      <c r="CR1544" s="197"/>
      <c r="CS1544" s="197"/>
      <c r="CT1544" s="197"/>
      <c r="CU1544" s="197"/>
      <c r="CV1544" s="197"/>
      <c r="CW1544" s="197"/>
      <c r="CX1544" s="959"/>
      <c r="CY1544" s="959"/>
      <c r="CZ1544" s="959"/>
      <c r="DA1544" s="959"/>
      <c r="DB1544" s="959"/>
      <c r="DC1544" s="891">
        <v>5363</v>
      </c>
      <c r="DD1544" s="891" t="s">
        <v>650</v>
      </c>
      <c r="DE1544" s="891" t="s">
        <v>2808</v>
      </c>
      <c r="DF1544" s="891">
        <v>5</v>
      </c>
      <c r="DG1544" s="959"/>
      <c r="DH1544" s="959"/>
      <c r="ER1544" s="905">
        <v>5932</v>
      </c>
      <c r="ES1544" s="906" t="s">
        <v>3218</v>
      </c>
      <c r="ET1544" s="2686">
        <v>9</v>
      </c>
      <c r="EV1544" s="985"/>
      <c r="EW1544" s="985"/>
      <c r="EX1544" s="387"/>
      <c r="EY1544" s="939"/>
      <c r="EZ1544" s="886"/>
    </row>
    <row r="1545" spans="88:156">
      <c r="CJ1545" s="197"/>
      <c r="CK1545" s="197"/>
      <c r="CL1545" s="197"/>
      <c r="CM1545" s="213"/>
      <c r="CN1545" s="213"/>
      <c r="CO1545" s="197"/>
      <c r="CP1545" s="197"/>
      <c r="CQ1545" s="197"/>
      <c r="CR1545" s="197"/>
      <c r="CS1545" s="197"/>
      <c r="CT1545" s="197"/>
      <c r="CU1545" s="197"/>
      <c r="CV1545" s="197"/>
      <c r="CW1545" s="197"/>
      <c r="CX1545" s="959"/>
      <c r="CY1545" s="959"/>
      <c r="CZ1545" s="959"/>
      <c r="DA1545" s="959"/>
      <c r="DB1545" s="959"/>
      <c r="DC1545" s="891">
        <v>5400</v>
      </c>
      <c r="DD1545" s="891" t="s">
        <v>651</v>
      </c>
      <c r="DE1545" s="891" t="s">
        <v>428</v>
      </c>
      <c r="DF1545" s="891">
        <v>6</v>
      </c>
      <c r="DG1545" s="959"/>
      <c r="DH1545" s="959"/>
      <c r="ER1545" s="905">
        <v>5940</v>
      </c>
      <c r="ES1545" s="906" t="s">
        <v>3219</v>
      </c>
      <c r="ET1545" s="2686">
        <v>9</v>
      </c>
      <c r="EV1545" s="985"/>
      <c r="EW1545" s="985"/>
      <c r="EX1545" s="387"/>
      <c r="EY1545" s="939"/>
      <c r="EZ1545" s="886"/>
    </row>
    <row r="1546" spans="88:156">
      <c r="CJ1546" s="197"/>
      <c r="CK1546" s="197"/>
      <c r="CL1546" s="197"/>
      <c r="CM1546" s="213"/>
      <c r="CN1546" s="213"/>
      <c r="CO1546" s="197"/>
      <c r="CP1546" s="197"/>
      <c r="CQ1546" s="197"/>
      <c r="CR1546" s="197"/>
      <c r="CS1546" s="197"/>
      <c r="CT1546" s="197"/>
      <c r="CU1546" s="197"/>
      <c r="CV1546" s="197"/>
      <c r="CW1546" s="197"/>
      <c r="CX1546" s="959"/>
      <c r="CY1546" s="959"/>
      <c r="CZ1546" s="959"/>
      <c r="DA1546" s="959"/>
      <c r="DB1546" s="959"/>
      <c r="DC1546" s="891">
        <v>5411</v>
      </c>
      <c r="DD1546" s="891" t="s">
        <v>652</v>
      </c>
      <c r="DE1546" s="891" t="s">
        <v>406</v>
      </c>
      <c r="DF1546" s="891">
        <v>6</v>
      </c>
      <c r="DG1546" s="959"/>
      <c r="DH1546" s="959"/>
      <c r="ER1546" s="905">
        <v>5945</v>
      </c>
      <c r="ES1546" s="906" t="s">
        <v>3220</v>
      </c>
      <c r="ET1546" s="2686">
        <v>9</v>
      </c>
      <c r="EV1546" s="985"/>
      <c r="EW1546" s="985"/>
      <c r="EX1546" s="387"/>
      <c r="EY1546" s="939"/>
      <c r="EZ1546" s="886"/>
    </row>
    <row r="1547" spans="88:156">
      <c r="CJ1547" s="197"/>
      <c r="CK1547" s="197"/>
      <c r="CL1547" s="197"/>
      <c r="CM1547" s="213"/>
      <c r="CN1547" s="213"/>
      <c r="CO1547" s="197"/>
      <c r="CP1547" s="197"/>
      <c r="CQ1547" s="197"/>
      <c r="CR1547" s="197"/>
      <c r="CS1547" s="197"/>
      <c r="CT1547" s="197"/>
      <c r="CU1547" s="197"/>
      <c r="CV1547" s="197"/>
      <c r="CW1547" s="197"/>
      <c r="CX1547" s="959"/>
      <c r="CY1547" s="959"/>
      <c r="CZ1547" s="959"/>
      <c r="DA1547" s="959"/>
      <c r="DB1547" s="959"/>
      <c r="DC1547" s="891">
        <v>5412</v>
      </c>
      <c r="DD1547" s="891" t="s">
        <v>653</v>
      </c>
      <c r="DE1547" s="891" t="s">
        <v>412</v>
      </c>
      <c r="DF1547" s="891">
        <v>6</v>
      </c>
      <c r="DG1547" s="959"/>
      <c r="DH1547" s="959"/>
      <c r="ER1547" s="905">
        <v>5946</v>
      </c>
      <c r="ES1547" s="906" t="s">
        <v>3221</v>
      </c>
      <c r="ET1547" s="2686">
        <v>9</v>
      </c>
      <c r="EV1547" s="985"/>
      <c r="EW1547" s="985"/>
      <c r="EX1547" s="387"/>
      <c r="EY1547" s="939"/>
      <c r="EZ1547" s="886"/>
    </row>
    <row r="1548" spans="88:156">
      <c r="CJ1548" s="197"/>
      <c r="CK1548" s="197"/>
      <c r="CL1548" s="197"/>
      <c r="CM1548" s="213"/>
      <c r="CN1548" s="213"/>
      <c r="CO1548" s="197"/>
      <c r="CP1548" s="197"/>
      <c r="CQ1548" s="197"/>
      <c r="CR1548" s="197"/>
      <c r="CS1548" s="197"/>
      <c r="CT1548" s="197"/>
      <c r="CU1548" s="197"/>
      <c r="CV1548" s="197"/>
      <c r="CW1548" s="197"/>
      <c r="CX1548" s="959"/>
      <c r="CY1548" s="959"/>
      <c r="CZ1548" s="959"/>
      <c r="DA1548" s="959"/>
      <c r="DB1548" s="959"/>
      <c r="DC1548" s="891">
        <v>5420</v>
      </c>
      <c r="DD1548" s="891" t="s">
        <v>654</v>
      </c>
      <c r="DE1548" s="891" t="s">
        <v>427</v>
      </c>
      <c r="DF1548" s="891">
        <v>6</v>
      </c>
      <c r="DG1548" s="959"/>
      <c r="DH1548" s="959"/>
      <c r="ER1548" s="905">
        <v>5948</v>
      </c>
      <c r="ES1548" s="906" t="s">
        <v>3222</v>
      </c>
      <c r="ET1548" s="2686">
        <v>9</v>
      </c>
      <c r="EV1548" s="985"/>
      <c r="EW1548" s="985"/>
      <c r="EX1548" s="387"/>
      <c r="EY1548" s="939"/>
      <c r="EZ1548" s="886"/>
    </row>
    <row r="1549" spans="88:156">
      <c r="CJ1549" s="197"/>
      <c r="CK1549" s="197"/>
      <c r="CL1549" s="197"/>
      <c r="CM1549" s="213"/>
      <c r="CN1549" s="213"/>
      <c r="CO1549" s="197"/>
      <c r="CP1549" s="197"/>
      <c r="CQ1549" s="197"/>
      <c r="CR1549" s="197"/>
      <c r="CS1549" s="197"/>
      <c r="CT1549" s="197"/>
      <c r="CU1549" s="197"/>
      <c r="CV1549" s="197"/>
      <c r="CW1549" s="197"/>
      <c r="CX1549" s="959"/>
      <c r="CY1549" s="959"/>
      <c r="CZ1549" s="959"/>
      <c r="DA1549" s="959"/>
      <c r="DB1549" s="959"/>
      <c r="DC1549" s="891">
        <v>5430</v>
      </c>
      <c r="DD1549" s="891" t="s">
        <v>655</v>
      </c>
      <c r="DE1549" s="891" t="s">
        <v>412</v>
      </c>
      <c r="DF1549" s="891">
        <v>6</v>
      </c>
      <c r="DG1549" s="959"/>
      <c r="DH1549" s="959"/>
      <c r="ER1549" s="905">
        <v>6000</v>
      </c>
      <c r="ES1549" s="906" t="s">
        <v>3312</v>
      </c>
      <c r="ET1549" s="2686">
        <v>9</v>
      </c>
      <c r="EV1549" s="985"/>
      <c r="EW1549" s="985"/>
      <c r="EX1549" s="387"/>
      <c r="EY1549" s="939"/>
      <c r="EZ1549" s="886"/>
    </row>
    <row r="1550" spans="88:156">
      <c r="CJ1550" s="197"/>
      <c r="CK1550" s="197"/>
      <c r="CL1550" s="197"/>
      <c r="CM1550" s="213"/>
      <c r="CN1550" s="213"/>
      <c r="CO1550" s="197"/>
      <c r="CP1550" s="197"/>
      <c r="CQ1550" s="197"/>
      <c r="CR1550" s="197"/>
      <c r="CS1550" s="197"/>
      <c r="CT1550" s="197"/>
      <c r="CU1550" s="197"/>
      <c r="CV1550" s="197"/>
      <c r="CW1550" s="197"/>
      <c r="CX1550" s="959"/>
      <c r="CY1550" s="959"/>
      <c r="CZ1550" s="959"/>
      <c r="DA1550" s="959"/>
      <c r="DB1550" s="959"/>
      <c r="DC1550" s="891">
        <v>5435</v>
      </c>
      <c r="DD1550" s="891" t="s">
        <v>656</v>
      </c>
      <c r="DE1550" s="891" t="s">
        <v>418</v>
      </c>
      <c r="DF1550" s="891">
        <v>6</v>
      </c>
      <c r="DG1550" s="959"/>
      <c r="DH1550" s="959"/>
      <c r="ER1550" s="905">
        <v>6008</v>
      </c>
      <c r="ES1550" s="906" t="s">
        <v>2797</v>
      </c>
      <c r="ET1550" s="2686">
        <v>9</v>
      </c>
      <c r="EV1550" s="985"/>
      <c r="EW1550" s="985"/>
      <c r="EX1550" s="387"/>
      <c r="EY1550" s="939"/>
      <c r="EZ1550" s="886"/>
    </row>
    <row r="1551" spans="88:156">
      <c r="CJ1551" s="197"/>
      <c r="CK1551" s="197"/>
      <c r="CL1551" s="197"/>
      <c r="CM1551" s="213"/>
      <c r="CN1551" s="213"/>
      <c r="CO1551" s="197"/>
      <c r="CP1551" s="197"/>
      <c r="CQ1551" s="197"/>
      <c r="CR1551" s="197"/>
      <c r="CS1551" s="197"/>
      <c r="CT1551" s="197"/>
      <c r="CU1551" s="197"/>
      <c r="CV1551" s="197"/>
      <c r="CW1551" s="197"/>
      <c r="CX1551" s="959"/>
      <c r="CY1551" s="959"/>
      <c r="CZ1551" s="959"/>
      <c r="DA1551" s="959"/>
      <c r="DB1551" s="959"/>
      <c r="DC1551" s="891">
        <v>5440</v>
      </c>
      <c r="DD1551" s="891" t="s">
        <v>657</v>
      </c>
      <c r="DE1551" s="891" t="s">
        <v>423</v>
      </c>
      <c r="DF1551" s="891">
        <v>6</v>
      </c>
      <c r="DG1551" s="959"/>
      <c r="DH1551" s="959"/>
      <c r="ER1551" s="905">
        <v>6031</v>
      </c>
      <c r="ES1551" s="906" t="s">
        <v>3314</v>
      </c>
      <c r="ET1551" s="2686">
        <v>9</v>
      </c>
      <c r="EV1551" s="985"/>
      <c r="EW1551" s="985"/>
      <c r="EX1551" s="387"/>
      <c r="EY1551" s="939"/>
      <c r="EZ1551" s="886"/>
    </row>
    <row r="1552" spans="88:156">
      <c r="CJ1552" s="197"/>
      <c r="CK1552" s="197"/>
      <c r="CL1552" s="197"/>
      <c r="CM1552" s="213"/>
      <c r="CN1552" s="213"/>
      <c r="CO1552" s="197"/>
      <c r="CP1552" s="197"/>
      <c r="CQ1552" s="197"/>
      <c r="CR1552" s="197"/>
      <c r="CS1552" s="197"/>
      <c r="CT1552" s="197"/>
      <c r="CU1552" s="197"/>
      <c r="CV1552" s="197"/>
      <c r="CW1552" s="197"/>
      <c r="CX1552" s="959"/>
      <c r="CY1552" s="959"/>
      <c r="CZ1552" s="959"/>
      <c r="DA1552" s="959"/>
      <c r="DB1552" s="959"/>
      <c r="DC1552" s="891">
        <v>5449</v>
      </c>
      <c r="DD1552" s="891" t="s">
        <v>678</v>
      </c>
      <c r="DE1552" s="891" t="s">
        <v>406</v>
      </c>
      <c r="DF1552" s="891">
        <v>6</v>
      </c>
      <c r="DG1552" s="959"/>
      <c r="DH1552" s="959"/>
      <c r="ER1552" s="905">
        <v>6032</v>
      </c>
      <c r="ES1552" s="906" t="s">
        <v>3315</v>
      </c>
      <c r="ET1552" s="2686">
        <v>9</v>
      </c>
      <c r="EV1552" s="985"/>
      <c r="EW1552" s="985"/>
      <c r="EX1552" s="387"/>
      <c r="EY1552" s="939"/>
      <c r="EZ1552" s="886"/>
    </row>
    <row r="1553" spans="88:156">
      <c r="CJ1553" s="197"/>
      <c r="CK1553" s="197"/>
      <c r="CL1553" s="197"/>
      <c r="CM1553" s="213"/>
      <c r="CN1553" s="213"/>
      <c r="CO1553" s="197"/>
      <c r="CP1553" s="197"/>
      <c r="CQ1553" s="197"/>
      <c r="CR1553" s="197"/>
      <c r="CS1553" s="197"/>
      <c r="CT1553" s="197"/>
      <c r="CU1553" s="197"/>
      <c r="CV1553" s="197"/>
      <c r="CW1553" s="197"/>
      <c r="CX1553" s="959"/>
      <c r="CY1553" s="959"/>
      <c r="CZ1553" s="959"/>
      <c r="DA1553" s="959"/>
      <c r="DB1553" s="959"/>
      <c r="DC1553" s="891">
        <v>5451</v>
      </c>
      <c r="DD1553" s="891" t="s">
        <v>679</v>
      </c>
      <c r="DE1553" s="891" t="s">
        <v>418</v>
      </c>
      <c r="DF1553" s="891">
        <v>6</v>
      </c>
      <c r="DG1553" s="959"/>
      <c r="DH1553" s="959"/>
      <c r="ER1553" s="905">
        <v>6033</v>
      </c>
      <c r="ES1553" s="906" t="s">
        <v>3316</v>
      </c>
      <c r="ET1553" s="2686">
        <v>9</v>
      </c>
      <c r="EV1553" s="985"/>
      <c r="EW1553" s="985"/>
      <c r="EX1553" s="387"/>
      <c r="EY1553" s="939"/>
      <c r="EZ1553" s="886"/>
    </row>
    <row r="1554" spans="88:156">
      <c r="CJ1554" s="197"/>
      <c r="CK1554" s="197"/>
      <c r="CL1554" s="197"/>
      <c r="CM1554" s="213"/>
      <c r="CN1554" s="213"/>
      <c r="CO1554" s="197"/>
      <c r="CP1554" s="197"/>
      <c r="CQ1554" s="197"/>
      <c r="CR1554" s="197"/>
      <c r="CS1554" s="197"/>
      <c r="CT1554" s="197"/>
      <c r="CU1554" s="197"/>
      <c r="CV1554" s="197"/>
      <c r="CW1554" s="197"/>
      <c r="CX1554" s="959"/>
      <c r="CY1554" s="959"/>
      <c r="CZ1554" s="959"/>
      <c r="DA1554" s="959"/>
      <c r="DB1554" s="959"/>
      <c r="DC1554" s="891">
        <v>5452</v>
      </c>
      <c r="DD1554" s="891" t="s">
        <v>680</v>
      </c>
      <c r="DE1554" s="891" t="s">
        <v>2808</v>
      </c>
      <c r="DF1554" s="891">
        <v>6</v>
      </c>
      <c r="DG1554" s="959"/>
      <c r="DH1554" s="959"/>
      <c r="ER1554" s="905">
        <v>6034</v>
      </c>
      <c r="ES1554" s="906" t="s">
        <v>3317</v>
      </c>
      <c r="ET1554" s="2686">
        <v>9</v>
      </c>
      <c r="EV1554" s="985"/>
      <c r="EW1554" s="985"/>
      <c r="EX1554" s="387"/>
      <c r="EY1554" s="939"/>
      <c r="EZ1554" s="886"/>
    </row>
    <row r="1555" spans="88:156">
      <c r="CJ1555" s="197"/>
      <c r="CK1555" s="197"/>
      <c r="CL1555" s="197"/>
      <c r="CM1555" s="213"/>
      <c r="CN1555" s="213"/>
      <c r="CO1555" s="197"/>
      <c r="CP1555" s="197"/>
      <c r="CQ1555" s="197"/>
      <c r="CR1555" s="197"/>
      <c r="CS1555" s="197"/>
      <c r="CT1555" s="197"/>
      <c r="CU1555" s="197"/>
      <c r="CV1555" s="197"/>
      <c r="CW1555" s="197"/>
      <c r="CX1555" s="959"/>
      <c r="CY1555" s="959"/>
      <c r="CZ1555" s="959"/>
      <c r="DA1555" s="959"/>
      <c r="DB1555" s="959"/>
      <c r="DC1555" s="891">
        <v>5453</v>
      </c>
      <c r="DD1555" s="891" t="s">
        <v>681</v>
      </c>
      <c r="DE1555" s="891" t="s">
        <v>418</v>
      </c>
      <c r="DF1555" s="891">
        <v>6</v>
      </c>
      <c r="DG1555" s="959"/>
      <c r="DH1555" s="959"/>
      <c r="ER1555" s="905">
        <v>6035</v>
      </c>
      <c r="ES1555" s="906" t="s">
        <v>3318</v>
      </c>
      <c r="ET1555" s="2686">
        <v>9</v>
      </c>
      <c r="EV1555" s="985"/>
      <c r="EW1555" s="985"/>
      <c r="EX1555" s="387"/>
      <c r="EY1555" s="939"/>
      <c r="EZ1555" s="886"/>
    </row>
    <row r="1556" spans="88:156">
      <c r="CJ1556" s="197"/>
      <c r="CK1556" s="197"/>
      <c r="CL1556" s="197"/>
      <c r="CM1556" s="213"/>
      <c r="CN1556" s="213"/>
      <c r="CO1556" s="197"/>
      <c r="CP1556" s="197"/>
      <c r="CQ1556" s="197"/>
      <c r="CR1556" s="197"/>
      <c r="CS1556" s="197"/>
      <c r="CT1556" s="197"/>
      <c r="CU1556" s="197"/>
      <c r="CV1556" s="197"/>
      <c r="CW1556" s="197"/>
      <c r="CX1556" s="959"/>
      <c r="CY1556" s="959"/>
      <c r="CZ1556" s="959"/>
      <c r="DA1556" s="959"/>
      <c r="DB1556" s="959"/>
      <c r="DC1556" s="891">
        <v>5461</v>
      </c>
      <c r="DD1556" s="891" t="s">
        <v>682</v>
      </c>
      <c r="DE1556" s="891" t="s">
        <v>2808</v>
      </c>
      <c r="DF1556" s="891">
        <v>6</v>
      </c>
      <c r="DG1556" s="959"/>
      <c r="DH1556" s="959"/>
      <c r="ER1556" s="905">
        <v>6041</v>
      </c>
      <c r="ES1556" s="906" t="s">
        <v>2441</v>
      </c>
      <c r="ET1556" s="2686">
        <v>9</v>
      </c>
      <c r="EV1556" s="985"/>
      <c r="EW1556" s="985"/>
      <c r="EX1556" s="387"/>
      <c r="EY1556" s="939"/>
      <c r="EZ1556" s="886"/>
    </row>
    <row r="1557" spans="88:156">
      <c r="CJ1557" s="197"/>
      <c r="CK1557" s="197"/>
      <c r="CL1557" s="197"/>
      <c r="CM1557" s="213"/>
      <c r="CN1557" s="213"/>
      <c r="CO1557" s="197"/>
      <c r="CP1557" s="197"/>
      <c r="CQ1557" s="197"/>
      <c r="CR1557" s="197"/>
      <c r="CS1557" s="197"/>
      <c r="CT1557" s="197"/>
      <c r="CU1557" s="197"/>
      <c r="CV1557" s="197"/>
      <c r="CW1557" s="197"/>
      <c r="CX1557" s="959"/>
      <c r="CY1557" s="959"/>
      <c r="CZ1557" s="959"/>
      <c r="DA1557" s="959"/>
      <c r="DB1557" s="959"/>
      <c r="DC1557" s="891">
        <v>5462</v>
      </c>
      <c r="DD1557" s="891" t="s">
        <v>683</v>
      </c>
      <c r="DE1557" s="891" t="s">
        <v>435</v>
      </c>
      <c r="DF1557" s="891">
        <v>6</v>
      </c>
      <c r="DG1557" s="959"/>
      <c r="DH1557" s="959"/>
      <c r="ER1557" s="905">
        <v>6042</v>
      </c>
      <c r="ES1557" s="906" t="s">
        <v>89</v>
      </c>
      <c r="ET1557" s="2686">
        <v>9</v>
      </c>
      <c r="EV1557" s="985"/>
      <c r="EW1557" s="985"/>
      <c r="EX1557" s="387"/>
      <c r="EY1557" s="939"/>
      <c r="EZ1557" s="886"/>
    </row>
    <row r="1558" spans="88:156">
      <c r="CJ1558" s="197"/>
      <c r="CK1558" s="197"/>
      <c r="CL1558" s="197"/>
      <c r="CM1558" s="213"/>
      <c r="CN1558" s="213"/>
      <c r="CO1558" s="197"/>
      <c r="CP1558" s="197"/>
      <c r="CQ1558" s="197"/>
      <c r="CR1558" s="197"/>
      <c r="CS1558" s="197"/>
      <c r="CT1558" s="197"/>
      <c r="CU1558" s="197"/>
      <c r="CV1558" s="197"/>
      <c r="CW1558" s="197"/>
      <c r="CX1558" s="959"/>
      <c r="CY1558" s="959"/>
      <c r="CZ1558" s="959"/>
      <c r="DA1558" s="959"/>
      <c r="DB1558" s="959"/>
      <c r="DC1558" s="891">
        <v>5463</v>
      </c>
      <c r="DD1558" s="891" t="s">
        <v>684</v>
      </c>
      <c r="DE1558" s="891" t="s">
        <v>412</v>
      </c>
      <c r="DF1558" s="891">
        <v>6</v>
      </c>
      <c r="DG1558" s="959"/>
      <c r="DH1558" s="959"/>
      <c r="ER1558" s="905">
        <v>6043</v>
      </c>
      <c r="ES1558" s="906" t="s">
        <v>90</v>
      </c>
      <c r="ET1558" s="2686">
        <v>9</v>
      </c>
      <c r="EV1558" s="985"/>
      <c r="EW1558" s="985"/>
      <c r="EX1558" s="387"/>
      <c r="EY1558" s="939"/>
      <c r="EZ1558" s="886"/>
    </row>
    <row r="1559" spans="88:156">
      <c r="CJ1559" s="197"/>
      <c r="CK1559" s="197"/>
      <c r="CL1559" s="197"/>
      <c r="CM1559" s="213"/>
      <c r="CN1559" s="213"/>
      <c r="CO1559" s="197"/>
      <c r="CP1559" s="197"/>
      <c r="CQ1559" s="197"/>
      <c r="CR1559" s="197"/>
      <c r="CS1559" s="197"/>
      <c r="CT1559" s="197"/>
      <c r="CU1559" s="197"/>
      <c r="CV1559" s="197"/>
      <c r="CW1559" s="197"/>
      <c r="CX1559" s="959"/>
      <c r="CY1559" s="959"/>
      <c r="CZ1559" s="959"/>
      <c r="DA1559" s="959"/>
      <c r="DB1559" s="959"/>
      <c r="DC1559" s="891">
        <v>5464</v>
      </c>
      <c r="DD1559" s="891" t="s">
        <v>685</v>
      </c>
      <c r="DE1559" s="891" t="s">
        <v>2807</v>
      </c>
      <c r="DF1559" s="891">
        <v>6</v>
      </c>
      <c r="DG1559" s="959"/>
      <c r="DH1559" s="959"/>
      <c r="ER1559" s="905">
        <v>6044</v>
      </c>
      <c r="ES1559" s="906" t="s">
        <v>2798</v>
      </c>
      <c r="ET1559" s="2686">
        <v>9</v>
      </c>
      <c r="EV1559" s="985"/>
      <c r="EW1559" s="985"/>
      <c r="EX1559" s="387"/>
      <c r="EY1559" s="939"/>
      <c r="EZ1559" s="886"/>
    </row>
    <row r="1560" spans="88:156">
      <c r="CJ1560" s="197"/>
      <c r="CK1560" s="197"/>
      <c r="CL1560" s="197"/>
      <c r="CM1560" s="213"/>
      <c r="CN1560" s="213"/>
      <c r="CO1560" s="197"/>
      <c r="CP1560" s="197"/>
      <c r="CQ1560" s="197"/>
      <c r="CR1560" s="197"/>
      <c r="CS1560" s="197"/>
      <c r="CT1560" s="197"/>
      <c r="CU1560" s="197"/>
      <c r="CV1560" s="197"/>
      <c r="CW1560" s="197"/>
      <c r="CX1560" s="959"/>
      <c r="CY1560" s="959"/>
      <c r="CZ1560" s="959"/>
      <c r="DA1560" s="959"/>
      <c r="DB1560" s="959"/>
      <c r="DC1560" s="891">
        <v>5465</v>
      </c>
      <c r="DD1560" s="891" t="s">
        <v>686</v>
      </c>
      <c r="DE1560" s="891" t="s">
        <v>421</v>
      </c>
      <c r="DF1560" s="891">
        <v>6</v>
      </c>
      <c r="DG1560" s="959"/>
      <c r="DH1560" s="959"/>
      <c r="ER1560" s="905">
        <v>6045</v>
      </c>
      <c r="ES1560" s="906" t="s">
        <v>92</v>
      </c>
      <c r="ET1560" s="2686">
        <v>9</v>
      </c>
      <c r="EV1560" s="985"/>
      <c r="EW1560" s="985"/>
      <c r="EX1560" s="387"/>
      <c r="EY1560" s="939"/>
      <c r="EZ1560" s="886"/>
    </row>
    <row r="1561" spans="88:156">
      <c r="CJ1561" s="197"/>
      <c r="CK1561" s="197"/>
      <c r="CL1561" s="197"/>
      <c r="CM1561" s="213"/>
      <c r="CN1561" s="213"/>
      <c r="CO1561" s="197"/>
      <c r="CP1561" s="197"/>
      <c r="CQ1561" s="197"/>
      <c r="CR1561" s="197"/>
      <c r="CS1561" s="197"/>
      <c r="CT1561" s="197"/>
      <c r="CU1561" s="197"/>
      <c r="CV1561" s="197"/>
      <c r="CW1561" s="197"/>
      <c r="CX1561" s="959"/>
      <c r="CY1561" s="959"/>
      <c r="CZ1561" s="959"/>
      <c r="DA1561" s="959"/>
      <c r="DB1561" s="959"/>
      <c r="DC1561" s="891">
        <v>5466</v>
      </c>
      <c r="DD1561" s="891" t="s">
        <v>687</v>
      </c>
      <c r="DE1561" s="891" t="s">
        <v>410</v>
      </c>
      <c r="DF1561" s="891">
        <v>6</v>
      </c>
      <c r="DG1561" s="959"/>
      <c r="DH1561" s="959"/>
      <c r="ER1561" s="905">
        <v>6050</v>
      </c>
      <c r="ES1561" s="906" t="s">
        <v>2799</v>
      </c>
      <c r="ET1561" s="2687">
        <v>9</v>
      </c>
      <c r="EV1561" s="985"/>
      <c r="EW1561" s="985"/>
      <c r="EX1561" s="387"/>
      <c r="EY1561" s="939"/>
      <c r="EZ1561" s="886"/>
    </row>
    <row r="1562" spans="88:156">
      <c r="CJ1562" s="197"/>
      <c r="CK1562" s="197"/>
      <c r="CL1562" s="197"/>
      <c r="CM1562" s="213"/>
      <c r="CN1562" s="213"/>
      <c r="CO1562" s="197"/>
      <c r="CP1562" s="197"/>
      <c r="CQ1562" s="197"/>
      <c r="CR1562" s="197"/>
      <c r="CS1562" s="197"/>
      <c r="CT1562" s="197"/>
      <c r="CU1562" s="197"/>
      <c r="CV1562" s="197"/>
      <c r="CW1562" s="197"/>
      <c r="CX1562" s="959"/>
      <c r="CY1562" s="959"/>
      <c r="CZ1562" s="959"/>
      <c r="DA1562" s="959"/>
      <c r="DB1562" s="959"/>
      <c r="DC1562" s="891">
        <v>5471</v>
      </c>
      <c r="DD1562" s="891" t="s">
        <v>688</v>
      </c>
      <c r="DE1562" s="891" t="s">
        <v>423</v>
      </c>
      <c r="DF1562" s="891">
        <v>6</v>
      </c>
      <c r="DG1562" s="959"/>
      <c r="DH1562" s="959"/>
      <c r="ER1562" s="905">
        <v>6055</v>
      </c>
      <c r="ES1562" s="906" t="s">
        <v>2800</v>
      </c>
      <c r="ET1562" s="2686">
        <v>6</v>
      </c>
      <c r="EV1562" s="985"/>
      <c r="EW1562" s="985"/>
      <c r="EX1562" s="387"/>
      <c r="EY1562" s="939"/>
      <c r="EZ1562" s="886"/>
    </row>
    <row r="1563" spans="88:156">
      <c r="CJ1563" s="197"/>
      <c r="CK1563" s="197"/>
      <c r="CL1563" s="197"/>
      <c r="CM1563" s="213"/>
      <c r="CN1563" s="213"/>
      <c r="CO1563" s="197"/>
      <c r="CP1563" s="197"/>
      <c r="CQ1563" s="197"/>
      <c r="CR1563" s="197"/>
      <c r="CS1563" s="197"/>
      <c r="CT1563" s="197"/>
      <c r="CU1563" s="197"/>
      <c r="CV1563" s="197"/>
      <c r="CW1563" s="197"/>
      <c r="CX1563" s="959"/>
      <c r="CY1563" s="959"/>
      <c r="CZ1563" s="959"/>
      <c r="DA1563" s="959"/>
      <c r="DB1563" s="959"/>
      <c r="DC1563" s="891">
        <v>5472</v>
      </c>
      <c r="DD1563" s="891" t="s">
        <v>689</v>
      </c>
      <c r="DE1563" s="891" t="s">
        <v>402</v>
      </c>
      <c r="DF1563" s="891">
        <v>6</v>
      </c>
      <c r="DG1563" s="959"/>
      <c r="DH1563" s="959"/>
      <c r="ER1563" s="905">
        <v>6060</v>
      </c>
      <c r="ES1563" s="906" t="s">
        <v>95</v>
      </c>
      <c r="ET1563" s="2686">
        <v>9</v>
      </c>
      <c r="EV1563" s="985"/>
      <c r="EW1563" s="985"/>
      <c r="EX1563" s="387"/>
      <c r="EY1563" s="939"/>
      <c r="EZ1563" s="886"/>
    </row>
    <row r="1564" spans="88:156">
      <c r="CJ1564" s="197"/>
      <c r="CK1564" s="197"/>
      <c r="CL1564" s="197"/>
      <c r="CM1564" s="213"/>
      <c r="CN1564" s="213"/>
      <c r="CO1564" s="197"/>
      <c r="CP1564" s="197"/>
      <c r="CQ1564" s="197"/>
      <c r="CR1564" s="197"/>
      <c r="CS1564" s="197"/>
      <c r="CT1564" s="197"/>
      <c r="CU1564" s="197"/>
      <c r="CV1564" s="197"/>
      <c r="CW1564" s="197"/>
      <c r="CX1564" s="959"/>
      <c r="CY1564" s="959"/>
      <c r="CZ1564" s="959"/>
      <c r="DA1564" s="959"/>
      <c r="DB1564" s="959"/>
      <c r="DC1564" s="891">
        <v>5474</v>
      </c>
      <c r="DD1564" s="891" t="s">
        <v>690</v>
      </c>
      <c r="DE1564" s="891" t="s">
        <v>419</v>
      </c>
      <c r="DF1564" s="891">
        <v>6</v>
      </c>
      <c r="DG1564" s="959"/>
      <c r="DH1564" s="959"/>
      <c r="ER1564" s="905">
        <v>6062</v>
      </c>
      <c r="ES1564" s="906" t="s">
        <v>1864</v>
      </c>
      <c r="ET1564" s="2686">
        <v>9</v>
      </c>
      <c r="EV1564" s="985"/>
      <c r="EW1564" s="985"/>
      <c r="EX1564" s="387"/>
      <c r="EY1564" s="939"/>
      <c r="EZ1564" s="886"/>
    </row>
    <row r="1565" spans="88:156">
      <c r="CJ1565" s="197"/>
      <c r="CK1565" s="197"/>
      <c r="CL1565" s="197"/>
      <c r="CM1565" s="213"/>
      <c r="CN1565" s="213"/>
      <c r="CO1565" s="197"/>
      <c r="CP1565" s="197"/>
      <c r="CQ1565" s="197"/>
      <c r="CR1565" s="197"/>
      <c r="CS1565" s="197"/>
      <c r="CT1565" s="197"/>
      <c r="CU1565" s="197"/>
      <c r="CV1565" s="197"/>
      <c r="CW1565" s="197"/>
      <c r="CX1565" s="959"/>
      <c r="CY1565" s="959"/>
      <c r="CZ1565" s="959"/>
      <c r="DA1565" s="959"/>
      <c r="DB1565" s="959"/>
      <c r="DC1565" s="891">
        <v>5475</v>
      </c>
      <c r="DD1565" s="891" t="s">
        <v>691</v>
      </c>
      <c r="DE1565" s="891" t="s">
        <v>402</v>
      </c>
      <c r="DF1565" s="891">
        <v>6</v>
      </c>
      <c r="DG1565" s="959"/>
      <c r="DH1565" s="959"/>
      <c r="ER1565" s="905">
        <v>6064</v>
      </c>
      <c r="ES1565" s="906" t="s">
        <v>97</v>
      </c>
      <c r="ET1565" s="2686">
        <v>9</v>
      </c>
      <c r="EV1565" s="985"/>
      <c r="EW1565" s="985"/>
      <c r="EX1565" s="387"/>
      <c r="EY1565" s="939"/>
      <c r="EZ1565" s="886"/>
    </row>
    <row r="1566" spans="88:156">
      <c r="CJ1566" s="197"/>
      <c r="CK1566" s="197"/>
      <c r="CL1566" s="197"/>
      <c r="CM1566" s="213"/>
      <c r="CN1566" s="213"/>
      <c r="CO1566" s="197"/>
      <c r="CP1566" s="197"/>
      <c r="CQ1566" s="197"/>
      <c r="CR1566" s="197"/>
      <c r="CS1566" s="197"/>
      <c r="CT1566" s="197"/>
      <c r="CU1566" s="197"/>
      <c r="CV1566" s="197"/>
      <c r="CW1566" s="197"/>
      <c r="CX1566" s="959"/>
      <c r="CY1566" s="959"/>
      <c r="CZ1566" s="959"/>
      <c r="DA1566" s="959"/>
      <c r="DB1566" s="959"/>
      <c r="DC1566" s="891">
        <v>5476</v>
      </c>
      <c r="DD1566" s="891" t="s">
        <v>692</v>
      </c>
      <c r="DE1566" s="891" t="s">
        <v>410</v>
      </c>
      <c r="DF1566" s="891">
        <v>6</v>
      </c>
      <c r="DG1566" s="959"/>
      <c r="DH1566" s="959"/>
      <c r="ER1566" s="905">
        <v>6065</v>
      </c>
      <c r="ES1566" s="906" t="s">
        <v>98</v>
      </c>
      <c r="ET1566" s="2686">
        <v>9</v>
      </c>
      <c r="EV1566" s="985"/>
      <c r="EW1566" s="985"/>
      <c r="EX1566" s="387"/>
      <c r="EY1566" s="939"/>
      <c r="EZ1566" s="886"/>
    </row>
    <row r="1567" spans="88:156">
      <c r="CJ1567" s="197"/>
      <c r="CK1567" s="197"/>
      <c r="CL1567" s="197"/>
      <c r="CM1567" s="213"/>
      <c r="CN1567" s="213"/>
      <c r="CO1567" s="197"/>
      <c r="CP1567" s="197"/>
      <c r="CQ1567" s="197"/>
      <c r="CR1567" s="197"/>
      <c r="CS1567" s="197"/>
      <c r="CT1567" s="197"/>
      <c r="CU1567" s="197"/>
      <c r="CV1567" s="197"/>
      <c r="CW1567" s="197"/>
      <c r="CX1567" s="959"/>
      <c r="CY1567" s="959"/>
      <c r="CZ1567" s="959"/>
      <c r="DA1567" s="959"/>
      <c r="DB1567" s="959"/>
      <c r="DC1567" s="891">
        <v>5500</v>
      </c>
      <c r="DD1567" s="891" t="s">
        <v>693</v>
      </c>
      <c r="DE1567" s="891" t="s">
        <v>417</v>
      </c>
      <c r="DF1567" s="891">
        <v>6</v>
      </c>
      <c r="DG1567" s="959"/>
      <c r="DH1567" s="959"/>
      <c r="ER1567" s="905">
        <v>6066</v>
      </c>
      <c r="ES1567" s="906" t="s">
        <v>1865</v>
      </c>
      <c r="ET1567" s="2686">
        <v>9</v>
      </c>
      <c r="EV1567" s="985"/>
      <c r="EW1567" s="985"/>
      <c r="EX1567" s="387"/>
      <c r="EY1567" s="939"/>
      <c r="EZ1567" s="886"/>
    </row>
    <row r="1568" spans="88:156">
      <c r="CJ1568" s="197"/>
      <c r="CK1568" s="197"/>
      <c r="CL1568" s="197"/>
      <c r="CM1568" s="213"/>
      <c r="CN1568" s="213"/>
      <c r="CO1568" s="197"/>
      <c r="CP1568" s="197"/>
      <c r="CQ1568" s="197"/>
      <c r="CR1568" s="197"/>
      <c r="CS1568" s="197"/>
      <c r="CT1568" s="197"/>
      <c r="CU1568" s="197"/>
      <c r="CV1568" s="197"/>
      <c r="CW1568" s="197"/>
      <c r="CX1568" s="959"/>
      <c r="CY1568" s="959"/>
      <c r="CZ1568" s="959"/>
      <c r="DA1568" s="959"/>
      <c r="DB1568" s="959"/>
      <c r="DC1568" s="891">
        <v>5501</v>
      </c>
      <c r="DD1568" s="891" t="s">
        <v>693</v>
      </c>
      <c r="DE1568" s="891" t="s">
        <v>406</v>
      </c>
      <c r="DF1568" s="891">
        <v>6</v>
      </c>
      <c r="DG1568" s="959"/>
      <c r="DH1568" s="959"/>
      <c r="ER1568" s="905">
        <v>6067</v>
      </c>
      <c r="ES1568" s="906" t="s">
        <v>1331</v>
      </c>
      <c r="ET1568" s="2686">
        <v>9</v>
      </c>
      <c r="EV1568" s="985"/>
      <c r="EW1568" s="985"/>
      <c r="EX1568" s="387"/>
      <c r="EY1568" s="939"/>
      <c r="EZ1568" s="886"/>
    </row>
    <row r="1569" spans="88:156">
      <c r="CJ1569" s="197"/>
      <c r="CK1569" s="197"/>
      <c r="CL1569" s="197"/>
      <c r="CM1569" s="213"/>
      <c r="CN1569" s="213"/>
      <c r="CO1569" s="197"/>
      <c r="CP1569" s="197"/>
      <c r="CQ1569" s="197"/>
      <c r="CR1569" s="197"/>
      <c r="CS1569" s="197"/>
      <c r="CT1569" s="197"/>
      <c r="CU1569" s="197"/>
      <c r="CV1569" s="197"/>
      <c r="CW1569" s="197"/>
      <c r="CX1569" s="959"/>
      <c r="CY1569" s="959"/>
      <c r="CZ1569" s="959"/>
      <c r="DA1569" s="959"/>
      <c r="DB1569" s="959"/>
      <c r="DC1569" s="891">
        <v>5502</v>
      </c>
      <c r="DD1569" s="891" t="s">
        <v>695</v>
      </c>
      <c r="DE1569" s="891" t="s">
        <v>421</v>
      </c>
      <c r="DF1569" s="891">
        <v>6</v>
      </c>
      <c r="DG1569" s="959"/>
      <c r="DH1569" s="959"/>
      <c r="ER1569" s="905">
        <v>6070</v>
      </c>
      <c r="ES1569" s="906" t="s">
        <v>101</v>
      </c>
      <c r="ET1569" s="2686">
        <v>9</v>
      </c>
      <c r="EV1569" s="985"/>
      <c r="EW1569" s="985"/>
      <c r="EX1569" s="387"/>
      <c r="EY1569" s="939"/>
      <c r="EZ1569" s="886"/>
    </row>
    <row r="1570" spans="88:156">
      <c r="CJ1570" s="197"/>
      <c r="CK1570" s="197"/>
      <c r="CL1570" s="197"/>
      <c r="CM1570" s="213"/>
      <c r="CN1570" s="213"/>
      <c r="CO1570" s="197"/>
      <c r="CP1570" s="197"/>
      <c r="CQ1570" s="197"/>
      <c r="CR1570" s="197"/>
      <c r="CS1570" s="197"/>
      <c r="CT1570" s="197"/>
      <c r="CU1570" s="197"/>
      <c r="CV1570" s="197"/>
      <c r="CW1570" s="197"/>
      <c r="CX1570" s="959"/>
      <c r="CY1570" s="959"/>
      <c r="CZ1570" s="959"/>
      <c r="DA1570" s="959"/>
      <c r="DB1570" s="959"/>
      <c r="DC1570" s="891">
        <v>5510</v>
      </c>
      <c r="DD1570" s="891" t="s">
        <v>696</v>
      </c>
      <c r="DE1570" s="891" t="s">
        <v>402</v>
      </c>
      <c r="DF1570" s="891">
        <v>6</v>
      </c>
      <c r="DG1570" s="959"/>
      <c r="DH1570" s="959"/>
      <c r="ER1570" s="905">
        <v>6075</v>
      </c>
      <c r="ES1570" s="906" t="s">
        <v>102</v>
      </c>
      <c r="ET1570" s="2686">
        <v>9</v>
      </c>
      <c r="EV1570" s="985"/>
      <c r="EW1570" s="985"/>
      <c r="EX1570" s="387"/>
      <c r="EY1570" s="939"/>
      <c r="EZ1570" s="886"/>
    </row>
    <row r="1571" spans="88:156">
      <c r="CJ1571" s="197"/>
      <c r="CK1571" s="197"/>
      <c r="CL1571" s="197"/>
      <c r="CM1571" s="213"/>
      <c r="CN1571" s="213"/>
      <c r="CO1571" s="197"/>
      <c r="CP1571" s="197"/>
      <c r="CQ1571" s="197"/>
      <c r="CR1571" s="197"/>
      <c r="CS1571" s="197"/>
      <c r="CT1571" s="197"/>
      <c r="CU1571" s="197"/>
      <c r="CV1571" s="197"/>
      <c r="CW1571" s="197"/>
      <c r="CX1571" s="959"/>
      <c r="CY1571" s="959"/>
      <c r="CZ1571" s="959"/>
      <c r="DA1571" s="959"/>
      <c r="DB1571" s="959"/>
      <c r="DC1571" s="891">
        <v>5515</v>
      </c>
      <c r="DD1571" s="891" t="s">
        <v>697</v>
      </c>
      <c r="DE1571" s="891" t="s">
        <v>406</v>
      </c>
      <c r="DF1571" s="891">
        <v>6</v>
      </c>
      <c r="DG1571" s="959"/>
      <c r="DH1571" s="959"/>
      <c r="ER1571" s="905">
        <v>6076</v>
      </c>
      <c r="ES1571" s="906" t="s">
        <v>103</v>
      </c>
      <c r="ET1571" s="2686">
        <v>9</v>
      </c>
      <c r="EV1571" s="985"/>
      <c r="EW1571" s="985"/>
      <c r="EX1571" s="387"/>
      <c r="EY1571" s="939"/>
      <c r="EZ1571" s="886"/>
    </row>
    <row r="1572" spans="88:156">
      <c r="CJ1572" s="197"/>
      <c r="CK1572" s="197"/>
      <c r="CL1572" s="197"/>
      <c r="CM1572" s="213"/>
      <c r="CN1572" s="213"/>
      <c r="CO1572" s="197"/>
      <c r="CP1572" s="197"/>
      <c r="CQ1572" s="197"/>
      <c r="CR1572" s="197"/>
      <c r="CS1572" s="197"/>
      <c r="CT1572" s="197"/>
      <c r="CU1572" s="197"/>
      <c r="CV1572" s="197"/>
      <c r="CW1572" s="197"/>
      <c r="CX1572" s="959"/>
      <c r="CY1572" s="959"/>
      <c r="CZ1572" s="959"/>
      <c r="DA1572" s="959"/>
      <c r="DB1572" s="959"/>
      <c r="DC1572" s="891">
        <v>5516</v>
      </c>
      <c r="DD1572" s="891" t="s">
        <v>698</v>
      </c>
      <c r="DE1572" s="891" t="s">
        <v>435</v>
      </c>
      <c r="DF1572" s="891">
        <v>6</v>
      </c>
      <c r="DG1572" s="959"/>
      <c r="DH1572" s="959"/>
      <c r="ER1572" s="905">
        <v>6077</v>
      </c>
      <c r="ES1572" s="906" t="s">
        <v>104</v>
      </c>
      <c r="ET1572" s="2686">
        <v>9</v>
      </c>
      <c r="EV1572" s="985"/>
      <c r="EW1572" s="985"/>
      <c r="EX1572" s="387"/>
      <c r="EY1572" s="939"/>
      <c r="EZ1572" s="886"/>
    </row>
    <row r="1573" spans="88:156">
      <c r="CJ1573" s="197"/>
      <c r="CK1573" s="197"/>
      <c r="CL1573" s="197"/>
      <c r="CM1573" s="213"/>
      <c r="CN1573" s="213"/>
      <c r="CO1573" s="197"/>
      <c r="CP1573" s="197"/>
      <c r="CQ1573" s="197"/>
      <c r="CR1573" s="197"/>
      <c r="CS1573" s="197"/>
      <c r="CT1573" s="197"/>
      <c r="CU1573" s="197"/>
      <c r="CV1573" s="197"/>
      <c r="CW1573" s="197"/>
      <c r="CX1573" s="959"/>
      <c r="CY1573" s="959"/>
      <c r="CZ1573" s="959"/>
      <c r="DA1573" s="959"/>
      <c r="DB1573" s="959"/>
      <c r="DC1573" s="891">
        <v>5520</v>
      </c>
      <c r="DD1573" s="891" t="s">
        <v>699</v>
      </c>
      <c r="DE1573" s="891" t="s">
        <v>427</v>
      </c>
      <c r="DF1573" s="891">
        <v>6</v>
      </c>
      <c r="DG1573" s="959"/>
      <c r="DH1573" s="959"/>
      <c r="ER1573" s="905">
        <v>6078</v>
      </c>
      <c r="ES1573" s="906" t="s">
        <v>105</v>
      </c>
      <c r="ET1573" s="2686">
        <v>9</v>
      </c>
      <c r="EV1573" s="985"/>
      <c r="EW1573" s="985"/>
      <c r="EX1573" s="387"/>
      <c r="EY1573" s="939"/>
      <c r="EZ1573" s="886"/>
    </row>
    <row r="1574" spans="88:156">
      <c r="CJ1574" s="197"/>
      <c r="CK1574" s="197"/>
      <c r="CL1574" s="197"/>
      <c r="CM1574" s="213"/>
      <c r="CN1574" s="213"/>
      <c r="CO1574" s="197"/>
      <c r="CP1574" s="197"/>
      <c r="CQ1574" s="197"/>
      <c r="CR1574" s="197"/>
      <c r="CS1574" s="197"/>
      <c r="CT1574" s="197"/>
      <c r="CU1574" s="197"/>
      <c r="CV1574" s="197"/>
      <c r="CW1574" s="197"/>
      <c r="CX1574" s="959"/>
      <c r="CY1574" s="959"/>
      <c r="CZ1574" s="959"/>
      <c r="DA1574" s="959"/>
      <c r="DB1574" s="959"/>
      <c r="DC1574" s="891">
        <v>5525</v>
      </c>
      <c r="DD1574" s="891" t="s">
        <v>700</v>
      </c>
      <c r="DE1574" s="891" t="s">
        <v>412</v>
      </c>
      <c r="DF1574" s="891">
        <v>6</v>
      </c>
      <c r="DG1574" s="959"/>
      <c r="DH1574" s="959"/>
      <c r="ER1574" s="905">
        <v>6080</v>
      </c>
      <c r="ES1574" s="906" t="s">
        <v>1804</v>
      </c>
      <c r="ET1574" s="2686">
        <v>9</v>
      </c>
      <c r="EV1574" s="985"/>
      <c r="EW1574" s="985"/>
      <c r="EX1574" s="387"/>
      <c r="EY1574" s="939"/>
      <c r="EZ1574" s="886"/>
    </row>
    <row r="1575" spans="88:156">
      <c r="CJ1575" s="197"/>
      <c r="CK1575" s="197"/>
      <c r="CL1575" s="197"/>
      <c r="CM1575" s="213"/>
      <c r="CN1575" s="213"/>
      <c r="CO1575" s="197"/>
      <c r="CP1575" s="197"/>
      <c r="CQ1575" s="197"/>
      <c r="CR1575" s="197"/>
      <c r="CS1575" s="197"/>
      <c r="CT1575" s="197"/>
      <c r="CU1575" s="197"/>
      <c r="CV1575" s="197"/>
      <c r="CW1575" s="197"/>
      <c r="CX1575" s="959"/>
      <c r="CY1575" s="959"/>
      <c r="CZ1575" s="959"/>
      <c r="DA1575" s="959"/>
      <c r="DB1575" s="959"/>
      <c r="DC1575" s="891">
        <v>5526</v>
      </c>
      <c r="DD1575" s="891" t="s">
        <v>701</v>
      </c>
      <c r="DE1575" s="891" t="s">
        <v>435</v>
      </c>
      <c r="DF1575" s="891">
        <v>6</v>
      </c>
      <c r="DG1575" s="959"/>
      <c r="DH1575" s="959"/>
      <c r="ER1575" s="905">
        <v>6085</v>
      </c>
      <c r="ES1575" s="906" t="s">
        <v>1805</v>
      </c>
      <c r="ET1575" s="2686">
        <v>9</v>
      </c>
      <c r="EV1575" s="985"/>
      <c r="EW1575" s="985"/>
      <c r="EX1575" s="387"/>
      <c r="EY1575" s="939"/>
      <c r="EZ1575" s="886"/>
    </row>
    <row r="1576" spans="88:156">
      <c r="CJ1576" s="197"/>
      <c r="CK1576" s="197"/>
      <c r="CL1576" s="197"/>
      <c r="CM1576" s="213"/>
      <c r="CN1576" s="213"/>
      <c r="CO1576" s="197"/>
      <c r="CP1576" s="197"/>
      <c r="CQ1576" s="197"/>
      <c r="CR1576" s="197"/>
      <c r="CS1576" s="197"/>
      <c r="CT1576" s="197"/>
      <c r="CU1576" s="197"/>
      <c r="CV1576" s="197"/>
      <c r="CW1576" s="197"/>
      <c r="CX1576" s="959"/>
      <c r="CY1576" s="959"/>
      <c r="CZ1576" s="959"/>
      <c r="DA1576" s="959"/>
      <c r="DB1576" s="959"/>
      <c r="DC1576" s="891">
        <v>5527</v>
      </c>
      <c r="DD1576" s="891" t="s">
        <v>702</v>
      </c>
      <c r="DE1576" s="891" t="s">
        <v>421</v>
      </c>
      <c r="DF1576" s="891">
        <v>6</v>
      </c>
      <c r="DG1576" s="959"/>
      <c r="DH1576" s="959"/>
      <c r="ER1576" s="905">
        <v>6086</v>
      </c>
      <c r="ES1576" s="906" t="s">
        <v>1806</v>
      </c>
      <c r="ET1576" s="2686">
        <v>6</v>
      </c>
      <c r="EV1576" s="985"/>
      <c r="EW1576" s="985"/>
      <c r="EX1576" s="387"/>
      <c r="EY1576" s="939"/>
      <c r="EZ1576" s="886"/>
    </row>
    <row r="1577" spans="88:156">
      <c r="CJ1577" s="197"/>
      <c r="CK1577" s="197"/>
      <c r="CL1577" s="197"/>
      <c r="CM1577" s="213"/>
      <c r="CN1577" s="213"/>
      <c r="CO1577" s="197"/>
      <c r="CP1577" s="197"/>
      <c r="CQ1577" s="197"/>
      <c r="CR1577" s="197"/>
      <c r="CS1577" s="197"/>
      <c r="CT1577" s="197"/>
      <c r="CU1577" s="197"/>
      <c r="CV1577" s="197"/>
      <c r="CW1577" s="197"/>
      <c r="CX1577" s="959"/>
      <c r="CY1577" s="959"/>
      <c r="CZ1577" s="959"/>
      <c r="DA1577" s="959"/>
      <c r="DB1577" s="959"/>
      <c r="DC1577" s="891">
        <v>5530</v>
      </c>
      <c r="DD1577" s="891" t="s">
        <v>703</v>
      </c>
      <c r="DE1577" s="891" t="s">
        <v>427</v>
      </c>
      <c r="DF1577" s="891">
        <v>6</v>
      </c>
      <c r="DG1577" s="959"/>
      <c r="DH1577" s="959"/>
      <c r="ER1577" s="905">
        <v>6087</v>
      </c>
      <c r="ES1577" s="906" t="s">
        <v>1807</v>
      </c>
      <c r="ET1577" s="2686">
        <v>6</v>
      </c>
      <c r="EV1577" s="985"/>
      <c r="EW1577" s="985"/>
      <c r="EX1577" s="387"/>
      <c r="EY1577" s="939"/>
      <c r="EZ1577" s="886"/>
    </row>
    <row r="1578" spans="88:156">
      <c r="CJ1578" s="197"/>
      <c r="CK1578" s="197"/>
      <c r="CL1578" s="197"/>
      <c r="CM1578" s="213"/>
      <c r="CN1578" s="213"/>
      <c r="CO1578" s="197"/>
      <c r="CP1578" s="197"/>
      <c r="CQ1578" s="197"/>
      <c r="CR1578" s="197"/>
      <c r="CS1578" s="197"/>
      <c r="CT1578" s="197"/>
      <c r="CU1578" s="197"/>
      <c r="CV1578" s="197"/>
      <c r="CW1578" s="197"/>
      <c r="CX1578" s="959"/>
      <c r="CY1578" s="959"/>
      <c r="CZ1578" s="959"/>
      <c r="DA1578" s="959"/>
      <c r="DB1578" s="959"/>
      <c r="DC1578" s="891">
        <v>5534</v>
      </c>
      <c r="DD1578" s="891" t="s">
        <v>704</v>
      </c>
      <c r="DE1578" s="891" t="s">
        <v>421</v>
      </c>
      <c r="DF1578" s="891">
        <v>6</v>
      </c>
      <c r="DG1578" s="959"/>
      <c r="DH1578" s="959"/>
      <c r="ER1578" s="905">
        <v>6088</v>
      </c>
      <c r="ES1578" s="906" t="s">
        <v>1808</v>
      </c>
      <c r="ET1578" s="2686">
        <v>9</v>
      </c>
      <c r="EV1578" s="985"/>
      <c r="EW1578" s="985"/>
      <c r="EX1578" s="387"/>
      <c r="EY1578" s="939"/>
      <c r="EZ1578" s="886"/>
    </row>
    <row r="1579" spans="88:156">
      <c r="CJ1579" s="197"/>
      <c r="CK1579" s="197"/>
      <c r="CL1579" s="197"/>
      <c r="CM1579" s="213"/>
      <c r="CN1579" s="213"/>
      <c r="CO1579" s="197"/>
      <c r="CP1579" s="197"/>
      <c r="CQ1579" s="197"/>
      <c r="CR1579" s="197"/>
      <c r="CS1579" s="197"/>
      <c r="CT1579" s="197"/>
      <c r="CU1579" s="197"/>
      <c r="CV1579" s="197"/>
      <c r="CW1579" s="197"/>
      <c r="CX1579" s="959"/>
      <c r="CY1579" s="959"/>
      <c r="CZ1579" s="959"/>
      <c r="DA1579" s="959"/>
      <c r="DB1579" s="959"/>
      <c r="DC1579" s="891">
        <v>5536</v>
      </c>
      <c r="DD1579" s="891" t="s">
        <v>705</v>
      </c>
      <c r="DE1579" s="891" t="s">
        <v>412</v>
      </c>
      <c r="DF1579" s="891">
        <v>6</v>
      </c>
      <c r="DG1579" s="959"/>
      <c r="DH1579" s="959"/>
      <c r="ER1579" s="905">
        <v>6090</v>
      </c>
      <c r="ES1579" s="906" t="s">
        <v>1332</v>
      </c>
      <c r="ET1579" s="2686">
        <v>9</v>
      </c>
      <c r="EV1579" s="985"/>
      <c r="EW1579" s="985"/>
      <c r="EX1579" s="387"/>
      <c r="EY1579" s="939"/>
      <c r="EZ1579" s="886"/>
    </row>
    <row r="1580" spans="88:156">
      <c r="CJ1580" s="197"/>
      <c r="CK1580" s="197"/>
      <c r="CL1580" s="197"/>
      <c r="CM1580" s="213"/>
      <c r="CN1580" s="213"/>
      <c r="CO1580" s="197"/>
      <c r="CP1580" s="197"/>
      <c r="CQ1580" s="197"/>
      <c r="CR1580" s="197"/>
      <c r="CS1580" s="197"/>
      <c r="CT1580" s="197"/>
      <c r="CU1580" s="197"/>
      <c r="CV1580" s="197"/>
      <c r="CW1580" s="197"/>
      <c r="CX1580" s="959"/>
      <c r="CY1580" s="959"/>
      <c r="CZ1580" s="959"/>
      <c r="DA1580" s="959"/>
      <c r="DB1580" s="959"/>
      <c r="DC1580" s="891">
        <v>5537</v>
      </c>
      <c r="DD1580" s="891" t="s">
        <v>706</v>
      </c>
      <c r="DE1580" s="891" t="s">
        <v>423</v>
      </c>
      <c r="DF1580" s="891">
        <v>6</v>
      </c>
      <c r="DG1580" s="959"/>
      <c r="DH1580" s="959"/>
      <c r="ER1580" s="905">
        <v>6096</v>
      </c>
      <c r="ES1580" s="906" t="s">
        <v>1810</v>
      </c>
      <c r="ET1580" s="2686">
        <v>9</v>
      </c>
      <c r="EV1580" s="985"/>
      <c r="EW1580" s="985"/>
      <c r="EX1580" s="387"/>
      <c r="EY1580" s="939"/>
      <c r="EZ1580" s="886"/>
    </row>
    <row r="1581" spans="88:156">
      <c r="CJ1581" s="197"/>
      <c r="CK1581" s="197"/>
      <c r="CL1581" s="197"/>
      <c r="CM1581" s="213"/>
      <c r="CN1581" s="213"/>
      <c r="CO1581" s="197"/>
      <c r="CP1581" s="197"/>
      <c r="CQ1581" s="197"/>
      <c r="CR1581" s="197"/>
      <c r="CS1581" s="197"/>
      <c r="CT1581" s="197"/>
      <c r="CU1581" s="197"/>
      <c r="CV1581" s="197"/>
      <c r="CW1581" s="197"/>
      <c r="CX1581" s="959"/>
      <c r="CY1581" s="959"/>
      <c r="CZ1581" s="959"/>
      <c r="DA1581" s="959"/>
      <c r="DB1581" s="959"/>
      <c r="DC1581" s="891">
        <v>5538</v>
      </c>
      <c r="DD1581" s="891" t="s">
        <v>707</v>
      </c>
      <c r="DE1581" s="891" t="s">
        <v>428</v>
      </c>
      <c r="DF1581" s="891">
        <v>6</v>
      </c>
      <c r="DG1581" s="959"/>
      <c r="DH1581" s="959"/>
      <c r="ER1581" s="905">
        <v>6097</v>
      </c>
      <c r="ES1581" s="906" t="s">
        <v>1811</v>
      </c>
      <c r="ET1581" s="2686">
        <v>9</v>
      </c>
      <c r="EV1581" s="985"/>
      <c r="EW1581" s="985"/>
      <c r="EX1581" s="387"/>
      <c r="EY1581" s="939"/>
      <c r="EZ1581" s="886"/>
    </row>
    <row r="1582" spans="88:156">
      <c r="CJ1582" s="197"/>
      <c r="CK1582" s="197"/>
      <c r="CL1582" s="197"/>
      <c r="CM1582" s="213"/>
      <c r="CN1582" s="213"/>
      <c r="CO1582" s="197"/>
      <c r="CP1582" s="197"/>
      <c r="CQ1582" s="197"/>
      <c r="CR1582" s="197"/>
      <c r="CS1582" s="197"/>
      <c r="CT1582" s="197"/>
      <c r="CU1582" s="197"/>
      <c r="CV1582" s="197"/>
      <c r="CW1582" s="197"/>
      <c r="CX1582" s="959"/>
      <c r="CY1582" s="959"/>
      <c r="CZ1582" s="959"/>
      <c r="DA1582" s="959"/>
      <c r="DB1582" s="959"/>
      <c r="DC1582" s="891">
        <v>5539</v>
      </c>
      <c r="DD1582" s="891" t="s">
        <v>708</v>
      </c>
      <c r="DE1582" s="891" t="s">
        <v>428</v>
      </c>
      <c r="DF1582" s="891">
        <v>5</v>
      </c>
      <c r="DG1582" s="959"/>
      <c r="DH1582" s="959"/>
      <c r="ER1582" s="905">
        <v>6098</v>
      </c>
      <c r="ES1582" s="906" t="s">
        <v>1812</v>
      </c>
      <c r="ET1582" s="2686">
        <v>6</v>
      </c>
      <c r="EV1582" s="985"/>
      <c r="EW1582" s="985"/>
      <c r="EX1582" s="387"/>
      <c r="EY1582" s="939"/>
      <c r="EZ1582" s="886"/>
    </row>
    <row r="1583" spans="88:156">
      <c r="CJ1583" s="197"/>
      <c r="CK1583" s="197"/>
      <c r="CL1583" s="197"/>
      <c r="CM1583" s="213"/>
      <c r="CN1583" s="213"/>
      <c r="CO1583" s="197"/>
      <c r="CP1583" s="197"/>
      <c r="CQ1583" s="197"/>
      <c r="CR1583" s="197"/>
      <c r="CS1583" s="197"/>
      <c r="CT1583" s="197"/>
      <c r="CU1583" s="197"/>
      <c r="CV1583" s="197"/>
      <c r="CW1583" s="197"/>
      <c r="CX1583" s="959"/>
      <c r="CY1583" s="959"/>
      <c r="CZ1583" s="959"/>
      <c r="DA1583" s="959"/>
      <c r="DB1583" s="959"/>
      <c r="DC1583" s="891">
        <v>5540</v>
      </c>
      <c r="DD1583" s="891" t="s">
        <v>709</v>
      </c>
      <c r="DE1583" s="891" t="s">
        <v>427</v>
      </c>
      <c r="DF1583" s="891">
        <v>6</v>
      </c>
      <c r="DG1583" s="959"/>
      <c r="DH1583" s="959"/>
      <c r="ER1583" s="905">
        <v>6100</v>
      </c>
      <c r="ES1583" s="906" t="s">
        <v>1813</v>
      </c>
      <c r="ET1583" s="2686">
        <v>9</v>
      </c>
      <c r="EV1583" s="985"/>
      <c r="EW1583" s="985"/>
      <c r="EX1583" s="387"/>
      <c r="EY1583" s="939"/>
      <c r="EZ1583" s="886"/>
    </row>
    <row r="1584" spans="88:156">
      <c r="CJ1584" s="197"/>
      <c r="CK1584" s="197"/>
      <c r="CL1584" s="197"/>
      <c r="CM1584" s="213"/>
      <c r="CN1584" s="213"/>
      <c r="CO1584" s="197"/>
      <c r="CP1584" s="197"/>
      <c r="CQ1584" s="197"/>
      <c r="CR1584" s="197"/>
      <c r="CS1584" s="197"/>
      <c r="CT1584" s="197"/>
      <c r="CU1584" s="197"/>
      <c r="CV1584" s="197"/>
      <c r="CW1584" s="197"/>
      <c r="CX1584" s="959"/>
      <c r="CY1584" s="959"/>
      <c r="CZ1584" s="959"/>
      <c r="DA1584" s="959"/>
      <c r="DB1584" s="959"/>
      <c r="DC1584" s="891">
        <v>5551</v>
      </c>
      <c r="DD1584" s="891" t="s">
        <v>710</v>
      </c>
      <c r="DE1584" s="891" t="s">
        <v>421</v>
      </c>
      <c r="DF1584" s="891">
        <v>6</v>
      </c>
      <c r="DG1584" s="959"/>
      <c r="DH1584" s="959"/>
      <c r="ER1584" s="905">
        <v>6111</v>
      </c>
      <c r="ES1584" s="906" t="s">
        <v>1814</v>
      </c>
      <c r="ET1584" s="2686">
        <v>9</v>
      </c>
      <c r="EV1584" s="985"/>
      <c r="EW1584" s="985"/>
      <c r="EX1584" s="387"/>
      <c r="EY1584" s="939"/>
      <c r="EZ1584" s="886"/>
    </row>
    <row r="1585" spans="88:156">
      <c r="CJ1585" s="197"/>
      <c r="CK1585" s="197"/>
      <c r="CL1585" s="197"/>
      <c r="CM1585" s="213"/>
      <c r="CN1585" s="213"/>
      <c r="CO1585" s="197"/>
      <c r="CP1585" s="197"/>
      <c r="CQ1585" s="197"/>
      <c r="CR1585" s="197"/>
      <c r="CS1585" s="197"/>
      <c r="CT1585" s="197"/>
      <c r="CU1585" s="197"/>
      <c r="CV1585" s="197"/>
      <c r="CW1585" s="197"/>
      <c r="CX1585" s="959"/>
      <c r="CY1585" s="959"/>
      <c r="CZ1585" s="959"/>
      <c r="DA1585" s="959"/>
      <c r="DB1585" s="959"/>
      <c r="DC1585" s="891">
        <v>5552</v>
      </c>
      <c r="DD1585" s="891" t="s">
        <v>711</v>
      </c>
      <c r="DE1585" s="891" t="s">
        <v>404</v>
      </c>
      <c r="DF1585" s="891">
        <v>6</v>
      </c>
      <c r="DG1585" s="959"/>
      <c r="DH1585" s="959"/>
      <c r="ER1585" s="905">
        <v>6112</v>
      </c>
      <c r="ES1585" s="906" t="s">
        <v>1815</v>
      </c>
      <c r="ET1585" s="2686">
        <v>9</v>
      </c>
      <c r="EV1585" s="985"/>
      <c r="EW1585" s="985"/>
      <c r="EX1585" s="387"/>
      <c r="EY1585" s="939"/>
      <c r="EZ1585" s="886"/>
    </row>
    <row r="1586" spans="88:156">
      <c r="CJ1586" s="197"/>
      <c r="CK1586" s="197"/>
      <c r="CL1586" s="197"/>
      <c r="CM1586" s="213"/>
      <c r="CN1586" s="213"/>
      <c r="CO1586" s="197"/>
      <c r="CP1586" s="197"/>
      <c r="CQ1586" s="197"/>
      <c r="CR1586" s="197"/>
      <c r="CS1586" s="197"/>
      <c r="CT1586" s="197"/>
      <c r="CU1586" s="197"/>
      <c r="CV1586" s="197"/>
      <c r="CW1586" s="197"/>
      <c r="CX1586" s="959"/>
      <c r="CY1586" s="959"/>
      <c r="CZ1586" s="959"/>
      <c r="DA1586" s="959"/>
      <c r="DB1586" s="959"/>
      <c r="DC1586" s="891">
        <v>5553</v>
      </c>
      <c r="DD1586" s="891" t="s">
        <v>712</v>
      </c>
      <c r="DE1586" s="891" t="s">
        <v>417</v>
      </c>
      <c r="DF1586" s="891">
        <v>6</v>
      </c>
      <c r="DG1586" s="959"/>
      <c r="DH1586" s="959"/>
      <c r="ER1586" s="905">
        <v>6113</v>
      </c>
      <c r="ES1586" s="906" t="s">
        <v>1816</v>
      </c>
      <c r="ET1586" s="2686">
        <v>9</v>
      </c>
      <c r="EV1586" s="985"/>
      <c r="EW1586" s="985"/>
      <c r="EX1586" s="387"/>
      <c r="EY1586" s="939"/>
      <c r="EZ1586" s="886"/>
    </row>
    <row r="1587" spans="88:156">
      <c r="CJ1587" s="197"/>
      <c r="CK1587" s="197"/>
      <c r="CL1587" s="197"/>
      <c r="CM1587" s="213"/>
      <c r="CN1587" s="213"/>
      <c r="CO1587" s="197"/>
      <c r="CP1587" s="197"/>
      <c r="CQ1587" s="197"/>
      <c r="CR1587" s="197"/>
      <c r="CS1587" s="197"/>
      <c r="CT1587" s="197"/>
      <c r="CU1587" s="197"/>
      <c r="CV1587" s="197"/>
      <c r="CW1587" s="197"/>
      <c r="CX1587" s="959"/>
      <c r="CY1587" s="959"/>
      <c r="CZ1587" s="959"/>
      <c r="DA1587" s="959"/>
      <c r="DB1587" s="959"/>
      <c r="DC1587" s="891">
        <v>5555</v>
      </c>
      <c r="DD1587" s="891" t="s">
        <v>713</v>
      </c>
      <c r="DE1587" s="891" t="s">
        <v>417</v>
      </c>
      <c r="DF1587" s="891">
        <v>6</v>
      </c>
      <c r="DG1587" s="959"/>
      <c r="DH1587" s="959"/>
      <c r="ER1587" s="905">
        <v>6114</v>
      </c>
      <c r="ES1587" s="906" t="s">
        <v>1817</v>
      </c>
      <c r="ET1587" s="2686">
        <v>9</v>
      </c>
      <c r="EV1587" s="985"/>
      <c r="EW1587" s="985"/>
      <c r="EX1587" s="387"/>
      <c r="EY1587" s="939"/>
      <c r="EZ1587" s="886"/>
    </row>
    <row r="1588" spans="88:156">
      <c r="CJ1588" s="197"/>
      <c r="CK1588" s="197"/>
      <c r="CL1588" s="197"/>
      <c r="CM1588" s="213"/>
      <c r="CN1588" s="213"/>
      <c r="CO1588" s="197"/>
      <c r="CP1588" s="197"/>
      <c r="CQ1588" s="197"/>
      <c r="CR1588" s="197"/>
      <c r="CS1588" s="197"/>
      <c r="CT1588" s="197"/>
      <c r="CU1588" s="197"/>
      <c r="CV1588" s="197"/>
      <c r="CW1588" s="197"/>
      <c r="CX1588" s="959"/>
      <c r="CY1588" s="959"/>
      <c r="CZ1588" s="959"/>
      <c r="DA1588" s="959"/>
      <c r="DB1588" s="959"/>
      <c r="DC1588" s="891">
        <v>5556</v>
      </c>
      <c r="DD1588" s="891" t="s">
        <v>714</v>
      </c>
      <c r="DE1588" s="891" t="s">
        <v>412</v>
      </c>
      <c r="DF1588" s="891">
        <v>6</v>
      </c>
      <c r="DG1588" s="959"/>
      <c r="DH1588" s="959"/>
      <c r="ER1588" s="905">
        <v>6114</v>
      </c>
      <c r="ES1588" s="906" t="s">
        <v>1333</v>
      </c>
      <c r="ET1588" s="2686">
        <v>9</v>
      </c>
      <c r="EV1588" s="985"/>
      <c r="EW1588" s="985"/>
      <c r="EX1588" s="387"/>
      <c r="EY1588" s="939"/>
      <c r="EZ1588" s="886"/>
    </row>
    <row r="1589" spans="88:156">
      <c r="CJ1589" s="197"/>
      <c r="CK1589" s="197"/>
      <c r="CL1589" s="197"/>
      <c r="CM1589" s="213"/>
      <c r="CN1589" s="213"/>
      <c r="CO1589" s="197"/>
      <c r="CP1589" s="197"/>
      <c r="CQ1589" s="197"/>
      <c r="CR1589" s="197"/>
      <c r="CS1589" s="197"/>
      <c r="CT1589" s="197"/>
      <c r="CU1589" s="197"/>
      <c r="CV1589" s="197"/>
      <c r="CW1589" s="197"/>
      <c r="CX1589" s="959"/>
      <c r="CY1589" s="959"/>
      <c r="CZ1589" s="959"/>
      <c r="DA1589" s="959"/>
      <c r="DB1589" s="959"/>
      <c r="DC1589" s="891">
        <v>5561</v>
      </c>
      <c r="DD1589" s="891" t="s">
        <v>715</v>
      </c>
      <c r="DE1589" s="891" t="s">
        <v>428</v>
      </c>
      <c r="DF1589" s="891">
        <v>6</v>
      </c>
      <c r="DG1589" s="959"/>
      <c r="DH1589" s="959"/>
      <c r="ER1589" s="905">
        <v>6115</v>
      </c>
      <c r="ES1589" s="906" t="s">
        <v>1818</v>
      </c>
      <c r="ET1589" s="2686">
        <v>9</v>
      </c>
      <c r="EV1589" s="985"/>
      <c r="EW1589" s="985"/>
      <c r="EX1589" s="387"/>
      <c r="EY1589" s="939"/>
      <c r="EZ1589" s="886"/>
    </row>
    <row r="1590" spans="88:156">
      <c r="CJ1590" s="197"/>
      <c r="CK1590" s="197"/>
      <c r="CL1590" s="197"/>
      <c r="CM1590" s="213"/>
      <c r="CN1590" s="213"/>
      <c r="CO1590" s="197"/>
      <c r="CP1590" s="197"/>
      <c r="CQ1590" s="197"/>
      <c r="CR1590" s="197"/>
      <c r="CS1590" s="197"/>
      <c r="CT1590" s="197"/>
      <c r="CU1590" s="197"/>
      <c r="CV1590" s="197"/>
      <c r="CW1590" s="197"/>
      <c r="CX1590" s="959"/>
      <c r="CY1590" s="959"/>
      <c r="CZ1590" s="959"/>
      <c r="DA1590" s="959"/>
      <c r="DB1590" s="959"/>
      <c r="DC1590" s="891">
        <v>5600</v>
      </c>
      <c r="DD1590" s="891" t="s">
        <v>716</v>
      </c>
      <c r="DE1590" s="891" t="s">
        <v>419</v>
      </c>
      <c r="DF1590" s="891">
        <v>6</v>
      </c>
      <c r="DG1590" s="959"/>
      <c r="DH1590" s="959"/>
      <c r="ER1590" s="905">
        <v>6116</v>
      </c>
      <c r="ES1590" s="906" t="s">
        <v>1334</v>
      </c>
      <c r="ET1590" s="2686">
        <v>9</v>
      </c>
      <c r="EV1590" s="985"/>
      <c r="EW1590" s="985"/>
      <c r="EX1590" s="387"/>
      <c r="EY1590" s="939"/>
      <c r="EZ1590" s="886"/>
    </row>
    <row r="1591" spans="88:156">
      <c r="CJ1591" s="197"/>
      <c r="CK1591" s="197"/>
      <c r="CL1591" s="197"/>
      <c r="CM1591" s="213"/>
      <c r="CN1591" s="213"/>
      <c r="CO1591" s="197"/>
      <c r="CP1591" s="197"/>
      <c r="CQ1591" s="197"/>
      <c r="CR1591" s="197"/>
      <c r="CS1591" s="197"/>
      <c r="CT1591" s="197"/>
      <c r="CU1591" s="197"/>
      <c r="CV1591" s="197"/>
      <c r="CW1591" s="197"/>
      <c r="CX1591" s="959"/>
      <c r="CY1591" s="959"/>
      <c r="CZ1591" s="959"/>
      <c r="DA1591" s="959"/>
      <c r="DB1591" s="959"/>
      <c r="DC1591" s="891">
        <v>5609</v>
      </c>
      <c r="DD1591" s="891" t="s">
        <v>717</v>
      </c>
      <c r="DE1591" s="891" t="s">
        <v>404</v>
      </c>
      <c r="DF1591" s="891">
        <v>6</v>
      </c>
      <c r="DG1591" s="959"/>
      <c r="DH1591" s="959"/>
      <c r="ER1591" s="905">
        <v>6120</v>
      </c>
      <c r="ES1591" s="906" t="s">
        <v>1820</v>
      </c>
      <c r="ET1591" s="2686">
        <v>9</v>
      </c>
      <c r="EV1591" s="985"/>
      <c r="EW1591" s="985"/>
      <c r="EX1591" s="387"/>
      <c r="EY1591" s="939"/>
      <c r="EZ1591" s="886"/>
    </row>
    <row r="1592" spans="88:156">
      <c r="CJ1592" s="197"/>
      <c r="CK1592" s="197"/>
      <c r="CL1592" s="197"/>
      <c r="CM1592" s="213"/>
      <c r="CN1592" s="213"/>
      <c r="CO1592" s="197"/>
      <c r="CP1592" s="197"/>
      <c r="CQ1592" s="197"/>
      <c r="CR1592" s="197"/>
      <c r="CS1592" s="197"/>
      <c r="CT1592" s="197"/>
      <c r="CU1592" s="197"/>
      <c r="CV1592" s="197"/>
      <c r="CW1592" s="197"/>
      <c r="CX1592" s="959"/>
      <c r="CY1592" s="959"/>
      <c r="CZ1592" s="959"/>
      <c r="DA1592" s="959"/>
      <c r="DB1592" s="959"/>
      <c r="DC1592" s="891">
        <v>5621</v>
      </c>
      <c r="DD1592" s="891" t="s">
        <v>718</v>
      </c>
      <c r="DE1592" s="891" t="s">
        <v>404</v>
      </c>
      <c r="DF1592" s="891">
        <v>6</v>
      </c>
      <c r="DG1592" s="959"/>
      <c r="DH1592" s="959"/>
      <c r="ER1592" s="905">
        <v>6131</v>
      </c>
      <c r="ES1592" s="906" t="s">
        <v>1821</v>
      </c>
      <c r="ET1592" s="2686">
        <v>9</v>
      </c>
      <c r="EV1592" s="985"/>
      <c r="EW1592" s="985"/>
      <c r="EX1592" s="387"/>
      <c r="EY1592" s="939"/>
      <c r="EZ1592" s="886"/>
    </row>
    <row r="1593" spans="88:156">
      <c r="CJ1593" s="197"/>
      <c r="CK1593" s="197"/>
      <c r="CL1593" s="197"/>
      <c r="CM1593" s="213"/>
      <c r="CN1593" s="213"/>
      <c r="CO1593" s="197"/>
      <c r="CP1593" s="197"/>
      <c r="CQ1593" s="197"/>
      <c r="CR1593" s="197"/>
      <c r="CS1593" s="197"/>
      <c r="CT1593" s="197"/>
      <c r="CU1593" s="197"/>
      <c r="CV1593" s="197"/>
      <c r="CW1593" s="197"/>
      <c r="CX1593" s="959"/>
      <c r="CY1593" s="959"/>
      <c r="CZ1593" s="959"/>
      <c r="DA1593" s="959"/>
      <c r="DB1593" s="959"/>
      <c r="DC1593" s="891">
        <v>5622</v>
      </c>
      <c r="DD1593" s="891" t="s">
        <v>719</v>
      </c>
      <c r="DE1593" s="891" t="s">
        <v>404</v>
      </c>
      <c r="DF1593" s="891">
        <v>6</v>
      </c>
      <c r="DG1593" s="959"/>
      <c r="DH1593" s="959"/>
      <c r="ER1593" s="905">
        <v>6132</v>
      </c>
      <c r="ES1593" s="906" t="s">
        <v>1335</v>
      </c>
      <c r="ET1593" s="2686">
        <v>9</v>
      </c>
      <c r="EV1593" s="985"/>
      <c r="EW1593" s="985"/>
      <c r="EX1593" s="387"/>
      <c r="EY1593" s="939"/>
      <c r="EZ1593" s="886"/>
    </row>
    <row r="1594" spans="88:156">
      <c r="CJ1594" s="197"/>
      <c r="CK1594" s="197"/>
      <c r="CL1594" s="197"/>
      <c r="CM1594" s="213"/>
      <c r="CN1594" s="213"/>
      <c r="CO1594" s="197"/>
      <c r="CP1594" s="197"/>
      <c r="CQ1594" s="197"/>
      <c r="CR1594" s="197"/>
      <c r="CS1594" s="197"/>
      <c r="CT1594" s="197"/>
      <c r="CU1594" s="197"/>
      <c r="CV1594" s="197"/>
      <c r="CW1594" s="197"/>
      <c r="CX1594" s="959"/>
      <c r="CY1594" s="959"/>
      <c r="CZ1594" s="959"/>
      <c r="DA1594" s="959"/>
      <c r="DB1594" s="959"/>
      <c r="DC1594" s="891">
        <v>5623</v>
      </c>
      <c r="DD1594" s="891" t="s">
        <v>720</v>
      </c>
      <c r="DE1594" s="891" t="s">
        <v>404</v>
      </c>
      <c r="DF1594" s="891">
        <v>5</v>
      </c>
      <c r="DG1594" s="959"/>
      <c r="DH1594" s="959"/>
      <c r="ER1594" s="905">
        <v>6133</v>
      </c>
      <c r="ES1594" s="906" t="s">
        <v>1336</v>
      </c>
      <c r="ET1594" s="2686">
        <v>9</v>
      </c>
      <c r="EV1594" s="985"/>
      <c r="EW1594" s="985"/>
      <c r="EX1594" s="387"/>
      <c r="EY1594" s="939"/>
      <c r="EZ1594" s="886"/>
    </row>
    <row r="1595" spans="88:156">
      <c r="CJ1595" s="197"/>
      <c r="CK1595" s="197"/>
      <c r="CL1595" s="197"/>
      <c r="CM1595" s="213"/>
      <c r="CN1595" s="213"/>
      <c r="CO1595" s="197"/>
      <c r="CP1595" s="197"/>
      <c r="CQ1595" s="197"/>
      <c r="CR1595" s="197"/>
      <c r="CS1595" s="197"/>
      <c r="CT1595" s="197"/>
      <c r="CU1595" s="197"/>
      <c r="CV1595" s="197"/>
      <c r="CW1595" s="197"/>
      <c r="CX1595" s="959"/>
      <c r="CY1595" s="959"/>
      <c r="CZ1595" s="959"/>
      <c r="DA1595" s="959"/>
      <c r="DB1595" s="959"/>
      <c r="DC1595" s="891">
        <v>5624</v>
      </c>
      <c r="DD1595" s="891" t="s">
        <v>721</v>
      </c>
      <c r="DE1595" s="891" t="s">
        <v>404</v>
      </c>
      <c r="DF1595" s="891">
        <v>6</v>
      </c>
      <c r="DG1595" s="959"/>
      <c r="DH1595" s="959"/>
      <c r="ER1595" s="905">
        <v>6134</v>
      </c>
      <c r="ES1595" s="906" t="s">
        <v>1824</v>
      </c>
      <c r="ET1595" s="2686">
        <v>9</v>
      </c>
      <c r="EV1595" s="985"/>
      <c r="EW1595" s="985"/>
      <c r="EX1595" s="387"/>
      <c r="EY1595" s="939"/>
      <c r="EZ1595" s="886"/>
    </row>
    <row r="1596" spans="88:156">
      <c r="CJ1596" s="197"/>
      <c r="CK1596" s="197"/>
      <c r="CL1596" s="197"/>
      <c r="CM1596" s="213"/>
      <c r="CN1596" s="213"/>
      <c r="CO1596" s="197"/>
      <c r="CP1596" s="197"/>
      <c r="CQ1596" s="197"/>
      <c r="CR1596" s="197"/>
      <c r="CS1596" s="197"/>
      <c r="CT1596" s="197"/>
      <c r="CU1596" s="197"/>
      <c r="CV1596" s="197"/>
      <c r="CW1596" s="197"/>
      <c r="CX1596" s="959"/>
      <c r="CY1596" s="959"/>
      <c r="CZ1596" s="959"/>
      <c r="DA1596" s="959"/>
      <c r="DB1596" s="959"/>
      <c r="DC1596" s="891">
        <v>5630</v>
      </c>
      <c r="DD1596" s="891" t="s">
        <v>433</v>
      </c>
      <c r="DE1596" s="891" t="s">
        <v>404</v>
      </c>
      <c r="DF1596" s="891">
        <v>6</v>
      </c>
      <c r="DG1596" s="959"/>
      <c r="DH1596" s="959"/>
      <c r="ER1596" s="905">
        <v>6135</v>
      </c>
      <c r="ES1596" s="906" t="s">
        <v>1825</v>
      </c>
      <c r="ET1596" s="2686">
        <v>9</v>
      </c>
      <c r="EV1596" s="985"/>
      <c r="EW1596" s="985"/>
      <c r="EX1596" s="387"/>
      <c r="EY1596" s="939"/>
      <c r="EZ1596" s="886"/>
    </row>
    <row r="1597" spans="88:156">
      <c r="CJ1597" s="197"/>
      <c r="CK1597" s="197"/>
      <c r="CL1597" s="197"/>
      <c r="CM1597" s="213"/>
      <c r="CN1597" s="213"/>
      <c r="CO1597" s="197"/>
      <c r="CP1597" s="197"/>
      <c r="CQ1597" s="197"/>
      <c r="CR1597" s="197"/>
      <c r="CS1597" s="197"/>
      <c r="CT1597" s="197"/>
      <c r="CU1597" s="197"/>
      <c r="CV1597" s="197"/>
      <c r="CW1597" s="197"/>
      <c r="CX1597" s="959"/>
      <c r="CY1597" s="959"/>
      <c r="CZ1597" s="959"/>
      <c r="DA1597" s="959"/>
      <c r="DB1597" s="959"/>
      <c r="DC1597" s="891">
        <v>5641</v>
      </c>
      <c r="DD1597" s="891" t="s">
        <v>722</v>
      </c>
      <c r="DE1597" s="891" t="s">
        <v>404</v>
      </c>
      <c r="DF1597" s="891">
        <v>6</v>
      </c>
      <c r="DG1597" s="959"/>
      <c r="DH1597" s="959"/>
      <c r="ER1597" s="905">
        <v>6136</v>
      </c>
      <c r="ES1597" s="906" t="s">
        <v>1826</v>
      </c>
      <c r="ET1597" s="2686">
        <v>9</v>
      </c>
      <c r="EV1597" s="985"/>
      <c r="EW1597" s="985"/>
      <c r="EX1597" s="387"/>
      <c r="EY1597" s="939"/>
      <c r="EZ1597" s="886"/>
    </row>
    <row r="1598" spans="88:156">
      <c r="CJ1598" s="197"/>
      <c r="CK1598" s="197"/>
      <c r="CL1598" s="197"/>
      <c r="CM1598" s="213"/>
      <c r="CN1598" s="213"/>
      <c r="CO1598" s="197"/>
      <c r="CP1598" s="197"/>
      <c r="CQ1598" s="197"/>
      <c r="CR1598" s="197"/>
      <c r="CS1598" s="197"/>
      <c r="CT1598" s="197"/>
      <c r="CU1598" s="197"/>
      <c r="CV1598" s="197"/>
      <c r="CW1598" s="197"/>
      <c r="CX1598" s="959"/>
      <c r="CY1598" s="959"/>
      <c r="CZ1598" s="959"/>
      <c r="DA1598" s="959"/>
      <c r="DB1598" s="959"/>
      <c r="DC1598" s="891">
        <v>5643</v>
      </c>
      <c r="DD1598" s="891" t="s">
        <v>723</v>
      </c>
      <c r="DE1598" s="891" t="s">
        <v>404</v>
      </c>
      <c r="DF1598" s="891">
        <v>6</v>
      </c>
      <c r="DG1598" s="959"/>
      <c r="DH1598" s="959"/>
      <c r="ER1598" s="905">
        <v>6200</v>
      </c>
      <c r="ES1598" s="906" t="s">
        <v>1828</v>
      </c>
      <c r="ET1598" s="2686">
        <v>9</v>
      </c>
      <c r="EV1598" s="985"/>
      <c r="EW1598" s="985"/>
      <c r="EX1598" s="387"/>
      <c r="EY1598" s="939"/>
      <c r="EZ1598" s="886"/>
    </row>
    <row r="1599" spans="88:156">
      <c r="CJ1599" s="197"/>
      <c r="CK1599" s="197"/>
      <c r="CL1599" s="197"/>
      <c r="CM1599" s="213"/>
      <c r="CN1599" s="213"/>
      <c r="CO1599" s="197"/>
      <c r="CP1599" s="197"/>
      <c r="CQ1599" s="197"/>
      <c r="CR1599" s="197"/>
      <c r="CS1599" s="197"/>
      <c r="CT1599" s="197"/>
      <c r="CU1599" s="197"/>
      <c r="CV1599" s="197"/>
      <c r="CW1599" s="197"/>
      <c r="CX1599" s="959"/>
      <c r="CY1599" s="959"/>
      <c r="CZ1599" s="959"/>
      <c r="DA1599" s="959"/>
      <c r="DB1599" s="959"/>
      <c r="DC1599" s="891">
        <v>5650</v>
      </c>
      <c r="DD1599" s="891" t="s">
        <v>724</v>
      </c>
      <c r="DE1599" s="891" t="s">
        <v>404</v>
      </c>
      <c r="DF1599" s="891">
        <v>6</v>
      </c>
      <c r="DG1599" s="959"/>
      <c r="DH1599" s="959"/>
      <c r="ER1599" s="905">
        <v>6211</v>
      </c>
      <c r="ES1599" s="906" t="s">
        <v>1830</v>
      </c>
      <c r="ET1599" s="2686">
        <v>9</v>
      </c>
      <c r="EV1599" s="985"/>
      <c r="EW1599" s="985"/>
      <c r="EX1599" s="387"/>
      <c r="EY1599" s="939"/>
      <c r="EZ1599" s="886"/>
    </row>
    <row r="1600" spans="88:156">
      <c r="CJ1600" s="197"/>
      <c r="CK1600" s="197"/>
      <c r="CL1600" s="197"/>
      <c r="CM1600" s="213"/>
      <c r="CN1600" s="213"/>
      <c r="CO1600" s="197"/>
      <c r="CP1600" s="197"/>
      <c r="CQ1600" s="197"/>
      <c r="CR1600" s="197"/>
      <c r="CS1600" s="197"/>
      <c r="CT1600" s="197"/>
      <c r="CU1600" s="197"/>
      <c r="CV1600" s="197"/>
      <c r="CW1600" s="197"/>
      <c r="CX1600" s="959"/>
      <c r="CY1600" s="959"/>
      <c r="CZ1600" s="959"/>
      <c r="DA1600" s="959"/>
      <c r="DB1600" s="959"/>
      <c r="DC1600" s="891">
        <v>5661</v>
      </c>
      <c r="DD1600" s="891" t="s">
        <v>725</v>
      </c>
      <c r="DE1600" s="891" t="s">
        <v>404</v>
      </c>
      <c r="DF1600" s="891">
        <v>6</v>
      </c>
      <c r="DG1600" s="959"/>
      <c r="DH1600" s="959"/>
      <c r="ER1600" s="905">
        <v>6221</v>
      </c>
      <c r="ES1600" s="906" t="s">
        <v>1831</v>
      </c>
      <c r="ET1600" s="2686">
        <v>9</v>
      </c>
      <c r="EV1600" s="985"/>
      <c r="EW1600" s="985"/>
      <c r="EX1600" s="387"/>
      <c r="EY1600" s="939"/>
      <c r="EZ1600" s="886"/>
    </row>
    <row r="1601" spans="88:156">
      <c r="CJ1601" s="197"/>
      <c r="CK1601" s="197"/>
      <c r="CL1601" s="197"/>
      <c r="CM1601" s="213"/>
      <c r="CN1601" s="213"/>
      <c r="CO1601" s="197"/>
      <c r="CP1601" s="197"/>
      <c r="CQ1601" s="197"/>
      <c r="CR1601" s="197"/>
      <c r="CS1601" s="197"/>
      <c r="CT1601" s="197"/>
      <c r="CU1601" s="197"/>
      <c r="CV1601" s="197"/>
      <c r="CW1601" s="197"/>
      <c r="CX1601" s="959"/>
      <c r="CY1601" s="959"/>
      <c r="CZ1601" s="959"/>
      <c r="DA1601" s="959"/>
      <c r="DB1601" s="959"/>
      <c r="DC1601" s="891">
        <v>5662</v>
      </c>
      <c r="DD1601" s="891" t="s">
        <v>726</v>
      </c>
      <c r="DE1601" s="891" t="s">
        <v>404</v>
      </c>
      <c r="DF1601" s="891">
        <v>6</v>
      </c>
      <c r="DG1601" s="959"/>
      <c r="DH1601" s="959"/>
      <c r="ER1601" s="905">
        <v>6222</v>
      </c>
      <c r="ES1601" s="906" t="s">
        <v>1832</v>
      </c>
      <c r="ET1601" s="2686">
        <v>9</v>
      </c>
      <c r="EV1601" s="985"/>
      <c r="EW1601" s="985"/>
      <c r="EX1601" s="387"/>
      <c r="EY1601" s="939"/>
      <c r="EZ1601" s="886"/>
    </row>
    <row r="1602" spans="88:156">
      <c r="CJ1602" s="197"/>
      <c r="CK1602" s="197"/>
      <c r="CL1602" s="197"/>
      <c r="CM1602" s="213"/>
      <c r="CN1602" s="213"/>
      <c r="CO1602" s="197"/>
      <c r="CP1602" s="197"/>
      <c r="CQ1602" s="197"/>
      <c r="CR1602" s="197"/>
      <c r="CS1602" s="197"/>
      <c r="CT1602" s="197"/>
      <c r="CU1602" s="197"/>
      <c r="CV1602" s="197"/>
      <c r="CW1602" s="197"/>
      <c r="CX1602" s="959"/>
      <c r="CY1602" s="959"/>
      <c r="CZ1602" s="959"/>
      <c r="DA1602" s="959"/>
      <c r="DB1602" s="959"/>
      <c r="DC1602" s="891">
        <v>5663</v>
      </c>
      <c r="DD1602" s="891" t="s">
        <v>727</v>
      </c>
      <c r="DE1602" s="891" t="s">
        <v>404</v>
      </c>
      <c r="DF1602" s="891">
        <v>6</v>
      </c>
      <c r="DG1602" s="959"/>
      <c r="DH1602" s="959"/>
      <c r="ER1602" s="905">
        <v>6223</v>
      </c>
      <c r="ES1602" s="906" t="s">
        <v>1833</v>
      </c>
      <c r="ET1602" s="2686">
        <v>9</v>
      </c>
      <c r="EV1602" s="985"/>
      <c r="EW1602" s="985"/>
      <c r="EX1602" s="387"/>
      <c r="EY1602" s="939"/>
      <c r="EZ1602" s="886"/>
    </row>
    <row r="1603" spans="88:156">
      <c r="CJ1603" s="197"/>
      <c r="CK1603" s="197"/>
      <c r="CL1603" s="197"/>
      <c r="CM1603" s="213"/>
      <c r="CN1603" s="213"/>
      <c r="CO1603" s="197"/>
      <c r="CP1603" s="197"/>
      <c r="CQ1603" s="197"/>
      <c r="CR1603" s="197"/>
      <c r="CS1603" s="197"/>
      <c r="CT1603" s="197"/>
      <c r="CU1603" s="197"/>
      <c r="CV1603" s="197"/>
      <c r="CW1603" s="197"/>
      <c r="CX1603" s="959"/>
      <c r="CY1603" s="959"/>
      <c r="CZ1603" s="959"/>
      <c r="DA1603" s="959"/>
      <c r="DB1603" s="959"/>
      <c r="DC1603" s="891">
        <v>5664</v>
      </c>
      <c r="DD1603" s="891" t="s">
        <v>728</v>
      </c>
      <c r="DE1603" s="891" t="s">
        <v>404</v>
      </c>
      <c r="DF1603" s="891">
        <v>6</v>
      </c>
      <c r="DG1603" s="959"/>
      <c r="DH1603" s="959"/>
      <c r="ER1603" s="905">
        <v>6224</v>
      </c>
      <c r="ES1603" s="906" t="s">
        <v>1969</v>
      </c>
      <c r="ET1603" s="2686">
        <v>9</v>
      </c>
      <c r="EV1603" s="985"/>
      <c r="EW1603" s="985"/>
      <c r="EX1603" s="387"/>
      <c r="EY1603" s="939"/>
      <c r="EZ1603" s="886"/>
    </row>
    <row r="1604" spans="88:156">
      <c r="CJ1604" s="197"/>
      <c r="CK1604" s="197"/>
      <c r="CL1604" s="197"/>
      <c r="CM1604" s="213"/>
      <c r="CN1604" s="213"/>
      <c r="CO1604" s="197"/>
      <c r="CP1604" s="197"/>
      <c r="CQ1604" s="197"/>
      <c r="CR1604" s="197"/>
      <c r="CS1604" s="197"/>
      <c r="CT1604" s="197"/>
      <c r="CU1604" s="197"/>
      <c r="CV1604" s="197"/>
      <c r="CW1604" s="197"/>
      <c r="CX1604" s="959"/>
      <c r="CY1604" s="959"/>
      <c r="CZ1604" s="959"/>
      <c r="DA1604" s="959"/>
      <c r="DB1604" s="959"/>
      <c r="DC1604" s="891">
        <v>5665</v>
      </c>
      <c r="DD1604" s="891" t="s">
        <v>729</v>
      </c>
      <c r="DE1604" s="891" t="s">
        <v>404</v>
      </c>
      <c r="DF1604" s="891">
        <v>6</v>
      </c>
      <c r="DG1604" s="959"/>
      <c r="DH1604" s="959"/>
      <c r="ER1604" s="905">
        <v>6230</v>
      </c>
      <c r="ES1604" s="906" t="s">
        <v>1970</v>
      </c>
      <c r="ET1604" s="2686">
        <v>9</v>
      </c>
      <c r="EV1604" s="985"/>
      <c r="EW1604" s="985"/>
      <c r="EX1604" s="387"/>
      <c r="EY1604" s="939"/>
      <c r="EZ1604" s="886"/>
    </row>
    <row r="1605" spans="88:156">
      <c r="CJ1605" s="197"/>
      <c r="CK1605" s="197"/>
      <c r="CL1605" s="197"/>
      <c r="CM1605" s="213"/>
      <c r="CN1605" s="213"/>
      <c r="CO1605" s="197"/>
      <c r="CP1605" s="197"/>
      <c r="CQ1605" s="197"/>
      <c r="CR1605" s="197"/>
      <c r="CS1605" s="197"/>
      <c r="CT1605" s="197"/>
      <c r="CU1605" s="197"/>
      <c r="CV1605" s="197"/>
      <c r="CW1605" s="197"/>
      <c r="CX1605" s="959"/>
      <c r="CY1605" s="959"/>
      <c r="CZ1605" s="959"/>
      <c r="DA1605" s="959"/>
      <c r="DB1605" s="959"/>
      <c r="DC1605" s="891">
        <v>5666</v>
      </c>
      <c r="DD1605" s="891" t="s">
        <v>730</v>
      </c>
      <c r="DE1605" s="891" t="s">
        <v>404</v>
      </c>
      <c r="DF1605" s="891">
        <v>6</v>
      </c>
      <c r="DG1605" s="959"/>
      <c r="DH1605" s="959"/>
      <c r="ER1605" s="905">
        <v>6235</v>
      </c>
      <c r="ES1605" s="906" t="s">
        <v>1971</v>
      </c>
      <c r="ET1605" s="2686">
        <v>9</v>
      </c>
      <c r="EV1605" s="985"/>
      <c r="EW1605" s="985"/>
      <c r="EX1605" s="387"/>
      <c r="EY1605" s="939"/>
      <c r="EZ1605" s="886"/>
    </row>
    <row r="1606" spans="88:156">
      <c r="CJ1606" s="197"/>
      <c r="CK1606" s="197"/>
      <c r="CL1606" s="197"/>
      <c r="CM1606" s="213"/>
      <c r="CN1606" s="213"/>
      <c r="CO1606" s="197"/>
      <c r="CP1606" s="197"/>
      <c r="CQ1606" s="197"/>
      <c r="CR1606" s="197"/>
      <c r="CS1606" s="197"/>
      <c r="CT1606" s="197"/>
      <c r="CU1606" s="197"/>
      <c r="CV1606" s="197"/>
      <c r="CW1606" s="197"/>
      <c r="CX1606" s="959"/>
      <c r="CY1606" s="959"/>
      <c r="CZ1606" s="959"/>
      <c r="DA1606" s="959"/>
      <c r="DB1606" s="959"/>
      <c r="DC1606" s="891">
        <v>5667</v>
      </c>
      <c r="DD1606" s="891" t="s">
        <v>731</v>
      </c>
      <c r="DE1606" s="891" t="s">
        <v>418</v>
      </c>
      <c r="DF1606" s="891">
        <v>6</v>
      </c>
      <c r="DG1606" s="959"/>
      <c r="DH1606" s="959"/>
      <c r="ER1606" s="905">
        <v>6236</v>
      </c>
      <c r="ES1606" s="906" t="s">
        <v>1972</v>
      </c>
      <c r="ET1606" s="2686">
        <v>9</v>
      </c>
      <c r="EV1606" s="985"/>
      <c r="EW1606" s="985"/>
      <c r="EX1606" s="387"/>
      <c r="EY1606" s="939"/>
      <c r="EZ1606" s="886"/>
    </row>
    <row r="1607" spans="88:156">
      <c r="CJ1607" s="197"/>
      <c r="CK1607" s="197"/>
      <c r="CL1607" s="197"/>
      <c r="CM1607" s="213"/>
      <c r="CN1607" s="213"/>
      <c r="CO1607" s="197"/>
      <c r="CP1607" s="197"/>
      <c r="CQ1607" s="197"/>
      <c r="CR1607" s="197"/>
      <c r="CS1607" s="197"/>
      <c r="CT1607" s="197"/>
      <c r="CU1607" s="197"/>
      <c r="CV1607" s="197"/>
      <c r="CW1607" s="197"/>
      <c r="CX1607" s="959"/>
      <c r="CY1607" s="959"/>
      <c r="CZ1607" s="959"/>
      <c r="DA1607" s="959"/>
      <c r="DB1607" s="959"/>
      <c r="DC1607" s="891">
        <v>5668</v>
      </c>
      <c r="DD1607" s="891" t="s">
        <v>732</v>
      </c>
      <c r="DE1607" s="891" t="s">
        <v>404</v>
      </c>
      <c r="DF1607" s="891">
        <v>6</v>
      </c>
      <c r="DG1607" s="959"/>
      <c r="DH1607" s="959"/>
      <c r="ER1607" s="905">
        <v>6237</v>
      </c>
      <c r="ES1607" s="906" t="s">
        <v>1973</v>
      </c>
      <c r="ET1607" s="2686">
        <v>9</v>
      </c>
      <c r="EV1607" s="985"/>
      <c r="EW1607" s="985"/>
      <c r="EX1607" s="387"/>
      <c r="EY1607" s="939"/>
      <c r="EZ1607" s="886"/>
    </row>
    <row r="1608" spans="88:156">
      <c r="CJ1608" s="197"/>
      <c r="CK1608" s="197"/>
      <c r="CL1608" s="197"/>
      <c r="CM1608" s="213"/>
      <c r="CN1608" s="213"/>
      <c r="CO1608" s="197"/>
      <c r="CP1608" s="197"/>
      <c r="CQ1608" s="197"/>
      <c r="CR1608" s="197"/>
      <c r="CS1608" s="197"/>
      <c r="CT1608" s="197"/>
      <c r="CU1608" s="197"/>
      <c r="CV1608" s="197"/>
      <c r="CW1608" s="197"/>
      <c r="CX1608" s="959"/>
      <c r="CY1608" s="959"/>
      <c r="CZ1608" s="959"/>
      <c r="DA1608" s="959"/>
      <c r="DB1608" s="959"/>
      <c r="DC1608" s="891">
        <v>5671</v>
      </c>
      <c r="DD1608" s="891" t="s">
        <v>733</v>
      </c>
      <c r="DE1608" s="891" t="s">
        <v>404</v>
      </c>
      <c r="DF1608" s="891">
        <v>6</v>
      </c>
      <c r="DG1608" s="959"/>
      <c r="DH1608" s="959"/>
      <c r="ER1608" s="905">
        <v>6238</v>
      </c>
      <c r="ES1608" s="906" t="s">
        <v>1974</v>
      </c>
      <c r="ET1608" s="2686">
        <v>9</v>
      </c>
      <c r="EV1608" s="985"/>
      <c r="EW1608" s="985"/>
      <c r="EX1608" s="387"/>
      <c r="EY1608" s="939"/>
      <c r="EZ1608" s="886"/>
    </row>
    <row r="1609" spans="88:156">
      <c r="CJ1609" s="197"/>
      <c r="CK1609" s="197"/>
      <c r="CL1609" s="197"/>
      <c r="CM1609" s="213"/>
      <c r="CN1609" s="213"/>
      <c r="CO1609" s="197"/>
      <c r="CP1609" s="197"/>
      <c r="CQ1609" s="197"/>
      <c r="CR1609" s="197"/>
      <c r="CS1609" s="197"/>
      <c r="CT1609" s="197"/>
      <c r="CU1609" s="197"/>
      <c r="CV1609" s="197"/>
      <c r="CW1609" s="197"/>
      <c r="CX1609" s="959"/>
      <c r="CY1609" s="959"/>
      <c r="CZ1609" s="959"/>
      <c r="DA1609" s="959"/>
      <c r="DB1609" s="959"/>
      <c r="DC1609" s="891">
        <v>5672</v>
      </c>
      <c r="DD1609" s="891" t="s">
        <v>734</v>
      </c>
      <c r="DE1609" s="891" t="s">
        <v>404</v>
      </c>
      <c r="DF1609" s="891">
        <v>5</v>
      </c>
      <c r="DG1609" s="959"/>
      <c r="DH1609" s="959"/>
      <c r="ER1609" s="905">
        <v>6239</v>
      </c>
      <c r="ES1609" s="906" t="s">
        <v>1975</v>
      </c>
      <c r="ET1609" s="2686">
        <v>6</v>
      </c>
      <c r="EV1609" s="985"/>
      <c r="EW1609" s="985"/>
      <c r="EX1609" s="387"/>
      <c r="EY1609" s="939"/>
      <c r="EZ1609" s="886"/>
    </row>
    <row r="1610" spans="88:156">
      <c r="CJ1610" s="197"/>
      <c r="CK1610" s="197"/>
      <c r="CL1610" s="197"/>
      <c r="CM1610" s="213"/>
      <c r="CN1610" s="213"/>
      <c r="CO1610" s="197"/>
      <c r="CP1610" s="197"/>
      <c r="CQ1610" s="197"/>
      <c r="CR1610" s="197"/>
      <c r="CS1610" s="197"/>
      <c r="CT1610" s="197"/>
      <c r="CU1610" s="197"/>
      <c r="CV1610" s="197"/>
      <c r="CW1610" s="197"/>
      <c r="CX1610" s="959"/>
      <c r="CY1610" s="959"/>
      <c r="CZ1610" s="959"/>
      <c r="DA1610" s="959"/>
      <c r="DB1610" s="959"/>
      <c r="DC1610" s="891">
        <v>5673</v>
      </c>
      <c r="DD1610" s="891" t="s">
        <v>735</v>
      </c>
      <c r="DE1610" s="891" t="s">
        <v>427</v>
      </c>
      <c r="DF1610" s="891">
        <v>6</v>
      </c>
      <c r="DG1610" s="959"/>
      <c r="DH1610" s="959"/>
      <c r="ER1610" s="905">
        <v>6300</v>
      </c>
      <c r="ES1610" s="906" t="s">
        <v>1976</v>
      </c>
      <c r="ET1610" s="2686">
        <v>9</v>
      </c>
      <c r="EV1610" s="985"/>
      <c r="EW1610" s="985"/>
      <c r="EX1610" s="387"/>
      <c r="EY1610" s="939"/>
      <c r="EZ1610" s="886"/>
    </row>
    <row r="1611" spans="88:156">
      <c r="CJ1611" s="197"/>
      <c r="CK1611" s="197"/>
      <c r="CL1611" s="197"/>
      <c r="CM1611" s="213"/>
      <c r="CN1611" s="213"/>
      <c r="CO1611" s="197"/>
      <c r="CP1611" s="197"/>
      <c r="CQ1611" s="197"/>
      <c r="CR1611" s="197"/>
      <c r="CS1611" s="197"/>
      <c r="CT1611" s="197"/>
      <c r="CU1611" s="197"/>
      <c r="CV1611" s="197"/>
      <c r="CW1611" s="197"/>
      <c r="CX1611" s="959"/>
      <c r="CY1611" s="959"/>
      <c r="CZ1611" s="959"/>
      <c r="DA1611" s="959"/>
      <c r="DB1611" s="959"/>
      <c r="DC1611" s="891">
        <v>5674</v>
      </c>
      <c r="DD1611" s="891" t="s">
        <v>736</v>
      </c>
      <c r="DE1611" s="891" t="s">
        <v>404</v>
      </c>
      <c r="DF1611" s="891">
        <v>6</v>
      </c>
      <c r="DG1611" s="959"/>
      <c r="DH1611" s="959"/>
      <c r="ER1611" s="905">
        <v>6311</v>
      </c>
      <c r="ES1611" s="906" t="s">
        <v>1977</v>
      </c>
      <c r="ET1611" s="2686">
        <v>9</v>
      </c>
      <c r="EV1611" s="985"/>
      <c r="EW1611" s="985"/>
      <c r="EX1611" s="387"/>
      <c r="EY1611" s="939"/>
      <c r="EZ1611" s="886"/>
    </row>
    <row r="1612" spans="88:156">
      <c r="CJ1612" s="197"/>
      <c r="CK1612" s="197"/>
      <c r="CL1612" s="197"/>
      <c r="CM1612" s="213"/>
      <c r="CN1612" s="213"/>
      <c r="CO1612" s="197"/>
      <c r="CP1612" s="197"/>
      <c r="CQ1612" s="197"/>
      <c r="CR1612" s="197"/>
      <c r="CS1612" s="197"/>
      <c r="CT1612" s="197"/>
      <c r="CU1612" s="197"/>
      <c r="CV1612" s="197"/>
      <c r="CW1612" s="197"/>
      <c r="CX1612" s="959"/>
      <c r="CY1612" s="959"/>
      <c r="CZ1612" s="959"/>
      <c r="DA1612" s="959"/>
      <c r="DB1612" s="959"/>
      <c r="DC1612" s="891">
        <v>5675</v>
      </c>
      <c r="DD1612" s="891" t="s">
        <v>737</v>
      </c>
      <c r="DE1612" s="891" t="s">
        <v>428</v>
      </c>
      <c r="DF1612" s="891">
        <v>6</v>
      </c>
      <c r="DG1612" s="959"/>
      <c r="DH1612" s="959"/>
      <c r="ER1612" s="905">
        <v>6320</v>
      </c>
      <c r="ES1612" s="906" t="s">
        <v>1978</v>
      </c>
      <c r="ET1612" s="2686">
        <v>9</v>
      </c>
      <c r="EV1612" s="985"/>
      <c r="EW1612" s="985"/>
      <c r="EX1612" s="387"/>
      <c r="EY1612" s="939"/>
      <c r="EZ1612" s="886"/>
    </row>
    <row r="1613" spans="88:156">
      <c r="CJ1613" s="197"/>
      <c r="CK1613" s="197"/>
      <c r="CL1613" s="197"/>
      <c r="CM1613" s="213"/>
      <c r="CN1613" s="213"/>
      <c r="CO1613" s="197"/>
      <c r="CP1613" s="197"/>
      <c r="CQ1613" s="197"/>
      <c r="CR1613" s="197"/>
      <c r="CS1613" s="197"/>
      <c r="CT1613" s="197"/>
      <c r="CU1613" s="197"/>
      <c r="CV1613" s="197"/>
      <c r="CW1613" s="197"/>
      <c r="CX1613" s="959"/>
      <c r="CY1613" s="959"/>
      <c r="CZ1613" s="959"/>
      <c r="DA1613" s="959"/>
      <c r="DB1613" s="959"/>
      <c r="DC1613" s="891">
        <v>5700</v>
      </c>
      <c r="DD1613" s="891" t="s">
        <v>738</v>
      </c>
      <c r="DE1613" s="891" t="s">
        <v>402</v>
      </c>
      <c r="DF1613" s="891">
        <v>5</v>
      </c>
      <c r="DG1613" s="959"/>
      <c r="DH1613" s="959"/>
      <c r="ER1613" s="905">
        <v>6321</v>
      </c>
      <c r="ES1613" s="906" t="s">
        <v>1979</v>
      </c>
      <c r="ET1613" s="2686">
        <v>9</v>
      </c>
      <c r="EV1613" s="985"/>
      <c r="EW1613" s="985"/>
      <c r="EX1613" s="387"/>
      <c r="EY1613" s="939"/>
      <c r="EZ1613" s="886"/>
    </row>
    <row r="1614" spans="88:156">
      <c r="CJ1614" s="197"/>
      <c r="CK1614" s="197"/>
      <c r="CL1614" s="197"/>
      <c r="CM1614" s="213"/>
      <c r="CN1614" s="213"/>
      <c r="CO1614" s="197"/>
      <c r="CP1614" s="197"/>
      <c r="CQ1614" s="197"/>
      <c r="CR1614" s="197"/>
      <c r="CS1614" s="197"/>
      <c r="CT1614" s="197"/>
      <c r="CU1614" s="197"/>
      <c r="CV1614" s="197"/>
      <c r="CW1614" s="197"/>
      <c r="CX1614" s="959"/>
      <c r="CY1614" s="959"/>
      <c r="CZ1614" s="959"/>
      <c r="DA1614" s="959"/>
      <c r="DB1614" s="959"/>
      <c r="DC1614" s="891">
        <v>5703</v>
      </c>
      <c r="DD1614" s="891" t="s">
        <v>739</v>
      </c>
      <c r="DE1614" s="891" t="s">
        <v>417</v>
      </c>
      <c r="DF1614" s="891">
        <v>6</v>
      </c>
      <c r="DG1614" s="959"/>
      <c r="DH1614" s="959"/>
      <c r="ER1614" s="905">
        <v>6323</v>
      </c>
      <c r="ES1614" s="906" t="s">
        <v>1980</v>
      </c>
      <c r="ET1614" s="2686">
        <v>9</v>
      </c>
      <c r="EV1614" s="985"/>
      <c r="EW1614" s="985"/>
      <c r="EX1614" s="387"/>
      <c r="EY1614" s="939"/>
      <c r="EZ1614" s="886"/>
    </row>
    <row r="1615" spans="88:156">
      <c r="CJ1615" s="197"/>
      <c r="CK1615" s="197"/>
      <c r="CL1615" s="197"/>
      <c r="CM1615" s="213"/>
      <c r="CN1615" s="213"/>
      <c r="CO1615" s="197"/>
      <c r="CP1615" s="197"/>
      <c r="CQ1615" s="197"/>
      <c r="CR1615" s="197"/>
      <c r="CS1615" s="197"/>
      <c r="CT1615" s="197"/>
      <c r="CU1615" s="197"/>
      <c r="CV1615" s="197"/>
      <c r="CW1615" s="197"/>
      <c r="CX1615" s="959"/>
      <c r="CY1615" s="959"/>
      <c r="CZ1615" s="959"/>
      <c r="DA1615" s="959"/>
      <c r="DB1615" s="959"/>
      <c r="DC1615" s="891">
        <v>5711</v>
      </c>
      <c r="DD1615" s="891" t="s">
        <v>740</v>
      </c>
      <c r="DE1615" s="891" t="s">
        <v>2808</v>
      </c>
      <c r="DF1615" s="891">
        <v>5</v>
      </c>
      <c r="DG1615" s="959"/>
      <c r="DH1615" s="959"/>
      <c r="ER1615" s="905">
        <v>6325</v>
      </c>
      <c r="ES1615" s="906" t="s">
        <v>1981</v>
      </c>
      <c r="ET1615" s="2686">
        <v>9</v>
      </c>
      <c r="EV1615" s="985"/>
      <c r="EW1615" s="985"/>
      <c r="EX1615" s="387"/>
      <c r="EY1615" s="939"/>
      <c r="EZ1615" s="886"/>
    </row>
    <row r="1616" spans="88:156">
      <c r="CJ1616" s="197"/>
      <c r="CK1616" s="197"/>
      <c r="CL1616" s="197"/>
      <c r="CM1616" s="213"/>
      <c r="CN1616" s="213"/>
      <c r="CO1616" s="197"/>
      <c r="CP1616" s="197"/>
      <c r="CQ1616" s="197"/>
      <c r="CR1616" s="197"/>
      <c r="CS1616" s="197"/>
      <c r="CT1616" s="197"/>
      <c r="CU1616" s="197"/>
      <c r="CV1616" s="197"/>
      <c r="CW1616" s="197"/>
      <c r="CX1616" s="959"/>
      <c r="CY1616" s="959"/>
      <c r="CZ1616" s="959"/>
      <c r="DA1616" s="959"/>
      <c r="DB1616" s="959"/>
      <c r="DC1616" s="891">
        <v>5712</v>
      </c>
      <c r="DD1616" s="891" t="s">
        <v>741</v>
      </c>
      <c r="DE1616" s="891" t="s">
        <v>412</v>
      </c>
      <c r="DF1616" s="891">
        <v>5</v>
      </c>
      <c r="DG1616" s="959"/>
      <c r="DH1616" s="959"/>
      <c r="ER1616" s="905">
        <v>6326</v>
      </c>
      <c r="ES1616" s="906" t="s">
        <v>1337</v>
      </c>
      <c r="ET1616" s="2686">
        <v>9</v>
      </c>
      <c r="EV1616" s="985"/>
      <c r="EW1616" s="985"/>
      <c r="EX1616" s="387"/>
      <c r="EY1616" s="939"/>
      <c r="EZ1616" s="886"/>
    </row>
    <row r="1617" spans="88:156">
      <c r="CJ1617" s="197"/>
      <c r="CK1617" s="197"/>
      <c r="CL1617" s="197"/>
      <c r="CM1617" s="213"/>
      <c r="CN1617" s="213"/>
      <c r="CO1617" s="197"/>
      <c r="CP1617" s="197"/>
      <c r="CQ1617" s="197"/>
      <c r="CR1617" s="197"/>
      <c r="CS1617" s="197"/>
      <c r="CT1617" s="197"/>
      <c r="CU1617" s="197"/>
      <c r="CV1617" s="197"/>
      <c r="CW1617" s="197"/>
      <c r="CX1617" s="959"/>
      <c r="CY1617" s="959"/>
      <c r="CZ1617" s="959"/>
      <c r="DA1617" s="959"/>
      <c r="DB1617" s="959"/>
      <c r="DC1617" s="891">
        <v>5720</v>
      </c>
      <c r="DD1617" s="891" t="s">
        <v>742</v>
      </c>
      <c r="DE1617" s="891" t="s">
        <v>423</v>
      </c>
      <c r="DF1617" s="891">
        <v>6</v>
      </c>
      <c r="DG1617" s="959"/>
      <c r="DH1617" s="959"/>
      <c r="ER1617" s="905">
        <v>6327</v>
      </c>
      <c r="ES1617" s="906" t="s">
        <v>1338</v>
      </c>
      <c r="ET1617" s="2686">
        <v>9</v>
      </c>
      <c r="EV1617" s="985"/>
      <c r="EW1617" s="985"/>
      <c r="EX1617" s="387"/>
      <c r="EY1617" s="939"/>
      <c r="EZ1617" s="886"/>
    </row>
    <row r="1618" spans="88:156">
      <c r="CJ1618" s="197"/>
      <c r="CK1618" s="197"/>
      <c r="CL1618" s="197"/>
      <c r="CM1618" s="213"/>
      <c r="CN1618" s="213"/>
      <c r="CO1618" s="197"/>
      <c r="CP1618" s="197"/>
      <c r="CQ1618" s="197"/>
      <c r="CR1618" s="197"/>
      <c r="CS1618" s="197"/>
      <c r="CT1618" s="197"/>
      <c r="CU1618" s="197"/>
      <c r="CV1618" s="197"/>
      <c r="CW1618" s="197"/>
      <c r="CX1618" s="959"/>
      <c r="CY1618" s="959"/>
      <c r="CZ1618" s="959"/>
      <c r="DA1618" s="959"/>
      <c r="DB1618" s="959"/>
      <c r="DC1618" s="891">
        <v>5722</v>
      </c>
      <c r="DD1618" s="891" t="s">
        <v>742</v>
      </c>
      <c r="DE1618" s="891" t="s">
        <v>434</v>
      </c>
      <c r="DF1618" s="891">
        <v>6</v>
      </c>
      <c r="DG1618" s="959"/>
      <c r="DH1618" s="959"/>
      <c r="ER1618" s="905">
        <v>6328</v>
      </c>
      <c r="ES1618" s="906" t="s">
        <v>1984</v>
      </c>
      <c r="ET1618" s="2686">
        <v>9</v>
      </c>
      <c r="EV1618" s="985"/>
      <c r="EW1618" s="985"/>
      <c r="EX1618" s="387"/>
      <c r="EY1618" s="939"/>
      <c r="EZ1618" s="886"/>
    </row>
    <row r="1619" spans="88:156">
      <c r="CJ1619" s="197"/>
      <c r="CK1619" s="197"/>
      <c r="CL1619" s="197"/>
      <c r="CM1619" s="213"/>
      <c r="CN1619" s="213"/>
      <c r="CO1619" s="197"/>
      <c r="CP1619" s="197"/>
      <c r="CQ1619" s="197"/>
      <c r="CR1619" s="197"/>
      <c r="CS1619" s="197"/>
      <c r="CT1619" s="197"/>
      <c r="CU1619" s="197"/>
      <c r="CV1619" s="197"/>
      <c r="CW1619" s="197"/>
      <c r="CX1619" s="959"/>
      <c r="CY1619" s="959"/>
      <c r="CZ1619" s="959"/>
      <c r="DA1619" s="959"/>
      <c r="DB1619" s="959"/>
      <c r="DC1619" s="891">
        <v>5725</v>
      </c>
      <c r="DD1619" s="891" t="s">
        <v>743</v>
      </c>
      <c r="DE1619" s="891" t="s">
        <v>432</v>
      </c>
      <c r="DF1619" s="891">
        <v>6</v>
      </c>
      <c r="DG1619" s="959"/>
      <c r="DH1619" s="959"/>
      <c r="ER1619" s="905">
        <v>6331</v>
      </c>
      <c r="ES1619" s="906" t="s">
        <v>1986</v>
      </c>
      <c r="ET1619" s="2686">
        <v>9</v>
      </c>
      <c r="EV1619" s="985"/>
      <c r="EW1619" s="985"/>
      <c r="EX1619" s="387"/>
      <c r="EY1619" s="939"/>
      <c r="EZ1619" s="886"/>
    </row>
    <row r="1620" spans="88:156">
      <c r="CJ1620" s="197"/>
      <c r="CK1620" s="197"/>
      <c r="CL1620" s="197"/>
      <c r="CM1620" s="213"/>
      <c r="CN1620" s="213"/>
      <c r="CO1620" s="197"/>
      <c r="CP1620" s="197"/>
      <c r="CQ1620" s="197"/>
      <c r="CR1620" s="197"/>
      <c r="CS1620" s="197"/>
      <c r="CT1620" s="197"/>
      <c r="CU1620" s="197"/>
      <c r="CV1620" s="197"/>
      <c r="CW1620" s="197"/>
      <c r="CX1620" s="959"/>
      <c r="CY1620" s="959"/>
      <c r="CZ1620" s="959"/>
      <c r="DA1620" s="959"/>
      <c r="DB1620" s="959"/>
      <c r="DC1620" s="891">
        <v>5726</v>
      </c>
      <c r="DD1620" s="891" t="s">
        <v>744</v>
      </c>
      <c r="DE1620" s="891" t="s">
        <v>412</v>
      </c>
      <c r="DF1620" s="891">
        <v>6</v>
      </c>
      <c r="DG1620" s="959"/>
      <c r="DH1620" s="959"/>
      <c r="ER1620" s="905">
        <v>6332</v>
      </c>
      <c r="ES1620" s="906" t="s">
        <v>1987</v>
      </c>
      <c r="ET1620" s="2686">
        <v>9</v>
      </c>
      <c r="EV1620" s="985"/>
      <c r="EW1620" s="985"/>
      <c r="EX1620" s="387"/>
      <c r="EY1620" s="939"/>
      <c r="EZ1620" s="886"/>
    </row>
    <row r="1621" spans="88:156">
      <c r="CJ1621" s="197"/>
      <c r="CK1621" s="197"/>
      <c r="CL1621" s="197"/>
      <c r="CM1621" s="213"/>
      <c r="CN1621" s="213"/>
      <c r="CO1621" s="197"/>
      <c r="CP1621" s="197"/>
      <c r="CQ1621" s="197"/>
      <c r="CR1621" s="197"/>
      <c r="CS1621" s="197"/>
      <c r="CT1621" s="197"/>
      <c r="CU1621" s="197"/>
      <c r="CV1621" s="197"/>
      <c r="CW1621" s="197"/>
      <c r="CX1621" s="959"/>
      <c r="CY1621" s="959"/>
      <c r="CZ1621" s="959"/>
      <c r="DA1621" s="959"/>
      <c r="DB1621" s="959"/>
      <c r="DC1621" s="891">
        <v>5727</v>
      </c>
      <c r="DD1621" s="891" t="s">
        <v>745</v>
      </c>
      <c r="DE1621" s="891" t="s">
        <v>406</v>
      </c>
      <c r="DF1621" s="891">
        <v>6</v>
      </c>
      <c r="DG1621" s="959"/>
      <c r="DH1621" s="959"/>
      <c r="ER1621" s="905">
        <v>6333</v>
      </c>
      <c r="ES1621" s="906" t="s">
        <v>1988</v>
      </c>
      <c r="ET1621" s="2686">
        <v>9</v>
      </c>
      <c r="EV1621" s="985"/>
      <c r="EW1621" s="985"/>
      <c r="EX1621" s="387"/>
      <c r="EY1621" s="939"/>
      <c r="EZ1621" s="886"/>
    </row>
    <row r="1622" spans="88:156">
      <c r="CJ1622" s="197"/>
      <c r="CK1622" s="197"/>
      <c r="CL1622" s="197"/>
      <c r="CM1622" s="213"/>
      <c r="CN1622" s="213"/>
      <c r="CO1622" s="197"/>
      <c r="CP1622" s="197"/>
      <c r="CQ1622" s="197"/>
      <c r="CR1622" s="197"/>
      <c r="CS1622" s="197"/>
      <c r="CT1622" s="197"/>
      <c r="CU1622" s="197"/>
      <c r="CV1622" s="197"/>
      <c r="CW1622" s="197"/>
      <c r="CX1622" s="959"/>
      <c r="CY1622" s="959"/>
      <c r="CZ1622" s="959"/>
      <c r="DA1622" s="959"/>
      <c r="DB1622" s="959"/>
      <c r="DC1622" s="891">
        <v>5731</v>
      </c>
      <c r="DD1622" s="891" t="s">
        <v>746</v>
      </c>
      <c r="DE1622" s="891" t="s">
        <v>423</v>
      </c>
      <c r="DF1622" s="891">
        <v>6</v>
      </c>
      <c r="DG1622" s="959"/>
      <c r="DH1622" s="959"/>
      <c r="ER1622" s="905">
        <v>6334</v>
      </c>
      <c r="ES1622" s="906" t="s">
        <v>1989</v>
      </c>
      <c r="ET1622" s="2686">
        <v>9</v>
      </c>
      <c r="EV1622" s="985"/>
      <c r="EW1622" s="985"/>
      <c r="EX1622" s="387"/>
      <c r="EY1622" s="939"/>
      <c r="EZ1622" s="886"/>
    </row>
    <row r="1623" spans="88:156">
      <c r="CJ1623" s="197"/>
      <c r="CK1623" s="197"/>
      <c r="CL1623" s="197"/>
      <c r="CM1623" s="213"/>
      <c r="CN1623" s="213"/>
      <c r="CO1623" s="197"/>
      <c r="CP1623" s="197"/>
      <c r="CQ1623" s="197"/>
      <c r="CR1623" s="197"/>
      <c r="CS1623" s="197"/>
      <c r="CT1623" s="197"/>
      <c r="CU1623" s="197"/>
      <c r="CV1623" s="197"/>
      <c r="CW1623" s="197"/>
      <c r="CX1623" s="959"/>
      <c r="CY1623" s="959"/>
      <c r="CZ1623" s="959"/>
      <c r="DA1623" s="959"/>
      <c r="DB1623" s="959"/>
      <c r="DC1623" s="891">
        <v>5732</v>
      </c>
      <c r="DD1623" s="891" t="s">
        <v>747</v>
      </c>
      <c r="DE1623" s="891" t="s">
        <v>417</v>
      </c>
      <c r="DF1623" s="891">
        <v>6</v>
      </c>
      <c r="DG1623" s="959"/>
      <c r="DH1623" s="959"/>
      <c r="ER1623" s="905">
        <v>6335</v>
      </c>
      <c r="ES1623" s="906" t="s">
        <v>1990</v>
      </c>
      <c r="ET1623" s="2686">
        <v>9</v>
      </c>
      <c r="EV1623" s="985"/>
      <c r="EW1623" s="985"/>
      <c r="EX1623" s="387"/>
      <c r="EY1623" s="939"/>
      <c r="EZ1623" s="886"/>
    </row>
    <row r="1624" spans="88:156">
      <c r="CJ1624" s="197"/>
      <c r="CK1624" s="197"/>
      <c r="CL1624" s="197"/>
      <c r="CM1624" s="213"/>
      <c r="CN1624" s="213"/>
      <c r="CO1624" s="197"/>
      <c r="CP1624" s="197"/>
      <c r="CQ1624" s="197"/>
      <c r="CR1624" s="197"/>
      <c r="CS1624" s="197"/>
      <c r="CT1624" s="197"/>
      <c r="CU1624" s="197"/>
      <c r="CV1624" s="197"/>
      <c r="CW1624" s="197"/>
      <c r="CX1624" s="959"/>
      <c r="CY1624" s="959"/>
      <c r="CZ1624" s="959"/>
      <c r="DA1624" s="959"/>
      <c r="DB1624" s="959"/>
      <c r="DC1624" s="891">
        <v>5734</v>
      </c>
      <c r="DD1624" s="891" t="s">
        <v>748</v>
      </c>
      <c r="DE1624" s="891" t="s">
        <v>402</v>
      </c>
      <c r="DF1624" s="891">
        <v>6</v>
      </c>
      <c r="DG1624" s="959"/>
      <c r="DH1624" s="959"/>
      <c r="ER1624" s="905">
        <v>6336</v>
      </c>
      <c r="ES1624" s="906" t="s">
        <v>1991</v>
      </c>
      <c r="ET1624" s="2686">
        <v>9</v>
      </c>
      <c r="EV1624" s="985"/>
      <c r="EW1624" s="985"/>
      <c r="EX1624" s="387"/>
      <c r="EY1624" s="939"/>
      <c r="EZ1624" s="886"/>
    </row>
    <row r="1625" spans="88:156">
      <c r="CJ1625" s="197"/>
      <c r="CK1625" s="197"/>
      <c r="CL1625" s="197"/>
      <c r="CM1625" s="213"/>
      <c r="CN1625" s="213"/>
      <c r="CO1625" s="197"/>
      <c r="CP1625" s="197"/>
      <c r="CQ1625" s="197"/>
      <c r="CR1625" s="197"/>
      <c r="CS1625" s="197"/>
      <c r="CT1625" s="197"/>
      <c r="CU1625" s="197"/>
      <c r="CV1625" s="197"/>
      <c r="CW1625" s="197"/>
      <c r="CX1625" s="959"/>
      <c r="CY1625" s="959"/>
      <c r="CZ1625" s="959"/>
      <c r="DA1625" s="959"/>
      <c r="DB1625" s="959"/>
      <c r="DC1625" s="891">
        <v>5741</v>
      </c>
      <c r="DD1625" s="891" t="s">
        <v>749</v>
      </c>
      <c r="DE1625" s="891" t="s">
        <v>435</v>
      </c>
      <c r="DF1625" s="891">
        <v>6</v>
      </c>
      <c r="DG1625" s="959"/>
      <c r="DH1625" s="959"/>
      <c r="ER1625" s="905">
        <v>6337</v>
      </c>
      <c r="ES1625" s="906" t="s">
        <v>1992</v>
      </c>
      <c r="ET1625" s="2686">
        <v>9</v>
      </c>
      <c r="EV1625" s="985"/>
      <c r="EW1625" s="985"/>
      <c r="EX1625" s="387"/>
      <c r="EY1625" s="939"/>
      <c r="EZ1625" s="886"/>
    </row>
    <row r="1626" spans="88:156">
      <c r="CJ1626" s="197"/>
      <c r="CK1626" s="197"/>
      <c r="CL1626" s="197"/>
      <c r="CM1626" s="213"/>
      <c r="CN1626" s="213"/>
      <c r="CO1626" s="197"/>
      <c r="CP1626" s="197"/>
      <c r="CQ1626" s="197"/>
      <c r="CR1626" s="197"/>
      <c r="CS1626" s="197"/>
      <c r="CT1626" s="197"/>
      <c r="CU1626" s="197"/>
      <c r="CV1626" s="197"/>
      <c r="CW1626" s="197"/>
      <c r="CX1626" s="959"/>
      <c r="CY1626" s="959"/>
      <c r="CZ1626" s="959"/>
      <c r="DA1626" s="959"/>
      <c r="DB1626" s="959"/>
      <c r="DC1626" s="891">
        <v>5742</v>
      </c>
      <c r="DD1626" s="891" t="s">
        <v>750</v>
      </c>
      <c r="DE1626" s="891" t="s">
        <v>435</v>
      </c>
      <c r="DF1626" s="891">
        <v>6</v>
      </c>
      <c r="DG1626" s="959"/>
      <c r="DH1626" s="959"/>
      <c r="ER1626" s="905">
        <v>6341</v>
      </c>
      <c r="ES1626" s="906" t="s">
        <v>1993</v>
      </c>
      <c r="ET1626" s="2686">
        <v>9</v>
      </c>
      <c r="EV1626" s="985"/>
      <c r="EW1626" s="985"/>
      <c r="EX1626" s="387"/>
      <c r="EY1626" s="939"/>
      <c r="EZ1626" s="886"/>
    </row>
    <row r="1627" spans="88:156">
      <c r="CJ1627" s="197"/>
      <c r="CK1627" s="197"/>
      <c r="CL1627" s="197"/>
      <c r="CM1627" s="213"/>
      <c r="CN1627" s="213"/>
      <c r="CO1627" s="197"/>
      <c r="CP1627" s="197"/>
      <c r="CQ1627" s="197"/>
      <c r="CR1627" s="197"/>
      <c r="CS1627" s="197"/>
      <c r="CT1627" s="197"/>
      <c r="CU1627" s="197"/>
      <c r="CV1627" s="197"/>
      <c r="CW1627" s="197"/>
      <c r="CX1627" s="959"/>
      <c r="CY1627" s="959"/>
      <c r="CZ1627" s="959"/>
      <c r="DA1627" s="959"/>
      <c r="DB1627" s="959"/>
      <c r="DC1627" s="891">
        <v>5743</v>
      </c>
      <c r="DD1627" s="891" t="s">
        <v>751</v>
      </c>
      <c r="DE1627" s="891" t="s">
        <v>406</v>
      </c>
      <c r="DF1627" s="891">
        <v>6</v>
      </c>
      <c r="DG1627" s="959"/>
      <c r="DH1627" s="959"/>
      <c r="ER1627" s="905">
        <v>6342</v>
      </c>
      <c r="ES1627" s="906" t="s">
        <v>1994</v>
      </c>
      <c r="ET1627" s="2686">
        <v>9</v>
      </c>
      <c r="EV1627" s="985"/>
      <c r="EW1627" s="985"/>
      <c r="EX1627" s="387"/>
      <c r="EY1627" s="939"/>
      <c r="EZ1627" s="886"/>
    </row>
    <row r="1628" spans="88:156">
      <c r="CJ1628" s="197"/>
      <c r="CK1628" s="197"/>
      <c r="CL1628" s="197"/>
      <c r="CM1628" s="213"/>
      <c r="CN1628" s="213"/>
      <c r="CO1628" s="197"/>
      <c r="CP1628" s="197"/>
      <c r="CQ1628" s="197"/>
      <c r="CR1628" s="197"/>
      <c r="CS1628" s="197"/>
      <c r="CT1628" s="197"/>
      <c r="CU1628" s="197"/>
      <c r="CV1628" s="197"/>
      <c r="CW1628" s="197"/>
      <c r="CX1628" s="959"/>
      <c r="CY1628" s="959"/>
      <c r="CZ1628" s="959"/>
      <c r="DA1628" s="959"/>
      <c r="DB1628" s="959"/>
      <c r="DC1628" s="891">
        <v>5744</v>
      </c>
      <c r="DD1628" s="891" t="s">
        <v>752</v>
      </c>
      <c r="DE1628" s="891" t="s">
        <v>418</v>
      </c>
      <c r="DF1628" s="891">
        <v>6</v>
      </c>
      <c r="DG1628" s="959"/>
      <c r="DH1628" s="959"/>
      <c r="ER1628" s="905">
        <v>6343</v>
      </c>
      <c r="ES1628" s="906" t="s">
        <v>1995</v>
      </c>
      <c r="ET1628" s="2686">
        <v>9</v>
      </c>
      <c r="EV1628" s="985"/>
      <c r="EW1628" s="985"/>
      <c r="EX1628" s="387"/>
      <c r="EY1628" s="939"/>
      <c r="EZ1628" s="886"/>
    </row>
    <row r="1629" spans="88:156">
      <c r="CJ1629" s="197"/>
      <c r="CK1629" s="197"/>
      <c r="CL1629" s="197"/>
      <c r="CM1629" s="213"/>
      <c r="CN1629" s="213"/>
      <c r="CO1629" s="197"/>
      <c r="CP1629" s="197"/>
      <c r="CQ1629" s="197"/>
      <c r="CR1629" s="197"/>
      <c r="CS1629" s="197"/>
      <c r="CT1629" s="197"/>
      <c r="CU1629" s="197"/>
      <c r="CV1629" s="197"/>
      <c r="CW1629" s="197"/>
      <c r="CX1629" s="959"/>
      <c r="CY1629" s="959"/>
      <c r="CZ1629" s="959"/>
      <c r="DA1629" s="959"/>
      <c r="DB1629" s="959"/>
      <c r="DC1629" s="891">
        <v>5745</v>
      </c>
      <c r="DD1629" s="891" t="s">
        <v>753</v>
      </c>
      <c r="DE1629" s="891" t="s">
        <v>410</v>
      </c>
      <c r="DF1629" s="891">
        <v>6</v>
      </c>
      <c r="DG1629" s="959"/>
      <c r="DH1629" s="959"/>
      <c r="ER1629" s="905">
        <v>6344</v>
      </c>
      <c r="ES1629" s="906" t="s">
        <v>1996</v>
      </c>
      <c r="ET1629" s="2686">
        <v>9</v>
      </c>
      <c r="EV1629" s="985"/>
      <c r="EW1629" s="985"/>
      <c r="EX1629" s="387"/>
      <c r="EY1629" s="939"/>
      <c r="EZ1629" s="886"/>
    </row>
    <row r="1630" spans="88:156">
      <c r="CJ1630" s="197"/>
      <c r="CK1630" s="197"/>
      <c r="CL1630" s="197"/>
      <c r="CM1630" s="213"/>
      <c r="CN1630" s="213"/>
      <c r="CO1630" s="197"/>
      <c r="CP1630" s="197"/>
      <c r="CQ1630" s="197"/>
      <c r="CR1630" s="197"/>
      <c r="CS1630" s="197"/>
      <c r="CT1630" s="197"/>
      <c r="CU1630" s="197"/>
      <c r="CV1630" s="197"/>
      <c r="CW1630" s="197"/>
      <c r="CX1630" s="959"/>
      <c r="CY1630" s="959"/>
      <c r="CZ1630" s="959"/>
      <c r="DA1630" s="959"/>
      <c r="DB1630" s="959"/>
      <c r="DC1630" s="891">
        <v>5746</v>
      </c>
      <c r="DD1630" s="891" t="s">
        <v>754</v>
      </c>
      <c r="DE1630" s="891" t="s">
        <v>435</v>
      </c>
      <c r="DF1630" s="891">
        <v>6</v>
      </c>
      <c r="DG1630" s="959"/>
      <c r="DH1630" s="959"/>
      <c r="ER1630" s="905">
        <v>6345</v>
      </c>
      <c r="ES1630" s="906" t="s">
        <v>1997</v>
      </c>
      <c r="ET1630" s="2686">
        <v>9</v>
      </c>
      <c r="EV1630" s="985"/>
      <c r="EW1630" s="985"/>
      <c r="EX1630" s="387"/>
      <c r="EY1630" s="939"/>
      <c r="EZ1630" s="886"/>
    </row>
    <row r="1631" spans="88:156">
      <c r="CJ1631" s="197"/>
      <c r="CK1631" s="197"/>
      <c r="CL1631" s="197"/>
      <c r="CM1631" s="213"/>
      <c r="CN1631" s="213"/>
      <c r="CO1631" s="197"/>
      <c r="CP1631" s="197"/>
      <c r="CQ1631" s="197"/>
      <c r="CR1631" s="197"/>
      <c r="CS1631" s="197"/>
      <c r="CT1631" s="197"/>
      <c r="CU1631" s="197"/>
      <c r="CV1631" s="197"/>
      <c r="CW1631" s="197"/>
      <c r="CX1631" s="959"/>
      <c r="CY1631" s="959"/>
      <c r="CZ1631" s="959"/>
      <c r="DA1631" s="959"/>
      <c r="DB1631" s="959"/>
      <c r="DC1631" s="891">
        <v>5747</v>
      </c>
      <c r="DD1631" s="891" t="s">
        <v>755</v>
      </c>
      <c r="DE1631" s="891" t="s">
        <v>421</v>
      </c>
      <c r="DF1631" s="891">
        <v>6</v>
      </c>
      <c r="DG1631" s="959"/>
      <c r="DH1631" s="959"/>
      <c r="ER1631" s="905">
        <v>6346</v>
      </c>
      <c r="ES1631" s="906" t="s">
        <v>1998</v>
      </c>
      <c r="ET1631" s="2686">
        <v>9</v>
      </c>
      <c r="EV1631" s="985"/>
      <c r="EW1631" s="985"/>
      <c r="EX1631" s="387"/>
      <c r="EY1631" s="939"/>
      <c r="EZ1631" s="886"/>
    </row>
    <row r="1632" spans="88:156">
      <c r="CJ1632" s="197"/>
      <c r="CK1632" s="197"/>
      <c r="CL1632" s="197"/>
      <c r="CM1632" s="213"/>
      <c r="CN1632" s="213"/>
      <c r="CO1632" s="197"/>
      <c r="CP1632" s="197"/>
      <c r="CQ1632" s="197"/>
      <c r="CR1632" s="197"/>
      <c r="CS1632" s="197"/>
      <c r="CT1632" s="197"/>
      <c r="CU1632" s="197"/>
      <c r="CV1632" s="197"/>
      <c r="CW1632" s="197"/>
      <c r="CX1632" s="959"/>
      <c r="CY1632" s="959"/>
      <c r="CZ1632" s="959"/>
      <c r="DA1632" s="959"/>
      <c r="DB1632" s="959"/>
      <c r="DC1632" s="891">
        <v>5751</v>
      </c>
      <c r="DD1632" s="891" t="s">
        <v>756</v>
      </c>
      <c r="DE1632" s="891" t="s">
        <v>2808</v>
      </c>
      <c r="DF1632" s="891">
        <v>6</v>
      </c>
      <c r="DG1632" s="959"/>
      <c r="DH1632" s="959"/>
      <c r="ER1632" s="905">
        <v>6347</v>
      </c>
      <c r="ES1632" s="906" t="s">
        <v>1999</v>
      </c>
      <c r="ET1632" s="2686">
        <v>9</v>
      </c>
      <c r="EV1632" s="985"/>
      <c r="EW1632" s="985"/>
      <c r="EX1632" s="387"/>
      <c r="EY1632" s="939"/>
      <c r="EZ1632" s="886"/>
    </row>
    <row r="1633" spans="88:156">
      <c r="CJ1633" s="197"/>
      <c r="CK1633" s="197"/>
      <c r="CL1633" s="197"/>
      <c r="CM1633" s="213"/>
      <c r="CN1633" s="213"/>
      <c r="CO1633" s="197"/>
      <c r="CP1633" s="197"/>
      <c r="CQ1633" s="197"/>
      <c r="CR1633" s="197"/>
      <c r="CS1633" s="197"/>
      <c r="CT1633" s="197"/>
      <c r="CU1633" s="197"/>
      <c r="CV1633" s="197"/>
      <c r="CW1633" s="197"/>
      <c r="CX1633" s="959"/>
      <c r="CY1633" s="959"/>
      <c r="CZ1633" s="959"/>
      <c r="DA1633" s="959"/>
      <c r="DB1633" s="959"/>
      <c r="DC1633" s="891">
        <v>5752</v>
      </c>
      <c r="DD1633" s="891" t="s">
        <v>757</v>
      </c>
      <c r="DE1633" s="891" t="s">
        <v>432</v>
      </c>
      <c r="DF1633" s="891">
        <v>6</v>
      </c>
      <c r="DG1633" s="959"/>
      <c r="DH1633" s="959"/>
      <c r="ER1633" s="905">
        <v>6348</v>
      </c>
      <c r="ES1633" s="906" t="s">
        <v>2000</v>
      </c>
      <c r="ET1633" s="2686">
        <v>9</v>
      </c>
      <c r="EV1633" s="985"/>
      <c r="EW1633" s="985"/>
      <c r="EX1633" s="387"/>
      <c r="EY1633" s="939"/>
      <c r="EZ1633" s="886"/>
    </row>
    <row r="1634" spans="88:156">
      <c r="CJ1634" s="197"/>
      <c r="CK1634" s="197"/>
      <c r="CL1634" s="197"/>
      <c r="CM1634" s="213"/>
      <c r="CN1634" s="213"/>
      <c r="CO1634" s="197"/>
      <c r="CP1634" s="197"/>
      <c r="CQ1634" s="197"/>
      <c r="CR1634" s="197"/>
      <c r="CS1634" s="197"/>
      <c r="CT1634" s="197"/>
      <c r="CU1634" s="197"/>
      <c r="CV1634" s="197"/>
      <c r="CW1634" s="197"/>
      <c r="CX1634" s="959"/>
      <c r="CY1634" s="959"/>
      <c r="CZ1634" s="959"/>
      <c r="DA1634" s="959"/>
      <c r="DB1634" s="959"/>
      <c r="DC1634" s="891">
        <v>5800</v>
      </c>
      <c r="DD1634" s="891" t="s">
        <v>758</v>
      </c>
      <c r="DE1634" s="891" t="s">
        <v>428</v>
      </c>
      <c r="DF1634" s="891">
        <v>6</v>
      </c>
      <c r="DG1634" s="959"/>
      <c r="DH1634" s="959"/>
      <c r="ER1634" s="905">
        <v>6351</v>
      </c>
      <c r="ES1634" s="906" t="s">
        <v>2001</v>
      </c>
      <c r="ET1634" s="2686">
        <v>9</v>
      </c>
      <c r="EV1634" s="985"/>
      <c r="EW1634" s="985"/>
      <c r="EX1634" s="387"/>
      <c r="EY1634" s="939"/>
      <c r="EZ1634" s="886"/>
    </row>
    <row r="1635" spans="88:156">
      <c r="CJ1635" s="197"/>
      <c r="CK1635" s="197"/>
      <c r="CL1635" s="197"/>
      <c r="CM1635" s="213"/>
      <c r="CN1635" s="213"/>
      <c r="CO1635" s="197"/>
      <c r="CP1635" s="197"/>
      <c r="CQ1635" s="197"/>
      <c r="CR1635" s="197"/>
      <c r="CS1635" s="197"/>
      <c r="CT1635" s="197"/>
      <c r="CU1635" s="197"/>
      <c r="CV1635" s="197"/>
      <c r="CW1635" s="197"/>
      <c r="CX1635" s="959"/>
      <c r="CY1635" s="959"/>
      <c r="CZ1635" s="959"/>
      <c r="DA1635" s="959"/>
      <c r="DB1635" s="959"/>
      <c r="DC1635" s="891">
        <v>5811</v>
      </c>
      <c r="DD1635" s="891" t="s">
        <v>759</v>
      </c>
      <c r="DE1635" s="891" t="s">
        <v>423</v>
      </c>
      <c r="DF1635" s="891">
        <v>6</v>
      </c>
      <c r="DG1635" s="959"/>
      <c r="DH1635" s="959"/>
      <c r="ER1635" s="905">
        <v>6352</v>
      </c>
      <c r="ES1635" s="906" t="s">
        <v>2002</v>
      </c>
      <c r="ET1635" s="2686">
        <v>9</v>
      </c>
      <c r="EV1635" s="985"/>
      <c r="EW1635" s="985"/>
      <c r="EX1635" s="387"/>
      <c r="EY1635" s="939"/>
      <c r="EZ1635" s="886"/>
    </row>
    <row r="1636" spans="88:156">
      <c r="CJ1636" s="197"/>
      <c r="CK1636" s="197"/>
      <c r="CL1636" s="197"/>
      <c r="CM1636" s="213"/>
      <c r="CN1636" s="213"/>
      <c r="CO1636" s="197"/>
      <c r="CP1636" s="197"/>
      <c r="CQ1636" s="197"/>
      <c r="CR1636" s="197"/>
      <c r="CS1636" s="197"/>
      <c r="CT1636" s="197"/>
      <c r="CU1636" s="197"/>
      <c r="CV1636" s="197"/>
      <c r="CW1636" s="197"/>
      <c r="CX1636" s="959"/>
      <c r="CY1636" s="959"/>
      <c r="CZ1636" s="959"/>
      <c r="DA1636" s="959"/>
      <c r="DB1636" s="959"/>
      <c r="DC1636" s="891">
        <v>5820</v>
      </c>
      <c r="DD1636" s="891" t="s">
        <v>760</v>
      </c>
      <c r="DE1636" s="891" t="s">
        <v>428</v>
      </c>
      <c r="DF1636" s="891">
        <v>6</v>
      </c>
      <c r="DG1636" s="959"/>
      <c r="DH1636" s="959"/>
      <c r="ER1636" s="905">
        <v>6353</v>
      </c>
      <c r="ES1636" s="906" t="s">
        <v>2003</v>
      </c>
      <c r="ET1636" s="2686">
        <v>9</v>
      </c>
      <c r="EV1636" s="985"/>
      <c r="EW1636" s="985"/>
      <c r="EX1636" s="387"/>
      <c r="EY1636" s="939"/>
      <c r="EZ1636" s="886"/>
    </row>
    <row r="1637" spans="88:156">
      <c r="CJ1637" s="197"/>
      <c r="CK1637" s="197"/>
      <c r="CL1637" s="197"/>
      <c r="CM1637" s="213"/>
      <c r="CN1637" s="213"/>
      <c r="CO1637" s="197"/>
      <c r="CP1637" s="197"/>
      <c r="CQ1637" s="197"/>
      <c r="CR1637" s="197"/>
      <c r="CS1637" s="197"/>
      <c r="CT1637" s="197"/>
      <c r="CU1637" s="197"/>
      <c r="CV1637" s="197"/>
      <c r="CW1637" s="197"/>
      <c r="CX1637" s="959"/>
      <c r="CY1637" s="959"/>
      <c r="CZ1637" s="959"/>
      <c r="DA1637" s="959"/>
      <c r="DB1637" s="959"/>
      <c r="DC1637" s="891">
        <v>5830</v>
      </c>
      <c r="DD1637" s="891" t="s">
        <v>761</v>
      </c>
      <c r="DE1637" s="891" t="s">
        <v>432</v>
      </c>
      <c r="DF1637" s="891">
        <v>6</v>
      </c>
      <c r="DG1637" s="959"/>
      <c r="DH1637" s="959"/>
      <c r="ER1637" s="905">
        <v>6400</v>
      </c>
      <c r="ES1637" s="906" t="s">
        <v>2004</v>
      </c>
      <c r="ET1637" s="2686">
        <v>9</v>
      </c>
      <c r="EV1637" s="985"/>
      <c r="EW1637" s="985"/>
      <c r="EX1637" s="387"/>
      <c r="EY1637" s="939"/>
      <c r="EZ1637" s="886"/>
    </row>
    <row r="1638" spans="88:156">
      <c r="CJ1638" s="197"/>
      <c r="CK1638" s="197"/>
      <c r="CL1638" s="197"/>
      <c r="CM1638" s="213"/>
      <c r="CN1638" s="213"/>
      <c r="CO1638" s="197"/>
      <c r="CP1638" s="197"/>
      <c r="CQ1638" s="197"/>
      <c r="CR1638" s="197"/>
      <c r="CS1638" s="197"/>
      <c r="CT1638" s="197"/>
      <c r="CU1638" s="197"/>
      <c r="CV1638" s="197"/>
      <c r="CW1638" s="197"/>
      <c r="CX1638" s="959"/>
      <c r="CY1638" s="959"/>
      <c r="CZ1638" s="959"/>
      <c r="DA1638" s="959"/>
      <c r="DB1638" s="959"/>
      <c r="DC1638" s="891">
        <v>5836</v>
      </c>
      <c r="DD1638" s="891" t="s">
        <v>762</v>
      </c>
      <c r="DE1638" s="891" t="s">
        <v>427</v>
      </c>
      <c r="DF1638" s="891">
        <v>6</v>
      </c>
      <c r="DG1638" s="959"/>
      <c r="DH1638" s="959"/>
      <c r="ER1638" s="905">
        <v>6411</v>
      </c>
      <c r="ES1638" s="906" t="s">
        <v>2005</v>
      </c>
      <c r="ET1638" s="2686">
        <v>9</v>
      </c>
      <c r="EV1638" s="985"/>
      <c r="EW1638" s="985"/>
      <c r="EX1638" s="387"/>
      <c r="EY1638" s="939"/>
      <c r="EZ1638" s="886"/>
    </row>
    <row r="1639" spans="88:156">
      <c r="CJ1639" s="197"/>
      <c r="CK1639" s="197"/>
      <c r="CL1639" s="197"/>
      <c r="CM1639" s="213"/>
      <c r="CN1639" s="213"/>
      <c r="CO1639" s="197"/>
      <c r="CP1639" s="197"/>
      <c r="CQ1639" s="197"/>
      <c r="CR1639" s="197"/>
      <c r="CS1639" s="197"/>
      <c r="CT1639" s="197"/>
      <c r="CU1639" s="197"/>
      <c r="CV1639" s="197"/>
      <c r="CW1639" s="197"/>
      <c r="CX1639" s="959"/>
      <c r="CY1639" s="959"/>
      <c r="CZ1639" s="959"/>
      <c r="DA1639" s="959"/>
      <c r="DB1639" s="959"/>
      <c r="DC1639" s="891">
        <v>5837</v>
      </c>
      <c r="DD1639" s="891" t="s">
        <v>763</v>
      </c>
      <c r="DE1639" s="891" t="s">
        <v>427</v>
      </c>
      <c r="DF1639" s="891">
        <v>6</v>
      </c>
      <c r="DG1639" s="959"/>
      <c r="DH1639" s="959"/>
      <c r="ER1639" s="905">
        <v>6412</v>
      </c>
      <c r="ES1639" s="906" t="s">
        <v>2006</v>
      </c>
      <c r="ET1639" s="2686">
        <v>9</v>
      </c>
      <c r="EV1639" s="985"/>
      <c r="EW1639" s="985"/>
      <c r="EX1639" s="387"/>
      <c r="EY1639" s="939"/>
      <c r="EZ1639" s="886"/>
    </row>
    <row r="1640" spans="88:156">
      <c r="CJ1640" s="197"/>
      <c r="CK1640" s="197"/>
      <c r="CL1640" s="197"/>
      <c r="CM1640" s="213"/>
      <c r="CN1640" s="213"/>
      <c r="CO1640" s="197"/>
      <c r="CP1640" s="197"/>
      <c r="CQ1640" s="197"/>
      <c r="CR1640" s="197"/>
      <c r="CS1640" s="197"/>
      <c r="CT1640" s="197"/>
      <c r="CU1640" s="197"/>
      <c r="CV1640" s="197"/>
      <c r="CW1640" s="197"/>
      <c r="CX1640" s="959"/>
      <c r="CY1640" s="959"/>
      <c r="CZ1640" s="959"/>
      <c r="DA1640" s="959"/>
      <c r="DB1640" s="959"/>
      <c r="DC1640" s="891">
        <v>5838</v>
      </c>
      <c r="DD1640" s="891" t="s">
        <v>764</v>
      </c>
      <c r="DE1640" s="891" t="s">
        <v>402</v>
      </c>
      <c r="DF1640" s="891">
        <v>6</v>
      </c>
      <c r="DG1640" s="959"/>
      <c r="DH1640" s="959"/>
      <c r="ER1640" s="905">
        <v>6413</v>
      </c>
      <c r="ES1640" s="906" t="s">
        <v>2007</v>
      </c>
      <c r="ET1640" s="2686">
        <v>9</v>
      </c>
      <c r="EV1640" s="985"/>
      <c r="EW1640" s="985"/>
      <c r="EX1640" s="387"/>
      <c r="EY1640" s="939"/>
      <c r="EZ1640" s="886"/>
    </row>
    <row r="1641" spans="88:156">
      <c r="CJ1641" s="197"/>
      <c r="CK1641" s="197"/>
      <c r="CL1641" s="197"/>
      <c r="CM1641" s="213"/>
      <c r="CN1641" s="213"/>
      <c r="CO1641" s="197"/>
      <c r="CP1641" s="197"/>
      <c r="CQ1641" s="197"/>
      <c r="CR1641" s="197"/>
      <c r="CS1641" s="197"/>
      <c r="CT1641" s="197"/>
      <c r="CU1641" s="197"/>
      <c r="CV1641" s="197"/>
      <c r="CW1641" s="197"/>
      <c r="CX1641" s="959"/>
      <c r="CY1641" s="959"/>
      <c r="CZ1641" s="959"/>
      <c r="DA1641" s="959"/>
      <c r="DB1641" s="959"/>
      <c r="DC1641" s="891">
        <v>5900</v>
      </c>
      <c r="DD1641" s="891" t="s">
        <v>765</v>
      </c>
      <c r="DE1641" s="891" t="s">
        <v>421</v>
      </c>
      <c r="DF1641" s="891">
        <v>6</v>
      </c>
      <c r="DG1641" s="959"/>
      <c r="DH1641" s="959"/>
      <c r="ER1641" s="905">
        <v>6414</v>
      </c>
      <c r="ES1641" s="906" t="s">
        <v>2008</v>
      </c>
      <c r="ET1641" s="2686">
        <v>9</v>
      </c>
      <c r="EV1641" s="985"/>
      <c r="EW1641" s="985"/>
      <c r="EX1641" s="387"/>
      <c r="EY1641" s="939"/>
      <c r="EZ1641" s="886"/>
    </row>
    <row r="1642" spans="88:156">
      <c r="CJ1642" s="197"/>
      <c r="CK1642" s="197"/>
      <c r="CL1642" s="197"/>
      <c r="CM1642" s="213"/>
      <c r="CN1642" s="213"/>
      <c r="CO1642" s="197"/>
      <c r="CP1642" s="197"/>
      <c r="CQ1642" s="197"/>
      <c r="CR1642" s="197"/>
      <c r="CS1642" s="197"/>
      <c r="CT1642" s="197"/>
      <c r="CU1642" s="197"/>
      <c r="CV1642" s="197"/>
      <c r="CW1642" s="197"/>
      <c r="CX1642" s="959"/>
      <c r="CY1642" s="959"/>
      <c r="CZ1642" s="959"/>
      <c r="DA1642" s="959"/>
      <c r="DB1642" s="959"/>
      <c r="DC1642" s="891">
        <v>5903</v>
      </c>
      <c r="DD1642" s="891" t="s">
        <v>766</v>
      </c>
      <c r="DE1642" s="891" t="s">
        <v>419</v>
      </c>
      <c r="DF1642" s="891">
        <v>6</v>
      </c>
      <c r="DG1642" s="959"/>
      <c r="DH1642" s="959"/>
      <c r="ER1642" s="905">
        <v>6421</v>
      </c>
      <c r="ES1642" s="906" t="s">
        <v>2009</v>
      </c>
      <c r="ET1642" s="2686">
        <v>9</v>
      </c>
      <c r="EV1642" s="985"/>
      <c r="EW1642" s="985"/>
      <c r="EX1642" s="387"/>
      <c r="EY1642" s="939"/>
      <c r="EZ1642" s="886"/>
    </row>
    <row r="1643" spans="88:156">
      <c r="CJ1643" s="197"/>
      <c r="CK1643" s="197"/>
      <c r="CL1643" s="197"/>
      <c r="CM1643" s="213"/>
      <c r="CN1643" s="213"/>
      <c r="CO1643" s="197"/>
      <c r="CP1643" s="197"/>
      <c r="CQ1643" s="197"/>
      <c r="CR1643" s="197"/>
      <c r="CS1643" s="197"/>
      <c r="CT1643" s="197"/>
      <c r="CU1643" s="197"/>
      <c r="CV1643" s="197"/>
      <c r="CW1643" s="197"/>
      <c r="CX1643" s="959"/>
      <c r="CY1643" s="959"/>
      <c r="CZ1643" s="959"/>
      <c r="DA1643" s="959"/>
      <c r="DB1643" s="959"/>
      <c r="DC1643" s="891">
        <v>5904</v>
      </c>
      <c r="DD1643" s="891" t="s">
        <v>767</v>
      </c>
      <c r="DE1643" s="891" t="s">
        <v>433</v>
      </c>
      <c r="DF1643" s="891">
        <v>6</v>
      </c>
      <c r="DG1643" s="959"/>
      <c r="DH1643" s="959"/>
      <c r="ER1643" s="905">
        <v>6422</v>
      </c>
      <c r="ES1643" s="906" t="s">
        <v>2010</v>
      </c>
      <c r="ET1643" s="2686">
        <v>9</v>
      </c>
      <c r="EV1643" s="985"/>
      <c r="EW1643" s="985"/>
      <c r="EX1643" s="387"/>
      <c r="EY1643" s="939"/>
      <c r="EZ1643" s="886"/>
    </row>
    <row r="1644" spans="88:156">
      <c r="CJ1644" s="197"/>
      <c r="CK1644" s="197"/>
      <c r="CL1644" s="197"/>
      <c r="CM1644" s="213"/>
      <c r="CN1644" s="213"/>
      <c r="CO1644" s="197"/>
      <c r="CP1644" s="197"/>
      <c r="CQ1644" s="197"/>
      <c r="CR1644" s="197"/>
      <c r="CS1644" s="197"/>
      <c r="CT1644" s="197"/>
      <c r="CU1644" s="197"/>
      <c r="CV1644" s="197"/>
      <c r="CW1644" s="197"/>
      <c r="CX1644" s="959"/>
      <c r="CY1644" s="959"/>
      <c r="CZ1644" s="959"/>
      <c r="DA1644" s="959"/>
      <c r="DB1644" s="959"/>
      <c r="DC1644" s="891">
        <v>5905</v>
      </c>
      <c r="DD1644" s="891" t="s">
        <v>768</v>
      </c>
      <c r="DE1644" s="891" t="s">
        <v>412</v>
      </c>
      <c r="DF1644" s="891">
        <v>6</v>
      </c>
      <c r="DG1644" s="959"/>
      <c r="DH1644" s="959"/>
      <c r="ER1644" s="905">
        <v>6423</v>
      </c>
      <c r="ES1644" s="906" t="s">
        <v>2011</v>
      </c>
      <c r="ET1644" s="2686">
        <v>9</v>
      </c>
      <c r="EV1644" s="985"/>
      <c r="EW1644" s="985"/>
      <c r="EX1644" s="387"/>
      <c r="EY1644" s="939"/>
      <c r="EZ1644" s="886"/>
    </row>
    <row r="1645" spans="88:156">
      <c r="CJ1645" s="197"/>
      <c r="CK1645" s="197"/>
      <c r="CL1645" s="197"/>
      <c r="CM1645" s="213"/>
      <c r="CN1645" s="213"/>
      <c r="CO1645" s="197"/>
      <c r="CP1645" s="197"/>
      <c r="CQ1645" s="197"/>
      <c r="CR1645" s="197"/>
      <c r="CS1645" s="197"/>
      <c r="CT1645" s="197"/>
      <c r="CU1645" s="197"/>
      <c r="CV1645" s="197"/>
      <c r="CW1645" s="197"/>
      <c r="CX1645" s="959"/>
      <c r="CY1645" s="959"/>
      <c r="CZ1645" s="959"/>
      <c r="DA1645" s="959"/>
      <c r="DB1645" s="959"/>
      <c r="DC1645" s="891">
        <v>5906</v>
      </c>
      <c r="DD1645" s="891" t="s">
        <v>769</v>
      </c>
      <c r="DE1645" s="891" t="s">
        <v>428</v>
      </c>
      <c r="DF1645" s="891">
        <v>6</v>
      </c>
      <c r="DG1645" s="959"/>
      <c r="DH1645" s="959"/>
      <c r="ER1645" s="905">
        <v>6424</v>
      </c>
      <c r="ES1645" s="906" t="s">
        <v>2012</v>
      </c>
      <c r="ET1645" s="2686">
        <v>9</v>
      </c>
      <c r="EV1645" s="985"/>
      <c r="EW1645" s="985"/>
      <c r="EX1645" s="387"/>
      <c r="EY1645" s="939"/>
      <c r="EZ1645" s="886"/>
    </row>
    <row r="1646" spans="88:156">
      <c r="CJ1646" s="197"/>
      <c r="CK1646" s="197"/>
      <c r="CL1646" s="197"/>
      <c r="CM1646" s="213"/>
      <c r="CN1646" s="213"/>
      <c r="CO1646" s="197"/>
      <c r="CP1646" s="197"/>
      <c r="CQ1646" s="197"/>
      <c r="CR1646" s="197"/>
      <c r="CS1646" s="197"/>
      <c r="CT1646" s="197"/>
      <c r="CU1646" s="197"/>
      <c r="CV1646" s="197"/>
      <c r="CW1646" s="197"/>
      <c r="CX1646" s="959"/>
      <c r="CY1646" s="959"/>
      <c r="CZ1646" s="959"/>
      <c r="DA1646" s="959"/>
      <c r="DB1646" s="959"/>
      <c r="DC1646" s="891">
        <v>5919</v>
      </c>
      <c r="DD1646" s="891" t="s">
        <v>770</v>
      </c>
      <c r="DE1646" s="891" t="s">
        <v>412</v>
      </c>
      <c r="DF1646" s="891">
        <v>6</v>
      </c>
      <c r="DG1646" s="959"/>
      <c r="DH1646" s="959"/>
      <c r="ER1646" s="905">
        <v>6425</v>
      </c>
      <c r="ES1646" s="906" t="s">
        <v>2013</v>
      </c>
      <c r="ET1646" s="2686">
        <v>9</v>
      </c>
      <c r="EV1646" s="985"/>
      <c r="EW1646" s="985"/>
      <c r="EX1646" s="387"/>
      <c r="EY1646" s="939"/>
      <c r="EZ1646" s="886"/>
    </row>
    <row r="1647" spans="88:156">
      <c r="CJ1647" s="197"/>
      <c r="CK1647" s="197"/>
      <c r="CL1647" s="197"/>
      <c r="CM1647" s="213"/>
      <c r="CN1647" s="213"/>
      <c r="CO1647" s="197"/>
      <c r="CP1647" s="197"/>
      <c r="CQ1647" s="197"/>
      <c r="CR1647" s="197"/>
      <c r="CS1647" s="197"/>
      <c r="CT1647" s="197"/>
      <c r="CU1647" s="197"/>
      <c r="CV1647" s="197"/>
      <c r="CW1647" s="197"/>
      <c r="CX1647" s="959"/>
      <c r="CY1647" s="959"/>
      <c r="CZ1647" s="959"/>
      <c r="DA1647" s="959"/>
      <c r="DB1647" s="959"/>
      <c r="DC1647" s="891">
        <v>5920</v>
      </c>
      <c r="DD1647" s="891" t="s">
        <v>771</v>
      </c>
      <c r="DE1647" s="891" t="s">
        <v>423</v>
      </c>
      <c r="DF1647" s="891">
        <v>6</v>
      </c>
      <c r="DG1647" s="959"/>
      <c r="DH1647" s="959"/>
      <c r="ER1647" s="905">
        <v>6430</v>
      </c>
      <c r="ES1647" s="906" t="s">
        <v>2014</v>
      </c>
      <c r="ET1647" s="2686">
        <v>9</v>
      </c>
      <c r="EV1647" s="985"/>
      <c r="EW1647" s="985"/>
      <c r="EX1647" s="387"/>
      <c r="EY1647" s="939"/>
      <c r="EZ1647" s="886"/>
    </row>
    <row r="1648" spans="88:156">
      <c r="CJ1648" s="197"/>
      <c r="CK1648" s="197"/>
      <c r="CL1648" s="197"/>
      <c r="CM1648" s="213"/>
      <c r="CN1648" s="213"/>
      <c r="CO1648" s="197"/>
      <c r="CP1648" s="197"/>
      <c r="CQ1648" s="197"/>
      <c r="CR1648" s="197"/>
      <c r="CS1648" s="197"/>
      <c r="CT1648" s="197"/>
      <c r="CU1648" s="197"/>
      <c r="CV1648" s="197"/>
      <c r="CW1648" s="197"/>
      <c r="CX1648" s="959"/>
      <c r="CY1648" s="959"/>
      <c r="CZ1648" s="959"/>
      <c r="DA1648" s="959"/>
      <c r="DB1648" s="959"/>
      <c r="DC1648" s="891">
        <v>5925</v>
      </c>
      <c r="DD1648" s="891" t="s">
        <v>772</v>
      </c>
      <c r="DE1648" s="891" t="s">
        <v>432</v>
      </c>
      <c r="DF1648" s="891">
        <v>6</v>
      </c>
      <c r="DG1648" s="959"/>
      <c r="DH1648" s="959"/>
      <c r="ER1648" s="905">
        <v>6435</v>
      </c>
      <c r="ES1648" s="906" t="s">
        <v>2015</v>
      </c>
      <c r="ET1648" s="2686">
        <v>9</v>
      </c>
      <c r="EV1648" s="985"/>
      <c r="EW1648" s="985"/>
      <c r="EX1648" s="387"/>
      <c r="EY1648" s="939"/>
      <c r="EZ1648" s="886"/>
    </row>
    <row r="1649" spans="88:156">
      <c r="CJ1649" s="197"/>
      <c r="CK1649" s="197"/>
      <c r="CL1649" s="197"/>
      <c r="CM1649" s="213"/>
      <c r="CN1649" s="213"/>
      <c r="CO1649" s="197"/>
      <c r="CP1649" s="197"/>
      <c r="CQ1649" s="197"/>
      <c r="CR1649" s="197"/>
      <c r="CS1649" s="197"/>
      <c r="CT1649" s="197"/>
      <c r="CU1649" s="197"/>
      <c r="CV1649" s="197"/>
      <c r="CW1649" s="197"/>
      <c r="CX1649" s="959"/>
      <c r="CY1649" s="959"/>
      <c r="CZ1649" s="959"/>
      <c r="DA1649" s="959"/>
      <c r="DB1649" s="959"/>
      <c r="DC1649" s="891">
        <v>5931</v>
      </c>
      <c r="DD1649" s="891" t="s">
        <v>773</v>
      </c>
      <c r="DE1649" s="891" t="s">
        <v>419</v>
      </c>
      <c r="DF1649" s="891">
        <v>6</v>
      </c>
      <c r="DG1649" s="959"/>
      <c r="DH1649" s="959"/>
      <c r="ER1649" s="905">
        <v>6440</v>
      </c>
      <c r="ES1649" s="906" t="s">
        <v>2016</v>
      </c>
      <c r="ET1649" s="2686">
        <v>9</v>
      </c>
      <c r="EV1649" s="985"/>
      <c r="EW1649" s="985"/>
      <c r="EX1649" s="387"/>
      <c r="EY1649" s="939"/>
      <c r="EZ1649" s="886"/>
    </row>
    <row r="1650" spans="88:156">
      <c r="CJ1650" s="197"/>
      <c r="CK1650" s="197"/>
      <c r="CL1650" s="197"/>
      <c r="CM1650" s="213"/>
      <c r="CN1650" s="213"/>
      <c r="CO1650" s="197"/>
      <c r="CP1650" s="197"/>
      <c r="CQ1650" s="197"/>
      <c r="CR1650" s="197"/>
      <c r="CS1650" s="197"/>
      <c r="CT1650" s="197"/>
      <c r="CU1650" s="197"/>
      <c r="CV1650" s="197"/>
      <c r="CW1650" s="197"/>
      <c r="CX1650" s="959"/>
      <c r="CY1650" s="959"/>
      <c r="CZ1650" s="959"/>
      <c r="DA1650" s="959"/>
      <c r="DB1650" s="959"/>
      <c r="DC1650" s="891">
        <v>5932</v>
      </c>
      <c r="DD1650" s="891" t="s">
        <v>3218</v>
      </c>
      <c r="DE1650" s="891" t="s">
        <v>410</v>
      </c>
      <c r="DF1650" s="891">
        <v>6</v>
      </c>
      <c r="DG1650" s="959"/>
      <c r="DH1650" s="959"/>
      <c r="ER1650" s="905">
        <v>6444</v>
      </c>
      <c r="ES1650" s="906" t="s">
        <v>1339</v>
      </c>
      <c r="ET1650" s="2686">
        <v>9</v>
      </c>
      <c r="EV1650" s="985"/>
      <c r="EW1650" s="985"/>
      <c r="EX1650" s="387"/>
      <c r="EY1650" s="939"/>
      <c r="EZ1650" s="886"/>
    </row>
    <row r="1651" spans="88:156">
      <c r="CJ1651" s="197"/>
      <c r="CK1651" s="197"/>
      <c r="CL1651" s="197"/>
      <c r="CM1651" s="213"/>
      <c r="CN1651" s="213"/>
      <c r="CO1651" s="197"/>
      <c r="CP1651" s="197"/>
      <c r="CQ1651" s="197"/>
      <c r="CR1651" s="197"/>
      <c r="CS1651" s="197"/>
      <c r="CT1651" s="197"/>
      <c r="CU1651" s="197"/>
      <c r="CV1651" s="197"/>
      <c r="CW1651" s="197"/>
      <c r="CX1651" s="959"/>
      <c r="CY1651" s="959"/>
      <c r="CZ1651" s="959"/>
      <c r="DA1651" s="959"/>
      <c r="DB1651" s="959"/>
      <c r="DC1651" s="891">
        <v>5940</v>
      </c>
      <c r="DD1651" s="891" t="s">
        <v>3219</v>
      </c>
      <c r="DE1651" s="891" t="s">
        <v>402</v>
      </c>
      <c r="DF1651" s="891">
        <v>6</v>
      </c>
      <c r="DG1651" s="959"/>
      <c r="DH1651" s="959"/>
      <c r="ER1651" s="905">
        <v>6445</v>
      </c>
      <c r="ES1651" s="906" t="s">
        <v>2018</v>
      </c>
      <c r="ET1651" s="2686">
        <v>9</v>
      </c>
      <c r="EV1651" s="985"/>
      <c r="EW1651" s="985"/>
      <c r="EX1651" s="387"/>
      <c r="EY1651" s="939"/>
      <c r="EZ1651" s="886"/>
    </row>
    <row r="1652" spans="88:156">
      <c r="CJ1652" s="197"/>
      <c r="CK1652" s="197"/>
      <c r="CL1652" s="197"/>
      <c r="CM1652" s="213"/>
      <c r="CN1652" s="213"/>
      <c r="CO1652" s="197"/>
      <c r="CP1652" s="197"/>
      <c r="CQ1652" s="197"/>
      <c r="CR1652" s="197"/>
      <c r="CS1652" s="197"/>
      <c r="CT1652" s="197"/>
      <c r="CU1652" s="197"/>
      <c r="CV1652" s="197"/>
      <c r="CW1652" s="197"/>
      <c r="CX1652" s="959"/>
      <c r="CY1652" s="959"/>
      <c r="CZ1652" s="959"/>
      <c r="DA1652" s="959"/>
      <c r="DB1652" s="959"/>
      <c r="DC1652" s="891">
        <v>5945</v>
      </c>
      <c r="DD1652" s="891" t="s">
        <v>3220</v>
      </c>
      <c r="DE1652" s="891" t="s">
        <v>423</v>
      </c>
      <c r="DF1652" s="891">
        <v>6</v>
      </c>
      <c r="DG1652" s="959"/>
      <c r="DH1652" s="959"/>
      <c r="ER1652" s="905">
        <v>6446</v>
      </c>
      <c r="ES1652" s="906" t="s">
        <v>2019</v>
      </c>
      <c r="ET1652" s="2686">
        <v>9</v>
      </c>
      <c r="EV1652" s="985"/>
      <c r="EW1652" s="985"/>
      <c r="EX1652" s="387"/>
      <c r="EY1652" s="939"/>
      <c r="EZ1652" s="886"/>
    </row>
    <row r="1653" spans="88:156">
      <c r="CJ1653" s="197"/>
      <c r="CK1653" s="197"/>
      <c r="CL1653" s="197"/>
      <c r="CM1653" s="213"/>
      <c r="CN1653" s="213"/>
      <c r="CO1653" s="197"/>
      <c r="CP1653" s="197"/>
      <c r="CQ1653" s="197"/>
      <c r="CR1653" s="197"/>
      <c r="CS1653" s="197"/>
      <c r="CT1653" s="197"/>
      <c r="CU1653" s="197"/>
      <c r="CV1653" s="197"/>
      <c r="CW1653" s="197"/>
      <c r="CX1653" s="959"/>
      <c r="CY1653" s="959"/>
      <c r="CZ1653" s="959"/>
      <c r="DA1653" s="959"/>
      <c r="DB1653" s="959"/>
      <c r="DC1653" s="891">
        <v>5946</v>
      </c>
      <c r="DD1653" s="891" t="s">
        <v>3221</v>
      </c>
      <c r="DE1653" s="891" t="s">
        <v>423</v>
      </c>
      <c r="DF1653" s="891">
        <v>6</v>
      </c>
      <c r="DG1653" s="959"/>
      <c r="DH1653" s="959"/>
      <c r="ER1653" s="905">
        <v>6447</v>
      </c>
      <c r="ES1653" s="906" t="s">
        <v>2020</v>
      </c>
      <c r="ET1653" s="2686">
        <v>9</v>
      </c>
      <c r="EV1653" s="985"/>
      <c r="EW1653" s="985"/>
      <c r="EX1653" s="387"/>
      <c r="EY1653" s="939"/>
      <c r="EZ1653" s="886"/>
    </row>
    <row r="1654" spans="88:156">
      <c r="CJ1654" s="197"/>
      <c r="CK1654" s="197"/>
      <c r="CL1654" s="197"/>
      <c r="CM1654" s="213"/>
      <c r="CN1654" s="213"/>
      <c r="CO1654" s="197"/>
      <c r="CP1654" s="197"/>
      <c r="CQ1654" s="197"/>
      <c r="CR1654" s="197"/>
      <c r="CS1654" s="197"/>
      <c r="CT1654" s="197"/>
      <c r="CU1654" s="197"/>
      <c r="CV1654" s="197"/>
      <c r="CW1654" s="197"/>
      <c r="CX1654" s="959"/>
      <c r="CY1654" s="959"/>
      <c r="CZ1654" s="959"/>
      <c r="DA1654" s="959"/>
      <c r="DB1654" s="959"/>
      <c r="DC1654" s="891">
        <v>5948</v>
      </c>
      <c r="DD1654" s="891" t="s">
        <v>3222</v>
      </c>
      <c r="DE1654" s="891" t="s">
        <v>423</v>
      </c>
      <c r="DF1654" s="891">
        <v>6</v>
      </c>
      <c r="DG1654" s="959"/>
      <c r="DH1654" s="959"/>
      <c r="ER1654" s="905">
        <v>6448</v>
      </c>
      <c r="ES1654" s="906" t="s">
        <v>2021</v>
      </c>
      <c r="ET1654" s="2686">
        <v>9</v>
      </c>
      <c r="EV1654" s="985"/>
      <c r="EW1654" s="985"/>
      <c r="EX1654" s="387"/>
      <c r="EY1654" s="939"/>
      <c r="EZ1654" s="886"/>
    </row>
    <row r="1655" spans="88:156">
      <c r="CJ1655" s="197"/>
      <c r="CK1655" s="197"/>
      <c r="CL1655" s="197"/>
      <c r="CM1655" s="213"/>
      <c r="CN1655" s="213"/>
      <c r="CO1655" s="197"/>
      <c r="CP1655" s="197"/>
      <c r="CQ1655" s="197"/>
      <c r="CR1655" s="197"/>
      <c r="CS1655" s="197"/>
      <c r="CT1655" s="197"/>
      <c r="CU1655" s="197"/>
      <c r="CV1655" s="197"/>
      <c r="CW1655" s="197"/>
      <c r="CX1655" s="959"/>
      <c r="CY1655" s="959"/>
      <c r="CZ1655" s="959"/>
      <c r="DA1655" s="959"/>
      <c r="DB1655" s="959"/>
      <c r="DC1655" s="891">
        <v>5949</v>
      </c>
      <c r="DD1655" s="891" t="s">
        <v>3311</v>
      </c>
      <c r="DE1655" s="891" t="s">
        <v>423</v>
      </c>
      <c r="DF1655" s="891">
        <v>6</v>
      </c>
      <c r="DG1655" s="959"/>
      <c r="DH1655" s="959"/>
      <c r="ER1655" s="905">
        <v>6449</v>
      </c>
      <c r="ES1655" s="906" t="s">
        <v>2022</v>
      </c>
      <c r="ET1655" s="2686">
        <v>9</v>
      </c>
      <c r="EV1655" s="985"/>
      <c r="EW1655" s="985"/>
      <c r="EX1655" s="387"/>
      <c r="EY1655" s="939"/>
      <c r="EZ1655" s="886"/>
    </row>
    <row r="1656" spans="88:156">
      <c r="CJ1656" s="197"/>
      <c r="CK1656" s="197"/>
      <c r="CL1656" s="197"/>
      <c r="CM1656" s="213"/>
      <c r="CN1656" s="213"/>
      <c r="CO1656" s="197"/>
      <c r="CP1656" s="197"/>
      <c r="CQ1656" s="197"/>
      <c r="CR1656" s="197"/>
      <c r="CS1656" s="197"/>
      <c r="CT1656" s="197"/>
      <c r="CU1656" s="197"/>
      <c r="CV1656" s="197"/>
      <c r="CW1656" s="197"/>
      <c r="CX1656" s="959"/>
      <c r="CY1656" s="959"/>
      <c r="CZ1656" s="959"/>
      <c r="DA1656" s="959"/>
      <c r="DB1656" s="959"/>
      <c r="DC1656" s="891">
        <v>6000</v>
      </c>
      <c r="DD1656" s="891" t="s">
        <v>3312</v>
      </c>
      <c r="DE1656" s="891" t="s">
        <v>423</v>
      </c>
      <c r="DF1656" s="891">
        <v>6</v>
      </c>
      <c r="DG1656" s="959"/>
      <c r="DH1656" s="959"/>
      <c r="ER1656" s="905">
        <v>6451</v>
      </c>
      <c r="ES1656" s="906" t="s">
        <v>2023</v>
      </c>
      <c r="ET1656" s="2686">
        <v>9</v>
      </c>
      <c r="EV1656" s="985"/>
      <c r="EW1656" s="985"/>
      <c r="EX1656" s="387"/>
      <c r="EY1656" s="939"/>
      <c r="EZ1656" s="886"/>
    </row>
    <row r="1657" spans="88:156">
      <c r="CJ1657" s="197"/>
      <c r="CK1657" s="197"/>
      <c r="CL1657" s="197"/>
      <c r="CM1657" s="213"/>
      <c r="CN1657" s="213"/>
      <c r="CO1657" s="197"/>
      <c r="CP1657" s="197"/>
      <c r="CQ1657" s="197"/>
      <c r="CR1657" s="197"/>
      <c r="CS1657" s="197"/>
      <c r="CT1657" s="197"/>
      <c r="CU1657" s="197"/>
      <c r="CV1657" s="197"/>
      <c r="CW1657" s="197"/>
      <c r="CX1657" s="959"/>
      <c r="CY1657" s="959"/>
      <c r="CZ1657" s="959"/>
      <c r="DA1657" s="959"/>
      <c r="DB1657" s="959"/>
      <c r="DC1657" s="891">
        <v>6008</v>
      </c>
      <c r="DD1657" s="891" t="s">
        <v>3313</v>
      </c>
      <c r="DE1657" s="891" t="s">
        <v>423</v>
      </c>
      <c r="DF1657" s="891">
        <v>6</v>
      </c>
      <c r="DG1657" s="959"/>
      <c r="DH1657" s="959"/>
      <c r="ER1657" s="905">
        <v>6452</v>
      </c>
      <c r="ES1657" s="906" t="s">
        <v>2024</v>
      </c>
      <c r="ET1657" s="2686">
        <v>9</v>
      </c>
      <c r="EV1657" s="985"/>
      <c r="EW1657" s="985"/>
      <c r="EX1657" s="387"/>
      <c r="EY1657" s="939"/>
      <c r="EZ1657" s="886"/>
    </row>
    <row r="1658" spans="88:156">
      <c r="CJ1658" s="197"/>
      <c r="CK1658" s="197"/>
      <c r="CL1658" s="197"/>
      <c r="CM1658" s="213"/>
      <c r="CN1658" s="213"/>
      <c r="CO1658" s="197"/>
      <c r="CP1658" s="197"/>
      <c r="CQ1658" s="197"/>
      <c r="CR1658" s="197"/>
      <c r="CS1658" s="197"/>
      <c r="CT1658" s="197"/>
      <c r="CU1658" s="197"/>
      <c r="CV1658" s="197"/>
      <c r="CW1658" s="197"/>
      <c r="CX1658" s="959"/>
      <c r="CY1658" s="959"/>
      <c r="CZ1658" s="959"/>
      <c r="DA1658" s="959"/>
      <c r="DB1658" s="959"/>
      <c r="DC1658" s="891">
        <v>6031</v>
      </c>
      <c r="DD1658" s="891" t="s">
        <v>3314</v>
      </c>
      <c r="DE1658" s="891" t="s">
        <v>435</v>
      </c>
      <c r="DF1658" s="891">
        <v>6</v>
      </c>
      <c r="DG1658" s="959"/>
      <c r="DH1658" s="959"/>
      <c r="ER1658" s="905">
        <v>6453</v>
      </c>
      <c r="ES1658" s="906" t="s">
        <v>2025</v>
      </c>
      <c r="ET1658" s="2686">
        <v>9</v>
      </c>
      <c r="EV1658" s="985"/>
      <c r="EW1658" s="985"/>
      <c r="EX1658" s="387"/>
      <c r="EY1658" s="939"/>
      <c r="EZ1658" s="886"/>
    </row>
    <row r="1659" spans="88:156">
      <c r="CJ1659" s="197"/>
      <c r="CK1659" s="197"/>
      <c r="CL1659" s="197"/>
      <c r="CM1659" s="213"/>
      <c r="CN1659" s="213"/>
      <c r="CO1659" s="197"/>
      <c r="CP1659" s="197"/>
      <c r="CQ1659" s="197"/>
      <c r="CR1659" s="197"/>
      <c r="CS1659" s="197"/>
      <c r="CT1659" s="197"/>
      <c r="CU1659" s="197"/>
      <c r="CV1659" s="197"/>
      <c r="CW1659" s="197"/>
      <c r="CX1659" s="959"/>
      <c r="CY1659" s="959"/>
      <c r="CZ1659" s="959"/>
      <c r="DA1659" s="959"/>
      <c r="DB1659" s="959"/>
      <c r="DC1659" s="891">
        <v>6032</v>
      </c>
      <c r="DD1659" s="891" t="s">
        <v>3315</v>
      </c>
      <c r="DE1659" s="891" t="s">
        <v>423</v>
      </c>
      <c r="DF1659" s="891">
        <v>6</v>
      </c>
      <c r="DG1659" s="959"/>
      <c r="DH1659" s="959"/>
      <c r="ER1659" s="905">
        <v>6454</v>
      </c>
      <c r="ES1659" s="906" t="s">
        <v>1340</v>
      </c>
      <c r="ET1659" s="2686">
        <v>9</v>
      </c>
      <c r="EV1659" s="985"/>
      <c r="EW1659" s="985"/>
      <c r="EX1659" s="387"/>
      <c r="EY1659" s="939"/>
      <c r="EZ1659" s="886"/>
    </row>
    <row r="1660" spans="88:156">
      <c r="CJ1660" s="197"/>
      <c r="CK1660" s="197"/>
      <c r="CL1660" s="197"/>
      <c r="CM1660" s="213"/>
      <c r="CN1660" s="213"/>
      <c r="CO1660" s="197"/>
      <c r="CP1660" s="197"/>
      <c r="CQ1660" s="197"/>
      <c r="CR1660" s="197"/>
      <c r="CS1660" s="197"/>
      <c r="CT1660" s="197"/>
      <c r="CU1660" s="197"/>
      <c r="CV1660" s="197"/>
      <c r="CW1660" s="197"/>
      <c r="CX1660" s="959"/>
      <c r="CY1660" s="959"/>
      <c r="CZ1660" s="959"/>
      <c r="DA1660" s="959"/>
      <c r="DB1660" s="959"/>
      <c r="DC1660" s="891">
        <v>6033</v>
      </c>
      <c r="DD1660" s="891" t="s">
        <v>3316</v>
      </c>
      <c r="DE1660" s="891" t="s">
        <v>423</v>
      </c>
      <c r="DF1660" s="891">
        <v>6</v>
      </c>
      <c r="DG1660" s="959"/>
      <c r="DH1660" s="959"/>
      <c r="ER1660" s="905">
        <v>6455</v>
      </c>
      <c r="ES1660" s="906" t="s">
        <v>2027</v>
      </c>
      <c r="ET1660" s="2686">
        <v>9</v>
      </c>
      <c r="EV1660" s="985"/>
      <c r="EW1660" s="985"/>
      <c r="EX1660" s="387"/>
      <c r="EY1660" s="939"/>
      <c r="EZ1660" s="886"/>
    </row>
    <row r="1661" spans="88:156">
      <c r="CJ1661" s="197"/>
      <c r="CK1661" s="197"/>
      <c r="CL1661" s="197"/>
      <c r="CM1661" s="213"/>
      <c r="CN1661" s="213"/>
      <c r="CO1661" s="197"/>
      <c r="CP1661" s="197"/>
      <c r="CQ1661" s="197"/>
      <c r="CR1661" s="197"/>
      <c r="CS1661" s="197"/>
      <c r="CT1661" s="197"/>
      <c r="CU1661" s="197"/>
      <c r="CV1661" s="197"/>
      <c r="CW1661" s="197"/>
      <c r="CX1661" s="959"/>
      <c r="CY1661" s="959"/>
      <c r="CZ1661" s="959"/>
      <c r="DA1661" s="959"/>
      <c r="DB1661" s="959"/>
      <c r="DC1661" s="891">
        <v>6034</v>
      </c>
      <c r="DD1661" s="891" t="s">
        <v>3317</v>
      </c>
      <c r="DE1661" s="891" t="s">
        <v>423</v>
      </c>
      <c r="DF1661" s="891">
        <v>6</v>
      </c>
      <c r="DG1661" s="959"/>
      <c r="DH1661" s="959"/>
      <c r="ER1661" s="905">
        <v>6456</v>
      </c>
      <c r="ES1661" s="906" t="s">
        <v>2028</v>
      </c>
      <c r="ET1661" s="2686">
        <v>9</v>
      </c>
      <c r="EV1661" s="985"/>
      <c r="EW1661" s="985"/>
      <c r="EX1661" s="387"/>
      <c r="EY1661" s="939"/>
      <c r="EZ1661" s="886"/>
    </row>
    <row r="1662" spans="88:156">
      <c r="CJ1662" s="197"/>
      <c r="CK1662" s="197"/>
      <c r="CL1662" s="197"/>
      <c r="CM1662" s="213"/>
      <c r="CN1662" s="213"/>
      <c r="CO1662" s="197"/>
      <c r="CP1662" s="197"/>
      <c r="CQ1662" s="197"/>
      <c r="CR1662" s="197"/>
      <c r="CS1662" s="197"/>
      <c r="CT1662" s="197"/>
      <c r="CU1662" s="197"/>
      <c r="CV1662" s="197"/>
      <c r="CW1662" s="197"/>
      <c r="CX1662" s="959"/>
      <c r="CY1662" s="959"/>
      <c r="CZ1662" s="959"/>
      <c r="DA1662" s="959"/>
      <c r="DB1662" s="959"/>
      <c r="DC1662" s="891">
        <v>6035</v>
      </c>
      <c r="DD1662" s="891" t="s">
        <v>3318</v>
      </c>
      <c r="DE1662" s="891" t="s">
        <v>423</v>
      </c>
      <c r="DF1662" s="891">
        <v>6</v>
      </c>
      <c r="DG1662" s="959"/>
      <c r="DH1662" s="959"/>
      <c r="ER1662" s="905">
        <v>6500</v>
      </c>
      <c r="ES1662" s="906" t="s">
        <v>2029</v>
      </c>
      <c r="ET1662" s="2686">
        <v>9</v>
      </c>
      <c r="EV1662" s="985"/>
      <c r="EW1662" s="985"/>
      <c r="EX1662" s="387"/>
      <c r="EY1662" s="939"/>
      <c r="EZ1662" s="886"/>
    </row>
    <row r="1663" spans="88:156">
      <c r="CJ1663" s="197"/>
      <c r="CK1663" s="197"/>
      <c r="CL1663" s="197"/>
      <c r="CM1663" s="213"/>
      <c r="CN1663" s="213"/>
      <c r="CO1663" s="197"/>
      <c r="CP1663" s="197"/>
      <c r="CQ1663" s="197"/>
      <c r="CR1663" s="197"/>
      <c r="CS1663" s="197"/>
      <c r="CT1663" s="197"/>
      <c r="CU1663" s="197"/>
      <c r="CV1663" s="197"/>
      <c r="CW1663" s="197"/>
      <c r="CX1663" s="959"/>
      <c r="CY1663" s="959"/>
      <c r="CZ1663" s="959"/>
      <c r="DA1663" s="959"/>
      <c r="DB1663" s="959"/>
      <c r="DC1663" s="891">
        <v>6041</v>
      </c>
      <c r="DD1663" s="891" t="s">
        <v>2441</v>
      </c>
      <c r="DE1663" s="891" t="s">
        <v>423</v>
      </c>
      <c r="DF1663" s="891">
        <v>6</v>
      </c>
      <c r="DG1663" s="959"/>
      <c r="DH1663" s="959"/>
      <c r="ER1663" s="905">
        <v>6503</v>
      </c>
      <c r="ES1663" s="906" t="s">
        <v>1341</v>
      </c>
      <c r="ET1663" s="2686">
        <v>9</v>
      </c>
      <c r="EV1663" s="985"/>
      <c r="EW1663" s="985"/>
      <c r="EX1663" s="387"/>
      <c r="EY1663" s="939"/>
      <c r="EZ1663" s="886"/>
    </row>
    <row r="1664" spans="88:156">
      <c r="CJ1664" s="197"/>
      <c r="CK1664" s="197"/>
      <c r="CL1664" s="197"/>
      <c r="CM1664" s="213"/>
      <c r="CN1664" s="213"/>
      <c r="CO1664" s="197"/>
      <c r="CP1664" s="197"/>
      <c r="CQ1664" s="197"/>
      <c r="CR1664" s="197"/>
      <c r="CS1664" s="197"/>
      <c r="CT1664" s="197"/>
      <c r="CU1664" s="197"/>
      <c r="CV1664" s="197"/>
      <c r="CW1664" s="197"/>
      <c r="CX1664" s="959"/>
      <c r="CY1664" s="959"/>
      <c r="CZ1664" s="959"/>
      <c r="DA1664" s="959"/>
      <c r="DB1664" s="959"/>
      <c r="DC1664" s="891">
        <v>6042</v>
      </c>
      <c r="DD1664" s="891" t="s">
        <v>89</v>
      </c>
      <c r="DE1664" s="891" t="s">
        <v>423</v>
      </c>
      <c r="DF1664" s="891">
        <v>6</v>
      </c>
      <c r="DG1664" s="959"/>
      <c r="DH1664" s="959"/>
      <c r="ER1664" s="905">
        <v>6511</v>
      </c>
      <c r="ES1664" s="906" t="s">
        <v>2030</v>
      </c>
      <c r="ET1664" s="2686">
        <v>9</v>
      </c>
      <c r="EV1664" s="985"/>
      <c r="EW1664" s="985"/>
      <c r="EX1664" s="387"/>
      <c r="EY1664" s="939"/>
      <c r="EZ1664" s="886"/>
    </row>
    <row r="1665" spans="88:156">
      <c r="CJ1665" s="197"/>
      <c r="CK1665" s="197"/>
      <c r="CL1665" s="197"/>
      <c r="CM1665" s="213"/>
      <c r="CN1665" s="213"/>
      <c r="CO1665" s="197"/>
      <c r="CP1665" s="197"/>
      <c r="CQ1665" s="197"/>
      <c r="CR1665" s="197"/>
      <c r="CS1665" s="197"/>
      <c r="CT1665" s="197"/>
      <c r="CU1665" s="197"/>
      <c r="CV1665" s="197"/>
      <c r="CW1665" s="197"/>
      <c r="CX1665" s="959"/>
      <c r="CY1665" s="959"/>
      <c r="CZ1665" s="959"/>
      <c r="DA1665" s="959"/>
      <c r="DB1665" s="959"/>
      <c r="DC1665" s="891">
        <v>6043</v>
      </c>
      <c r="DD1665" s="891" t="s">
        <v>90</v>
      </c>
      <c r="DE1665" s="891" t="s">
        <v>423</v>
      </c>
      <c r="DF1665" s="891">
        <v>6</v>
      </c>
      <c r="DG1665" s="959"/>
      <c r="DH1665" s="959"/>
      <c r="ER1665" s="905">
        <v>6512</v>
      </c>
      <c r="ES1665" s="906" t="s">
        <v>2031</v>
      </c>
      <c r="ET1665" s="2686">
        <v>9</v>
      </c>
      <c r="EV1665" s="985"/>
      <c r="EW1665" s="985"/>
      <c r="EX1665" s="387"/>
      <c r="EY1665" s="939"/>
      <c r="EZ1665" s="886"/>
    </row>
    <row r="1666" spans="88:156">
      <c r="CJ1666" s="197"/>
      <c r="CK1666" s="197"/>
      <c r="CL1666" s="197"/>
      <c r="CM1666" s="213"/>
      <c r="CN1666" s="213"/>
      <c r="CO1666" s="197"/>
      <c r="CP1666" s="197"/>
      <c r="CQ1666" s="197"/>
      <c r="CR1666" s="197"/>
      <c r="CS1666" s="197"/>
      <c r="CT1666" s="197"/>
      <c r="CU1666" s="197"/>
      <c r="CV1666" s="197"/>
      <c r="CW1666" s="197"/>
      <c r="CX1666" s="959"/>
      <c r="CY1666" s="959"/>
      <c r="CZ1666" s="959"/>
      <c r="DA1666" s="959"/>
      <c r="DB1666" s="959"/>
      <c r="DC1666" s="891">
        <v>6044</v>
      </c>
      <c r="DD1666" s="891" t="s">
        <v>91</v>
      </c>
      <c r="DE1666" s="891" t="s">
        <v>423</v>
      </c>
      <c r="DF1666" s="891">
        <v>6</v>
      </c>
      <c r="DG1666" s="959"/>
      <c r="DH1666" s="959"/>
      <c r="ER1666" s="905">
        <v>6513</v>
      </c>
      <c r="ES1666" s="906" t="s">
        <v>2032</v>
      </c>
      <c r="ET1666" s="2686">
        <v>9</v>
      </c>
      <c r="EV1666" s="985"/>
      <c r="EW1666" s="985"/>
      <c r="EX1666" s="387"/>
      <c r="EY1666" s="939"/>
      <c r="EZ1666" s="886"/>
    </row>
    <row r="1667" spans="88:156">
      <c r="CJ1667" s="197"/>
      <c r="CK1667" s="197"/>
      <c r="CL1667" s="197"/>
      <c r="CM1667" s="213"/>
      <c r="CN1667" s="213"/>
      <c r="CO1667" s="197"/>
      <c r="CP1667" s="197"/>
      <c r="CQ1667" s="197"/>
      <c r="CR1667" s="197"/>
      <c r="CS1667" s="197"/>
      <c r="CT1667" s="197"/>
      <c r="CU1667" s="197"/>
      <c r="CV1667" s="197"/>
      <c r="CW1667" s="197"/>
      <c r="CX1667" s="959"/>
      <c r="CY1667" s="959"/>
      <c r="CZ1667" s="959"/>
      <c r="DA1667" s="959"/>
      <c r="DB1667" s="959"/>
      <c r="DC1667" s="891">
        <v>6045</v>
      </c>
      <c r="DD1667" s="891" t="s">
        <v>92</v>
      </c>
      <c r="DE1667" s="891" t="s">
        <v>423</v>
      </c>
      <c r="DF1667" s="891">
        <v>6</v>
      </c>
      <c r="DG1667" s="959"/>
      <c r="DH1667" s="959"/>
      <c r="ER1667" s="905">
        <v>6521</v>
      </c>
      <c r="ES1667" s="906" t="s">
        <v>2033</v>
      </c>
      <c r="ET1667" s="2686">
        <v>9</v>
      </c>
      <c r="EV1667" s="985"/>
      <c r="EW1667" s="985"/>
      <c r="EX1667" s="387"/>
      <c r="EY1667" s="939"/>
      <c r="EZ1667" s="886"/>
    </row>
    <row r="1668" spans="88:156">
      <c r="CJ1668" s="197"/>
      <c r="CK1668" s="197"/>
      <c r="CL1668" s="197"/>
      <c r="CM1668" s="213"/>
      <c r="CN1668" s="213"/>
      <c r="CO1668" s="197"/>
      <c r="CP1668" s="197"/>
      <c r="CQ1668" s="197"/>
      <c r="CR1668" s="197"/>
      <c r="CS1668" s="197"/>
      <c r="CT1668" s="197"/>
      <c r="CU1668" s="197"/>
      <c r="CV1668" s="197"/>
      <c r="CW1668" s="197"/>
      <c r="CX1668" s="959"/>
      <c r="CY1668" s="959"/>
      <c r="CZ1668" s="959"/>
      <c r="DA1668" s="959"/>
      <c r="DB1668" s="959"/>
      <c r="DC1668" s="891">
        <v>6050</v>
      </c>
      <c r="DD1668" s="891" t="s">
        <v>93</v>
      </c>
      <c r="DE1668" s="891" t="s">
        <v>423</v>
      </c>
      <c r="DF1668" s="891">
        <v>6</v>
      </c>
      <c r="DG1668" s="959"/>
      <c r="DH1668" s="959"/>
      <c r="ER1668" s="905">
        <v>6522</v>
      </c>
      <c r="ES1668" s="906" t="s">
        <v>2034</v>
      </c>
      <c r="ET1668" s="2686">
        <v>9</v>
      </c>
      <c r="EV1668" s="985"/>
      <c r="EW1668" s="985"/>
      <c r="EX1668" s="387"/>
      <c r="EY1668" s="939"/>
      <c r="EZ1668" s="886"/>
    </row>
    <row r="1669" spans="88:156">
      <c r="CJ1669" s="197"/>
      <c r="CK1669" s="197"/>
      <c r="CL1669" s="197"/>
      <c r="CM1669" s="213"/>
      <c r="CN1669" s="213"/>
      <c r="CO1669" s="197"/>
      <c r="CP1669" s="197"/>
      <c r="CQ1669" s="197"/>
      <c r="CR1669" s="197"/>
      <c r="CS1669" s="197"/>
      <c r="CT1669" s="197"/>
      <c r="CU1669" s="197"/>
      <c r="CV1669" s="197"/>
      <c r="CW1669" s="197"/>
      <c r="CX1669" s="959"/>
      <c r="CY1669" s="959"/>
      <c r="CZ1669" s="959"/>
      <c r="DA1669" s="959"/>
      <c r="DB1669" s="959"/>
      <c r="DC1669" s="891">
        <v>6055</v>
      </c>
      <c r="DD1669" s="891" t="s">
        <v>94</v>
      </c>
      <c r="DE1669" s="891" t="s">
        <v>423</v>
      </c>
      <c r="DF1669" s="891">
        <v>6</v>
      </c>
      <c r="DG1669" s="959"/>
      <c r="DH1669" s="959"/>
      <c r="ER1669" s="905">
        <v>6523</v>
      </c>
      <c r="ES1669" s="906" t="s">
        <v>2035</v>
      </c>
      <c r="ET1669" s="2686">
        <v>9</v>
      </c>
      <c r="EV1669" s="985"/>
      <c r="EW1669" s="985"/>
      <c r="EX1669" s="387"/>
      <c r="EY1669" s="939"/>
      <c r="EZ1669" s="886"/>
    </row>
    <row r="1670" spans="88:156">
      <c r="CJ1670" s="197"/>
      <c r="CK1670" s="197"/>
      <c r="CL1670" s="197"/>
      <c r="CM1670" s="213"/>
      <c r="CN1670" s="213"/>
      <c r="CO1670" s="197"/>
      <c r="CP1670" s="197"/>
      <c r="CQ1670" s="197"/>
      <c r="CR1670" s="197"/>
      <c r="CS1670" s="197"/>
      <c r="CT1670" s="197"/>
      <c r="CU1670" s="197"/>
      <c r="CV1670" s="197"/>
      <c r="CW1670" s="197"/>
      <c r="CX1670" s="959"/>
      <c r="CY1670" s="959"/>
      <c r="CZ1670" s="959"/>
      <c r="DA1670" s="959"/>
      <c r="DB1670" s="959"/>
      <c r="DC1670" s="891">
        <v>6060</v>
      </c>
      <c r="DD1670" s="891" t="s">
        <v>95</v>
      </c>
      <c r="DE1670" s="891" t="s">
        <v>435</v>
      </c>
      <c r="DF1670" s="891">
        <v>6</v>
      </c>
      <c r="DG1670" s="959"/>
      <c r="DH1670" s="959"/>
      <c r="ER1670" s="905">
        <v>6524</v>
      </c>
      <c r="ES1670" s="906" t="s">
        <v>2036</v>
      </c>
      <c r="ET1670" s="2686">
        <v>9</v>
      </c>
      <c r="EV1670" s="985"/>
      <c r="EW1670" s="985"/>
      <c r="EX1670" s="387"/>
      <c r="EY1670" s="939"/>
      <c r="EZ1670" s="886"/>
    </row>
    <row r="1671" spans="88:156">
      <c r="CJ1671" s="197"/>
      <c r="CK1671" s="197"/>
      <c r="CL1671" s="197"/>
      <c r="CM1671" s="213"/>
      <c r="CN1671" s="213"/>
      <c r="CO1671" s="197"/>
      <c r="CP1671" s="197"/>
      <c r="CQ1671" s="197"/>
      <c r="CR1671" s="197"/>
      <c r="CS1671" s="197"/>
      <c r="CT1671" s="197"/>
      <c r="CU1671" s="197"/>
      <c r="CV1671" s="197"/>
      <c r="CW1671" s="197"/>
      <c r="CX1671" s="959"/>
      <c r="CY1671" s="959"/>
      <c r="CZ1671" s="959"/>
      <c r="DA1671" s="959"/>
      <c r="DB1671" s="959"/>
      <c r="DC1671" s="891">
        <v>6062</v>
      </c>
      <c r="DD1671" s="891" t="s">
        <v>96</v>
      </c>
      <c r="DE1671" s="891" t="s">
        <v>423</v>
      </c>
      <c r="DF1671" s="891">
        <v>6</v>
      </c>
      <c r="DG1671" s="959"/>
      <c r="DH1671" s="959"/>
      <c r="ER1671" s="905">
        <v>6525</v>
      </c>
      <c r="ES1671" s="906" t="s">
        <v>2037</v>
      </c>
      <c r="ET1671" s="2686">
        <v>9</v>
      </c>
      <c r="EV1671" s="985"/>
      <c r="EW1671" s="985"/>
      <c r="EX1671" s="387"/>
      <c r="EY1671" s="939"/>
      <c r="EZ1671" s="886"/>
    </row>
    <row r="1672" spans="88:156">
      <c r="CJ1672" s="197"/>
      <c r="CK1672" s="197"/>
      <c r="CL1672" s="197"/>
      <c r="CM1672" s="213"/>
      <c r="CN1672" s="213"/>
      <c r="CO1672" s="197"/>
      <c r="CP1672" s="197"/>
      <c r="CQ1672" s="197"/>
      <c r="CR1672" s="197"/>
      <c r="CS1672" s="197"/>
      <c r="CT1672" s="197"/>
      <c r="CU1672" s="197"/>
      <c r="CV1672" s="197"/>
      <c r="CW1672" s="197"/>
      <c r="CX1672" s="959"/>
      <c r="CY1672" s="959"/>
      <c r="CZ1672" s="959"/>
      <c r="DA1672" s="959"/>
      <c r="DB1672" s="959"/>
      <c r="DC1672" s="891">
        <v>6064</v>
      </c>
      <c r="DD1672" s="891" t="s">
        <v>97</v>
      </c>
      <c r="DE1672" s="891" t="s">
        <v>419</v>
      </c>
      <c r="DF1672" s="891">
        <v>6</v>
      </c>
      <c r="DG1672" s="959"/>
      <c r="DH1672" s="959"/>
      <c r="ER1672" s="905">
        <v>6527</v>
      </c>
      <c r="ES1672" s="906" t="s">
        <v>2038</v>
      </c>
      <c r="ET1672" s="2686">
        <v>9</v>
      </c>
      <c r="EV1672" s="985"/>
      <c r="EW1672" s="985"/>
      <c r="EX1672" s="387"/>
      <c r="EY1672" s="939"/>
      <c r="EZ1672" s="886"/>
    </row>
    <row r="1673" spans="88:156">
      <c r="CJ1673" s="197"/>
      <c r="CK1673" s="197"/>
      <c r="CL1673" s="197"/>
      <c r="CM1673" s="213"/>
      <c r="CN1673" s="213"/>
      <c r="CO1673" s="197"/>
      <c r="CP1673" s="197"/>
      <c r="CQ1673" s="197"/>
      <c r="CR1673" s="197"/>
      <c r="CS1673" s="197"/>
      <c r="CT1673" s="197"/>
      <c r="CU1673" s="197"/>
      <c r="CV1673" s="197"/>
      <c r="CW1673" s="197"/>
      <c r="CX1673" s="959"/>
      <c r="CY1673" s="959"/>
      <c r="CZ1673" s="959"/>
      <c r="DA1673" s="959"/>
      <c r="DB1673" s="959"/>
      <c r="DC1673" s="891">
        <v>6065</v>
      </c>
      <c r="DD1673" s="891" t="s">
        <v>98</v>
      </c>
      <c r="DE1673" s="891" t="s">
        <v>419</v>
      </c>
      <c r="DF1673" s="891">
        <v>6</v>
      </c>
      <c r="DG1673" s="959"/>
      <c r="DH1673" s="959"/>
      <c r="ER1673" s="905">
        <v>6528</v>
      </c>
      <c r="ES1673" s="906" t="s">
        <v>2039</v>
      </c>
      <c r="ET1673" s="2686">
        <v>9</v>
      </c>
      <c r="EV1673" s="985"/>
      <c r="EW1673" s="985"/>
      <c r="EX1673" s="387"/>
      <c r="EY1673" s="939"/>
      <c r="EZ1673" s="886"/>
    </row>
    <row r="1674" spans="88:156">
      <c r="CJ1674" s="197"/>
      <c r="CK1674" s="197"/>
      <c r="CL1674" s="197"/>
      <c r="CM1674" s="213"/>
      <c r="CN1674" s="213"/>
      <c r="CO1674" s="197"/>
      <c r="CP1674" s="197"/>
      <c r="CQ1674" s="197"/>
      <c r="CR1674" s="197"/>
      <c r="CS1674" s="197"/>
      <c r="CT1674" s="197"/>
      <c r="CU1674" s="197"/>
      <c r="CV1674" s="197"/>
      <c r="CW1674" s="197"/>
      <c r="CX1674" s="959"/>
      <c r="CY1674" s="959"/>
      <c r="CZ1674" s="959"/>
      <c r="DA1674" s="959"/>
      <c r="DB1674" s="959"/>
      <c r="DC1674" s="891">
        <v>6066</v>
      </c>
      <c r="DD1674" s="891" t="s">
        <v>99</v>
      </c>
      <c r="DE1674" s="891" t="s">
        <v>417</v>
      </c>
      <c r="DF1674" s="891">
        <v>6</v>
      </c>
      <c r="DG1674" s="959"/>
      <c r="DH1674" s="959"/>
      <c r="ER1674" s="905">
        <v>6600</v>
      </c>
      <c r="ES1674" s="906" t="s">
        <v>2040</v>
      </c>
      <c r="ET1674" s="2686">
        <v>9</v>
      </c>
      <c r="EV1674" s="985"/>
      <c r="EW1674" s="985"/>
      <c r="EX1674" s="387"/>
      <c r="EY1674" s="939"/>
      <c r="EZ1674" s="886"/>
    </row>
    <row r="1675" spans="88:156">
      <c r="CJ1675" s="197"/>
      <c r="CK1675" s="197"/>
      <c r="CL1675" s="197"/>
      <c r="CM1675" s="213"/>
      <c r="CN1675" s="213"/>
      <c r="CO1675" s="197"/>
      <c r="CP1675" s="197"/>
      <c r="CQ1675" s="197"/>
      <c r="CR1675" s="197"/>
      <c r="CS1675" s="197"/>
      <c r="CT1675" s="197"/>
      <c r="CU1675" s="197"/>
      <c r="CV1675" s="197"/>
      <c r="CW1675" s="197"/>
      <c r="CX1675" s="959"/>
      <c r="CY1675" s="959"/>
      <c r="CZ1675" s="959"/>
      <c r="DA1675" s="959"/>
      <c r="DB1675" s="959"/>
      <c r="DC1675" s="891">
        <v>6067</v>
      </c>
      <c r="DD1675" s="891" t="s">
        <v>100</v>
      </c>
      <c r="DE1675" s="891" t="s">
        <v>417</v>
      </c>
      <c r="DF1675" s="891">
        <v>6</v>
      </c>
      <c r="DG1675" s="959"/>
      <c r="DH1675" s="959"/>
      <c r="ER1675" s="905">
        <v>6612</v>
      </c>
      <c r="ES1675" s="906" t="s">
        <v>2042</v>
      </c>
      <c r="ET1675" s="2686">
        <v>9</v>
      </c>
      <c r="EV1675" s="985"/>
      <c r="EW1675" s="985"/>
      <c r="EX1675" s="387"/>
      <c r="EY1675" s="939"/>
      <c r="EZ1675" s="886"/>
    </row>
    <row r="1676" spans="88:156">
      <c r="CJ1676" s="197"/>
      <c r="CK1676" s="197"/>
      <c r="CL1676" s="197"/>
      <c r="CM1676" s="213"/>
      <c r="CN1676" s="213"/>
      <c r="CO1676" s="197"/>
      <c r="CP1676" s="197"/>
      <c r="CQ1676" s="197"/>
      <c r="CR1676" s="197"/>
      <c r="CS1676" s="197"/>
      <c r="CT1676" s="197"/>
      <c r="CU1676" s="197"/>
      <c r="CV1676" s="197"/>
      <c r="CW1676" s="197"/>
      <c r="CX1676" s="959"/>
      <c r="CY1676" s="959"/>
      <c r="CZ1676" s="959"/>
      <c r="DA1676" s="959"/>
      <c r="DB1676" s="959"/>
      <c r="DC1676" s="891">
        <v>6070</v>
      </c>
      <c r="DD1676" s="891" t="s">
        <v>101</v>
      </c>
      <c r="DE1676" s="891" t="s">
        <v>417</v>
      </c>
      <c r="DF1676" s="891">
        <v>6</v>
      </c>
      <c r="DG1676" s="959"/>
      <c r="DH1676" s="959"/>
      <c r="ER1676" s="905">
        <v>6621</v>
      </c>
      <c r="ES1676" s="906" t="s">
        <v>2044</v>
      </c>
      <c r="ET1676" s="2686">
        <v>9</v>
      </c>
      <c r="EV1676" s="985"/>
      <c r="EW1676" s="985"/>
      <c r="EX1676" s="387"/>
      <c r="EY1676" s="939"/>
      <c r="EZ1676" s="886"/>
    </row>
    <row r="1677" spans="88:156">
      <c r="CJ1677" s="197"/>
      <c r="CK1677" s="197"/>
      <c r="CL1677" s="197"/>
      <c r="CM1677" s="213"/>
      <c r="CN1677" s="213"/>
      <c r="CO1677" s="197"/>
      <c r="CP1677" s="197"/>
      <c r="CQ1677" s="197"/>
      <c r="CR1677" s="197"/>
      <c r="CS1677" s="197"/>
      <c r="CT1677" s="197"/>
      <c r="CU1677" s="197"/>
      <c r="CV1677" s="197"/>
      <c r="CW1677" s="197"/>
      <c r="CX1677" s="959"/>
      <c r="CY1677" s="959"/>
      <c r="CZ1677" s="959"/>
      <c r="DA1677" s="959"/>
      <c r="DB1677" s="959"/>
      <c r="DC1677" s="891">
        <v>6075</v>
      </c>
      <c r="DD1677" s="891" t="s">
        <v>102</v>
      </c>
      <c r="DE1677" s="891" t="s">
        <v>417</v>
      </c>
      <c r="DF1677" s="891">
        <v>6</v>
      </c>
      <c r="DG1677" s="959"/>
      <c r="DH1677" s="959"/>
      <c r="ER1677" s="905">
        <v>6622</v>
      </c>
      <c r="ES1677" s="906" t="s">
        <v>2045</v>
      </c>
      <c r="ET1677" s="2686">
        <v>9</v>
      </c>
      <c r="EV1677" s="985"/>
      <c r="EW1677" s="985"/>
      <c r="EX1677" s="387"/>
      <c r="EY1677" s="939"/>
      <c r="EZ1677" s="886"/>
    </row>
    <row r="1678" spans="88:156">
      <c r="CJ1678" s="197"/>
      <c r="CK1678" s="197"/>
      <c r="CL1678" s="197"/>
      <c r="CM1678" s="213"/>
      <c r="CN1678" s="213"/>
      <c r="CO1678" s="197"/>
      <c r="CP1678" s="197"/>
      <c r="CQ1678" s="197"/>
      <c r="CR1678" s="197"/>
      <c r="CS1678" s="197"/>
      <c r="CT1678" s="197"/>
      <c r="CU1678" s="197"/>
      <c r="CV1678" s="197"/>
      <c r="CW1678" s="197"/>
      <c r="CX1678" s="959"/>
      <c r="CY1678" s="959"/>
      <c r="CZ1678" s="959"/>
      <c r="DA1678" s="959"/>
      <c r="DB1678" s="959"/>
      <c r="DC1678" s="891">
        <v>6076</v>
      </c>
      <c r="DD1678" s="891" t="s">
        <v>103</v>
      </c>
      <c r="DE1678" s="891" t="s">
        <v>423</v>
      </c>
      <c r="DF1678" s="891">
        <v>6</v>
      </c>
      <c r="DG1678" s="959"/>
      <c r="DH1678" s="959"/>
      <c r="ER1678" s="905">
        <v>6623</v>
      </c>
      <c r="ES1678" s="906" t="s">
        <v>2046</v>
      </c>
      <c r="ET1678" s="2686">
        <v>9</v>
      </c>
      <c r="EV1678" s="985"/>
      <c r="EW1678" s="985"/>
      <c r="EX1678" s="387"/>
      <c r="EY1678" s="939"/>
      <c r="EZ1678" s="886"/>
    </row>
    <row r="1679" spans="88:156">
      <c r="CJ1679" s="197"/>
      <c r="CK1679" s="197"/>
      <c r="CL1679" s="197"/>
      <c r="CM1679" s="213"/>
      <c r="CN1679" s="213"/>
      <c r="CO1679" s="197"/>
      <c r="CP1679" s="197"/>
      <c r="CQ1679" s="197"/>
      <c r="CR1679" s="197"/>
      <c r="CS1679" s="197"/>
      <c r="CT1679" s="197"/>
      <c r="CU1679" s="197"/>
      <c r="CV1679" s="197"/>
      <c r="CW1679" s="197"/>
      <c r="CX1679" s="959"/>
      <c r="CY1679" s="959"/>
      <c r="CZ1679" s="959"/>
      <c r="DA1679" s="959"/>
      <c r="DB1679" s="959"/>
      <c r="DC1679" s="891">
        <v>6077</v>
      </c>
      <c r="DD1679" s="891" t="s">
        <v>104</v>
      </c>
      <c r="DE1679" s="891" t="s">
        <v>410</v>
      </c>
      <c r="DF1679" s="891">
        <v>6</v>
      </c>
      <c r="DG1679" s="959"/>
      <c r="DH1679" s="959"/>
      <c r="ER1679" s="905">
        <v>6624</v>
      </c>
      <c r="ES1679" s="906" t="s">
        <v>2047</v>
      </c>
      <c r="ET1679" s="2686">
        <v>9</v>
      </c>
      <c r="EV1679" s="985"/>
      <c r="EW1679" s="985"/>
      <c r="EX1679" s="387"/>
      <c r="EY1679" s="939"/>
      <c r="EZ1679" s="886"/>
    </row>
    <row r="1680" spans="88:156">
      <c r="CJ1680" s="197"/>
      <c r="CK1680" s="197"/>
      <c r="CL1680" s="197"/>
      <c r="CM1680" s="213"/>
      <c r="CN1680" s="213"/>
      <c r="CO1680" s="197"/>
      <c r="CP1680" s="197"/>
      <c r="CQ1680" s="197"/>
      <c r="CR1680" s="197"/>
      <c r="CS1680" s="197"/>
      <c r="CT1680" s="197"/>
      <c r="CU1680" s="197"/>
      <c r="CV1680" s="197"/>
      <c r="CW1680" s="197"/>
      <c r="CX1680" s="959"/>
      <c r="CY1680" s="959"/>
      <c r="CZ1680" s="959"/>
      <c r="DA1680" s="959"/>
      <c r="DB1680" s="959"/>
      <c r="DC1680" s="891">
        <v>6078</v>
      </c>
      <c r="DD1680" s="891" t="s">
        <v>105</v>
      </c>
      <c r="DE1680" s="891" t="s">
        <v>423</v>
      </c>
      <c r="DF1680" s="891">
        <v>6</v>
      </c>
      <c r="DG1680" s="959"/>
      <c r="DH1680" s="959"/>
      <c r="ER1680" s="905">
        <v>6625</v>
      </c>
      <c r="ES1680" s="906" t="s">
        <v>2048</v>
      </c>
      <c r="ET1680" s="2686">
        <v>9</v>
      </c>
      <c r="EV1680" s="985"/>
      <c r="EW1680" s="985"/>
      <c r="EX1680" s="387"/>
      <c r="EY1680" s="939"/>
      <c r="EZ1680" s="886"/>
    </row>
    <row r="1681" spans="88:156">
      <c r="CJ1681" s="197"/>
      <c r="CK1681" s="197"/>
      <c r="CL1681" s="197"/>
      <c r="CM1681" s="213"/>
      <c r="CN1681" s="213"/>
      <c r="CO1681" s="197"/>
      <c r="CP1681" s="197"/>
      <c r="CQ1681" s="197"/>
      <c r="CR1681" s="197"/>
      <c r="CS1681" s="197"/>
      <c r="CT1681" s="197"/>
      <c r="CU1681" s="197"/>
      <c r="CV1681" s="197"/>
      <c r="CW1681" s="197"/>
      <c r="CX1681" s="959"/>
      <c r="CY1681" s="959"/>
      <c r="CZ1681" s="959"/>
      <c r="DA1681" s="959"/>
      <c r="DB1681" s="959"/>
      <c r="DC1681" s="891">
        <v>6080</v>
      </c>
      <c r="DD1681" s="891" t="s">
        <v>1804</v>
      </c>
      <c r="DE1681" s="891" t="s">
        <v>421</v>
      </c>
      <c r="DF1681" s="891">
        <v>6</v>
      </c>
      <c r="DG1681" s="959"/>
      <c r="DH1681" s="959"/>
      <c r="ER1681" s="905">
        <v>6630</v>
      </c>
      <c r="ES1681" s="906" t="s">
        <v>2049</v>
      </c>
      <c r="ET1681" s="2686">
        <v>9</v>
      </c>
      <c r="EV1681" s="985"/>
      <c r="EW1681" s="985"/>
      <c r="EX1681" s="387"/>
      <c r="EY1681" s="939"/>
      <c r="EZ1681" s="886"/>
    </row>
    <row r="1682" spans="88:156">
      <c r="CJ1682" s="197"/>
      <c r="CK1682" s="197"/>
      <c r="CL1682" s="197"/>
      <c r="CM1682" s="213"/>
      <c r="CN1682" s="213"/>
      <c r="CO1682" s="197"/>
      <c r="CP1682" s="197"/>
      <c r="CQ1682" s="197"/>
      <c r="CR1682" s="197"/>
      <c r="CS1682" s="197"/>
      <c r="CT1682" s="197"/>
      <c r="CU1682" s="197"/>
      <c r="CV1682" s="197"/>
      <c r="CW1682" s="197"/>
      <c r="CX1682" s="959"/>
      <c r="CY1682" s="959"/>
      <c r="CZ1682" s="959"/>
      <c r="DA1682" s="959"/>
      <c r="DB1682" s="959"/>
      <c r="DC1682" s="891">
        <v>6085</v>
      </c>
      <c r="DD1682" s="891" t="s">
        <v>1805</v>
      </c>
      <c r="DE1682" s="891" t="s">
        <v>419</v>
      </c>
      <c r="DF1682" s="891">
        <v>6</v>
      </c>
      <c r="DG1682" s="959"/>
      <c r="DH1682" s="959"/>
      <c r="ER1682" s="905">
        <v>6635</v>
      </c>
      <c r="ES1682" s="906" t="s">
        <v>2050</v>
      </c>
      <c r="ET1682" s="2686">
        <v>9</v>
      </c>
      <c r="EV1682" s="985"/>
      <c r="EW1682" s="985"/>
      <c r="EX1682" s="387"/>
      <c r="EY1682" s="939"/>
      <c r="EZ1682" s="886"/>
    </row>
    <row r="1683" spans="88:156">
      <c r="CJ1683" s="197"/>
      <c r="CK1683" s="197"/>
      <c r="CL1683" s="197"/>
      <c r="CM1683" s="213"/>
      <c r="CN1683" s="213"/>
      <c r="CO1683" s="197"/>
      <c r="CP1683" s="197"/>
      <c r="CQ1683" s="197"/>
      <c r="CR1683" s="197"/>
      <c r="CS1683" s="197"/>
      <c r="CT1683" s="197"/>
      <c r="CU1683" s="197"/>
      <c r="CV1683" s="197"/>
      <c r="CW1683" s="197"/>
      <c r="CX1683" s="959"/>
      <c r="CY1683" s="959"/>
      <c r="CZ1683" s="959"/>
      <c r="DA1683" s="959"/>
      <c r="DB1683" s="959"/>
      <c r="DC1683" s="891">
        <v>6086</v>
      </c>
      <c r="DD1683" s="891" t="s">
        <v>1806</v>
      </c>
      <c r="DE1683" s="891" t="s">
        <v>2808</v>
      </c>
      <c r="DF1683" s="891">
        <v>6</v>
      </c>
      <c r="DG1683" s="959"/>
      <c r="DH1683" s="959"/>
      <c r="ER1683" s="905">
        <v>6636</v>
      </c>
      <c r="ES1683" s="906" t="s">
        <v>2051</v>
      </c>
      <c r="ET1683" s="2686">
        <v>9</v>
      </c>
      <c r="EV1683" s="985"/>
      <c r="EW1683" s="985"/>
      <c r="EX1683" s="387"/>
      <c r="EY1683" s="939"/>
      <c r="EZ1683" s="886"/>
    </row>
    <row r="1684" spans="88:156">
      <c r="CJ1684" s="197"/>
      <c r="CK1684" s="197"/>
      <c r="CL1684" s="197"/>
      <c r="CM1684" s="213"/>
      <c r="CN1684" s="213"/>
      <c r="CO1684" s="197"/>
      <c r="CP1684" s="197"/>
      <c r="CQ1684" s="197"/>
      <c r="CR1684" s="197"/>
      <c r="CS1684" s="197"/>
      <c r="CT1684" s="197"/>
      <c r="CU1684" s="197"/>
      <c r="CV1684" s="197"/>
      <c r="CW1684" s="197"/>
      <c r="CX1684" s="959"/>
      <c r="CY1684" s="959"/>
      <c r="CZ1684" s="959"/>
      <c r="DA1684" s="959"/>
      <c r="DB1684" s="959"/>
      <c r="DC1684" s="891">
        <v>6087</v>
      </c>
      <c r="DD1684" s="891" t="s">
        <v>1807</v>
      </c>
      <c r="DE1684" s="891" t="s">
        <v>2808</v>
      </c>
      <c r="DF1684" s="891">
        <v>6</v>
      </c>
      <c r="DG1684" s="959"/>
      <c r="DH1684" s="959"/>
      <c r="ER1684" s="905">
        <v>6640</v>
      </c>
      <c r="ES1684" s="906" t="s">
        <v>431</v>
      </c>
      <c r="ET1684" s="2686">
        <v>9</v>
      </c>
      <c r="EV1684" s="985"/>
      <c r="EW1684" s="985"/>
      <c r="EX1684" s="387"/>
      <c r="EY1684" s="939"/>
      <c r="EZ1684" s="886"/>
    </row>
    <row r="1685" spans="88:156">
      <c r="CJ1685" s="197"/>
      <c r="CK1685" s="197"/>
      <c r="CL1685" s="197"/>
      <c r="CM1685" s="213"/>
      <c r="CN1685" s="213"/>
      <c r="CO1685" s="197"/>
      <c r="CP1685" s="197"/>
      <c r="CQ1685" s="197"/>
      <c r="CR1685" s="197"/>
      <c r="CS1685" s="197"/>
      <c r="CT1685" s="197"/>
      <c r="CU1685" s="197"/>
      <c r="CV1685" s="197"/>
      <c r="CW1685" s="197"/>
      <c r="CX1685" s="959"/>
      <c r="CY1685" s="959"/>
      <c r="CZ1685" s="959"/>
      <c r="DA1685" s="959"/>
      <c r="DB1685" s="959"/>
      <c r="DC1685" s="891">
        <v>6088</v>
      </c>
      <c r="DD1685" s="891" t="s">
        <v>1808</v>
      </c>
      <c r="DE1685" s="891" t="s">
        <v>2808</v>
      </c>
      <c r="DF1685" s="891">
        <v>6</v>
      </c>
      <c r="DG1685" s="959"/>
      <c r="DH1685" s="959"/>
      <c r="ER1685" s="905">
        <v>6645</v>
      </c>
      <c r="ES1685" s="906" t="s">
        <v>2052</v>
      </c>
      <c r="ET1685" s="2686">
        <v>9</v>
      </c>
      <c r="EV1685" s="985"/>
      <c r="EW1685" s="985"/>
      <c r="EX1685" s="387"/>
      <c r="EY1685" s="939"/>
      <c r="EZ1685" s="886"/>
    </row>
    <row r="1686" spans="88:156">
      <c r="CJ1686" s="197"/>
      <c r="CK1686" s="197"/>
      <c r="CL1686" s="197"/>
      <c r="CM1686" s="213"/>
      <c r="CN1686" s="213"/>
      <c r="CO1686" s="197"/>
      <c r="CP1686" s="197"/>
      <c r="CQ1686" s="197"/>
      <c r="CR1686" s="197"/>
      <c r="CS1686" s="197"/>
      <c r="CT1686" s="197"/>
      <c r="CU1686" s="197"/>
      <c r="CV1686" s="197"/>
      <c r="CW1686" s="197"/>
      <c r="CX1686" s="959"/>
      <c r="CY1686" s="959"/>
      <c r="CZ1686" s="959"/>
      <c r="DA1686" s="959"/>
      <c r="DB1686" s="959"/>
      <c r="DC1686" s="891">
        <v>6090</v>
      </c>
      <c r="DD1686" s="891" t="s">
        <v>1809</v>
      </c>
      <c r="DE1686" s="891" t="s">
        <v>2808</v>
      </c>
      <c r="DF1686" s="891">
        <v>6</v>
      </c>
      <c r="DG1686" s="959"/>
      <c r="DH1686" s="959"/>
      <c r="ER1686" s="905">
        <v>6646</v>
      </c>
      <c r="ES1686" s="906" t="s">
        <v>2053</v>
      </c>
      <c r="ET1686" s="2686">
        <v>9</v>
      </c>
      <c r="EV1686" s="985"/>
      <c r="EW1686" s="985"/>
      <c r="EX1686" s="387"/>
      <c r="EY1686" s="939"/>
      <c r="EZ1686" s="886"/>
    </row>
    <row r="1687" spans="88:156">
      <c r="CJ1687" s="197"/>
      <c r="CK1687" s="197"/>
      <c r="CL1687" s="197"/>
      <c r="CM1687" s="213"/>
      <c r="CN1687" s="213"/>
      <c r="CO1687" s="197"/>
      <c r="CP1687" s="197"/>
      <c r="CQ1687" s="197"/>
      <c r="CR1687" s="197"/>
      <c r="CS1687" s="197"/>
      <c r="CT1687" s="197"/>
      <c r="CU1687" s="197"/>
      <c r="CV1687" s="197"/>
      <c r="CW1687" s="197"/>
      <c r="CX1687" s="959"/>
      <c r="CY1687" s="959"/>
      <c r="CZ1687" s="959"/>
      <c r="DA1687" s="959"/>
      <c r="DB1687" s="959"/>
      <c r="DC1687" s="891">
        <v>6096</v>
      </c>
      <c r="DD1687" s="891" t="s">
        <v>1810</v>
      </c>
      <c r="DE1687" s="891" t="s">
        <v>2808</v>
      </c>
      <c r="DF1687" s="891">
        <v>6</v>
      </c>
      <c r="DG1687" s="959"/>
      <c r="DH1687" s="959"/>
      <c r="ER1687" s="905">
        <v>6647</v>
      </c>
      <c r="ES1687" s="906" t="s">
        <v>2054</v>
      </c>
      <c r="ET1687" s="2686">
        <v>9</v>
      </c>
      <c r="EV1687" s="985"/>
      <c r="EW1687" s="985"/>
      <c r="EX1687" s="387"/>
      <c r="EY1687" s="939"/>
      <c r="EZ1687" s="886"/>
    </row>
    <row r="1688" spans="88:156">
      <c r="CJ1688" s="197"/>
      <c r="CK1688" s="197"/>
      <c r="CL1688" s="197"/>
      <c r="CM1688" s="213"/>
      <c r="CN1688" s="213"/>
      <c r="CO1688" s="197"/>
      <c r="CP1688" s="197"/>
      <c r="CQ1688" s="197"/>
      <c r="CR1688" s="197"/>
      <c r="CS1688" s="197"/>
      <c r="CT1688" s="197"/>
      <c r="CU1688" s="197"/>
      <c r="CV1688" s="197"/>
      <c r="CW1688" s="197"/>
      <c r="CX1688" s="959"/>
      <c r="CY1688" s="959"/>
      <c r="CZ1688" s="959"/>
      <c r="DA1688" s="959"/>
      <c r="DB1688" s="959"/>
      <c r="DC1688" s="891">
        <v>6097</v>
      </c>
      <c r="DD1688" s="891" t="s">
        <v>1811</v>
      </c>
      <c r="DE1688" s="891" t="s">
        <v>406</v>
      </c>
      <c r="DF1688" s="891">
        <v>6</v>
      </c>
      <c r="DG1688" s="959"/>
      <c r="DH1688" s="959"/>
      <c r="ER1688" s="905">
        <v>6648</v>
      </c>
      <c r="ES1688" s="906" t="s">
        <v>2055</v>
      </c>
      <c r="ET1688" s="2686">
        <v>9</v>
      </c>
      <c r="EV1688" s="985"/>
      <c r="EW1688" s="985"/>
      <c r="EX1688" s="387"/>
      <c r="EY1688" s="939"/>
      <c r="EZ1688" s="886"/>
    </row>
    <row r="1689" spans="88:156">
      <c r="CJ1689" s="197"/>
      <c r="CK1689" s="197"/>
      <c r="CL1689" s="197"/>
      <c r="CM1689" s="213"/>
      <c r="CN1689" s="213"/>
      <c r="CO1689" s="197"/>
      <c r="CP1689" s="197"/>
      <c r="CQ1689" s="197"/>
      <c r="CR1689" s="197"/>
      <c r="CS1689" s="197"/>
      <c r="CT1689" s="197"/>
      <c r="CU1689" s="197"/>
      <c r="CV1689" s="197"/>
      <c r="CW1689" s="197"/>
      <c r="CX1689" s="959"/>
      <c r="CY1689" s="959"/>
      <c r="CZ1689" s="959"/>
      <c r="DA1689" s="959"/>
      <c r="DB1689" s="959"/>
      <c r="DC1689" s="891">
        <v>6098</v>
      </c>
      <c r="DD1689" s="891" t="s">
        <v>1812</v>
      </c>
      <c r="DE1689" s="891" t="s">
        <v>404</v>
      </c>
      <c r="DF1689" s="891">
        <v>6</v>
      </c>
      <c r="DG1689" s="959"/>
      <c r="DH1689" s="959"/>
      <c r="ER1689" s="905">
        <v>6700</v>
      </c>
      <c r="ES1689" s="906" t="s">
        <v>2056</v>
      </c>
      <c r="ET1689" s="2686">
        <v>7</v>
      </c>
      <c r="EV1689" s="985"/>
      <c r="EW1689" s="985"/>
      <c r="EX1689" s="387"/>
      <c r="EY1689" s="939"/>
      <c r="EZ1689" s="886"/>
    </row>
    <row r="1690" spans="88:156">
      <c r="CJ1690" s="197"/>
      <c r="CK1690" s="197"/>
      <c r="CL1690" s="197"/>
      <c r="CM1690" s="213"/>
      <c r="CN1690" s="213"/>
      <c r="CO1690" s="197"/>
      <c r="CP1690" s="197"/>
      <c r="CQ1690" s="197"/>
      <c r="CR1690" s="197"/>
      <c r="CS1690" s="197"/>
      <c r="CT1690" s="197"/>
      <c r="CU1690" s="197"/>
      <c r="CV1690" s="197"/>
      <c r="CW1690" s="197"/>
      <c r="CX1690" s="959"/>
      <c r="CY1690" s="959"/>
      <c r="CZ1690" s="959"/>
      <c r="DA1690" s="959"/>
      <c r="DB1690" s="959"/>
      <c r="DC1690" s="891">
        <v>6100</v>
      </c>
      <c r="DD1690" s="891" t="s">
        <v>1813</v>
      </c>
      <c r="DE1690" s="891" t="s">
        <v>404</v>
      </c>
      <c r="DF1690" s="891">
        <v>6</v>
      </c>
      <c r="DG1690" s="959"/>
      <c r="DH1690" s="959"/>
      <c r="ER1690" s="905">
        <v>6710</v>
      </c>
      <c r="ES1690" s="930" t="s">
        <v>1342</v>
      </c>
      <c r="ET1690" s="2686">
        <v>7</v>
      </c>
      <c r="EV1690" s="985"/>
      <c r="EW1690" s="985"/>
      <c r="EX1690" s="387"/>
      <c r="EY1690" s="939"/>
      <c r="EZ1690" s="886"/>
    </row>
    <row r="1691" spans="88:156">
      <c r="CJ1691" s="197"/>
      <c r="CK1691" s="197"/>
      <c r="CL1691" s="197"/>
      <c r="CM1691" s="213"/>
      <c r="CN1691" s="213"/>
      <c r="CO1691" s="197"/>
      <c r="CP1691" s="197"/>
      <c r="CQ1691" s="197"/>
      <c r="CR1691" s="197"/>
      <c r="CS1691" s="197"/>
      <c r="CT1691" s="197"/>
      <c r="CU1691" s="197"/>
      <c r="CV1691" s="197"/>
      <c r="CW1691" s="197"/>
      <c r="CX1691" s="959"/>
      <c r="CY1691" s="959"/>
      <c r="CZ1691" s="959"/>
      <c r="DA1691" s="959"/>
      <c r="DB1691" s="959"/>
      <c r="DC1691" s="891">
        <v>6111</v>
      </c>
      <c r="DD1691" s="891" t="s">
        <v>1814</v>
      </c>
      <c r="DE1691" s="891" t="s">
        <v>404</v>
      </c>
      <c r="DF1691" s="891">
        <v>6</v>
      </c>
      <c r="DG1691" s="959"/>
      <c r="DH1691" s="959"/>
      <c r="ER1691" s="971">
        <v>6710</v>
      </c>
      <c r="ES1691" s="906" t="s">
        <v>2056</v>
      </c>
      <c r="ET1691" s="2686">
        <v>7</v>
      </c>
      <c r="EV1691" s="985"/>
      <c r="EW1691" s="985"/>
      <c r="EX1691" s="387"/>
      <c r="EY1691" s="939"/>
      <c r="EZ1691" s="886"/>
    </row>
    <row r="1692" spans="88:156">
      <c r="CJ1692" s="197"/>
      <c r="CK1692" s="197"/>
      <c r="CL1692" s="197"/>
      <c r="CM1692" s="213"/>
      <c r="CN1692" s="213"/>
      <c r="CO1692" s="197"/>
      <c r="CP1692" s="197"/>
      <c r="CQ1692" s="197"/>
      <c r="CR1692" s="197"/>
      <c r="CS1692" s="197"/>
      <c r="CT1692" s="197"/>
      <c r="CU1692" s="197"/>
      <c r="CV1692" s="197"/>
      <c r="CW1692" s="197"/>
      <c r="CX1692" s="959"/>
      <c r="CY1692" s="959"/>
      <c r="CZ1692" s="959"/>
      <c r="DA1692" s="959"/>
      <c r="DB1692" s="959"/>
      <c r="DC1692" s="891">
        <v>6112</v>
      </c>
      <c r="DD1692" s="891" t="s">
        <v>1815</v>
      </c>
      <c r="DE1692" s="891" t="s">
        <v>412</v>
      </c>
      <c r="DF1692" s="891">
        <v>6</v>
      </c>
      <c r="DG1692" s="959"/>
      <c r="DH1692" s="959"/>
      <c r="ER1692" s="971">
        <v>6720</v>
      </c>
      <c r="ES1692" s="906" t="s">
        <v>2056</v>
      </c>
      <c r="ET1692" s="2686">
        <v>7</v>
      </c>
      <c r="EV1692" s="985"/>
      <c r="EW1692" s="985"/>
      <c r="EX1692" s="387"/>
      <c r="EY1692" s="939"/>
      <c r="EZ1692" s="886"/>
    </row>
    <row r="1693" spans="88:156">
      <c r="CJ1693" s="197"/>
      <c r="CK1693" s="197"/>
      <c r="CL1693" s="197"/>
      <c r="CM1693" s="213"/>
      <c r="CN1693" s="213"/>
      <c r="CO1693" s="197"/>
      <c r="CP1693" s="197"/>
      <c r="CQ1693" s="197"/>
      <c r="CR1693" s="197"/>
      <c r="CS1693" s="197"/>
      <c r="CT1693" s="197"/>
      <c r="CU1693" s="197"/>
      <c r="CV1693" s="197"/>
      <c r="CW1693" s="197"/>
      <c r="CX1693" s="959"/>
      <c r="CY1693" s="959"/>
      <c r="CZ1693" s="959"/>
      <c r="DA1693" s="959"/>
      <c r="DB1693" s="959"/>
      <c r="DC1693" s="891">
        <v>6113</v>
      </c>
      <c r="DD1693" s="891" t="s">
        <v>1816</v>
      </c>
      <c r="DE1693" s="891" t="s">
        <v>433</v>
      </c>
      <c r="DF1693" s="891">
        <v>6</v>
      </c>
      <c r="DG1693" s="959"/>
      <c r="DH1693" s="959"/>
      <c r="ER1693" s="971">
        <v>6721</v>
      </c>
      <c r="ES1693" s="906" t="s">
        <v>2056</v>
      </c>
      <c r="ET1693" s="2686">
        <v>7</v>
      </c>
      <c r="EV1693" s="985"/>
      <c r="EW1693" s="985"/>
      <c r="EX1693" s="387"/>
      <c r="EY1693" s="939"/>
      <c r="EZ1693" s="886"/>
    </row>
    <row r="1694" spans="88:156">
      <c r="CJ1694" s="197"/>
      <c r="CK1694" s="197"/>
      <c r="CL1694" s="197"/>
      <c r="CM1694" s="213"/>
      <c r="CN1694" s="213"/>
      <c r="CO1694" s="197"/>
      <c r="CP1694" s="197"/>
      <c r="CQ1694" s="197"/>
      <c r="CR1694" s="197"/>
      <c r="CS1694" s="197"/>
      <c r="CT1694" s="197"/>
      <c r="CU1694" s="197"/>
      <c r="CV1694" s="197"/>
      <c r="CW1694" s="197"/>
      <c r="CX1694" s="959"/>
      <c r="CY1694" s="959"/>
      <c r="CZ1694" s="959"/>
      <c r="DA1694" s="959"/>
      <c r="DB1694" s="959"/>
      <c r="DC1694" s="891">
        <v>6114</v>
      </c>
      <c r="DD1694" s="891" t="s">
        <v>1817</v>
      </c>
      <c r="DE1694" s="891" t="s">
        <v>433</v>
      </c>
      <c r="DF1694" s="891">
        <v>6</v>
      </c>
      <c r="DG1694" s="959"/>
      <c r="DH1694" s="959"/>
      <c r="ER1694" s="971">
        <v>6722</v>
      </c>
      <c r="ES1694" s="906" t="s">
        <v>2056</v>
      </c>
      <c r="ET1694" s="2686">
        <v>7</v>
      </c>
      <c r="EV1694" s="985"/>
      <c r="EW1694" s="985"/>
      <c r="EX1694" s="387"/>
      <c r="EY1694" s="939"/>
      <c r="EZ1694" s="886"/>
    </row>
    <row r="1695" spans="88:156">
      <c r="CJ1695" s="197"/>
      <c r="CK1695" s="197"/>
      <c r="CL1695" s="197"/>
      <c r="CM1695" s="213"/>
      <c r="CN1695" s="213"/>
      <c r="CO1695" s="197"/>
      <c r="CP1695" s="197"/>
      <c r="CQ1695" s="197"/>
      <c r="CR1695" s="197"/>
      <c r="CS1695" s="197"/>
      <c r="CT1695" s="197"/>
      <c r="CU1695" s="197"/>
      <c r="CV1695" s="197"/>
      <c r="CW1695" s="197"/>
      <c r="CX1695" s="959"/>
      <c r="CY1695" s="959"/>
      <c r="CZ1695" s="959"/>
      <c r="DA1695" s="959"/>
      <c r="DB1695" s="959"/>
      <c r="DC1695" s="891">
        <v>6115</v>
      </c>
      <c r="DD1695" s="891" t="s">
        <v>1818</v>
      </c>
      <c r="DE1695" s="891" t="s">
        <v>432</v>
      </c>
      <c r="DF1695" s="891">
        <v>6</v>
      </c>
      <c r="DG1695" s="959"/>
      <c r="DH1695" s="959"/>
      <c r="ER1695" s="971">
        <v>6723</v>
      </c>
      <c r="ES1695" s="906" t="s">
        <v>2056</v>
      </c>
      <c r="ET1695" s="2686">
        <v>7</v>
      </c>
      <c r="EV1695" s="985"/>
      <c r="EW1695" s="985"/>
      <c r="EX1695" s="387"/>
      <c r="EY1695" s="939"/>
      <c r="EZ1695" s="886"/>
    </row>
    <row r="1696" spans="88:156">
      <c r="CJ1696" s="197"/>
      <c r="CK1696" s="197"/>
      <c r="CL1696" s="197"/>
      <c r="CM1696" s="213"/>
      <c r="CN1696" s="213"/>
      <c r="CO1696" s="197"/>
      <c r="CP1696" s="197"/>
      <c r="CQ1696" s="197"/>
      <c r="CR1696" s="197"/>
      <c r="CS1696" s="197"/>
      <c r="CT1696" s="197"/>
      <c r="CU1696" s="197"/>
      <c r="CV1696" s="197"/>
      <c r="CW1696" s="197"/>
      <c r="CX1696" s="959"/>
      <c r="CY1696" s="959"/>
      <c r="CZ1696" s="959"/>
      <c r="DA1696" s="959"/>
      <c r="DB1696" s="959"/>
      <c r="DC1696" s="891">
        <v>6116</v>
      </c>
      <c r="DD1696" s="891" t="s">
        <v>1819</v>
      </c>
      <c r="DE1696" s="891" t="s">
        <v>417</v>
      </c>
      <c r="DF1696" s="891">
        <v>6</v>
      </c>
      <c r="DG1696" s="959"/>
      <c r="DH1696" s="959"/>
      <c r="ER1696" s="971">
        <v>6724</v>
      </c>
      <c r="ES1696" s="906" t="s">
        <v>2056</v>
      </c>
      <c r="ET1696" s="2686">
        <v>7</v>
      </c>
      <c r="EV1696" s="985"/>
      <c r="EW1696" s="985"/>
      <c r="EX1696" s="387"/>
      <c r="EY1696" s="939"/>
      <c r="EZ1696" s="886"/>
    </row>
    <row r="1697" spans="88:156">
      <c r="CJ1697" s="197"/>
      <c r="CK1697" s="197"/>
      <c r="CL1697" s="197"/>
      <c r="CM1697" s="213"/>
      <c r="CN1697" s="213"/>
      <c r="CO1697" s="197"/>
      <c r="CP1697" s="197"/>
      <c r="CQ1697" s="197"/>
      <c r="CR1697" s="197"/>
      <c r="CS1697" s="197"/>
      <c r="CT1697" s="197"/>
      <c r="CU1697" s="197"/>
      <c r="CV1697" s="197"/>
      <c r="CW1697" s="197"/>
      <c r="CX1697" s="959"/>
      <c r="CY1697" s="959"/>
      <c r="CZ1697" s="959"/>
      <c r="DA1697" s="959"/>
      <c r="DB1697" s="959"/>
      <c r="DC1697" s="891">
        <v>6120</v>
      </c>
      <c r="DD1697" s="891" t="s">
        <v>1820</v>
      </c>
      <c r="DE1697" s="891" t="s">
        <v>412</v>
      </c>
      <c r="DF1697" s="891">
        <v>6</v>
      </c>
      <c r="DG1697" s="959"/>
      <c r="DH1697" s="959"/>
      <c r="ER1697" s="971">
        <v>6725</v>
      </c>
      <c r="ES1697" s="906" t="s">
        <v>2056</v>
      </c>
      <c r="ET1697" s="2686">
        <v>7</v>
      </c>
      <c r="EV1697" s="985"/>
      <c r="EW1697" s="985"/>
      <c r="EX1697" s="387"/>
      <c r="EY1697" s="939"/>
      <c r="EZ1697" s="886"/>
    </row>
    <row r="1698" spans="88:156">
      <c r="CJ1698" s="197"/>
      <c r="CK1698" s="197"/>
      <c r="CL1698" s="197"/>
      <c r="CM1698" s="213"/>
      <c r="CN1698" s="213"/>
      <c r="CO1698" s="197"/>
      <c r="CP1698" s="197"/>
      <c r="CQ1698" s="197"/>
      <c r="CR1698" s="197"/>
      <c r="CS1698" s="197"/>
      <c r="CT1698" s="197"/>
      <c r="CU1698" s="197"/>
      <c r="CV1698" s="197"/>
      <c r="CW1698" s="197"/>
      <c r="CX1698" s="959"/>
      <c r="CY1698" s="959"/>
      <c r="CZ1698" s="959"/>
      <c r="DA1698" s="959"/>
      <c r="DB1698" s="959"/>
      <c r="DC1698" s="891">
        <v>6131</v>
      </c>
      <c r="DD1698" s="891" t="s">
        <v>1821</v>
      </c>
      <c r="DE1698" s="891" t="s">
        <v>418</v>
      </c>
      <c r="DF1698" s="891">
        <v>6</v>
      </c>
      <c r="DG1698" s="959"/>
      <c r="DH1698" s="959"/>
      <c r="ER1698" s="971">
        <v>6726</v>
      </c>
      <c r="ES1698" s="906" t="s">
        <v>2056</v>
      </c>
      <c r="ET1698" s="2686">
        <v>7</v>
      </c>
      <c r="EV1698" s="985"/>
      <c r="EW1698" s="985"/>
      <c r="EX1698" s="387"/>
      <c r="EY1698" s="939"/>
      <c r="EZ1698" s="886"/>
    </row>
    <row r="1699" spans="88:156">
      <c r="CJ1699" s="197"/>
      <c r="CK1699" s="197"/>
      <c r="CL1699" s="197"/>
      <c r="CM1699" s="213"/>
      <c r="CN1699" s="213"/>
      <c r="CO1699" s="197"/>
      <c r="CP1699" s="197"/>
      <c r="CQ1699" s="197"/>
      <c r="CR1699" s="197"/>
      <c r="CS1699" s="197"/>
      <c r="CT1699" s="197"/>
      <c r="CU1699" s="197"/>
      <c r="CV1699" s="197"/>
      <c r="CW1699" s="197"/>
      <c r="CX1699" s="959"/>
      <c r="CY1699" s="959"/>
      <c r="CZ1699" s="959"/>
      <c r="DA1699" s="959"/>
      <c r="DB1699" s="959"/>
      <c r="DC1699" s="891">
        <v>6132</v>
      </c>
      <c r="DD1699" s="891" t="s">
        <v>1822</v>
      </c>
      <c r="DE1699" s="891" t="s">
        <v>406</v>
      </c>
      <c r="DF1699" s="891">
        <v>6</v>
      </c>
      <c r="DG1699" s="959"/>
      <c r="DH1699" s="959"/>
      <c r="ER1699" s="971">
        <v>6727</v>
      </c>
      <c r="ES1699" s="906" t="s">
        <v>2056</v>
      </c>
      <c r="ET1699" s="2686">
        <v>7</v>
      </c>
      <c r="EV1699" s="985"/>
      <c r="EW1699" s="985"/>
      <c r="EX1699" s="387"/>
      <c r="EY1699" s="939"/>
      <c r="EZ1699" s="886"/>
    </row>
    <row r="1700" spans="88:156">
      <c r="CJ1700" s="197"/>
      <c r="CK1700" s="197"/>
      <c r="CL1700" s="197"/>
      <c r="CM1700" s="213"/>
      <c r="CN1700" s="213"/>
      <c r="CO1700" s="197"/>
      <c r="CP1700" s="197"/>
      <c r="CQ1700" s="197"/>
      <c r="CR1700" s="197"/>
      <c r="CS1700" s="197"/>
      <c r="CT1700" s="197"/>
      <c r="CU1700" s="197"/>
      <c r="CV1700" s="197"/>
      <c r="CW1700" s="197"/>
      <c r="CX1700" s="959"/>
      <c r="CY1700" s="959"/>
      <c r="CZ1700" s="959"/>
      <c r="DA1700" s="959"/>
      <c r="DB1700" s="959"/>
      <c r="DC1700" s="891">
        <v>6133</v>
      </c>
      <c r="DD1700" s="891" t="s">
        <v>1823</v>
      </c>
      <c r="DE1700" s="891" t="s">
        <v>427</v>
      </c>
      <c r="DF1700" s="891">
        <v>6</v>
      </c>
      <c r="DG1700" s="959"/>
      <c r="DH1700" s="959"/>
      <c r="ER1700" s="894">
        <v>6728</v>
      </c>
      <c r="ES1700" s="906" t="s">
        <v>2056</v>
      </c>
      <c r="ET1700" s="2686">
        <v>7</v>
      </c>
      <c r="EV1700" s="985"/>
      <c r="EW1700" s="985"/>
      <c r="EX1700" s="387"/>
      <c r="EY1700" s="939"/>
      <c r="EZ1700" s="886"/>
    </row>
    <row r="1701" spans="88:156">
      <c r="CJ1701" s="197"/>
      <c r="CK1701" s="197"/>
      <c r="CL1701" s="197"/>
      <c r="CM1701" s="213"/>
      <c r="CN1701" s="213"/>
      <c r="CO1701" s="197"/>
      <c r="CP1701" s="197"/>
      <c r="CQ1701" s="197"/>
      <c r="CR1701" s="197"/>
      <c r="CS1701" s="197"/>
      <c r="CT1701" s="197"/>
      <c r="CU1701" s="197"/>
      <c r="CV1701" s="197"/>
      <c r="CW1701" s="197"/>
      <c r="CX1701" s="959"/>
      <c r="CY1701" s="959"/>
      <c r="CZ1701" s="959"/>
      <c r="DA1701" s="959"/>
      <c r="DB1701" s="959"/>
      <c r="DC1701" s="891">
        <v>6134</v>
      </c>
      <c r="DD1701" s="891" t="s">
        <v>1824</v>
      </c>
      <c r="DE1701" s="891" t="s">
        <v>423</v>
      </c>
      <c r="DF1701" s="891">
        <v>6</v>
      </c>
      <c r="DG1701" s="959"/>
      <c r="DH1701" s="959"/>
      <c r="ER1701" s="971">
        <v>6729</v>
      </c>
      <c r="ES1701" s="906" t="s">
        <v>2056</v>
      </c>
      <c r="ET1701" s="2686">
        <v>7</v>
      </c>
      <c r="EV1701" s="985"/>
      <c r="EW1701" s="985"/>
      <c r="EX1701" s="387"/>
      <c r="EY1701" s="939"/>
      <c r="EZ1701" s="886"/>
    </row>
    <row r="1702" spans="88:156">
      <c r="CJ1702" s="197"/>
      <c r="CK1702" s="197"/>
      <c r="CL1702" s="197"/>
      <c r="CM1702" s="213"/>
      <c r="CN1702" s="213"/>
      <c r="CO1702" s="197"/>
      <c r="CP1702" s="197"/>
      <c r="CQ1702" s="197"/>
      <c r="CR1702" s="197"/>
      <c r="CS1702" s="197"/>
      <c r="CT1702" s="197"/>
      <c r="CU1702" s="197"/>
      <c r="CV1702" s="197"/>
      <c r="CW1702" s="197"/>
      <c r="CX1702" s="959"/>
      <c r="CY1702" s="959"/>
      <c r="CZ1702" s="959"/>
      <c r="DA1702" s="959"/>
      <c r="DB1702" s="959"/>
      <c r="DC1702" s="891">
        <v>6135</v>
      </c>
      <c r="DD1702" s="891" t="s">
        <v>1825</v>
      </c>
      <c r="DE1702" s="891" t="s">
        <v>433</v>
      </c>
      <c r="DF1702" s="891">
        <v>6</v>
      </c>
      <c r="DG1702" s="959"/>
      <c r="DH1702" s="959"/>
      <c r="ER1702" s="905">
        <v>6750</v>
      </c>
      <c r="ES1702" s="906" t="s">
        <v>2059</v>
      </c>
      <c r="ET1702" s="2686">
        <v>7</v>
      </c>
      <c r="EV1702" s="985"/>
      <c r="EW1702" s="985"/>
      <c r="EX1702" s="387"/>
      <c r="EY1702" s="939"/>
      <c r="EZ1702" s="886"/>
    </row>
    <row r="1703" spans="88:156">
      <c r="CJ1703" s="197"/>
      <c r="CK1703" s="197"/>
      <c r="CL1703" s="197"/>
      <c r="CM1703" s="213"/>
      <c r="CN1703" s="213"/>
      <c r="CO1703" s="197"/>
      <c r="CP1703" s="197"/>
      <c r="CQ1703" s="197"/>
      <c r="CR1703" s="197"/>
      <c r="CS1703" s="197"/>
      <c r="CT1703" s="197"/>
      <c r="CU1703" s="197"/>
      <c r="CV1703" s="197"/>
      <c r="CW1703" s="197"/>
      <c r="CX1703" s="959"/>
      <c r="CY1703" s="959"/>
      <c r="CZ1703" s="959"/>
      <c r="DA1703" s="959"/>
      <c r="DB1703" s="959"/>
      <c r="DC1703" s="891">
        <v>6136</v>
      </c>
      <c r="DD1703" s="891" t="s">
        <v>1826</v>
      </c>
      <c r="DE1703" s="891" t="s">
        <v>423</v>
      </c>
      <c r="DF1703" s="891">
        <v>6</v>
      </c>
      <c r="DG1703" s="959"/>
      <c r="DH1703" s="959"/>
      <c r="ER1703" s="905">
        <v>6753</v>
      </c>
      <c r="ES1703" s="930" t="s">
        <v>1343</v>
      </c>
      <c r="ET1703" s="2686">
        <v>7</v>
      </c>
      <c r="EV1703" s="985"/>
      <c r="EW1703" s="985"/>
      <c r="EX1703" s="387"/>
      <c r="EY1703" s="939"/>
      <c r="EZ1703" s="886"/>
    </row>
    <row r="1704" spans="88:156">
      <c r="CJ1704" s="197"/>
      <c r="CK1704" s="197"/>
      <c r="CL1704" s="197"/>
      <c r="CM1704" s="213"/>
      <c r="CN1704" s="213"/>
      <c r="CO1704" s="197"/>
      <c r="CP1704" s="197"/>
      <c r="CQ1704" s="197"/>
      <c r="CR1704" s="197"/>
      <c r="CS1704" s="197"/>
      <c r="CT1704" s="197"/>
      <c r="CU1704" s="197"/>
      <c r="CV1704" s="197"/>
      <c r="CW1704" s="197"/>
      <c r="CX1704" s="959"/>
      <c r="CY1704" s="959"/>
      <c r="CZ1704" s="959"/>
      <c r="DA1704" s="959"/>
      <c r="DB1704" s="959"/>
      <c r="DC1704" s="891">
        <v>6137</v>
      </c>
      <c r="DD1704" s="891" t="s">
        <v>1827</v>
      </c>
      <c r="DE1704" s="891" t="s">
        <v>406</v>
      </c>
      <c r="DF1704" s="891">
        <v>6</v>
      </c>
      <c r="DG1704" s="959"/>
      <c r="DH1704" s="959"/>
      <c r="ER1704" s="971">
        <v>6753</v>
      </c>
      <c r="ES1704" s="906" t="s">
        <v>2056</v>
      </c>
      <c r="ET1704" s="2686">
        <v>7</v>
      </c>
      <c r="EV1704" s="985"/>
      <c r="EW1704" s="985"/>
      <c r="EX1704" s="387"/>
      <c r="EY1704" s="939"/>
      <c r="EZ1704" s="886"/>
    </row>
    <row r="1705" spans="88:156">
      <c r="CJ1705" s="197"/>
      <c r="CK1705" s="197"/>
      <c r="CL1705" s="197"/>
      <c r="CM1705" s="213"/>
      <c r="CN1705" s="213"/>
      <c r="CO1705" s="197"/>
      <c r="CP1705" s="197"/>
      <c r="CQ1705" s="197"/>
      <c r="CR1705" s="197"/>
      <c r="CS1705" s="197"/>
      <c r="CT1705" s="197"/>
      <c r="CU1705" s="197"/>
      <c r="CV1705" s="197"/>
      <c r="CW1705" s="197"/>
      <c r="CX1705" s="959"/>
      <c r="CY1705" s="959"/>
      <c r="CZ1705" s="959"/>
      <c r="DA1705" s="959"/>
      <c r="DB1705" s="959"/>
      <c r="DC1705" s="891">
        <v>6200</v>
      </c>
      <c r="DD1705" s="891" t="s">
        <v>1828</v>
      </c>
      <c r="DE1705" s="891" t="s">
        <v>421</v>
      </c>
      <c r="DF1705" s="891">
        <v>6</v>
      </c>
      <c r="DG1705" s="959"/>
      <c r="DH1705" s="959"/>
      <c r="ER1705" s="905">
        <v>6754</v>
      </c>
      <c r="ES1705" s="906" t="s">
        <v>2061</v>
      </c>
      <c r="ET1705" s="2686">
        <v>9</v>
      </c>
      <c r="EV1705" s="985"/>
      <c r="EW1705" s="985"/>
      <c r="EX1705" s="387"/>
      <c r="EY1705" s="939"/>
      <c r="EZ1705" s="886"/>
    </row>
    <row r="1706" spans="88:156">
      <c r="CJ1706" s="197"/>
      <c r="CK1706" s="197"/>
      <c r="CL1706" s="197"/>
      <c r="CM1706" s="213"/>
      <c r="CN1706" s="213"/>
      <c r="CO1706" s="197"/>
      <c r="CP1706" s="197"/>
      <c r="CQ1706" s="197"/>
      <c r="CR1706" s="197"/>
      <c r="CS1706" s="197"/>
      <c r="CT1706" s="197"/>
      <c r="CU1706" s="197"/>
      <c r="CV1706" s="197"/>
      <c r="CW1706" s="197"/>
      <c r="CX1706" s="959"/>
      <c r="CY1706" s="959"/>
      <c r="CZ1706" s="959"/>
      <c r="DA1706" s="959"/>
      <c r="DB1706" s="959"/>
      <c r="DC1706" s="891">
        <v>6201</v>
      </c>
      <c r="DD1706" s="891" t="s">
        <v>1829</v>
      </c>
      <c r="DE1706" s="891" t="s">
        <v>406</v>
      </c>
      <c r="DF1706" s="891">
        <v>6</v>
      </c>
      <c r="DG1706" s="959"/>
      <c r="DH1706" s="959"/>
      <c r="ER1706" s="905">
        <v>6755</v>
      </c>
      <c r="ES1706" s="906" t="s">
        <v>2062</v>
      </c>
      <c r="ET1706" s="2686">
        <v>9</v>
      </c>
      <c r="EV1706" s="985"/>
      <c r="EW1706" s="985"/>
      <c r="EX1706" s="387"/>
      <c r="EY1706" s="939"/>
      <c r="EZ1706" s="886"/>
    </row>
    <row r="1707" spans="88:156">
      <c r="CJ1707" s="197"/>
      <c r="CK1707" s="197"/>
      <c r="CL1707" s="197"/>
      <c r="CM1707" s="213"/>
      <c r="CN1707" s="213"/>
      <c r="CO1707" s="197"/>
      <c r="CP1707" s="197"/>
      <c r="CQ1707" s="197"/>
      <c r="CR1707" s="197"/>
      <c r="CS1707" s="197"/>
      <c r="CT1707" s="197"/>
      <c r="CU1707" s="197"/>
      <c r="CV1707" s="197"/>
      <c r="CW1707" s="197"/>
      <c r="CX1707" s="959"/>
      <c r="CY1707" s="959"/>
      <c r="CZ1707" s="959"/>
      <c r="DA1707" s="959"/>
      <c r="DB1707" s="959"/>
      <c r="DC1707" s="891">
        <v>6211</v>
      </c>
      <c r="DD1707" s="891" t="s">
        <v>1830</v>
      </c>
      <c r="DE1707" s="891" t="s">
        <v>427</v>
      </c>
      <c r="DF1707" s="891">
        <v>6</v>
      </c>
      <c r="DG1707" s="959"/>
      <c r="DH1707" s="959"/>
      <c r="ER1707" s="905">
        <v>6756</v>
      </c>
      <c r="ES1707" s="906" t="s">
        <v>2063</v>
      </c>
      <c r="ET1707" s="2686">
        <v>9</v>
      </c>
      <c r="EV1707" s="985"/>
      <c r="EW1707" s="985"/>
      <c r="EX1707" s="387"/>
      <c r="EY1707" s="939"/>
      <c r="EZ1707" s="886"/>
    </row>
    <row r="1708" spans="88:156">
      <c r="CJ1708" s="197"/>
      <c r="CK1708" s="197"/>
      <c r="CL1708" s="197"/>
      <c r="CM1708" s="213"/>
      <c r="CN1708" s="213"/>
      <c r="CO1708" s="197"/>
      <c r="CP1708" s="197"/>
      <c r="CQ1708" s="197"/>
      <c r="CR1708" s="197"/>
      <c r="CS1708" s="197"/>
      <c r="CT1708" s="197"/>
      <c r="CU1708" s="197"/>
      <c r="CV1708" s="197"/>
      <c r="CW1708" s="197"/>
      <c r="CX1708" s="959"/>
      <c r="CY1708" s="959"/>
      <c r="CZ1708" s="959"/>
      <c r="DA1708" s="959"/>
      <c r="DB1708" s="959"/>
      <c r="DC1708" s="891">
        <v>6221</v>
      </c>
      <c r="DD1708" s="891" t="s">
        <v>1831</v>
      </c>
      <c r="DE1708" s="891" t="s">
        <v>418</v>
      </c>
      <c r="DF1708" s="891">
        <v>6</v>
      </c>
      <c r="DG1708" s="959"/>
      <c r="DH1708" s="959"/>
      <c r="ER1708" s="905">
        <v>6757</v>
      </c>
      <c r="ES1708" s="905" t="s">
        <v>2064</v>
      </c>
      <c r="ET1708" s="2686">
        <v>7</v>
      </c>
      <c r="EV1708" s="985"/>
      <c r="EW1708" s="985"/>
      <c r="EX1708" s="387"/>
      <c r="EY1708" s="939"/>
      <c r="EZ1708" s="886"/>
    </row>
    <row r="1709" spans="88:156">
      <c r="CJ1709" s="197"/>
      <c r="CK1709" s="197"/>
      <c r="CL1709" s="197"/>
      <c r="CM1709" s="213"/>
      <c r="CN1709" s="213"/>
      <c r="CO1709" s="197"/>
      <c r="CP1709" s="197"/>
      <c r="CQ1709" s="197"/>
      <c r="CR1709" s="197"/>
      <c r="CS1709" s="197"/>
      <c r="CT1709" s="197"/>
      <c r="CU1709" s="197"/>
      <c r="CV1709" s="197"/>
      <c r="CW1709" s="197"/>
      <c r="CX1709" s="959"/>
      <c r="CY1709" s="959"/>
      <c r="CZ1709" s="959"/>
      <c r="DA1709" s="959"/>
      <c r="DB1709" s="959"/>
      <c r="DC1709" s="891">
        <v>6222</v>
      </c>
      <c r="DD1709" s="891" t="s">
        <v>1832</v>
      </c>
      <c r="DE1709" s="891" t="s">
        <v>432</v>
      </c>
      <c r="DF1709" s="891">
        <v>6</v>
      </c>
      <c r="DG1709" s="959"/>
      <c r="DH1709" s="959"/>
      <c r="ER1709" s="894">
        <v>6757</v>
      </c>
      <c r="ES1709" s="906" t="s">
        <v>2056</v>
      </c>
      <c r="ET1709" s="2686">
        <v>7</v>
      </c>
      <c r="EV1709" s="985"/>
      <c r="EW1709" s="985"/>
      <c r="EX1709" s="387"/>
      <c r="EY1709" s="939"/>
      <c r="EZ1709" s="886"/>
    </row>
    <row r="1710" spans="88:156">
      <c r="CJ1710" s="197"/>
      <c r="CK1710" s="197"/>
      <c r="CL1710" s="197"/>
      <c r="CM1710" s="213"/>
      <c r="CN1710" s="213"/>
      <c r="CO1710" s="197"/>
      <c r="CP1710" s="197"/>
      <c r="CQ1710" s="197"/>
      <c r="CR1710" s="197"/>
      <c r="CS1710" s="197"/>
      <c r="CT1710" s="197"/>
      <c r="CU1710" s="197"/>
      <c r="CV1710" s="197"/>
      <c r="CW1710" s="197"/>
      <c r="CX1710" s="959"/>
      <c r="CY1710" s="959"/>
      <c r="CZ1710" s="959"/>
      <c r="DA1710" s="959"/>
      <c r="DB1710" s="959"/>
      <c r="DC1710" s="891">
        <v>6223</v>
      </c>
      <c r="DD1710" s="891" t="s">
        <v>1833</v>
      </c>
      <c r="DE1710" s="891" t="s">
        <v>2808</v>
      </c>
      <c r="DF1710" s="891">
        <v>6</v>
      </c>
      <c r="DG1710" s="959"/>
      <c r="DH1710" s="959"/>
      <c r="ER1710" s="905">
        <v>6758</v>
      </c>
      <c r="ES1710" s="906" t="s">
        <v>2065</v>
      </c>
      <c r="ET1710" s="2686">
        <v>9</v>
      </c>
      <c r="EV1710" s="985"/>
      <c r="EW1710" s="985"/>
      <c r="EX1710" s="387"/>
      <c r="EY1710" s="939"/>
      <c r="EZ1710" s="886"/>
    </row>
    <row r="1711" spans="88:156">
      <c r="CJ1711" s="197"/>
      <c r="CK1711" s="197"/>
      <c r="CL1711" s="197"/>
      <c r="CM1711" s="213"/>
      <c r="CN1711" s="213"/>
      <c r="CO1711" s="197"/>
      <c r="CP1711" s="197"/>
      <c r="CQ1711" s="197"/>
      <c r="CR1711" s="197"/>
      <c r="CS1711" s="197"/>
      <c r="CT1711" s="197"/>
      <c r="CU1711" s="197"/>
      <c r="CV1711" s="197"/>
      <c r="CW1711" s="197"/>
      <c r="CX1711" s="959"/>
      <c r="CY1711" s="959"/>
      <c r="CZ1711" s="959"/>
      <c r="DA1711" s="959"/>
      <c r="DB1711" s="959"/>
      <c r="DC1711" s="891">
        <v>6224</v>
      </c>
      <c r="DD1711" s="891" t="s">
        <v>1969</v>
      </c>
      <c r="DE1711" s="891" t="s">
        <v>2808</v>
      </c>
      <c r="DF1711" s="891">
        <v>6</v>
      </c>
      <c r="DG1711" s="959"/>
      <c r="DH1711" s="959"/>
      <c r="ER1711" s="905">
        <v>6760</v>
      </c>
      <c r="ES1711" s="906" t="s">
        <v>2066</v>
      </c>
      <c r="ET1711" s="2686">
        <v>9</v>
      </c>
      <c r="EV1711" s="985"/>
      <c r="EW1711" s="985"/>
      <c r="EX1711" s="387"/>
      <c r="EY1711" s="939"/>
      <c r="EZ1711" s="886"/>
    </row>
    <row r="1712" spans="88:156">
      <c r="CJ1712" s="197"/>
      <c r="CK1712" s="197"/>
      <c r="CL1712" s="197"/>
      <c r="CM1712" s="213"/>
      <c r="CN1712" s="213"/>
      <c r="CO1712" s="197"/>
      <c r="CP1712" s="197"/>
      <c r="CQ1712" s="197"/>
      <c r="CR1712" s="197"/>
      <c r="CS1712" s="197"/>
      <c r="CT1712" s="197"/>
      <c r="CU1712" s="197"/>
      <c r="CV1712" s="197"/>
      <c r="CW1712" s="197"/>
      <c r="CX1712" s="959"/>
      <c r="CY1712" s="959"/>
      <c r="CZ1712" s="959"/>
      <c r="DA1712" s="959"/>
      <c r="DB1712" s="959"/>
      <c r="DC1712" s="891">
        <v>6230</v>
      </c>
      <c r="DD1712" s="891" t="s">
        <v>1970</v>
      </c>
      <c r="DE1712" s="891" t="s">
        <v>412</v>
      </c>
      <c r="DF1712" s="891">
        <v>6</v>
      </c>
      <c r="DG1712" s="959"/>
      <c r="DH1712" s="959"/>
      <c r="ER1712" s="905">
        <v>6762</v>
      </c>
      <c r="ES1712" s="906" t="s">
        <v>2067</v>
      </c>
      <c r="ET1712" s="2686">
        <v>9</v>
      </c>
      <c r="EV1712" s="985"/>
      <c r="EW1712" s="985"/>
      <c r="EX1712" s="387"/>
      <c r="EY1712" s="939"/>
      <c r="EZ1712" s="886"/>
    </row>
    <row r="1713" spans="88:156">
      <c r="CJ1713" s="197"/>
      <c r="CK1713" s="197"/>
      <c r="CL1713" s="197"/>
      <c r="CM1713" s="213"/>
      <c r="CN1713" s="213"/>
      <c r="CO1713" s="197"/>
      <c r="CP1713" s="197"/>
      <c r="CQ1713" s="197"/>
      <c r="CR1713" s="197"/>
      <c r="CS1713" s="197"/>
      <c r="CT1713" s="197"/>
      <c r="CU1713" s="197"/>
      <c r="CV1713" s="197"/>
      <c r="CW1713" s="197"/>
      <c r="CX1713" s="959"/>
      <c r="CY1713" s="959"/>
      <c r="CZ1713" s="959"/>
      <c r="DA1713" s="959"/>
      <c r="DB1713" s="959"/>
      <c r="DC1713" s="891">
        <v>6235</v>
      </c>
      <c r="DD1713" s="891" t="s">
        <v>1971</v>
      </c>
      <c r="DE1713" s="891" t="s">
        <v>412</v>
      </c>
      <c r="DF1713" s="891">
        <v>6</v>
      </c>
      <c r="DG1713" s="959"/>
      <c r="DH1713" s="959"/>
      <c r="ER1713" s="905">
        <v>6763</v>
      </c>
      <c r="ES1713" s="906" t="s">
        <v>2068</v>
      </c>
      <c r="ET1713" s="2686">
        <v>9</v>
      </c>
      <c r="EV1713" s="985"/>
      <c r="EW1713" s="985"/>
      <c r="EX1713" s="387"/>
      <c r="EY1713" s="939"/>
      <c r="EZ1713" s="886"/>
    </row>
    <row r="1714" spans="88:156">
      <c r="CJ1714" s="197"/>
      <c r="CK1714" s="197"/>
      <c r="CL1714" s="197"/>
      <c r="CM1714" s="213"/>
      <c r="CN1714" s="213"/>
      <c r="CO1714" s="197"/>
      <c r="CP1714" s="197"/>
      <c r="CQ1714" s="197"/>
      <c r="CR1714" s="197"/>
      <c r="CS1714" s="197"/>
      <c r="CT1714" s="197"/>
      <c r="CU1714" s="197"/>
      <c r="CV1714" s="197"/>
      <c r="CW1714" s="197"/>
      <c r="CX1714" s="959"/>
      <c r="CY1714" s="959"/>
      <c r="CZ1714" s="959"/>
      <c r="DA1714" s="959"/>
      <c r="DB1714" s="959"/>
      <c r="DC1714" s="891">
        <v>6236</v>
      </c>
      <c r="DD1714" s="891" t="s">
        <v>1972</v>
      </c>
      <c r="DE1714" s="891" t="s">
        <v>412</v>
      </c>
      <c r="DF1714" s="891">
        <v>6</v>
      </c>
      <c r="DG1714" s="959"/>
      <c r="DH1714" s="959"/>
      <c r="ER1714" s="905">
        <v>6764</v>
      </c>
      <c r="ES1714" s="906" t="s">
        <v>2069</v>
      </c>
      <c r="ET1714" s="2686">
        <v>9</v>
      </c>
      <c r="EV1714" s="985"/>
      <c r="EW1714" s="985"/>
      <c r="EX1714" s="387"/>
      <c r="EY1714" s="939"/>
      <c r="EZ1714" s="886"/>
    </row>
    <row r="1715" spans="88:156">
      <c r="CJ1715" s="197"/>
      <c r="CK1715" s="197"/>
      <c r="CL1715" s="197"/>
      <c r="CM1715" s="213"/>
      <c r="CN1715" s="213"/>
      <c r="CO1715" s="197"/>
      <c r="CP1715" s="197"/>
      <c r="CQ1715" s="197"/>
      <c r="CR1715" s="197"/>
      <c r="CS1715" s="197"/>
      <c r="CT1715" s="197"/>
      <c r="CU1715" s="197"/>
      <c r="CV1715" s="197"/>
      <c r="CW1715" s="197"/>
      <c r="CX1715" s="959"/>
      <c r="CY1715" s="959"/>
      <c r="CZ1715" s="959"/>
      <c r="DA1715" s="959"/>
      <c r="DB1715" s="959"/>
      <c r="DC1715" s="891">
        <v>6237</v>
      </c>
      <c r="DD1715" s="891" t="s">
        <v>1973</v>
      </c>
      <c r="DE1715" s="891" t="s">
        <v>412</v>
      </c>
      <c r="DF1715" s="891">
        <v>6</v>
      </c>
      <c r="DG1715" s="959"/>
      <c r="DH1715" s="959"/>
      <c r="ER1715" s="905">
        <v>6765</v>
      </c>
      <c r="ES1715" s="906" t="s">
        <v>2070</v>
      </c>
      <c r="ET1715" s="2686">
        <v>9</v>
      </c>
      <c r="EV1715" s="985"/>
      <c r="EW1715" s="985"/>
      <c r="EX1715" s="387"/>
      <c r="EY1715" s="939"/>
      <c r="EZ1715" s="886"/>
    </row>
    <row r="1716" spans="88:156">
      <c r="CJ1716" s="197"/>
      <c r="CK1716" s="197"/>
      <c r="CL1716" s="197"/>
      <c r="CM1716" s="213"/>
      <c r="CN1716" s="213"/>
      <c r="CO1716" s="197"/>
      <c r="CP1716" s="197"/>
      <c r="CQ1716" s="197"/>
      <c r="CR1716" s="197"/>
      <c r="CS1716" s="197"/>
      <c r="CT1716" s="197"/>
      <c r="CU1716" s="197"/>
      <c r="CV1716" s="197"/>
      <c r="CW1716" s="197"/>
      <c r="CX1716" s="959"/>
      <c r="CY1716" s="959"/>
      <c r="CZ1716" s="959"/>
      <c r="DA1716" s="959"/>
      <c r="DB1716" s="959"/>
      <c r="DC1716" s="891">
        <v>6238</v>
      </c>
      <c r="DD1716" s="891" t="s">
        <v>1974</v>
      </c>
      <c r="DE1716" s="891" t="s">
        <v>412</v>
      </c>
      <c r="DF1716" s="891">
        <v>6</v>
      </c>
      <c r="DG1716" s="959"/>
      <c r="DH1716" s="959"/>
      <c r="ER1716" s="905">
        <v>6766</v>
      </c>
      <c r="ES1716" s="906" t="s">
        <v>2071</v>
      </c>
      <c r="ET1716" s="2686">
        <v>9</v>
      </c>
      <c r="EV1716" s="985"/>
      <c r="EW1716" s="985"/>
      <c r="EX1716" s="387"/>
      <c r="EY1716" s="939"/>
      <c r="EZ1716" s="886"/>
    </row>
    <row r="1717" spans="88:156">
      <c r="CJ1717" s="197"/>
      <c r="CK1717" s="197"/>
      <c r="CL1717" s="197"/>
      <c r="CM1717" s="213"/>
      <c r="CN1717" s="213"/>
      <c r="CO1717" s="197"/>
      <c r="CP1717" s="197"/>
      <c r="CQ1717" s="197"/>
      <c r="CR1717" s="197"/>
      <c r="CS1717" s="197"/>
      <c r="CT1717" s="197"/>
      <c r="CU1717" s="197"/>
      <c r="CV1717" s="197"/>
      <c r="CW1717" s="197"/>
      <c r="CX1717" s="959"/>
      <c r="CY1717" s="959"/>
      <c r="CZ1717" s="959"/>
      <c r="DA1717" s="959"/>
      <c r="DB1717" s="959"/>
      <c r="DC1717" s="891">
        <v>6239</v>
      </c>
      <c r="DD1717" s="891" t="s">
        <v>1975</v>
      </c>
      <c r="DE1717" s="891" t="s">
        <v>412</v>
      </c>
      <c r="DF1717" s="891">
        <v>6</v>
      </c>
      <c r="DG1717" s="959"/>
      <c r="DH1717" s="959"/>
      <c r="ER1717" s="905">
        <v>6767</v>
      </c>
      <c r="ES1717" s="906" t="s">
        <v>2072</v>
      </c>
      <c r="ET1717" s="2686">
        <v>9</v>
      </c>
      <c r="EV1717" s="985"/>
      <c r="EW1717" s="985"/>
      <c r="EX1717" s="387"/>
      <c r="EY1717" s="939"/>
      <c r="EZ1717" s="886"/>
    </row>
    <row r="1718" spans="88:156">
      <c r="CJ1718" s="197"/>
      <c r="CK1718" s="197"/>
      <c r="CL1718" s="197"/>
      <c r="CM1718" s="213"/>
      <c r="CN1718" s="213"/>
      <c r="CO1718" s="197"/>
      <c r="CP1718" s="197"/>
      <c r="CQ1718" s="197"/>
      <c r="CR1718" s="197"/>
      <c r="CS1718" s="197"/>
      <c r="CT1718" s="197"/>
      <c r="CU1718" s="197"/>
      <c r="CV1718" s="197"/>
      <c r="CW1718" s="197"/>
      <c r="CX1718" s="959"/>
      <c r="CY1718" s="959"/>
      <c r="CZ1718" s="959"/>
      <c r="DA1718" s="959"/>
      <c r="DB1718" s="959"/>
      <c r="DC1718" s="891">
        <v>6300</v>
      </c>
      <c r="DD1718" s="891" t="s">
        <v>1976</v>
      </c>
      <c r="DE1718" s="891" t="s">
        <v>423</v>
      </c>
      <c r="DF1718" s="891">
        <v>6</v>
      </c>
      <c r="DG1718" s="959"/>
      <c r="DH1718" s="959"/>
      <c r="ER1718" s="905">
        <v>6768</v>
      </c>
      <c r="ES1718" s="906" t="s">
        <v>2073</v>
      </c>
      <c r="ET1718" s="2686">
        <v>9</v>
      </c>
      <c r="EV1718" s="985"/>
      <c r="EW1718" s="985"/>
      <c r="EX1718" s="387"/>
      <c r="EY1718" s="939"/>
      <c r="EZ1718" s="886"/>
    </row>
    <row r="1719" spans="88:156">
      <c r="CJ1719" s="197"/>
      <c r="CK1719" s="197"/>
      <c r="CL1719" s="197"/>
      <c r="CM1719" s="213"/>
      <c r="CN1719" s="213"/>
      <c r="CO1719" s="197"/>
      <c r="CP1719" s="197"/>
      <c r="CQ1719" s="197"/>
      <c r="CR1719" s="197"/>
      <c r="CS1719" s="197"/>
      <c r="CT1719" s="197"/>
      <c r="CU1719" s="197"/>
      <c r="CV1719" s="197"/>
      <c r="CW1719" s="197"/>
      <c r="CX1719" s="959"/>
      <c r="CY1719" s="959"/>
      <c r="CZ1719" s="959"/>
      <c r="DA1719" s="959"/>
      <c r="DB1719" s="959"/>
      <c r="DC1719" s="891">
        <v>6311</v>
      </c>
      <c r="DD1719" s="891" t="s">
        <v>1977</v>
      </c>
      <c r="DE1719" s="891" t="s">
        <v>427</v>
      </c>
      <c r="DF1719" s="891">
        <v>6</v>
      </c>
      <c r="DG1719" s="959"/>
      <c r="DH1719" s="959"/>
      <c r="ER1719" s="905">
        <v>6769</v>
      </c>
      <c r="ES1719" s="906" t="s">
        <v>2074</v>
      </c>
      <c r="ET1719" s="2686">
        <v>9</v>
      </c>
      <c r="EV1719" s="985"/>
      <c r="EW1719" s="985"/>
      <c r="EX1719" s="387"/>
      <c r="EY1719" s="939"/>
      <c r="EZ1719" s="886"/>
    </row>
    <row r="1720" spans="88:156">
      <c r="CJ1720" s="197"/>
      <c r="CK1720" s="197"/>
      <c r="CL1720" s="197"/>
      <c r="CM1720" s="213"/>
      <c r="CN1720" s="213"/>
      <c r="CO1720" s="197"/>
      <c r="CP1720" s="197"/>
      <c r="CQ1720" s="197"/>
      <c r="CR1720" s="197"/>
      <c r="CS1720" s="197"/>
      <c r="CT1720" s="197"/>
      <c r="CU1720" s="197"/>
      <c r="CV1720" s="197"/>
      <c r="CW1720" s="197"/>
      <c r="CX1720" s="959"/>
      <c r="CY1720" s="959"/>
      <c r="CZ1720" s="959"/>
      <c r="DA1720" s="959"/>
      <c r="DB1720" s="959"/>
      <c r="DC1720" s="891">
        <v>6320</v>
      </c>
      <c r="DD1720" s="891" t="s">
        <v>1978</v>
      </c>
      <c r="DE1720" s="891" t="s">
        <v>420</v>
      </c>
      <c r="DF1720" s="891">
        <v>6</v>
      </c>
      <c r="DG1720" s="959"/>
      <c r="DH1720" s="959"/>
      <c r="ER1720" s="905">
        <v>6771</v>
      </c>
      <c r="ES1720" s="930" t="s">
        <v>1344</v>
      </c>
      <c r="ET1720" s="2686">
        <v>7</v>
      </c>
      <c r="EV1720" s="985"/>
      <c r="EW1720" s="985"/>
      <c r="EX1720" s="387"/>
      <c r="EY1720" s="939"/>
      <c r="EZ1720" s="886"/>
    </row>
    <row r="1721" spans="88:156">
      <c r="CJ1721" s="197"/>
      <c r="CK1721" s="197"/>
      <c r="CL1721" s="197"/>
      <c r="CM1721" s="213"/>
      <c r="CN1721" s="213"/>
      <c r="CO1721" s="197"/>
      <c r="CP1721" s="197"/>
      <c r="CQ1721" s="197"/>
      <c r="CR1721" s="197"/>
      <c r="CS1721" s="197"/>
      <c r="CT1721" s="197"/>
      <c r="CU1721" s="197"/>
      <c r="CV1721" s="197"/>
      <c r="CW1721" s="197"/>
      <c r="CX1721" s="959"/>
      <c r="CY1721" s="959"/>
      <c r="CZ1721" s="959"/>
      <c r="DA1721" s="959"/>
      <c r="DB1721" s="959"/>
      <c r="DC1721" s="891">
        <v>6321</v>
      </c>
      <c r="DD1721" s="891" t="s">
        <v>1979</v>
      </c>
      <c r="DE1721" s="891" t="s">
        <v>427</v>
      </c>
      <c r="DF1721" s="891">
        <v>6</v>
      </c>
      <c r="DG1721" s="959"/>
      <c r="DH1721" s="959"/>
      <c r="ER1721" s="971">
        <v>6771</v>
      </c>
      <c r="ES1721" s="906" t="s">
        <v>2056</v>
      </c>
      <c r="ET1721" s="2686">
        <v>7</v>
      </c>
      <c r="EV1721" s="985"/>
      <c r="EW1721" s="985"/>
      <c r="EX1721" s="387"/>
      <c r="EY1721" s="939"/>
      <c r="EZ1721" s="886"/>
    </row>
    <row r="1722" spans="88:156">
      <c r="CJ1722" s="197"/>
      <c r="CK1722" s="197"/>
      <c r="CL1722" s="197"/>
      <c r="CM1722" s="213"/>
      <c r="CN1722" s="213"/>
      <c r="CO1722" s="197"/>
      <c r="CP1722" s="197"/>
      <c r="CQ1722" s="197"/>
      <c r="CR1722" s="197"/>
      <c r="CS1722" s="197"/>
      <c r="CT1722" s="197"/>
      <c r="CU1722" s="197"/>
      <c r="CV1722" s="197"/>
      <c r="CW1722" s="197"/>
      <c r="CX1722" s="959"/>
      <c r="CY1722" s="959"/>
      <c r="CZ1722" s="959"/>
      <c r="DA1722" s="959"/>
      <c r="DB1722" s="959"/>
      <c r="DC1722" s="891">
        <v>6323</v>
      </c>
      <c r="DD1722" s="891" t="s">
        <v>1980</v>
      </c>
      <c r="DE1722" s="891" t="s">
        <v>427</v>
      </c>
      <c r="DF1722" s="891">
        <v>6</v>
      </c>
      <c r="DG1722" s="959"/>
      <c r="DH1722" s="959"/>
      <c r="ER1722" s="905">
        <v>6772</v>
      </c>
      <c r="ES1722" s="906" t="s">
        <v>2076</v>
      </c>
      <c r="ET1722" s="2686">
        <v>9</v>
      </c>
      <c r="EV1722" s="985"/>
      <c r="EW1722" s="985"/>
      <c r="EX1722" s="387"/>
      <c r="EY1722" s="939"/>
      <c r="EZ1722" s="886"/>
    </row>
    <row r="1723" spans="88:156">
      <c r="CJ1723" s="197"/>
      <c r="CK1723" s="197"/>
      <c r="CL1723" s="197"/>
      <c r="CM1723" s="213"/>
      <c r="CN1723" s="213"/>
      <c r="CO1723" s="197"/>
      <c r="CP1723" s="197"/>
      <c r="CQ1723" s="197"/>
      <c r="CR1723" s="197"/>
      <c r="CS1723" s="197"/>
      <c r="CT1723" s="197"/>
      <c r="CU1723" s="197"/>
      <c r="CV1723" s="197"/>
      <c r="CW1723" s="197"/>
      <c r="CX1723" s="959"/>
      <c r="CY1723" s="959"/>
      <c r="CZ1723" s="959"/>
      <c r="DA1723" s="959"/>
      <c r="DB1723" s="959"/>
      <c r="DC1723" s="891">
        <v>6325</v>
      </c>
      <c r="DD1723" s="891" t="s">
        <v>1981</v>
      </c>
      <c r="DE1723" s="891" t="s">
        <v>427</v>
      </c>
      <c r="DF1723" s="891">
        <v>6</v>
      </c>
      <c r="DG1723" s="959"/>
      <c r="DH1723" s="959"/>
      <c r="ER1723" s="905">
        <v>6773</v>
      </c>
      <c r="ES1723" s="906" t="s">
        <v>2077</v>
      </c>
      <c r="ET1723" s="2686">
        <v>9</v>
      </c>
      <c r="EV1723" s="985"/>
      <c r="EW1723" s="985"/>
      <c r="EX1723" s="387"/>
      <c r="EY1723" s="939"/>
      <c r="EZ1723" s="886"/>
    </row>
    <row r="1724" spans="88:156">
      <c r="CJ1724" s="197"/>
      <c r="CK1724" s="197"/>
      <c r="CL1724" s="197"/>
      <c r="CM1724" s="213"/>
      <c r="CN1724" s="213"/>
      <c r="CO1724" s="197"/>
      <c r="CP1724" s="197"/>
      <c r="CQ1724" s="197"/>
      <c r="CR1724" s="197"/>
      <c r="CS1724" s="197"/>
      <c r="CT1724" s="197"/>
      <c r="CU1724" s="197"/>
      <c r="CV1724" s="197"/>
      <c r="CW1724" s="197"/>
      <c r="CX1724" s="959"/>
      <c r="CY1724" s="959"/>
      <c r="CZ1724" s="959"/>
      <c r="DA1724" s="959"/>
      <c r="DB1724" s="959"/>
      <c r="DC1724" s="891">
        <v>6326</v>
      </c>
      <c r="DD1724" s="891" t="s">
        <v>1982</v>
      </c>
      <c r="DE1724" s="891" t="s">
        <v>427</v>
      </c>
      <c r="DF1724" s="891">
        <v>6</v>
      </c>
      <c r="DG1724" s="959"/>
      <c r="DH1724" s="959"/>
      <c r="ER1724" s="905">
        <v>6774</v>
      </c>
      <c r="ES1724" s="906" t="s">
        <v>2078</v>
      </c>
      <c r="ET1724" s="2686">
        <v>9</v>
      </c>
      <c r="EV1724" s="985"/>
      <c r="EW1724" s="985"/>
      <c r="EX1724" s="387"/>
      <c r="EY1724" s="939"/>
      <c r="EZ1724" s="886"/>
    </row>
    <row r="1725" spans="88:156">
      <c r="CJ1725" s="197"/>
      <c r="CK1725" s="197"/>
      <c r="CL1725" s="197"/>
      <c r="CM1725" s="213"/>
      <c r="CN1725" s="213"/>
      <c r="CO1725" s="197"/>
      <c r="CP1725" s="197"/>
      <c r="CQ1725" s="197"/>
      <c r="CR1725" s="197"/>
      <c r="CS1725" s="197"/>
      <c r="CT1725" s="197"/>
      <c r="CU1725" s="197"/>
      <c r="CV1725" s="197"/>
      <c r="CW1725" s="197"/>
      <c r="CX1725" s="959"/>
      <c r="CY1725" s="959"/>
      <c r="CZ1725" s="959"/>
      <c r="DA1725" s="959"/>
      <c r="DB1725" s="959"/>
      <c r="DC1725" s="891">
        <v>6327</v>
      </c>
      <c r="DD1725" s="891" t="s">
        <v>1983</v>
      </c>
      <c r="DE1725" s="891" t="s">
        <v>427</v>
      </c>
      <c r="DF1725" s="891">
        <v>6</v>
      </c>
      <c r="DG1725" s="959"/>
      <c r="DH1725" s="959"/>
      <c r="ER1725" s="905">
        <v>6775</v>
      </c>
      <c r="ES1725" s="906" t="s">
        <v>2079</v>
      </c>
      <c r="ET1725" s="2686">
        <v>9</v>
      </c>
      <c r="EV1725" s="985"/>
      <c r="EW1725" s="985"/>
      <c r="EX1725" s="387"/>
      <c r="EY1725" s="939"/>
      <c r="EZ1725" s="886"/>
    </row>
    <row r="1726" spans="88:156">
      <c r="CJ1726" s="197"/>
      <c r="CK1726" s="197"/>
      <c r="CL1726" s="197"/>
      <c r="CM1726" s="213"/>
      <c r="CN1726" s="213"/>
      <c r="CO1726" s="197"/>
      <c r="CP1726" s="197"/>
      <c r="CQ1726" s="197"/>
      <c r="CR1726" s="197"/>
      <c r="CS1726" s="197"/>
      <c r="CT1726" s="197"/>
      <c r="CU1726" s="197"/>
      <c r="CV1726" s="197"/>
      <c r="CW1726" s="197"/>
      <c r="CX1726" s="959"/>
      <c r="CY1726" s="959"/>
      <c r="CZ1726" s="959"/>
      <c r="DA1726" s="959"/>
      <c r="DB1726" s="959"/>
      <c r="DC1726" s="891">
        <v>6328</v>
      </c>
      <c r="DD1726" s="891" t="s">
        <v>1984</v>
      </c>
      <c r="DE1726" s="891" t="s">
        <v>427</v>
      </c>
      <c r="DF1726" s="891">
        <v>6</v>
      </c>
      <c r="DG1726" s="959"/>
      <c r="DH1726" s="959"/>
      <c r="ER1726" s="905">
        <v>6781</v>
      </c>
      <c r="ES1726" s="906" t="s">
        <v>2080</v>
      </c>
      <c r="ET1726" s="2686">
        <v>9</v>
      </c>
      <c r="EV1726" s="985"/>
      <c r="EW1726" s="985"/>
      <c r="EX1726" s="387"/>
      <c r="EY1726" s="939"/>
      <c r="EZ1726" s="886"/>
    </row>
    <row r="1727" spans="88:156">
      <c r="CJ1727" s="197"/>
      <c r="CK1727" s="197"/>
      <c r="CL1727" s="197"/>
      <c r="CM1727" s="213"/>
      <c r="CN1727" s="213"/>
      <c r="CO1727" s="197"/>
      <c r="CP1727" s="197"/>
      <c r="CQ1727" s="197"/>
      <c r="CR1727" s="197"/>
      <c r="CS1727" s="197"/>
      <c r="CT1727" s="197"/>
      <c r="CU1727" s="197"/>
      <c r="CV1727" s="197"/>
      <c r="CW1727" s="197"/>
      <c r="CX1727" s="959"/>
      <c r="CY1727" s="959"/>
      <c r="CZ1727" s="959"/>
      <c r="DA1727" s="959"/>
      <c r="DB1727" s="959"/>
      <c r="DC1727" s="891">
        <v>6329</v>
      </c>
      <c r="DD1727" s="891" t="s">
        <v>1985</v>
      </c>
      <c r="DE1727" s="891" t="s">
        <v>427</v>
      </c>
      <c r="DF1727" s="891">
        <v>6</v>
      </c>
      <c r="DG1727" s="959"/>
      <c r="DH1727" s="959"/>
      <c r="ER1727" s="905">
        <v>6782</v>
      </c>
      <c r="ES1727" s="906" t="s">
        <v>2081</v>
      </c>
      <c r="ET1727" s="2686">
        <v>9</v>
      </c>
      <c r="EV1727" s="985"/>
      <c r="EW1727" s="985"/>
      <c r="EX1727" s="387"/>
      <c r="EY1727" s="939"/>
      <c r="EZ1727" s="886"/>
    </row>
    <row r="1728" spans="88:156">
      <c r="CJ1728" s="197"/>
      <c r="CK1728" s="197"/>
      <c r="CL1728" s="197"/>
      <c r="CM1728" s="213"/>
      <c r="CN1728" s="213"/>
      <c r="CO1728" s="197"/>
      <c r="CP1728" s="197"/>
      <c r="CQ1728" s="197"/>
      <c r="CR1728" s="197"/>
      <c r="CS1728" s="197"/>
      <c r="CT1728" s="197"/>
      <c r="CU1728" s="197"/>
      <c r="CV1728" s="197"/>
      <c r="CW1728" s="197"/>
      <c r="CX1728" s="959"/>
      <c r="CY1728" s="959"/>
      <c r="CZ1728" s="959"/>
      <c r="DA1728" s="959"/>
      <c r="DB1728" s="959"/>
      <c r="DC1728" s="891">
        <v>6331</v>
      </c>
      <c r="DD1728" s="891" t="s">
        <v>1986</v>
      </c>
      <c r="DE1728" s="891" t="s">
        <v>427</v>
      </c>
      <c r="DF1728" s="891">
        <v>6</v>
      </c>
      <c r="DG1728" s="959"/>
      <c r="DH1728" s="959"/>
      <c r="ER1728" s="905">
        <v>6783</v>
      </c>
      <c r="ES1728" s="906" t="s">
        <v>2082</v>
      </c>
      <c r="ET1728" s="2686">
        <v>9</v>
      </c>
      <c r="EV1728" s="985"/>
      <c r="EW1728" s="985"/>
      <c r="EX1728" s="387"/>
      <c r="EY1728" s="939"/>
      <c r="EZ1728" s="886"/>
    </row>
    <row r="1729" spans="88:156">
      <c r="CJ1729" s="197"/>
      <c r="CK1729" s="197"/>
      <c r="CL1729" s="197"/>
      <c r="CM1729" s="213"/>
      <c r="CN1729" s="213"/>
      <c r="CO1729" s="197"/>
      <c r="CP1729" s="197"/>
      <c r="CQ1729" s="197"/>
      <c r="CR1729" s="197"/>
      <c r="CS1729" s="197"/>
      <c r="CT1729" s="197"/>
      <c r="CU1729" s="197"/>
      <c r="CV1729" s="197"/>
      <c r="CW1729" s="197"/>
      <c r="CX1729" s="959"/>
      <c r="CY1729" s="959"/>
      <c r="CZ1729" s="959"/>
      <c r="DA1729" s="959"/>
      <c r="DB1729" s="959"/>
      <c r="DC1729" s="891">
        <v>6332</v>
      </c>
      <c r="DD1729" s="891" t="s">
        <v>1987</v>
      </c>
      <c r="DE1729" s="891" t="s">
        <v>427</v>
      </c>
      <c r="DF1729" s="891">
        <v>6</v>
      </c>
      <c r="DG1729" s="959"/>
      <c r="DH1729" s="959"/>
      <c r="ER1729" s="905">
        <v>6784</v>
      </c>
      <c r="ES1729" s="906" t="s">
        <v>2083</v>
      </c>
      <c r="ET1729" s="2686">
        <v>9</v>
      </c>
      <c r="EV1729" s="985"/>
      <c r="EW1729" s="985"/>
      <c r="EX1729" s="387"/>
      <c r="EY1729" s="939"/>
      <c r="EZ1729" s="886"/>
    </row>
    <row r="1730" spans="88:156">
      <c r="CJ1730" s="197"/>
      <c r="CK1730" s="197"/>
      <c r="CL1730" s="197"/>
      <c r="CM1730" s="213"/>
      <c r="CN1730" s="213"/>
      <c r="CO1730" s="197"/>
      <c r="CP1730" s="197"/>
      <c r="CQ1730" s="197"/>
      <c r="CR1730" s="197"/>
      <c r="CS1730" s="197"/>
      <c r="CT1730" s="197"/>
      <c r="CU1730" s="197"/>
      <c r="CV1730" s="197"/>
      <c r="CW1730" s="197"/>
      <c r="CX1730" s="959"/>
      <c r="CY1730" s="959"/>
      <c r="CZ1730" s="959"/>
      <c r="DA1730" s="959"/>
      <c r="DB1730" s="959"/>
      <c r="DC1730" s="891">
        <v>6333</v>
      </c>
      <c r="DD1730" s="891" t="s">
        <v>1988</v>
      </c>
      <c r="DE1730" s="891" t="s">
        <v>427</v>
      </c>
      <c r="DF1730" s="891">
        <v>6</v>
      </c>
      <c r="DG1730" s="959"/>
      <c r="DH1730" s="959"/>
      <c r="ER1730" s="905">
        <v>6785</v>
      </c>
      <c r="ES1730" s="906" t="s">
        <v>2084</v>
      </c>
      <c r="ET1730" s="2686">
        <v>9</v>
      </c>
      <c r="EV1730" s="985"/>
      <c r="EW1730" s="985"/>
      <c r="EX1730" s="387"/>
      <c r="EY1730" s="939"/>
      <c r="EZ1730" s="886"/>
    </row>
    <row r="1731" spans="88:156">
      <c r="CJ1731" s="197"/>
      <c r="CK1731" s="197"/>
      <c r="CL1731" s="197"/>
      <c r="CM1731" s="213"/>
      <c r="CN1731" s="213"/>
      <c r="CO1731" s="197"/>
      <c r="CP1731" s="197"/>
      <c r="CQ1731" s="197"/>
      <c r="CR1731" s="197"/>
      <c r="CS1731" s="197"/>
      <c r="CT1731" s="197"/>
      <c r="CU1731" s="197"/>
      <c r="CV1731" s="197"/>
      <c r="CW1731" s="197"/>
      <c r="CX1731" s="959"/>
      <c r="CY1731" s="959"/>
      <c r="CZ1731" s="959"/>
      <c r="DA1731" s="959"/>
      <c r="DB1731" s="959"/>
      <c r="DC1731" s="891">
        <v>6334</v>
      </c>
      <c r="DD1731" s="891" t="s">
        <v>1989</v>
      </c>
      <c r="DE1731" s="891" t="s">
        <v>432</v>
      </c>
      <c r="DF1731" s="891">
        <v>6</v>
      </c>
      <c r="DG1731" s="959"/>
      <c r="DH1731" s="959"/>
      <c r="ER1731" s="905">
        <v>6786</v>
      </c>
      <c r="ES1731" s="906" t="s">
        <v>2085</v>
      </c>
      <c r="ET1731" s="2686">
        <v>9</v>
      </c>
      <c r="EV1731" s="985"/>
      <c r="EW1731" s="985"/>
      <c r="EX1731" s="387"/>
      <c r="EY1731" s="939"/>
      <c r="EZ1731" s="886"/>
    </row>
    <row r="1732" spans="88:156">
      <c r="CJ1732" s="197"/>
      <c r="CK1732" s="197"/>
      <c r="CL1732" s="197"/>
      <c r="CM1732" s="213"/>
      <c r="CN1732" s="213"/>
      <c r="CO1732" s="197"/>
      <c r="CP1732" s="197"/>
      <c r="CQ1732" s="197"/>
      <c r="CR1732" s="197"/>
      <c r="CS1732" s="197"/>
      <c r="CT1732" s="197"/>
      <c r="CU1732" s="197"/>
      <c r="CV1732" s="197"/>
      <c r="CW1732" s="197"/>
      <c r="CX1732" s="959"/>
      <c r="CY1732" s="959"/>
      <c r="CZ1732" s="959"/>
      <c r="DA1732" s="959"/>
      <c r="DB1732" s="959"/>
      <c r="DC1732" s="891">
        <v>6335</v>
      </c>
      <c r="DD1732" s="891" t="s">
        <v>1990</v>
      </c>
      <c r="DE1732" s="891" t="s">
        <v>428</v>
      </c>
      <c r="DF1732" s="891">
        <v>6</v>
      </c>
      <c r="DG1732" s="959"/>
      <c r="DH1732" s="959"/>
      <c r="ER1732" s="905">
        <v>6787</v>
      </c>
      <c r="ES1732" s="906" t="s">
        <v>2086</v>
      </c>
      <c r="ET1732" s="2686">
        <v>9</v>
      </c>
      <c r="EV1732" s="985"/>
      <c r="EW1732" s="985"/>
      <c r="EX1732" s="387"/>
      <c r="EY1732" s="939"/>
      <c r="EZ1732" s="886"/>
    </row>
    <row r="1733" spans="88:156">
      <c r="CJ1733" s="197"/>
      <c r="CK1733" s="197"/>
      <c r="CL1733" s="197"/>
      <c r="CM1733" s="213"/>
      <c r="CN1733" s="213"/>
      <c r="CO1733" s="197"/>
      <c r="CP1733" s="197"/>
      <c r="CQ1733" s="197"/>
      <c r="CR1733" s="197"/>
      <c r="CS1733" s="197"/>
      <c r="CT1733" s="197"/>
      <c r="CU1733" s="197"/>
      <c r="CV1733" s="197"/>
      <c r="CW1733" s="197"/>
      <c r="CX1733" s="959"/>
      <c r="CY1733" s="959"/>
      <c r="CZ1733" s="959"/>
      <c r="DA1733" s="959"/>
      <c r="DB1733" s="959"/>
      <c r="DC1733" s="891">
        <v>6336</v>
      </c>
      <c r="DD1733" s="891" t="s">
        <v>1991</v>
      </c>
      <c r="DE1733" s="891" t="s">
        <v>428</v>
      </c>
      <c r="DF1733" s="891">
        <v>6</v>
      </c>
      <c r="DG1733" s="959"/>
      <c r="DH1733" s="959"/>
      <c r="ER1733" s="905">
        <v>6791</v>
      </c>
      <c r="ES1733" s="906" t="s">
        <v>2087</v>
      </c>
      <c r="ET1733" s="2686">
        <v>7</v>
      </c>
      <c r="EV1733" s="985"/>
      <c r="EW1733" s="985"/>
      <c r="EX1733" s="387"/>
      <c r="EY1733" s="939"/>
      <c r="EZ1733" s="886"/>
    </row>
    <row r="1734" spans="88:156">
      <c r="CJ1734" s="197"/>
      <c r="CK1734" s="197"/>
      <c r="CL1734" s="197"/>
      <c r="CM1734" s="213"/>
      <c r="CN1734" s="213"/>
      <c r="CO1734" s="197"/>
      <c r="CP1734" s="197"/>
      <c r="CQ1734" s="197"/>
      <c r="CR1734" s="197"/>
      <c r="CS1734" s="197"/>
      <c r="CT1734" s="197"/>
      <c r="CU1734" s="197"/>
      <c r="CV1734" s="197"/>
      <c r="CW1734" s="197"/>
      <c r="CX1734" s="959"/>
      <c r="CY1734" s="959"/>
      <c r="CZ1734" s="959"/>
      <c r="DA1734" s="959"/>
      <c r="DB1734" s="959"/>
      <c r="DC1734" s="891">
        <v>6337</v>
      </c>
      <c r="DD1734" s="891" t="s">
        <v>1992</v>
      </c>
      <c r="DE1734" s="891" t="s">
        <v>412</v>
      </c>
      <c r="DF1734" s="891">
        <v>6</v>
      </c>
      <c r="DG1734" s="959"/>
      <c r="DH1734" s="959"/>
      <c r="ER1734" s="971">
        <v>6791</v>
      </c>
      <c r="ES1734" s="906" t="s">
        <v>2056</v>
      </c>
      <c r="ET1734" s="2686">
        <v>7</v>
      </c>
      <c r="EV1734" s="985"/>
      <c r="EW1734" s="985"/>
      <c r="EX1734" s="387"/>
      <c r="EY1734" s="939"/>
      <c r="EZ1734" s="886"/>
    </row>
    <row r="1735" spans="88:156">
      <c r="CJ1735" s="197"/>
      <c r="CK1735" s="197"/>
      <c r="CL1735" s="197"/>
      <c r="CM1735" s="213"/>
      <c r="CN1735" s="213"/>
      <c r="CO1735" s="197"/>
      <c r="CP1735" s="197"/>
      <c r="CQ1735" s="197"/>
      <c r="CR1735" s="197"/>
      <c r="CS1735" s="197"/>
      <c r="CT1735" s="197"/>
      <c r="CU1735" s="197"/>
      <c r="CV1735" s="197"/>
      <c r="CW1735" s="197"/>
      <c r="CX1735" s="959"/>
      <c r="CY1735" s="959"/>
      <c r="CZ1735" s="959"/>
      <c r="DA1735" s="959"/>
      <c r="DB1735" s="959"/>
      <c r="DC1735" s="891">
        <v>6341</v>
      </c>
      <c r="DD1735" s="891" t="s">
        <v>1993</v>
      </c>
      <c r="DE1735" s="891" t="s">
        <v>406</v>
      </c>
      <c r="DF1735" s="891">
        <v>6</v>
      </c>
      <c r="DG1735" s="959"/>
      <c r="DH1735" s="959"/>
      <c r="ER1735" s="905">
        <v>6792</v>
      </c>
      <c r="ES1735" s="906" t="s">
        <v>2088</v>
      </c>
      <c r="ET1735" s="2686">
        <v>9</v>
      </c>
      <c r="EV1735" s="985"/>
      <c r="EW1735" s="985"/>
      <c r="EX1735" s="387"/>
      <c r="EY1735" s="939"/>
      <c r="EZ1735" s="886"/>
    </row>
    <row r="1736" spans="88:156">
      <c r="CJ1736" s="197"/>
      <c r="CK1736" s="197"/>
      <c r="CL1736" s="197"/>
      <c r="CM1736" s="213"/>
      <c r="CN1736" s="213"/>
      <c r="CO1736" s="197"/>
      <c r="CP1736" s="197"/>
      <c r="CQ1736" s="197"/>
      <c r="CR1736" s="197"/>
      <c r="CS1736" s="197"/>
      <c r="CT1736" s="197"/>
      <c r="CU1736" s="197"/>
      <c r="CV1736" s="197"/>
      <c r="CW1736" s="197"/>
      <c r="CX1736" s="959"/>
      <c r="CY1736" s="959"/>
      <c r="CZ1736" s="959"/>
      <c r="DA1736" s="959"/>
      <c r="DB1736" s="959"/>
      <c r="DC1736" s="891">
        <v>6342</v>
      </c>
      <c r="DD1736" s="891" t="s">
        <v>1994</v>
      </c>
      <c r="DE1736" s="891" t="s">
        <v>419</v>
      </c>
      <c r="DF1736" s="891">
        <v>6</v>
      </c>
      <c r="DG1736" s="959"/>
      <c r="DH1736" s="959"/>
      <c r="ER1736" s="905">
        <v>6793</v>
      </c>
      <c r="ES1736" s="906" t="s">
        <v>2089</v>
      </c>
      <c r="ET1736" s="2686">
        <v>9</v>
      </c>
      <c r="EV1736" s="985"/>
      <c r="EW1736" s="985"/>
      <c r="EX1736" s="387"/>
      <c r="EY1736" s="939"/>
      <c r="EZ1736" s="886"/>
    </row>
    <row r="1737" spans="88:156">
      <c r="CJ1737" s="197"/>
      <c r="CK1737" s="197"/>
      <c r="CL1737" s="197"/>
      <c r="CM1737" s="213"/>
      <c r="CN1737" s="213"/>
      <c r="CO1737" s="197"/>
      <c r="CP1737" s="197"/>
      <c r="CQ1737" s="197"/>
      <c r="CR1737" s="197"/>
      <c r="CS1737" s="197"/>
      <c r="CT1737" s="197"/>
      <c r="CU1737" s="197"/>
      <c r="CV1737" s="197"/>
      <c r="CW1737" s="197"/>
      <c r="CX1737" s="959"/>
      <c r="CY1737" s="959"/>
      <c r="CZ1737" s="959"/>
      <c r="DA1737" s="959"/>
      <c r="DB1737" s="959"/>
      <c r="DC1737" s="891">
        <v>6343</v>
      </c>
      <c r="DD1737" s="891" t="s">
        <v>1995</v>
      </c>
      <c r="DE1737" s="891" t="s">
        <v>427</v>
      </c>
      <c r="DF1737" s="891">
        <v>6</v>
      </c>
      <c r="DG1737" s="959"/>
      <c r="DH1737" s="959"/>
      <c r="ER1737" s="905">
        <v>6794</v>
      </c>
      <c r="ES1737" s="906" t="s">
        <v>2090</v>
      </c>
      <c r="ET1737" s="2686">
        <v>9</v>
      </c>
      <c r="EV1737" s="985"/>
      <c r="EW1737" s="985"/>
      <c r="EX1737" s="387"/>
      <c r="EY1737" s="939"/>
      <c r="EZ1737" s="886"/>
    </row>
    <row r="1738" spans="88:156">
      <c r="CJ1738" s="197"/>
      <c r="CK1738" s="197"/>
      <c r="CL1738" s="197"/>
      <c r="CM1738" s="213"/>
      <c r="CN1738" s="213"/>
      <c r="CO1738" s="197"/>
      <c r="CP1738" s="197"/>
      <c r="CQ1738" s="197"/>
      <c r="CR1738" s="197"/>
      <c r="CS1738" s="197"/>
      <c r="CT1738" s="197"/>
      <c r="CU1738" s="197"/>
      <c r="CV1738" s="197"/>
      <c r="CW1738" s="197"/>
      <c r="CX1738" s="959"/>
      <c r="CY1738" s="959"/>
      <c r="CZ1738" s="959"/>
      <c r="DA1738" s="959"/>
      <c r="DB1738" s="959"/>
      <c r="DC1738" s="891">
        <v>6344</v>
      </c>
      <c r="DD1738" s="891" t="s">
        <v>1996</v>
      </c>
      <c r="DE1738" s="891" t="s">
        <v>421</v>
      </c>
      <c r="DF1738" s="891">
        <v>6</v>
      </c>
      <c r="DG1738" s="959"/>
      <c r="DH1738" s="959"/>
      <c r="ER1738" s="905">
        <v>6795</v>
      </c>
      <c r="ES1738" s="906" t="s">
        <v>2091</v>
      </c>
      <c r="ET1738" s="2686">
        <v>9</v>
      </c>
      <c r="EV1738" s="985"/>
      <c r="EW1738" s="985"/>
      <c r="EX1738" s="387"/>
      <c r="EY1738" s="939"/>
      <c r="EZ1738" s="886"/>
    </row>
    <row r="1739" spans="88:156">
      <c r="CJ1739" s="197"/>
      <c r="CK1739" s="197"/>
      <c r="CL1739" s="197"/>
      <c r="CM1739" s="213"/>
      <c r="CN1739" s="213"/>
      <c r="CO1739" s="197"/>
      <c r="CP1739" s="197"/>
      <c r="CQ1739" s="197"/>
      <c r="CR1739" s="197"/>
      <c r="CS1739" s="197"/>
      <c r="CT1739" s="197"/>
      <c r="CU1739" s="197"/>
      <c r="CV1739" s="197"/>
      <c r="CW1739" s="197"/>
      <c r="CX1739" s="959"/>
      <c r="CY1739" s="959"/>
      <c r="CZ1739" s="959"/>
      <c r="DA1739" s="959"/>
      <c r="DB1739" s="959"/>
      <c r="DC1739" s="891">
        <v>6345</v>
      </c>
      <c r="DD1739" s="891" t="s">
        <v>1997</v>
      </c>
      <c r="DE1739" s="891" t="s">
        <v>412</v>
      </c>
      <c r="DF1739" s="891">
        <v>6</v>
      </c>
      <c r="DG1739" s="959"/>
      <c r="DH1739" s="959"/>
      <c r="ER1739" s="905">
        <v>6800</v>
      </c>
      <c r="ES1739" s="906" t="s">
        <v>2092</v>
      </c>
      <c r="ET1739" s="2686">
        <v>9</v>
      </c>
      <c r="EV1739" s="985"/>
      <c r="EW1739" s="985"/>
      <c r="EX1739" s="387"/>
      <c r="EY1739" s="939"/>
      <c r="EZ1739" s="886"/>
    </row>
    <row r="1740" spans="88:156">
      <c r="CJ1740" s="197"/>
      <c r="CK1740" s="197"/>
      <c r="CL1740" s="197"/>
      <c r="CM1740" s="213"/>
      <c r="CN1740" s="213"/>
      <c r="CO1740" s="197"/>
      <c r="CP1740" s="197"/>
      <c r="CQ1740" s="197"/>
      <c r="CR1740" s="197"/>
      <c r="CS1740" s="197"/>
      <c r="CT1740" s="197"/>
      <c r="CU1740" s="197"/>
      <c r="CV1740" s="197"/>
      <c r="CW1740" s="197"/>
      <c r="CX1740" s="959"/>
      <c r="CY1740" s="959"/>
      <c r="CZ1740" s="959"/>
      <c r="DA1740" s="959"/>
      <c r="DB1740" s="959"/>
      <c r="DC1740" s="891">
        <v>6346</v>
      </c>
      <c r="DD1740" s="891" t="s">
        <v>1998</v>
      </c>
      <c r="DE1740" s="891" t="s">
        <v>427</v>
      </c>
      <c r="DF1740" s="891">
        <v>6</v>
      </c>
      <c r="DG1740" s="959"/>
      <c r="DH1740" s="959"/>
      <c r="ER1740" s="905">
        <v>6806</v>
      </c>
      <c r="ES1740" s="905" t="s">
        <v>1345</v>
      </c>
      <c r="ET1740" s="2686">
        <v>9</v>
      </c>
      <c r="EV1740" s="985"/>
      <c r="EW1740" s="985"/>
      <c r="EX1740" s="387"/>
      <c r="EY1740" s="939"/>
      <c r="EZ1740" s="886"/>
    </row>
    <row r="1741" spans="88:156">
      <c r="CJ1741" s="197"/>
      <c r="CK1741" s="197"/>
      <c r="CL1741" s="197"/>
      <c r="CM1741" s="213"/>
      <c r="CN1741" s="213"/>
      <c r="CO1741" s="197"/>
      <c r="CP1741" s="197"/>
      <c r="CQ1741" s="197"/>
      <c r="CR1741" s="197"/>
      <c r="CS1741" s="197"/>
      <c r="CT1741" s="197"/>
      <c r="CU1741" s="197"/>
      <c r="CV1741" s="197"/>
      <c r="CW1741" s="197"/>
      <c r="CX1741" s="959"/>
      <c r="CY1741" s="959"/>
      <c r="CZ1741" s="959"/>
      <c r="DA1741" s="959"/>
      <c r="DB1741" s="959"/>
      <c r="DC1741" s="891">
        <v>6347</v>
      </c>
      <c r="DD1741" s="891" t="s">
        <v>1999</v>
      </c>
      <c r="DE1741" s="891" t="s">
        <v>423</v>
      </c>
      <c r="DF1741" s="891">
        <v>6</v>
      </c>
      <c r="DG1741" s="959"/>
      <c r="DH1741" s="959"/>
      <c r="ER1741" s="905">
        <v>6821</v>
      </c>
      <c r="ES1741" s="906" t="s">
        <v>2094</v>
      </c>
      <c r="ET1741" s="2686">
        <v>9</v>
      </c>
      <c r="EV1741" s="985"/>
      <c r="EW1741" s="985"/>
      <c r="EX1741" s="387"/>
      <c r="EY1741" s="939"/>
      <c r="EZ1741" s="886"/>
    </row>
    <row r="1742" spans="88:156">
      <c r="CJ1742" s="197"/>
      <c r="CK1742" s="197"/>
      <c r="CL1742" s="197"/>
      <c r="CM1742" s="213"/>
      <c r="CN1742" s="213"/>
      <c r="CO1742" s="197"/>
      <c r="CP1742" s="197"/>
      <c r="CQ1742" s="197"/>
      <c r="CR1742" s="197"/>
      <c r="CS1742" s="197"/>
      <c r="CT1742" s="197"/>
      <c r="CU1742" s="197"/>
      <c r="CV1742" s="197"/>
      <c r="CW1742" s="197"/>
      <c r="CX1742" s="959"/>
      <c r="CY1742" s="959"/>
      <c r="CZ1742" s="959"/>
      <c r="DA1742" s="959"/>
      <c r="DB1742" s="959"/>
      <c r="DC1742" s="891">
        <v>6348</v>
      </c>
      <c r="DD1742" s="891" t="s">
        <v>2000</v>
      </c>
      <c r="DE1742" s="891" t="s">
        <v>428</v>
      </c>
      <c r="DF1742" s="891">
        <v>6</v>
      </c>
      <c r="DG1742" s="959"/>
      <c r="DH1742" s="959"/>
      <c r="ER1742" s="905">
        <v>6900</v>
      </c>
      <c r="ES1742" s="906" t="s">
        <v>2095</v>
      </c>
      <c r="ET1742" s="2686">
        <v>9</v>
      </c>
      <c r="EV1742" s="985"/>
      <c r="EW1742" s="985"/>
      <c r="EX1742" s="387"/>
      <c r="EY1742" s="939"/>
      <c r="EZ1742" s="886"/>
    </row>
    <row r="1743" spans="88:156">
      <c r="CJ1743" s="197"/>
      <c r="CK1743" s="197"/>
      <c r="CL1743" s="197"/>
      <c r="CM1743" s="213"/>
      <c r="CN1743" s="213"/>
      <c r="CO1743" s="197"/>
      <c r="CP1743" s="197"/>
      <c r="CQ1743" s="197"/>
      <c r="CR1743" s="197"/>
      <c r="CS1743" s="197"/>
      <c r="CT1743" s="197"/>
      <c r="CU1743" s="197"/>
      <c r="CV1743" s="197"/>
      <c r="CW1743" s="197"/>
      <c r="CX1743" s="959"/>
      <c r="CY1743" s="959"/>
      <c r="CZ1743" s="959"/>
      <c r="DA1743" s="959"/>
      <c r="DB1743" s="959"/>
      <c r="DC1743" s="891">
        <v>6351</v>
      </c>
      <c r="DD1743" s="891" t="s">
        <v>2001</v>
      </c>
      <c r="DE1743" s="891" t="s">
        <v>418</v>
      </c>
      <c r="DF1743" s="891">
        <v>6</v>
      </c>
      <c r="DG1743" s="959"/>
      <c r="DH1743" s="959"/>
      <c r="ER1743" s="905">
        <v>6903</v>
      </c>
      <c r="ES1743" s="906" t="s">
        <v>1346</v>
      </c>
      <c r="ET1743" s="2686">
        <v>9</v>
      </c>
      <c r="EV1743" s="985"/>
      <c r="EW1743" s="985"/>
      <c r="EX1743" s="387"/>
      <c r="EY1743" s="939"/>
      <c r="EZ1743" s="886"/>
    </row>
    <row r="1744" spans="88:156">
      <c r="CJ1744" s="197"/>
      <c r="CK1744" s="197"/>
      <c r="CL1744" s="197"/>
      <c r="CM1744" s="213"/>
      <c r="CN1744" s="213"/>
      <c r="CO1744" s="197"/>
      <c r="CP1744" s="197"/>
      <c r="CQ1744" s="197"/>
      <c r="CR1744" s="197"/>
      <c r="CS1744" s="197"/>
      <c r="CT1744" s="197"/>
      <c r="CU1744" s="197"/>
      <c r="CV1744" s="197"/>
      <c r="CW1744" s="197"/>
      <c r="CX1744" s="959"/>
      <c r="CY1744" s="959"/>
      <c r="CZ1744" s="959"/>
      <c r="DA1744" s="959"/>
      <c r="DB1744" s="959"/>
      <c r="DC1744" s="891">
        <v>6352</v>
      </c>
      <c r="DD1744" s="891" t="s">
        <v>2002</v>
      </c>
      <c r="DE1744" s="891" t="s">
        <v>432</v>
      </c>
      <c r="DF1744" s="891">
        <v>6</v>
      </c>
      <c r="DG1744" s="959"/>
      <c r="DH1744" s="959"/>
      <c r="ER1744" s="905">
        <v>6911</v>
      </c>
      <c r="ES1744" s="906" t="s">
        <v>2097</v>
      </c>
      <c r="ET1744" s="2686">
        <v>9</v>
      </c>
      <c r="EV1744" s="985"/>
      <c r="EW1744" s="985"/>
      <c r="EX1744" s="387"/>
      <c r="EY1744" s="939"/>
      <c r="EZ1744" s="886"/>
    </row>
    <row r="1745" spans="88:156">
      <c r="CJ1745" s="197"/>
      <c r="CK1745" s="197"/>
      <c r="CL1745" s="197"/>
      <c r="CM1745" s="213"/>
      <c r="CN1745" s="213"/>
      <c r="CO1745" s="197"/>
      <c r="CP1745" s="197"/>
      <c r="CQ1745" s="197"/>
      <c r="CR1745" s="197"/>
      <c r="CS1745" s="197"/>
      <c r="CT1745" s="197"/>
      <c r="CU1745" s="197"/>
      <c r="CV1745" s="197"/>
      <c r="CW1745" s="197"/>
      <c r="CX1745" s="959"/>
      <c r="CY1745" s="959"/>
      <c r="CZ1745" s="959"/>
      <c r="DA1745" s="959"/>
      <c r="DB1745" s="959"/>
      <c r="DC1745" s="891">
        <v>6353</v>
      </c>
      <c r="DD1745" s="891" t="s">
        <v>2003</v>
      </c>
      <c r="DE1745" s="891" t="s">
        <v>419</v>
      </c>
      <c r="DF1745" s="891">
        <v>6</v>
      </c>
      <c r="DG1745" s="959"/>
      <c r="DH1745" s="959"/>
      <c r="ER1745" s="905">
        <v>6912</v>
      </c>
      <c r="ES1745" s="906" t="s">
        <v>2098</v>
      </c>
      <c r="ET1745" s="2686">
        <v>9</v>
      </c>
      <c r="EV1745" s="985"/>
      <c r="EW1745" s="985"/>
      <c r="EX1745" s="387"/>
      <c r="EY1745" s="939"/>
      <c r="EZ1745" s="886"/>
    </row>
    <row r="1746" spans="88:156">
      <c r="CJ1746" s="197"/>
      <c r="CK1746" s="197"/>
      <c r="CL1746" s="197"/>
      <c r="CM1746" s="213"/>
      <c r="CN1746" s="213"/>
      <c r="CO1746" s="197"/>
      <c r="CP1746" s="197"/>
      <c r="CQ1746" s="197"/>
      <c r="CR1746" s="197"/>
      <c r="CS1746" s="197"/>
      <c r="CT1746" s="197"/>
      <c r="CU1746" s="197"/>
      <c r="CV1746" s="197"/>
      <c r="CW1746" s="197"/>
      <c r="CX1746" s="959"/>
      <c r="CY1746" s="959"/>
      <c r="CZ1746" s="959"/>
      <c r="DA1746" s="959"/>
      <c r="DB1746" s="959"/>
      <c r="DC1746" s="891">
        <v>6400</v>
      </c>
      <c r="DD1746" s="891" t="s">
        <v>2004</v>
      </c>
      <c r="DE1746" s="891" t="s">
        <v>421</v>
      </c>
      <c r="DF1746" s="891">
        <v>6</v>
      </c>
      <c r="DG1746" s="959"/>
      <c r="DH1746" s="959"/>
      <c r="ER1746" s="905">
        <v>6913</v>
      </c>
      <c r="ES1746" s="906" t="s">
        <v>2099</v>
      </c>
      <c r="ET1746" s="2686">
        <v>9</v>
      </c>
      <c r="EV1746" s="985"/>
      <c r="EW1746" s="985"/>
      <c r="EX1746" s="387"/>
      <c r="EY1746" s="939"/>
      <c r="EZ1746" s="886"/>
    </row>
    <row r="1747" spans="88:156">
      <c r="CJ1747" s="197"/>
      <c r="CK1747" s="197"/>
      <c r="CL1747" s="197"/>
      <c r="CM1747" s="213"/>
      <c r="CN1747" s="213"/>
      <c r="CO1747" s="197"/>
      <c r="CP1747" s="197"/>
      <c r="CQ1747" s="197"/>
      <c r="CR1747" s="197"/>
      <c r="CS1747" s="197"/>
      <c r="CT1747" s="197"/>
      <c r="CU1747" s="197"/>
      <c r="CV1747" s="197"/>
      <c r="CW1747" s="197"/>
      <c r="CX1747" s="959"/>
      <c r="CY1747" s="959"/>
      <c r="CZ1747" s="959"/>
      <c r="DA1747" s="959"/>
      <c r="DB1747" s="959"/>
      <c r="DC1747" s="891">
        <v>6411</v>
      </c>
      <c r="DD1747" s="891" t="s">
        <v>2005</v>
      </c>
      <c r="DE1747" s="891" t="s">
        <v>421</v>
      </c>
      <c r="DF1747" s="891">
        <v>6</v>
      </c>
      <c r="DG1747" s="959"/>
      <c r="DH1747" s="959"/>
      <c r="ER1747" s="905">
        <v>6914</v>
      </c>
      <c r="ES1747" s="906" t="s">
        <v>2100</v>
      </c>
      <c r="ET1747" s="2686">
        <v>9</v>
      </c>
      <c r="EV1747" s="985"/>
      <c r="EW1747" s="985"/>
      <c r="EX1747" s="387"/>
      <c r="EY1747" s="939"/>
      <c r="EZ1747" s="886"/>
    </row>
    <row r="1748" spans="88:156">
      <c r="CJ1748" s="197"/>
      <c r="CK1748" s="197"/>
      <c r="CL1748" s="197"/>
      <c r="CM1748" s="213"/>
      <c r="CN1748" s="213"/>
      <c r="CO1748" s="197"/>
      <c r="CP1748" s="197"/>
      <c r="CQ1748" s="197"/>
      <c r="CR1748" s="197"/>
      <c r="CS1748" s="197"/>
      <c r="CT1748" s="197"/>
      <c r="CU1748" s="197"/>
      <c r="CV1748" s="197"/>
      <c r="CW1748" s="197"/>
      <c r="CX1748" s="959"/>
      <c r="CY1748" s="959"/>
      <c r="CZ1748" s="959"/>
      <c r="DA1748" s="959"/>
      <c r="DB1748" s="959"/>
      <c r="DC1748" s="891">
        <v>6412</v>
      </c>
      <c r="DD1748" s="891" t="s">
        <v>2006</v>
      </c>
      <c r="DE1748" s="891" t="s">
        <v>421</v>
      </c>
      <c r="DF1748" s="891">
        <v>6</v>
      </c>
      <c r="DG1748" s="959"/>
      <c r="DH1748" s="959"/>
      <c r="ER1748" s="905">
        <v>6915</v>
      </c>
      <c r="ES1748" s="906" t="s">
        <v>2101</v>
      </c>
      <c r="ET1748" s="2686">
        <v>9</v>
      </c>
      <c r="EV1748" s="985"/>
      <c r="EW1748" s="985"/>
      <c r="EX1748" s="387"/>
      <c r="EY1748" s="939"/>
      <c r="EZ1748" s="886"/>
    </row>
    <row r="1749" spans="88:156">
      <c r="CJ1749" s="197"/>
      <c r="CK1749" s="197"/>
      <c r="CL1749" s="197"/>
      <c r="CM1749" s="213"/>
      <c r="CN1749" s="213"/>
      <c r="CO1749" s="197"/>
      <c r="CP1749" s="197"/>
      <c r="CQ1749" s="197"/>
      <c r="CR1749" s="197"/>
      <c r="CS1749" s="197"/>
      <c r="CT1749" s="197"/>
      <c r="CU1749" s="197"/>
      <c r="CV1749" s="197"/>
      <c r="CW1749" s="197"/>
      <c r="CX1749" s="959"/>
      <c r="CY1749" s="959"/>
      <c r="CZ1749" s="959"/>
      <c r="DA1749" s="959"/>
      <c r="DB1749" s="959"/>
      <c r="DC1749" s="891">
        <v>6413</v>
      </c>
      <c r="DD1749" s="891" t="s">
        <v>2007</v>
      </c>
      <c r="DE1749" s="891" t="s">
        <v>421</v>
      </c>
      <c r="DF1749" s="891">
        <v>6</v>
      </c>
      <c r="DG1749" s="959"/>
      <c r="DH1749" s="959"/>
      <c r="ER1749" s="905">
        <v>6916</v>
      </c>
      <c r="ES1749" s="906" t="s">
        <v>2102</v>
      </c>
      <c r="ET1749" s="2686">
        <v>9</v>
      </c>
      <c r="EV1749" s="985"/>
      <c r="EW1749" s="985"/>
      <c r="EX1749" s="387"/>
      <c r="EY1749" s="939"/>
      <c r="EZ1749" s="886"/>
    </row>
    <row r="1750" spans="88:156">
      <c r="CJ1750" s="197"/>
      <c r="CK1750" s="197"/>
      <c r="CL1750" s="197"/>
      <c r="CM1750" s="213"/>
      <c r="CN1750" s="213"/>
      <c r="CO1750" s="197"/>
      <c r="CP1750" s="197"/>
      <c r="CQ1750" s="197"/>
      <c r="CR1750" s="197"/>
      <c r="CS1750" s="197"/>
      <c r="CT1750" s="197"/>
      <c r="CU1750" s="197"/>
      <c r="CV1750" s="197"/>
      <c r="CW1750" s="197"/>
      <c r="CX1750" s="959"/>
      <c r="CY1750" s="959"/>
      <c r="CZ1750" s="959"/>
      <c r="DA1750" s="959"/>
      <c r="DB1750" s="959"/>
      <c r="DC1750" s="891">
        <v>6414</v>
      </c>
      <c r="DD1750" s="891" t="s">
        <v>2008</v>
      </c>
      <c r="DE1750" s="891" t="s">
        <v>421</v>
      </c>
      <c r="DF1750" s="891">
        <v>6</v>
      </c>
      <c r="DG1750" s="959"/>
      <c r="DH1750" s="959"/>
      <c r="ER1750" s="905">
        <v>6917</v>
      </c>
      <c r="ES1750" s="906" t="s">
        <v>2103</v>
      </c>
      <c r="ET1750" s="2686">
        <v>9</v>
      </c>
      <c r="EV1750" s="985"/>
      <c r="EW1750" s="985"/>
      <c r="EX1750" s="387"/>
      <c r="EY1750" s="939"/>
      <c r="EZ1750" s="886"/>
    </row>
    <row r="1751" spans="88:156">
      <c r="CJ1751" s="197"/>
      <c r="CK1751" s="197"/>
      <c r="CL1751" s="197"/>
      <c r="CM1751" s="213"/>
      <c r="CN1751" s="213"/>
      <c r="CO1751" s="197"/>
      <c r="CP1751" s="197"/>
      <c r="CQ1751" s="197"/>
      <c r="CR1751" s="197"/>
      <c r="CS1751" s="197"/>
      <c r="CT1751" s="197"/>
      <c r="CU1751" s="197"/>
      <c r="CV1751" s="197"/>
      <c r="CW1751" s="197"/>
      <c r="CX1751" s="959"/>
      <c r="CY1751" s="959"/>
      <c r="CZ1751" s="959"/>
      <c r="DA1751" s="959"/>
      <c r="DB1751" s="959"/>
      <c r="DC1751" s="891">
        <v>6421</v>
      </c>
      <c r="DD1751" s="891" t="s">
        <v>2009</v>
      </c>
      <c r="DE1751" s="891" t="s">
        <v>421</v>
      </c>
      <c r="DF1751" s="891">
        <v>6</v>
      </c>
      <c r="DG1751" s="959"/>
      <c r="DH1751" s="959"/>
      <c r="ER1751" s="905">
        <v>6921</v>
      </c>
      <c r="ES1751" s="906" t="s">
        <v>2104</v>
      </c>
      <c r="ET1751" s="2686">
        <v>9</v>
      </c>
      <c r="EV1751" s="985"/>
      <c r="EW1751" s="985"/>
      <c r="EX1751" s="387"/>
      <c r="EY1751" s="939"/>
      <c r="EZ1751" s="886"/>
    </row>
    <row r="1752" spans="88:156">
      <c r="CJ1752" s="197"/>
      <c r="CK1752" s="197"/>
      <c r="CL1752" s="197"/>
      <c r="CM1752" s="213"/>
      <c r="CN1752" s="213"/>
      <c r="CO1752" s="197"/>
      <c r="CP1752" s="197"/>
      <c r="CQ1752" s="197"/>
      <c r="CR1752" s="197"/>
      <c r="CS1752" s="197"/>
      <c r="CT1752" s="197"/>
      <c r="CU1752" s="197"/>
      <c r="CV1752" s="197"/>
      <c r="CW1752" s="197"/>
      <c r="CX1752" s="959"/>
      <c r="CY1752" s="959"/>
      <c r="CZ1752" s="959"/>
      <c r="DA1752" s="959"/>
      <c r="DB1752" s="959"/>
      <c r="DC1752" s="891">
        <v>6422</v>
      </c>
      <c r="DD1752" s="891" t="s">
        <v>2010</v>
      </c>
      <c r="DE1752" s="891" t="s">
        <v>419</v>
      </c>
      <c r="DF1752" s="891">
        <v>6</v>
      </c>
      <c r="DG1752" s="959"/>
      <c r="DH1752" s="959"/>
      <c r="ER1752" s="905">
        <v>6922</v>
      </c>
      <c r="ES1752" s="906" t="s">
        <v>2105</v>
      </c>
      <c r="ET1752" s="2686">
        <v>9</v>
      </c>
      <c r="EV1752" s="985"/>
      <c r="EW1752" s="985"/>
      <c r="EX1752" s="387"/>
      <c r="EY1752" s="939"/>
      <c r="EZ1752" s="886"/>
    </row>
    <row r="1753" spans="88:156">
      <c r="CJ1753" s="197"/>
      <c r="CK1753" s="197"/>
      <c r="CL1753" s="197"/>
      <c r="CM1753" s="213"/>
      <c r="CN1753" s="213"/>
      <c r="CO1753" s="197"/>
      <c r="CP1753" s="197"/>
      <c r="CQ1753" s="197"/>
      <c r="CR1753" s="197"/>
      <c r="CS1753" s="197"/>
      <c r="CT1753" s="197"/>
      <c r="CU1753" s="197"/>
      <c r="CV1753" s="197"/>
      <c r="CW1753" s="197"/>
      <c r="CX1753" s="959"/>
      <c r="CY1753" s="959"/>
      <c r="CZ1753" s="959"/>
      <c r="DA1753" s="959"/>
      <c r="DB1753" s="959"/>
      <c r="DC1753" s="891">
        <v>6423</v>
      </c>
      <c r="DD1753" s="891" t="s">
        <v>2011</v>
      </c>
      <c r="DE1753" s="891" t="s">
        <v>432</v>
      </c>
      <c r="DF1753" s="891">
        <v>6</v>
      </c>
      <c r="DG1753" s="959"/>
      <c r="DH1753" s="959"/>
      <c r="ER1753" s="905">
        <v>6923</v>
      </c>
      <c r="ES1753" s="906" t="s">
        <v>2106</v>
      </c>
      <c r="ET1753" s="2686">
        <v>9</v>
      </c>
      <c r="EV1753" s="985"/>
      <c r="EW1753" s="985"/>
      <c r="EX1753" s="387"/>
      <c r="EY1753" s="939"/>
      <c r="EZ1753" s="886"/>
    </row>
    <row r="1754" spans="88:156">
      <c r="CJ1754" s="197"/>
      <c r="CK1754" s="197"/>
      <c r="CL1754" s="197"/>
      <c r="CM1754" s="213"/>
      <c r="CN1754" s="213"/>
      <c r="CO1754" s="197"/>
      <c r="CP1754" s="197"/>
      <c r="CQ1754" s="197"/>
      <c r="CR1754" s="197"/>
      <c r="CS1754" s="197"/>
      <c r="CT1754" s="197"/>
      <c r="CU1754" s="197"/>
      <c r="CV1754" s="197"/>
      <c r="CW1754" s="197"/>
      <c r="CX1754" s="959"/>
      <c r="CY1754" s="959"/>
      <c r="CZ1754" s="959"/>
      <c r="DA1754" s="959"/>
      <c r="DB1754" s="959"/>
      <c r="DC1754" s="891">
        <v>6424</v>
      </c>
      <c r="DD1754" s="891" t="s">
        <v>2012</v>
      </c>
      <c r="DE1754" s="891" t="s">
        <v>406</v>
      </c>
      <c r="DF1754" s="891">
        <v>6</v>
      </c>
      <c r="DG1754" s="959"/>
      <c r="DH1754" s="959"/>
      <c r="ER1754" s="905">
        <v>6931</v>
      </c>
      <c r="ES1754" s="906" t="s">
        <v>2107</v>
      </c>
      <c r="ET1754" s="2686">
        <v>9</v>
      </c>
      <c r="EV1754" s="985"/>
      <c r="EW1754" s="985"/>
      <c r="EX1754" s="387"/>
      <c r="EY1754" s="939"/>
      <c r="EZ1754" s="886"/>
    </row>
    <row r="1755" spans="88:156">
      <c r="CJ1755" s="197"/>
      <c r="CK1755" s="197"/>
      <c r="CL1755" s="197"/>
      <c r="CM1755" s="213"/>
      <c r="CN1755" s="213"/>
      <c r="CO1755" s="197"/>
      <c r="CP1755" s="197"/>
      <c r="CQ1755" s="197"/>
      <c r="CR1755" s="197"/>
      <c r="CS1755" s="197"/>
      <c r="CT1755" s="197"/>
      <c r="CU1755" s="197"/>
      <c r="CV1755" s="197"/>
      <c r="CW1755" s="197"/>
      <c r="CX1755" s="959"/>
      <c r="CY1755" s="959"/>
      <c r="CZ1755" s="959"/>
      <c r="DA1755" s="959"/>
      <c r="DB1755" s="959"/>
      <c r="DC1755" s="891">
        <v>6425</v>
      </c>
      <c r="DD1755" s="891" t="s">
        <v>2013</v>
      </c>
      <c r="DE1755" s="891" t="s">
        <v>421</v>
      </c>
      <c r="DF1755" s="891">
        <v>6</v>
      </c>
      <c r="DG1755" s="959"/>
      <c r="DH1755" s="959"/>
      <c r="ER1755" s="905">
        <v>6932</v>
      </c>
      <c r="ES1755" s="906" t="s">
        <v>2108</v>
      </c>
      <c r="ET1755" s="2686">
        <v>9</v>
      </c>
      <c r="EV1755" s="985"/>
      <c r="EW1755" s="985"/>
      <c r="EX1755" s="387"/>
      <c r="EY1755" s="939"/>
      <c r="EZ1755" s="886"/>
    </row>
    <row r="1756" spans="88:156">
      <c r="CJ1756" s="197"/>
      <c r="CK1756" s="197"/>
      <c r="CL1756" s="197"/>
      <c r="CM1756" s="213"/>
      <c r="CN1756" s="213"/>
      <c r="CO1756" s="197"/>
      <c r="CP1756" s="197"/>
      <c r="CQ1756" s="197"/>
      <c r="CR1756" s="197"/>
      <c r="CS1756" s="197"/>
      <c r="CT1756" s="197"/>
      <c r="CU1756" s="197"/>
      <c r="CV1756" s="197"/>
      <c r="CW1756" s="197"/>
      <c r="CX1756" s="959"/>
      <c r="CY1756" s="959"/>
      <c r="CZ1756" s="959"/>
      <c r="DA1756" s="959"/>
      <c r="DB1756" s="959"/>
      <c r="DC1756" s="891">
        <v>6430</v>
      </c>
      <c r="DD1756" s="891" t="s">
        <v>2014</v>
      </c>
      <c r="DE1756" s="891" t="s">
        <v>406</v>
      </c>
      <c r="DF1756" s="891">
        <v>6</v>
      </c>
      <c r="DG1756" s="959"/>
      <c r="DH1756" s="959"/>
      <c r="ER1756" s="905">
        <v>6933</v>
      </c>
      <c r="ES1756" s="906" t="s">
        <v>2109</v>
      </c>
      <c r="ET1756" s="2686">
        <v>9</v>
      </c>
      <c r="EV1756" s="985"/>
      <c r="EW1756" s="985"/>
      <c r="EX1756" s="387"/>
      <c r="EY1756" s="939"/>
      <c r="EZ1756" s="886"/>
    </row>
    <row r="1757" spans="88:156">
      <c r="CJ1757" s="197"/>
      <c r="CK1757" s="197"/>
      <c r="CL1757" s="197"/>
      <c r="CM1757" s="213"/>
      <c r="CN1757" s="213"/>
      <c r="CO1757" s="197"/>
      <c r="CP1757" s="197"/>
      <c r="CQ1757" s="197"/>
      <c r="CR1757" s="197"/>
      <c r="CS1757" s="197"/>
      <c r="CT1757" s="197"/>
      <c r="CU1757" s="197"/>
      <c r="CV1757" s="197"/>
      <c r="CW1757" s="197"/>
      <c r="CX1757" s="959"/>
      <c r="CY1757" s="959"/>
      <c r="CZ1757" s="959"/>
      <c r="DA1757" s="959"/>
      <c r="DB1757" s="959"/>
      <c r="DC1757" s="891">
        <v>6435</v>
      </c>
      <c r="DD1757" s="891" t="s">
        <v>2015</v>
      </c>
      <c r="DE1757" s="891" t="s">
        <v>404</v>
      </c>
      <c r="DF1757" s="891">
        <v>6</v>
      </c>
      <c r="DG1757" s="959"/>
      <c r="DH1757" s="959"/>
      <c r="ER1757" s="905">
        <v>7000</v>
      </c>
      <c r="ES1757" s="906" t="s">
        <v>2110</v>
      </c>
      <c r="ET1757" s="2686">
        <v>9</v>
      </c>
      <c r="EV1757" s="985"/>
      <c r="EW1757" s="985"/>
      <c r="EX1757" s="387"/>
      <c r="EY1757" s="939"/>
      <c r="EZ1757" s="886"/>
    </row>
    <row r="1758" spans="88:156">
      <c r="CJ1758" s="197"/>
      <c r="CK1758" s="197"/>
      <c r="CL1758" s="197"/>
      <c r="CM1758" s="213"/>
      <c r="CN1758" s="213"/>
      <c r="CO1758" s="197"/>
      <c r="CP1758" s="197"/>
      <c r="CQ1758" s="197"/>
      <c r="CR1758" s="197"/>
      <c r="CS1758" s="197"/>
      <c r="CT1758" s="197"/>
      <c r="CU1758" s="197"/>
      <c r="CV1758" s="197"/>
      <c r="CW1758" s="197"/>
      <c r="CX1758" s="959"/>
      <c r="CY1758" s="959"/>
      <c r="CZ1758" s="959"/>
      <c r="DA1758" s="959"/>
      <c r="DB1758" s="959"/>
      <c r="DC1758" s="891">
        <v>6440</v>
      </c>
      <c r="DD1758" s="891" t="s">
        <v>2016</v>
      </c>
      <c r="DE1758" s="891" t="s">
        <v>404</v>
      </c>
      <c r="DF1758" s="891">
        <v>6</v>
      </c>
      <c r="DG1758" s="959"/>
      <c r="DH1758" s="959"/>
      <c r="ER1758" s="905">
        <v>7003</v>
      </c>
      <c r="ES1758" s="906" t="s">
        <v>1347</v>
      </c>
      <c r="ET1758" s="2686">
        <v>9</v>
      </c>
      <c r="EV1758" s="985"/>
      <c r="EW1758" s="985"/>
      <c r="EX1758" s="387"/>
      <c r="EY1758" s="939"/>
      <c r="EZ1758" s="886"/>
    </row>
    <row r="1759" spans="88:156">
      <c r="CJ1759" s="197"/>
      <c r="CK1759" s="197"/>
      <c r="CL1759" s="197"/>
      <c r="CM1759" s="213"/>
      <c r="CN1759" s="213"/>
      <c r="CO1759" s="197"/>
      <c r="CP1759" s="197"/>
      <c r="CQ1759" s="197"/>
      <c r="CR1759" s="197"/>
      <c r="CS1759" s="197"/>
      <c r="CT1759" s="197"/>
      <c r="CU1759" s="197"/>
      <c r="CV1759" s="197"/>
      <c r="CW1759" s="197"/>
      <c r="CX1759" s="959"/>
      <c r="CY1759" s="959"/>
      <c r="CZ1759" s="959"/>
      <c r="DA1759" s="959"/>
      <c r="DB1759" s="959"/>
      <c r="DC1759" s="891">
        <v>6444</v>
      </c>
      <c r="DD1759" s="891" t="s">
        <v>2017</v>
      </c>
      <c r="DE1759" s="891" t="s">
        <v>421</v>
      </c>
      <c r="DF1759" s="891">
        <v>6</v>
      </c>
      <c r="DG1759" s="959"/>
      <c r="DH1759" s="959"/>
      <c r="ER1759" s="905">
        <v>7011</v>
      </c>
      <c r="ES1759" s="906" t="s">
        <v>2112</v>
      </c>
      <c r="ET1759" s="2686">
        <v>9</v>
      </c>
      <c r="EV1759" s="985"/>
      <c r="EW1759" s="985"/>
      <c r="EX1759" s="387"/>
      <c r="EY1759" s="939"/>
      <c r="EZ1759" s="886"/>
    </row>
    <row r="1760" spans="88:156">
      <c r="CJ1760" s="197"/>
      <c r="CK1760" s="197"/>
      <c r="CL1760" s="197"/>
      <c r="CM1760" s="213"/>
      <c r="CN1760" s="213"/>
      <c r="CO1760" s="197"/>
      <c r="CP1760" s="197"/>
      <c r="CQ1760" s="197"/>
      <c r="CR1760" s="197"/>
      <c r="CS1760" s="197"/>
      <c r="CT1760" s="197"/>
      <c r="CU1760" s="197"/>
      <c r="CV1760" s="197"/>
      <c r="CW1760" s="197"/>
      <c r="CX1760" s="959"/>
      <c r="CY1760" s="959"/>
      <c r="CZ1760" s="959"/>
      <c r="DA1760" s="959"/>
      <c r="DB1760" s="959"/>
      <c r="DC1760" s="891">
        <v>6445</v>
      </c>
      <c r="DD1760" s="891" t="s">
        <v>2018</v>
      </c>
      <c r="DE1760" s="891" t="s">
        <v>412</v>
      </c>
      <c r="DF1760" s="891">
        <v>6</v>
      </c>
      <c r="DG1760" s="959"/>
      <c r="DH1760" s="959"/>
      <c r="ER1760" s="905">
        <v>7012</v>
      </c>
      <c r="ES1760" s="906" t="s">
        <v>2113</v>
      </c>
      <c r="ET1760" s="2686">
        <v>9</v>
      </c>
      <c r="EV1760" s="985"/>
      <c r="EW1760" s="985"/>
      <c r="EX1760" s="387"/>
      <c r="EY1760" s="939"/>
      <c r="EZ1760" s="886"/>
    </row>
    <row r="1761" spans="88:156">
      <c r="CJ1761" s="197"/>
      <c r="CK1761" s="197"/>
      <c r="CL1761" s="197"/>
      <c r="CM1761" s="213"/>
      <c r="CN1761" s="213"/>
      <c r="CO1761" s="197"/>
      <c r="CP1761" s="197"/>
      <c r="CQ1761" s="197"/>
      <c r="CR1761" s="197"/>
      <c r="CS1761" s="197"/>
      <c r="CT1761" s="197"/>
      <c r="CU1761" s="197"/>
      <c r="CV1761" s="197"/>
      <c r="CW1761" s="197"/>
      <c r="CX1761" s="959"/>
      <c r="CY1761" s="959"/>
      <c r="CZ1761" s="959"/>
      <c r="DA1761" s="959"/>
      <c r="DB1761" s="959"/>
      <c r="DC1761" s="891">
        <v>6446</v>
      </c>
      <c r="DD1761" s="891" t="s">
        <v>2019</v>
      </c>
      <c r="DE1761" s="891" t="s">
        <v>404</v>
      </c>
      <c r="DF1761" s="891">
        <v>6</v>
      </c>
      <c r="DG1761" s="959"/>
      <c r="DH1761" s="959"/>
      <c r="ER1761" s="905">
        <v>7013</v>
      </c>
      <c r="ES1761" s="906" t="s">
        <v>2114</v>
      </c>
      <c r="ET1761" s="2686">
        <v>9</v>
      </c>
      <c r="EV1761" s="985"/>
      <c r="EW1761" s="985"/>
      <c r="EX1761" s="387"/>
      <c r="EY1761" s="939"/>
      <c r="EZ1761" s="886"/>
    </row>
    <row r="1762" spans="88:156">
      <c r="CJ1762" s="197"/>
      <c r="CK1762" s="197"/>
      <c r="CL1762" s="197"/>
      <c r="CM1762" s="213"/>
      <c r="CN1762" s="213"/>
      <c r="CO1762" s="197"/>
      <c r="CP1762" s="197"/>
      <c r="CQ1762" s="197"/>
      <c r="CR1762" s="197"/>
      <c r="CS1762" s="197"/>
      <c r="CT1762" s="197"/>
      <c r="CU1762" s="197"/>
      <c r="CV1762" s="197"/>
      <c r="CW1762" s="197"/>
      <c r="CX1762" s="959"/>
      <c r="CY1762" s="959"/>
      <c r="CZ1762" s="959"/>
      <c r="DA1762" s="959"/>
      <c r="DB1762" s="959"/>
      <c r="DC1762" s="891">
        <v>6447</v>
      </c>
      <c r="DD1762" s="891" t="s">
        <v>2020</v>
      </c>
      <c r="DE1762" s="891" t="s">
        <v>421</v>
      </c>
      <c r="DF1762" s="891">
        <v>6</v>
      </c>
      <c r="DG1762" s="959"/>
      <c r="DH1762" s="959"/>
      <c r="ER1762" s="905">
        <v>7014</v>
      </c>
      <c r="ES1762" s="906" t="s">
        <v>2115</v>
      </c>
      <c r="ET1762" s="2686">
        <v>9</v>
      </c>
      <c r="EV1762" s="985"/>
      <c r="EW1762" s="985"/>
      <c r="EX1762" s="387"/>
      <c r="EY1762" s="939"/>
      <c r="EZ1762" s="886"/>
    </row>
    <row r="1763" spans="88:156">
      <c r="CJ1763" s="197"/>
      <c r="CK1763" s="197"/>
      <c r="CL1763" s="197"/>
      <c r="CM1763" s="213"/>
      <c r="CN1763" s="213"/>
      <c r="CO1763" s="197"/>
      <c r="CP1763" s="197"/>
      <c r="CQ1763" s="197"/>
      <c r="CR1763" s="197"/>
      <c r="CS1763" s="197"/>
      <c r="CT1763" s="197"/>
      <c r="CU1763" s="197"/>
      <c r="CV1763" s="197"/>
      <c r="CW1763" s="197"/>
      <c r="CX1763" s="959"/>
      <c r="CY1763" s="959"/>
      <c r="CZ1763" s="959"/>
      <c r="DA1763" s="959"/>
      <c r="DB1763" s="959"/>
      <c r="DC1763" s="891">
        <v>6448</v>
      </c>
      <c r="DD1763" s="891" t="s">
        <v>2021</v>
      </c>
      <c r="DE1763" s="891" t="s">
        <v>421</v>
      </c>
      <c r="DF1763" s="891">
        <v>6</v>
      </c>
      <c r="DG1763" s="959"/>
      <c r="DH1763" s="959"/>
      <c r="ER1763" s="905">
        <v>7015</v>
      </c>
      <c r="ES1763" s="906" t="s">
        <v>2116</v>
      </c>
      <c r="ET1763" s="2686">
        <v>9</v>
      </c>
      <c r="EV1763" s="985"/>
      <c r="EW1763" s="985"/>
      <c r="EX1763" s="387"/>
      <c r="EY1763" s="939"/>
      <c r="EZ1763" s="886"/>
    </row>
    <row r="1764" spans="88:156">
      <c r="CJ1764" s="197"/>
      <c r="CK1764" s="197"/>
      <c r="CL1764" s="197"/>
      <c r="CM1764" s="213"/>
      <c r="CN1764" s="213"/>
      <c r="CO1764" s="197"/>
      <c r="CP1764" s="197"/>
      <c r="CQ1764" s="197"/>
      <c r="CR1764" s="197"/>
      <c r="CS1764" s="197"/>
      <c r="CT1764" s="197"/>
      <c r="CU1764" s="197"/>
      <c r="CV1764" s="197"/>
      <c r="CW1764" s="197"/>
      <c r="CX1764" s="959"/>
      <c r="CY1764" s="959"/>
      <c r="CZ1764" s="959"/>
      <c r="DA1764" s="959"/>
      <c r="DB1764" s="959"/>
      <c r="DC1764" s="891">
        <v>6449</v>
      </c>
      <c r="DD1764" s="891" t="s">
        <v>2022</v>
      </c>
      <c r="DE1764" s="891" t="s">
        <v>423</v>
      </c>
      <c r="DF1764" s="891">
        <v>6</v>
      </c>
      <c r="DG1764" s="959"/>
      <c r="DH1764" s="959"/>
      <c r="ER1764" s="905">
        <v>7017</v>
      </c>
      <c r="ES1764" s="906" t="s">
        <v>2118</v>
      </c>
      <c r="ET1764" s="2686">
        <v>9</v>
      </c>
      <c r="EV1764" s="985"/>
      <c r="EW1764" s="985"/>
      <c r="EX1764" s="387"/>
      <c r="EY1764" s="939"/>
      <c r="EZ1764" s="886"/>
    </row>
    <row r="1765" spans="88:156">
      <c r="CJ1765" s="197"/>
      <c r="CK1765" s="197"/>
      <c r="CL1765" s="197"/>
      <c r="CM1765" s="213"/>
      <c r="CN1765" s="213"/>
      <c r="CO1765" s="197"/>
      <c r="CP1765" s="197"/>
      <c r="CQ1765" s="197"/>
      <c r="CR1765" s="197"/>
      <c r="CS1765" s="197"/>
      <c r="CT1765" s="197"/>
      <c r="CU1765" s="197"/>
      <c r="CV1765" s="197"/>
      <c r="CW1765" s="197"/>
      <c r="CX1765" s="959"/>
      <c r="CY1765" s="959"/>
      <c r="CZ1765" s="959"/>
      <c r="DA1765" s="959"/>
      <c r="DB1765" s="959"/>
      <c r="DC1765" s="891">
        <v>6451</v>
      </c>
      <c r="DD1765" s="891" t="s">
        <v>2023</v>
      </c>
      <c r="DE1765" s="891" t="s">
        <v>410</v>
      </c>
      <c r="DF1765" s="891">
        <v>6</v>
      </c>
      <c r="DG1765" s="959"/>
      <c r="DH1765" s="959"/>
      <c r="ER1765" s="905">
        <v>7018</v>
      </c>
      <c r="ES1765" s="906" t="s">
        <v>1348</v>
      </c>
      <c r="ET1765" s="2686">
        <v>9</v>
      </c>
      <c r="EV1765" s="985"/>
      <c r="EW1765" s="985"/>
      <c r="EX1765" s="387"/>
      <c r="EY1765" s="939"/>
      <c r="EZ1765" s="886"/>
    </row>
    <row r="1766" spans="88:156">
      <c r="CJ1766" s="197"/>
      <c r="CK1766" s="197"/>
      <c r="CL1766" s="197"/>
      <c r="CM1766" s="213"/>
      <c r="CN1766" s="213"/>
      <c r="CO1766" s="197"/>
      <c r="CP1766" s="197"/>
      <c r="CQ1766" s="197"/>
      <c r="CR1766" s="197"/>
      <c r="CS1766" s="197"/>
      <c r="CT1766" s="197"/>
      <c r="CU1766" s="197"/>
      <c r="CV1766" s="197"/>
      <c r="CW1766" s="197"/>
      <c r="CX1766" s="959"/>
      <c r="CY1766" s="959"/>
      <c r="CZ1766" s="959"/>
      <c r="DA1766" s="959"/>
      <c r="DB1766" s="959"/>
      <c r="DC1766" s="891">
        <v>6452</v>
      </c>
      <c r="DD1766" s="891" t="s">
        <v>2024</v>
      </c>
      <c r="DE1766" s="891" t="s">
        <v>432</v>
      </c>
      <c r="DF1766" s="891">
        <v>6</v>
      </c>
      <c r="DG1766" s="959"/>
      <c r="DH1766" s="959"/>
      <c r="ER1766" s="905">
        <v>7019</v>
      </c>
      <c r="ES1766" s="906" t="s">
        <v>1349</v>
      </c>
      <c r="ET1766" s="2686">
        <v>9</v>
      </c>
      <c r="EV1766" s="985"/>
      <c r="EW1766" s="985"/>
      <c r="EX1766" s="387"/>
      <c r="EY1766" s="939"/>
      <c r="EZ1766" s="886"/>
    </row>
    <row r="1767" spans="88:156">
      <c r="CJ1767" s="197"/>
      <c r="CK1767" s="197"/>
      <c r="CL1767" s="197"/>
      <c r="CM1767" s="213"/>
      <c r="CN1767" s="213"/>
      <c r="CO1767" s="197"/>
      <c r="CP1767" s="197"/>
      <c r="CQ1767" s="197"/>
      <c r="CR1767" s="197"/>
      <c r="CS1767" s="197"/>
      <c r="CT1767" s="197"/>
      <c r="CU1767" s="197"/>
      <c r="CV1767" s="197"/>
      <c r="CW1767" s="197"/>
      <c r="CX1767" s="959"/>
      <c r="CY1767" s="959"/>
      <c r="CZ1767" s="959"/>
      <c r="DA1767" s="959"/>
      <c r="DB1767" s="959"/>
      <c r="DC1767" s="891">
        <v>6453</v>
      </c>
      <c r="DD1767" s="891" t="s">
        <v>2025</v>
      </c>
      <c r="DE1767" s="891" t="s">
        <v>427</v>
      </c>
      <c r="DF1767" s="891">
        <v>6</v>
      </c>
      <c r="DG1767" s="959"/>
      <c r="DH1767" s="959"/>
      <c r="ER1767" s="905">
        <v>7020</v>
      </c>
      <c r="ES1767" s="906" t="s">
        <v>1424</v>
      </c>
      <c r="ET1767" s="2686">
        <v>6</v>
      </c>
      <c r="EV1767" s="985"/>
      <c r="EW1767" s="985"/>
      <c r="EX1767" s="387"/>
      <c r="EY1767" s="939"/>
      <c r="EZ1767" s="886"/>
    </row>
    <row r="1768" spans="88:156">
      <c r="CJ1768" s="197"/>
      <c r="CK1768" s="197"/>
      <c r="CL1768" s="197"/>
      <c r="CM1768" s="213"/>
      <c r="CN1768" s="213"/>
      <c r="CO1768" s="197"/>
      <c r="CP1768" s="197"/>
      <c r="CQ1768" s="197"/>
      <c r="CR1768" s="197"/>
      <c r="CS1768" s="197"/>
      <c r="CT1768" s="197"/>
      <c r="CU1768" s="197"/>
      <c r="CV1768" s="197"/>
      <c r="CW1768" s="197"/>
      <c r="CX1768" s="959"/>
      <c r="CY1768" s="959"/>
      <c r="CZ1768" s="959"/>
      <c r="DA1768" s="959"/>
      <c r="DB1768" s="959"/>
      <c r="DC1768" s="891">
        <v>6454</v>
      </c>
      <c r="DD1768" s="891" t="s">
        <v>2026</v>
      </c>
      <c r="DE1768" s="891" t="s">
        <v>423</v>
      </c>
      <c r="DF1768" s="891">
        <v>6</v>
      </c>
      <c r="DG1768" s="959"/>
      <c r="DH1768" s="959"/>
      <c r="ER1768" s="905">
        <v>7025</v>
      </c>
      <c r="ES1768" s="906" t="s">
        <v>1425</v>
      </c>
      <c r="ET1768" s="2686">
        <v>9</v>
      </c>
      <c r="EV1768" s="985"/>
      <c r="EW1768" s="985"/>
      <c r="EX1768" s="387"/>
      <c r="EY1768" s="939"/>
      <c r="EZ1768" s="886"/>
    </row>
    <row r="1769" spans="88:156">
      <c r="CJ1769" s="197"/>
      <c r="CK1769" s="197"/>
      <c r="CL1769" s="197"/>
      <c r="CM1769" s="213"/>
      <c r="CN1769" s="213"/>
      <c r="CO1769" s="197"/>
      <c r="CP1769" s="197"/>
      <c r="CQ1769" s="197"/>
      <c r="CR1769" s="197"/>
      <c r="CS1769" s="197"/>
      <c r="CT1769" s="197"/>
      <c r="CU1769" s="197"/>
      <c r="CV1769" s="197"/>
      <c r="CW1769" s="197"/>
      <c r="CX1769" s="959"/>
      <c r="CY1769" s="959"/>
      <c r="CZ1769" s="959"/>
      <c r="DA1769" s="959"/>
      <c r="DB1769" s="959"/>
      <c r="DC1769" s="891">
        <v>6455</v>
      </c>
      <c r="DD1769" s="891" t="s">
        <v>2027</v>
      </c>
      <c r="DE1769" s="891" t="s">
        <v>420</v>
      </c>
      <c r="DF1769" s="891">
        <v>6</v>
      </c>
      <c r="DG1769" s="959"/>
      <c r="DH1769" s="959"/>
      <c r="ER1769" s="905">
        <v>7026</v>
      </c>
      <c r="ES1769" s="906" t="s">
        <v>1426</v>
      </c>
      <c r="ET1769" s="2686">
        <v>9</v>
      </c>
      <c r="EV1769" s="985"/>
      <c r="EW1769" s="985"/>
      <c r="EX1769" s="387"/>
      <c r="EY1769" s="939"/>
      <c r="EZ1769" s="886"/>
    </row>
    <row r="1770" spans="88:156">
      <c r="CJ1770" s="197"/>
      <c r="CK1770" s="197"/>
      <c r="CL1770" s="197"/>
      <c r="CM1770" s="213"/>
      <c r="CN1770" s="213"/>
      <c r="CO1770" s="197"/>
      <c r="CP1770" s="197"/>
      <c r="CQ1770" s="197"/>
      <c r="CR1770" s="197"/>
      <c r="CS1770" s="197"/>
      <c r="CT1770" s="197"/>
      <c r="CU1770" s="197"/>
      <c r="CV1770" s="197"/>
      <c r="CW1770" s="197"/>
      <c r="CX1770" s="959"/>
      <c r="CY1770" s="959"/>
      <c r="CZ1770" s="959"/>
      <c r="DA1770" s="959"/>
      <c r="DB1770" s="959"/>
      <c r="DC1770" s="891">
        <v>6456</v>
      </c>
      <c r="DD1770" s="891" t="s">
        <v>2028</v>
      </c>
      <c r="DE1770" s="891" t="s">
        <v>2807</v>
      </c>
      <c r="DF1770" s="891">
        <v>6</v>
      </c>
      <c r="DG1770" s="959"/>
      <c r="DH1770" s="959"/>
      <c r="ER1770" s="905">
        <v>7027</v>
      </c>
      <c r="ES1770" s="906" t="s">
        <v>1350</v>
      </c>
      <c r="ET1770" s="2686">
        <v>9</v>
      </c>
      <c r="EV1770" s="985"/>
      <c r="EW1770" s="985"/>
      <c r="EX1770" s="387"/>
      <c r="EY1770" s="939"/>
      <c r="EZ1770" s="886"/>
    </row>
    <row r="1771" spans="88:156">
      <c r="CJ1771" s="197"/>
      <c r="CK1771" s="197"/>
      <c r="CL1771" s="197"/>
      <c r="CM1771" s="213"/>
      <c r="CN1771" s="213"/>
      <c r="CO1771" s="197"/>
      <c r="CP1771" s="197"/>
      <c r="CQ1771" s="197"/>
      <c r="CR1771" s="197"/>
      <c r="CS1771" s="197"/>
      <c r="CT1771" s="197"/>
      <c r="CU1771" s="197"/>
      <c r="CV1771" s="197"/>
      <c r="CW1771" s="197"/>
      <c r="CX1771" s="959"/>
      <c r="CY1771" s="959"/>
      <c r="CZ1771" s="959"/>
      <c r="DA1771" s="959"/>
      <c r="DB1771" s="959"/>
      <c r="DC1771" s="891">
        <v>6500</v>
      </c>
      <c r="DD1771" s="891" t="s">
        <v>2029</v>
      </c>
      <c r="DE1771" s="891" t="s">
        <v>2807</v>
      </c>
      <c r="DF1771" s="891">
        <v>6</v>
      </c>
      <c r="DG1771" s="959"/>
      <c r="DH1771" s="959"/>
      <c r="ER1771" s="905">
        <v>7030</v>
      </c>
      <c r="ES1771" s="906" t="s">
        <v>1427</v>
      </c>
      <c r="ET1771" s="2686">
        <v>9</v>
      </c>
      <c r="EV1771" s="985"/>
      <c r="EW1771" s="985"/>
      <c r="EX1771" s="387"/>
      <c r="EY1771" s="939"/>
      <c r="EZ1771" s="886"/>
    </row>
    <row r="1772" spans="88:156">
      <c r="CJ1772" s="197"/>
      <c r="CK1772" s="197"/>
      <c r="CL1772" s="197"/>
      <c r="CM1772" s="213"/>
      <c r="CN1772" s="213"/>
      <c r="CO1772" s="197"/>
      <c r="CP1772" s="197"/>
      <c r="CQ1772" s="197"/>
      <c r="CR1772" s="197"/>
      <c r="CS1772" s="197"/>
      <c r="CT1772" s="197"/>
      <c r="CU1772" s="197"/>
      <c r="CV1772" s="197"/>
      <c r="CW1772" s="197"/>
      <c r="CX1772" s="959"/>
      <c r="CY1772" s="959"/>
      <c r="CZ1772" s="959"/>
      <c r="DA1772" s="959"/>
      <c r="DB1772" s="959"/>
      <c r="DC1772" s="891">
        <v>6503</v>
      </c>
      <c r="DD1772" s="891" t="s">
        <v>2029</v>
      </c>
      <c r="DE1772" s="891" t="s">
        <v>412</v>
      </c>
      <c r="DF1772" s="891">
        <v>6</v>
      </c>
      <c r="DG1772" s="959"/>
      <c r="DH1772" s="959"/>
      <c r="ER1772" s="905">
        <v>7038</v>
      </c>
      <c r="ES1772" s="906" t="s">
        <v>1428</v>
      </c>
      <c r="ET1772" s="2686">
        <v>9</v>
      </c>
      <c r="EV1772" s="985"/>
      <c r="EW1772" s="985"/>
      <c r="EX1772" s="387"/>
      <c r="EY1772" s="939"/>
      <c r="EZ1772" s="886"/>
    </row>
    <row r="1773" spans="88:156">
      <c r="CJ1773" s="197"/>
      <c r="CK1773" s="197"/>
      <c r="CL1773" s="197"/>
      <c r="CM1773" s="213"/>
      <c r="CN1773" s="213"/>
      <c r="CO1773" s="197"/>
      <c r="CP1773" s="197"/>
      <c r="CQ1773" s="197"/>
      <c r="CR1773" s="197"/>
      <c r="CS1773" s="197"/>
      <c r="CT1773" s="197"/>
      <c r="CU1773" s="197"/>
      <c r="CV1773" s="197"/>
      <c r="CW1773" s="197"/>
      <c r="CX1773" s="959"/>
      <c r="CY1773" s="959"/>
      <c r="CZ1773" s="959"/>
      <c r="DA1773" s="959"/>
      <c r="DB1773" s="959"/>
      <c r="DC1773" s="891">
        <v>6511</v>
      </c>
      <c r="DD1773" s="891" t="s">
        <v>2030</v>
      </c>
      <c r="DE1773" s="891" t="s">
        <v>432</v>
      </c>
      <c r="DF1773" s="891">
        <v>6</v>
      </c>
      <c r="DG1773" s="959"/>
      <c r="DH1773" s="959"/>
      <c r="ER1773" s="905">
        <v>7039</v>
      </c>
      <c r="ES1773" s="906" t="s">
        <v>1429</v>
      </c>
      <c r="ET1773" s="2686">
        <v>9</v>
      </c>
      <c r="EV1773" s="985"/>
      <c r="EW1773" s="985"/>
      <c r="EX1773" s="387"/>
      <c r="EY1773" s="939"/>
      <c r="EZ1773" s="886"/>
    </row>
    <row r="1774" spans="88:156">
      <c r="CJ1774" s="197"/>
      <c r="CK1774" s="197"/>
      <c r="CL1774" s="197"/>
      <c r="CM1774" s="213"/>
      <c r="CN1774" s="213"/>
      <c r="CO1774" s="197"/>
      <c r="CP1774" s="197"/>
      <c r="CQ1774" s="197"/>
      <c r="CR1774" s="197"/>
      <c r="CS1774" s="197"/>
      <c r="CT1774" s="197"/>
      <c r="CU1774" s="197"/>
      <c r="CV1774" s="197"/>
      <c r="CW1774" s="197"/>
      <c r="CX1774" s="959"/>
      <c r="CY1774" s="959"/>
      <c r="CZ1774" s="959"/>
      <c r="DA1774" s="959"/>
      <c r="DB1774" s="959"/>
      <c r="DC1774" s="891">
        <v>6512</v>
      </c>
      <c r="DD1774" s="891" t="s">
        <v>2031</v>
      </c>
      <c r="DE1774" s="891" t="s">
        <v>432</v>
      </c>
      <c r="DF1774" s="891">
        <v>6</v>
      </c>
      <c r="DG1774" s="959"/>
      <c r="DH1774" s="959"/>
      <c r="ER1774" s="905">
        <v>7041</v>
      </c>
      <c r="ES1774" s="906" t="s">
        <v>1430</v>
      </c>
      <c r="ET1774" s="2686">
        <v>9</v>
      </c>
      <c r="EV1774" s="985"/>
      <c r="EW1774" s="985"/>
      <c r="EX1774" s="387"/>
      <c r="EY1774" s="939"/>
      <c r="EZ1774" s="886"/>
    </row>
    <row r="1775" spans="88:156">
      <c r="CJ1775" s="197"/>
      <c r="CK1775" s="197"/>
      <c r="CL1775" s="197"/>
      <c r="CM1775" s="213"/>
      <c r="CN1775" s="213"/>
      <c r="CO1775" s="197"/>
      <c r="CP1775" s="197"/>
      <c r="CQ1775" s="197"/>
      <c r="CR1775" s="197"/>
      <c r="CS1775" s="197"/>
      <c r="CT1775" s="197"/>
      <c r="CU1775" s="197"/>
      <c r="CV1775" s="197"/>
      <c r="CW1775" s="197"/>
      <c r="CX1775" s="959"/>
      <c r="CY1775" s="959"/>
      <c r="CZ1775" s="959"/>
      <c r="DA1775" s="959"/>
      <c r="DB1775" s="959"/>
      <c r="DC1775" s="891">
        <v>6513</v>
      </c>
      <c r="DD1775" s="891" t="s">
        <v>2032</v>
      </c>
      <c r="DE1775" s="891" t="s">
        <v>432</v>
      </c>
      <c r="DF1775" s="891">
        <v>5</v>
      </c>
      <c r="DG1775" s="959"/>
      <c r="DH1775" s="959"/>
      <c r="ER1775" s="905">
        <v>7042</v>
      </c>
      <c r="ES1775" s="906" t="s">
        <v>1431</v>
      </c>
      <c r="ET1775" s="2686">
        <v>9</v>
      </c>
      <c r="EV1775" s="985"/>
      <c r="EW1775" s="985"/>
      <c r="EX1775" s="387"/>
      <c r="EY1775" s="939"/>
      <c r="EZ1775" s="886"/>
    </row>
    <row r="1776" spans="88:156">
      <c r="CJ1776" s="197"/>
      <c r="CK1776" s="197"/>
      <c r="CL1776" s="197"/>
      <c r="CM1776" s="213"/>
      <c r="CN1776" s="213"/>
      <c r="CO1776" s="197"/>
      <c r="CP1776" s="197"/>
      <c r="CQ1776" s="197"/>
      <c r="CR1776" s="197"/>
      <c r="CS1776" s="197"/>
      <c r="CT1776" s="197"/>
      <c r="CU1776" s="197"/>
      <c r="CV1776" s="197"/>
      <c r="CW1776" s="197"/>
      <c r="CX1776" s="959"/>
      <c r="CY1776" s="959"/>
      <c r="CZ1776" s="959"/>
      <c r="DA1776" s="959"/>
      <c r="DB1776" s="959"/>
      <c r="DC1776" s="891">
        <v>6521</v>
      </c>
      <c r="DD1776" s="891" t="s">
        <v>2033</v>
      </c>
      <c r="DE1776" s="891" t="s">
        <v>421</v>
      </c>
      <c r="DF1776" s="891">
        <v>6</v>
      </c>
      <c r="DG1776" s="959"/>
      <c r="DH1776" s="959"/>
      <c r="ER1776" s="905">
        <v>7043</v>
      </c>
      <c r="ES1776" s="906" t="s">
        <v>1432</v>
      </c>
      <c r="ET1776" s="2686">
        <v>9</v>
      </c>
      <c r="EV1776" s="985"/>
      <c r="EW1776" s="985"/>
      <c r="EX1776" s="387"/>
      <c r="EY1776" s="939"/>
      <c r="EZ1776" s="886"/>
    </row>
    <row r="1777" spans="88:156">
      <c r="CJ1777" s="197"/>
      <c r="CK1777" s="197"/>
      <c r="CL1777" s="197"/>
      <c r="CM1777" s="213"/>
      <c r="CN1777" s="213"/>
      <c r="CO1777" s="197"/>
      <c r="CP1777" s="197"/>
      <c r="CQ1777" s="197"/>
      <c r="CR1777" s="197"/>
      <c r="CS1777" s="197"/>
      <c r="CT1777" s="197"/>
      <c r="CU1777" s="197"/>
      <c r="CV1777" s="197"/>
      <c r="CW1777" s="197"/>
      <c r="CX1777" s="959"/>
      <c r="CY1777" s="959"/>
      <c r="CZ1777" s="959"/>
      <c r="DA1777" s="959"/>
      <c r="DB1777" s="959"/>
      <c r="DC1777" s="891">
        <v>6522</v>
      </c>
      <c r="DD1777" s="891" t="s">
        <v>2034</v>
      </c>
      <c r="DE1777" s="891" t="s">
        <v>432</v>
      </c>
      <c r="DF1777" s="891">
        <v>6</v>
      </c>
      <c r="DG1777" s="959"/>
      <c r="DH1777" s="959"/>
      <c r="ER1777" s="905">
        <v>7044</v>
      </c>
      <c r="ES1777" s="906" t="s">
        <v>1433</v>
      </c>
      <c r="ET1777" s="2686">
        <v>9</v>
      </c>
      <c r="EV1777" s="985"/>
      <c r="EW1777" s="985"/>
      <c r="EX1777" s="387"/>
      <c r="EY1777" s="939"/>
      <c r="EZ1777" s="886"/>
    </row>
    <row r="1778" spans="88:156">
      <c r="CJ1778" s="197"/>
      <c r="CK1778" s="197"/>
      <c r="CL1778" s="197"/>
      <c r="CM1778" s="213"/>
      <c r="CN1778" s="213"/>
      <c r="CO1778" s="197"/>
      <c r="CP1778" s="197"/>
      <c r="CQ1778" s="197"/>
      <c r="CR1778" s="197"/>
      <c r="CS1778" s="197"/>
      <c r="CT1778" s="197"/>
      <c r="CU1778" s="197"/>
      <c r="CV1778" s="197"/>
      <c r="CW1778" s="197"/>
      <c r="CX1778" s="959"/>
      <c r="CY1778" s="959"/>
      <c r="CZ1778" s="959"/>
      <c r="DA1778" s="959"/>
      <c r="DB1778" s="959"/>
      <c r="DC1778" s="891">
        <v>6523</v>
      </c>
      <c r="DD1778" s="891" t="s">
        <v>2035</v>
      </c>
      <c r="DE1778" s="891" t="s">
        <v>432</v>
      </c>
      <c r="DF1778" s="891">
        <v>6</v>
      </c>
      <c r="DG1778" s="959"/>
      <c r="DH1778" s="959"/>
      <c r="ER1778" s="905">
        <v>7045</v>
      </c>
      <c r="ES1778" s="906" t="s">
        <v>1434</v>
      </c>
      <c r="ET1778" s="2686">
        <v>9</v>
      </c>
      <c r="EV1778" s="985"/>
      <c r="EW1778" s="985"/>
      <c r="EX1778" s="387"/>
      <c r="EY1778" s="939"/>
      <c r="EZ1778" s="886"/>
    </row>
    <row r="1779" spans="88:156">
      <c r="CJ1779" s="197"/>
      <c r="CK1779" s="197"/>
      <c r="CL1779" s="197"/>
      <c r="CM1779" s="213"/>
      <c r="CN1779" s="213"/>
      <c r="CO1779" s="197"/>
      <c r="CP1779" s="197"/>
      <c r="CQ1779" s="197"/>
      <c r="CR1779" s="197"/>
      <c r="CS1779" s="197"/>
      <c r="CT1779" s="197"/>
      <c r="CU1779" s="197"/>
      <c r="CV1779" s="197"/>
      <c r="CW1779" s="197"/>
      <c r="CX1779" s="959"/>
      <c r="CY1779" s="959"/>
      <c r="CZ1779" s="959"/>
      <c r="DA1779" s="959"/>
      <c r="DB1779" s="959"/>
      <c r="DC1779" s="891">
        <v>6524</v>
      </c>
      <c r="DD1779" s="891" t="s">
        <v>2036</v>
      </c>
      <c r="DE1779" s="891" t="s">
        <v>428</v>
      </c>
      <c r="DF1779" s="891">
        <v>6</v>
      </c>
      <c r="DG1779" s="959"/>
      <c r="DH1779" s="959"/>
      <c r="ER1779" s="905">
        <v>7047</v>
      </c>
      <c r="ES1779" s="906" t="s">
        <v>1435</v>
      </c>
      <c r="ET1779" s="2686">
        <v>9</v>
      </c>
      <c r="EV1779" s="985"/>
      <c r="EW1779" s="985"/>
      <c r="EX1779" s="387"/>
      <c r="EY1779" s="939"/>
      <c r="EZ1779" s="886"/>
    </row>
    <row r="1780" spans="88:156">
      <c r="CJ1780" s="197"/>
      <c r="CK1780" s="197"/>
      <c r="CL1780" s="197"/>
      <c r="CM1780" s="213"/>
      <c r="CN1780" s="213"/>
      <c r="CO1780" s="197"/>
      <c r="CP1780" s="197"/>
      <c r="CQ1780" s="197"/>
      <c r="CR1780" s="197"/>
      <c r="CS1780" s="197"/>
      <c r="CT1780" s="197"/>
      <c r="CU1780" s="197"/>
      <c r="CV1780" s="197"/>
      <c r="CW1780" s="197"/>
      <c r="CX1780" s="959"/>
      <c r="CY1780" s="959"/>
      <c r="CZ1780" s="959"/>
      <c r="DA1780" s="959"/>
      <c r="DB1780" s="959"/>
      <c r="DC1780" s="891">
        <v>6525</v>
      </c>
      <c r="DD1780" s="891" t="s">
        <v>2037</v>
      </c>
      <c r="DE1780" s="891" t="s">
        <v>419</v>
      </c>
      <c r="DF1780" s="891">
        <v>6</v>
      </c>
      <c r="DG1780" s="959"/>
      <c r="DH1780" s="959"/>
      <c r="ER1780" s="905">
        <v>7051</v>
      </c>
      <c r="ES1780" s="906" t="s">
        <v>1436</v>
      </c>
      <c r="ET1780" s="2686">
        <v>9</v>
      </c>
      <c r="EV1780" s="985"/>
      <c r="EW1780" s="985"/>
      <c r="EX1780" s="387"/>
      <c r="EY1780" s="939"/>
      <c r="EZ1780" s="886"/>
    </row>
    <row r="1781" spans="88:156">
      <c r="CJ1781" s="197"/>
      <c r="CK1781" s="197"/>
      <c r="CL1781" s="197"/>
      <c r="CM1781" s="213"/>
      <c r="CN1781" s="213"/>
      <c r="CO1781" s="197"/>
      <c r="CP1781" s="197"/>
      <c r="CQ1781" s="197"/>
      <c r="CR1781" s="197"/>
      <c r="CS1781" s="197"/>
      <c r="CT1781" s="197"/>
      <c r="CU1781" s="197"/>
      <c r="CV1781" s="197"/>
      <c r="CW1781" s="197"/>
      <c r="CX1781" s="959"/>
      <c r="CY1781" s="959"/>
      <c r="CZ1781" s="959"/>
      <c r="DA1781" s="959"/>
      <c r="DB1781" s="959"/>
      <c r="DC1781" s="891">
        <v>6527</v>
      </c>
      <c r="DD1781" s="891" t="s">
        <v>2038</v>
      </c>
      <c r="DE1781" s="891" t="s">
        <v>433</v>
      </c>
      <c r="DF1781" s="891">
        <v>5</v>
      </c>
      <c r="DG1781" s="959"/>
      <c r="DH1781" s="959"/>
      <c r="ER1781" s="905">
        <v>7052</v>
      </c>
      <c r="ES1781" s="906" t="s">
        <v>1437</v>
      </c>
      <c r="ET1781" s="2686">
        <v>9</v>
      </c>
      <c r="EV1781" s="985"/>
      <c r="EW1781" s="985"/>
      <c r="EX1781" s="387"/>
      <c r="EY1781" s="939"/>
      <c r="EZ1781" s="886"/>
    </row>
    <row r="1782" spans="88:156">
      <c r="CJ1782" s="197"/>
      <c r="CK1782" s="197"/>
      <c r="CL1782" s="197"/>
      <c r="CM1782" s="213"/>
      <c r="CN1782" s="213"/>
      <c r="CO1782" s="197"/>
      <c r="CP1782" s="197"/>
      <c r="CQ1782" s="197"/>
      <c r="CR1782" s="197"/>
      <c r="CS1782" s="197"/>
      <c r="CT1782" s="197"/>
      <c r="CU1782" s="197"/>
      <c r="CV1782" s="197"/>
      <c r="CW1782" s="197"/>
      <c r="CX1782" s="959"/>
      <c r="CY1782" s="959"/>
      <c r="CZ1782" s="959"/>
      <c r="DA1782" s="959"/>
      <c r="DB1782" s="959"/>
      <c r="DC1782" s="891">
        <v>6528</v>
      </c>
      <c r="DD1782" s="891" t="s">
        <v>2039</v>
      </c>
      <c r="DE1782" s="891" t="s">
        <v>2808</v>
      </c>
      <c r="DF1782" s="891">
        <v>5</v>
      </c>
      <c r="DG1782" s="959"/>
      <c r="DH1782" s="959"/>
      <c r="ER1782" s="905">
        <v>7054</v>
      </c>
      <c r="ES1782" s="906" t="s">
        <v>1438</v>
      </c>
      <c r="ET1782" s="2686">
        <v>9</v>
      </c>
      <c r="EV1782" s="985"/>
      <c r="EW1782" s="985"/>
      <c r="EX1782" s="387"/>
      <c r="EY1782" s="939"/>
      <c r="EZ1782" s="886"/>
    </row>
    <row r="1783" spans="88:156">
      <c r="CJ1783" s="197"/>
      <c r="CK1783" s="197"/>
      <c r="CL1783" s="197"/>
      <c r="CM1783" s="213"/>
      <c r="CN1783" s="213"/>
      <c r="CO1783" s="197"/>
      <c r="CP1783" s="197"/>
      <c r="CQ1783" s="197"/>
      <c r="CR1783" s="197"/>
      <c r="CS1783" s="197"/>
      <c r="CT1783" s="197"/>
      <c r="CU1783" s="197"/>
      <c r="CV1783" s="197"/>
      <c r="CW1783" s="197"/>
      <c r="CX1783" s="959"/>
      <c r="CY1783" s="959"/>
      <c r="CZ1783" s="959"/>
      <c r="DA1783" s="959"/>
      <c r="DB1783" s="959"/>
      <c r="DC1783" s="891">
        <v>6600</v>
      </c>
      <c r="DD1783" s="891" t="s">
        <v>2040</v>
      </c>
      <c r="DE1783" s="891" t="s">
        <v>412</v>
      </c>
      <c r="DF1783" s="891">
        <v>6</v>
      </c>
      <c r="DG1783" s="959"/>
      <c r="DH1783" s="959"/>
      <c r="ER1783" s="905">
        <v>7056</v>
      </c>
      <c r="ES1783" s="906" t="s">
        <v>1440</v>
      </c>
      <c r="ET1783" s="2686">
        <v>9</v>
      </c>
      <c r="EV1783" s="985"/>
      <c r="EW1783" s="985"/>
      <c r="EX1783" s="387"/>
      <c r="EY1783" s="939"/>
      <c r="EZ1783" s="886"/>
    </row>
    <row r="1784" spans="88:156">
      <c r="CJ1784" s="197"/>
      <c r="CK1784" s="197"/>
      <c r="CL1784" s="197"/>
      <c r="CM1784" s="213"/>
      <c r="CN1784" s="213"/>
      <c r="CO1784" s="197"/>
      <c r="CP1784" s="197"/>
      <c r="CQ1784" s="197"/>
      <c r="CR1784" s="197"/>
      <c r="CS1784" s="197"/>
      <c r="CT1784" s="197"/>
      <c r="CU1784" s="197"/>
      <c r="CV1784" s="197"/>
      <c r="CW1784" s="197"/>
      <c r="CX1784" s="959"/>
      <c r="CY1784" s="959"/>
      <c r="CZ1784" s="959"/>
      <c r="DA1784" s="959"/>
      <c r="DB1784" s="959"/>
      <c r="DC1784" s="891">
        <v>6611</v>
      </c>
      <c r="DD1784" s="891" t="s">
        <v>2041</v>
      </c>
      <c r="DE1784" s="891" t="s">
        <v>435</v>
      </c>
      <c r="DF1784" s="891">
        <v>6</v>
      </c>
      <c r="DG1784" s="959"/>
      <c r="DH1784" s="959"/>
      <c r="ER1784" s="905">
        <v>7057</v>
      </c>
      <c r="ES1784" s="906" t="s">
        <v>1441</v>
      </c>
      <c r="ET1784" s="2686">
        <v>9</v>
      </c>
      <c r="EV1784" s="985"/>
      <c r="EW1784" s="985"/>
      <c r="EX1784" s="387"/>
      <c r="EY1784" s="939"/>
      <c r="EZ1784" s="886"/>
    </row>
    <row r="1785" spans="88:156">
      <c r="CJ1785" s="197"/>
      <c r="CK1785" s="197"/>
      <c r="CL1785" s="197"/>
      <c r="CM1785" s="213"/>
      <c r="CN1785" s="213"/>
      <c r="CO1785" s="197"/>
      <c r="CP1785" s="197"/>
      <c r="CQ1785" s="197"/>
      <c r="CR1785" s="197"/>
      <c r="CS1785" s="197"/>
      <c r="CT1785" s="197"/>
      <c r="CU1785" s="197"/>
      <c r="CV1785" s="197"/>
      <c r="CW1785" s="197"/>
      <c r="CX1785" s="959"/>
      <c r="CY1785" s="959"/>
      <c r="CZ1785" s="959"/>
      <c r="DA1785" s="959"/>
      <c r="DB1785" s="959"/>
      <c r="DC1785" s="891">
        <v>6612</v>
      </c>
      <c r="DD1785" s="891" t="s">
        <v>2042</v>
      </c>
      <c r="DE1785" s="891" t="s">
        <v>432</v>
      </c>
      <c r="DF1785" s="891">
        <v>6</v>
      </c>
      <c r="DG1785" s="959"/>
      <c r="DH1785" s="959"/>
      <c r="ER1785" s="905">
        <v>7061</v>
      </c>
      <c r="ES1785" s="906" t="s">
        <v>1442</v>
      </c>
      <c r="ET1785" s="2686">
        <v>9</v>
      </c>
      <c r="EV1785" s="985"/>
      <c r="EW1785" s="985"/>
      <c r="EX1785" s="387"/>
      <c r="EY1785" s="939"/>
      <c r="EZ1785" s="886"/>
    </row>
    <row r="1786" spans="88:156">
      <c r="CJ1786" s="197"/>
      <c r="CK1786" s="197"/>
      <c r="CL1786" s="197"/>
      <c r="CM1786" s="213"/>
      <c r="CN1786" s="213"/>
      <c r="CO1786" s="197"/>
      <c r="CP1786" s="197"/>
      <c r="CQ1786" s="197"/>
      <c r="CR1786" s="197"/>
      <c r="CS1786" s="197"/>
      <c r="CT1786" s="197"/>
      <c r="CU1786" s="197"/>
      <c r="CV1786" s="197"/>
      <c r="CW1786" s="197"/>
      <c r="CX1786" s="959"/>
      <c r="CY1786" s="959"/>
      <c r="CZ1786" s="959"/>
      <c r="DA1786" s="959"/>
      <c r="DB1786" s="959"/>
      <c r="DC1786" s="891">
        <v>6613</v>
      </c>
      <c r="DD1786" s="891" t="s">
        <v>2043</v>
      </c>
      <c r="DE1786" s="891" t="s">
        <v>432</v>
      </c>
      <c r="DF1786" s="891">
        <v>6</v>
      </c>
      <c r="DG1786" s="959"/>
      <c r="DH1786" s="959"/>
      <c r="ER1786" s="905">
        <v>7062</v>
      </c>
      <c r="ES1786" s="906" t="s">
        <v>1443</v>
      </c>
      <c r="ET1786" s="2686">
        <v>9</v>
      </c>
      <c r="EV1786" s="985"/>
      <c r="EW1786" s="985"/>
      <c r="EX1786" s="387"/>
      <c r="EY1786" s="939"/>
      <c r="EZ1786" s="886"/>
    </row>
    <row r="1787" spans="88:156">
      <c r="CJ1787" s="197"/>
      <c r="CK1787" s="197"/>
      <c r="CL1787" s="197"/>
      <c r="CM1787" s="213"/>
      <c r="CN1787" s="213"/>
      <c r="CO1787" s="197"/>
      <c r="CP1787" s="197"/>
      <c r="CQ1787" s="197"/>
      <c r="CR1787" s="197"/>
      <c r="CS1787" s="197"/>
      <c r="CT1787" s="197"/>
      <c r="CU1787" s="197"/>
      <c r="CV1787" s="197"/>
      <c r="CW1787" s="197"/>
      <c r="CX1787" s="959"/>
      <c r="CY1787" s="959"/>
      <c r="CZ1787" s="959"/>
      <c r="DA1787" s="959"/>
      <c r="DB1787" s="959"/>
      <c r="DC1787" s="891">
        <v>6621</v>
      </c>
      <c r="DD1787" s="891" t="s">
        <v>2044</v>
      </c>
      <c r="DE1787" s="891" t="s">
        <v>432</v>
      </c>
      <c r="DF1787" s="891">
        <v>6</v>
      </c>
      <c r="DG1787" s="959"/>
      <c r="DH1787" s="959"/>
      <c r="ER1787" s="905">
        <v>7063</v>
      </c>
      <c r="ES1787" s="906" t="s">
        <v>1444</v>
      </c>
      <c r="ET1787" s="2686">
        <v>9</v>
      </c>
      <c r="EV1787" s="985"/>
      <c r="EW1787" s="985"/>
      <c r="EX1787" s="387"/>
      <c r="EY1787" s="939"/>
      <c r="EZ1787" s="886"/>
    </row>
    <row r="1788" spans="88:156">
      <c r="CJ1788" s="197"/>
      <c r="CK1788" s="197"/>
      <c r="CL1788" s="197"/>
      <c r="CM1788" s="213"/>
      <c r="CN1788" s="213"/>
      <c r="CO1788" s="197"/>
      <c r="CP1788" s="197"/>
      <c r="CQ1788" s="197"/>
      <c r="CR1788" s="197"/>
      <c r="CS1788" s="197"/>
      <c r="CT1788" s="197"/>
      <c r="CU1788" s="197"/>
      <c r="CV1788" s="197"/>
      <c r="CW1788" s="197"/>
      <c r="CX1788" s="959"/>
      <c r="CY1788" s="959"/>
      <c r="CZ1788" s="959"/>
      <c r="DA1788" s="959"/>
      <c r="DB1788" s="959"/>
      <c r="DC1788" s="891">
        <v>6622</v>
      </c>
      <c r="DD1788" s="891" t="s">
        <v>2045</v>
      </c>
      <c r="DE1788" s="891" t="s">
        <v>432</v>
      </c>
      <c r="DF1788" s="891">
        <v>6</v>
      </c>
      <c r="DG1788" s="959"/>
      <c r="DH1788" s="959"/>
      <c r="ER1788" s="905">
        <v>7064</v>
      </c>
      <c r="ES1788" s="906" t="s">
        <v>1445</v>
      </c>
      <c r="ET1788" s="2686">
        <v>9</v>
      </c>
      <c r="EV1788" s="985"/>
      <c r="EW1788" s="985"/>
      <c r="EX1788" s="387"/>
      <c r="EY1788" s="939"/>
      <c r="EZ1788" s="886"/>
    </row>
    <row r="1789" spans="88:156">
      <c r="CJ1789" s="197"/>
      <c r="CK1789" s="197"/>
      <c r="CL1789" s="197"/>
      <c r="CM1789" s="213"/>
      <c r="CN1789" s="213"/>
      <c r="CO1789" s="197"/>
      <c r="CP1789" s="197"/>
      <c r="CQ1789" s="197"/>
      <c r="CR1789" s="197"/>
      <c r="CS1789" s="197"/>
      <c r="CT1789" s="197"/>
      <c r="CU1789" s="197"/>
      <c r="CV1789" s="197"/>
      <c r="CW1789" s="197"/>
      <c r="CX1789" s="959"/>
      <c r="CY1789" s="959"/>
      <c r="CZ1789" s="959"/>
      <c r="DA1789" s="959"/>
      <c r="DB1789" s="959"/>
      <c r="DC1789" s="891">
        <v>6623</v>
      </c>
      <c r="DD1789" s="891" t="s">
        <v>2046</v>
      </c>
      <c r="DE1789" s="891" t="s">
        <v>432</v>
      </c>
      <c r="DF1789" s="891">
        <v>6</v>
      </c>
      <c r="DG1789" s="959"/>
      <c r="DH1789" s="959"/>
      <c r="ER1789" s="905">
        <v>7065</v>
      </c>
      <c r="ES1789" s="906" t="s">
        <v>1446</v>
      </c>
      <c r="ET1789" s="2686">
        <v>9</v>
      </c>
      <c r="EV1789" s="985"/>
      <c r="EW1789" s="985"/>
      <c r="EX1789" s="387"/>
      <c r="EY1789" s="939"/>
      <c r="EZ1789" s="886"/>
    </row>
    <row r="1790" spans="88:156">
      <c r="CJ1790" s="197"/>
      <c r="CK1790" s="197"/>
      <c r="CL1790" s="197"/>
      <c r="CM1790" s="213"/>
      <c r="CN1790" s="213"/>
      <c r="CO1790" s="197"/>
      <c r="CP1790" s="197"/>
      <c r="CQ1790" s="197"/>
      <c r="CR1790" s="197"/>
      <c r="CS1790" s="197"/>
      <c r="CT1790" s="197"/>
      <c r="CU1790" s="197"/>
      <c r="CV1790" s="197"/>
      <c r="CW1790" s="197"/>
      <c r="CX1790" s="959"/>
      <c r="CY1790" s="959"/>
      <c r="CZ1790" s="959"/>
      <c r="DA1790" s="959"/>
      <c r="DB1790" s="959"/>
      <c r="DC1790" s="891">
        <v>6624</v>
      </c>
      <c r="DD1790" s="891" t="s">
        <v>2047</v>
      </c>
      <c r="DE1790" s="891" t="s">
        <v>420</v>
      </c>
      <c r="DF1790" s="891">
        <v>6</v>
      </c>
      <c r="DG1790" s="959"/>
      <c r="DH1790" s="959"/>
      <c r="ER1790" s="905">
        <v>7066</v>
      </c>
      <c r="ES1790" s="906" t="s">
        <v>1447</v>
      </c>
      <c r="ET1790" s="2686">
        <v>9</v>
      </c>
      <c r="EV1790" s="985"/>
      <c r="EW1790" s="985"/>
      <c r="EX1790" s="387"/>
      <c r="EY1790" s="939"/>
      <c r="EZ1790" s="886"/>
    </row>
    <row r="1791" spans="88:156">
      <c r="CJ1791" s="197"/>
      <c r="CK1791" s="197"/>
      <c r="CL1791" s="197"/>
      <c r="CM1791" s="213"/>
      <c r="CN1791" s="213"/>
      <c r="CO1791" s="197"/>
      <c r="CP1791" s="197"/>
      <c r="CQ1791" s="197"/>
      <c r="CR1791" s="197"/>
      <c r="CS1791" s="197"/>
      <c r="CT1791" s="197"/>
      <c r="CU1791" s="197"/>
      <c r="CV1791" s="197"/>
      <c r="CW1791" s="197"/>
      <c r="CX1791" s="959"/>
      <c r="CY1791" s="959"/>
      <c r="CZ1791" s="959"/>
      <c r="DA1791" s="959"/>
      <c r="DB1791" s="959"/>
      <c r="DC1791" s="891">
        <v>6625</v>
      </c>
      <c r="DD1791" s="891" t="s">
        <v>2048</v>
      </c>
      <c r="DE1791" s="891" t="s">
        <v>406</v>
      </c>
      <c r="DF1791" s="891">
        <v>6</v>
      </c>
      <c r="DG1791" s="959"/>
      <c r="DH1791" s="959"/>
      <c r="ER1791" s="905">
        <v>7067</v>
      </c>
      <c r="ES1791" s="906" t="s">
        <v>1448</v>
      </c>
      <c r="ET1791" s="2686">
        <v>9</v>
      </c>
      <c r="EV1791" s="985"/>
      <c r="EW1791" s="985"/>
      <c r="EX1791" s="387"/>
      <c r="EY1791" s="939"/>
      <c r="EZ1791" s="886"/>
    </row>
    <row r="1792" spans="88:156">
      <c r="CJ1792" s="197"/>
      <c r="CK1792" s="197"/>
      <c r="CL1792" s="197"/>
      <c r="CM1792" s="213"/>
      <c r="CN1792" s="213"/>
      <c r="CO1792" s="197"/>
      <c r="CP1792" s="197"/>
      <c r="CQ1792" s="197"/>
      <c r="CR1792" s="197"/>
      <c r="CS1792" s="197"/>
      <c r="CT1792" s="197"/>
      <c r="CU1792" s="197"/>
      <c r="CV1792" s="197"/>
      <c r="CW1792" s="197"/>
      <c r="CX1792" s="959"/>
      <c r="CY1792" s="959"/>
      <c r="CZ1792" s="959"/>
      <c r="DA1792" s="959"/>
      <c r="DB1792" s="959"/>
      <c r="DC1792" s="891">
        <v>6630</v>
      </c>
      <c r="DD1792" s="891" t="s">
        <v>2049</v>
      </c>
      <c r="DE1792" s="891" t="s">
        <v>2808</v>
      </c>
      <c r="DF1792" s="891">
        <v>6</v>
      </c>
      <c r="DG1792" s="959"/>
      <c r="DH1792" s="959"/>
      <c r="ER1792" s="905">
        <v>7068</v>
      </c>
      <c r="ES1792" s="906" t="s">
        <v>1449</v>
      </c>
      <c r="ET1792" s="2686">
        <v>9</v>
      </c>
      <c r="EV1792" s="985"/>
      <c r="EW1792" s="985"/>
      <c r="EX1792" s="387"/>
      <c r="EY1792" s="939"/>
      <c r="EZ1792" s="886"/>
    </row>
    <row r="1793" spans="88:156">
      <c r="CJ1793" s="197"/>
      <c r="CK1793" s="197"/>
      <c r="CL1793" s="197"/>
      <c r="CM1793" s="213"/>
      <c r="CN1793" s="213"/>
      <c r="CO1793" s="197"/>
      <c r="CP1793" s="197"/>
      <c r="CQ1793" s="197"/>
      <c r="CR1793" s="197"/>
      <c r="CS1793" s="197"/>
      <c r="CT1793" s="197"/>
      <c r="CU1793" s="197"/>
      <c r="CV1793" s="197"/>
      <c r="CW1793" s="197"/>
      <c r="CX1793" s="959"/>
      <c r="CY1793" s="959"/>
      <c r="CZ1793" s="959"/>
      <c r="DA1793" s="959"/>
      <c r="DB1793" s="959"/>
      <c r="DC1793" s="891">
        <v>6635</v>
      </c>
      <c r="DD1793" s="891" t="s">
        <v>2050</v>
      </c>
      <c r="DE1793" s="891" t="s">
        <v>433</v>
      </c>
      <c r="DF1793" s="891">
        <v>6</v>
      </c>
      <c r="DG1793" s="959"/>
      <c r="DH1793" s="959"/>
      <c r="ER1793" s="905">
        <v>7071</v>
      </c>
      <c r="ES1793" s="906" t="s">
        <v>1450</v>
      </c>
      <c r="ET1793" s="2686">
        <v>9</v>
      </c>
      <c r="EV1793" s="985"/>
      <c r="EW1793" s="985"/>
      <c r="EX1793" s="387"/>
      <c r="EY1793" s="939"/>
      <c r="EZ1793" s="886"/>
    </row>
    <row r="1794" spans="88:156">
      <c r="CJ1794" s="197"/>
      <c r="CK1794" s="197"/>
      <c r="CL1794" s="197"/>
      <c r="CM1794" s="213"/>
      <c r="CN1794" s="213"/>
      <c r="CO1794" s="197"/>
      <c r="CP1794" s="197"/>
      <c r="CQ1794" s="197"/>
      <c r="CR1794" s="197"/>
      <c r="CS1794" s="197"/>
      <c r="CT1794" s="197"/>
      <c r="CU1794" s="197"/>
      <c r="CV1794" s="197"/>
      <c r="CW1794" s="197"/>
      <c r="CX1794" s="959"/>
      <c r="CY1794" s="959"/>
      <c r="CZ1794" s="959"/>
      <c r="DA1794" s="959"/>
      <c r="DB1794" s="959"/>
      <c r="DC1794" s="891">
        <v>6636</v>
      </c>
      <c r="DD1794" s="891" t="s">
        <v>2051</v>
      </c>
      <c r="DE1794" s="891" t="s">
        <v>423</v>
      </c>
      <c r="DF1794" s="891">
        <v>6</v>
      </c>
      <c r="DG1794" s="959"/>
      <c r="DH1794" s="959"/>
      <c r="ER1794" s="905">
        <v>7072</v>
      </c>
      <c r="ES1794" s="906" t="s">
        <v>1451</v>
      </c>
      <c r="ET1794" s="2686">
        <v>9</v>
      </c>
      <c r="EV1794" s="985"/>
      <c r="EW1794" s="985"/>
      <c r="EX1794" s="387"/>
      <c r="EY1794" s="939"/>
      <c r="EZ1794" s="886"/>
    </row>
    <row r="1795" spans="88:156">
      <c r="CJ1795" s="197"/>
      <c r="CK1795" s="197"/>
      <c r="CL1795" s="197"/>
      <c r="CM1795" s="213"/>
      <c r="CN1795" s="213"/>
      <c r="CO1795" s="197"/>
      <c r="CP1795" s="197"/>
      <c r="CQ1795" s="197"/>
      <c r="CR1795" s="197"/>
      <c r="CS1795" s="197"/>
      <c r="CT1795" s="197"/>
      <c r="CU1795" s="197"/>
      <c r="CV1795" s="197"/>
      <c r="CW1795" s="197"/>
      <c r="CX1795" s="959"/>
      <c r="CY1795" s="959"/>
      <c r="CZ1795" s="959"/>
      <c r="DA1795" s="959"/>
      <c r="DB1795" s="959"/>
      <c r="DC1795" s="891">
        <v>6640</v>
      </c>
      <c r="DD1795" s="891" t="s">
        <v>431</v>
      </c>
      <c r="DE1795" s="891" t="s">
        <v>404</v>
      </c>
      <c r="DF1795" s="891">
        <v>6</v>
      </c>
      <c r="DG1795" s="959"/>
      <c r="DH1795" s="959"/>
      <c r="ER1795" s="905">
        <v>7081</v>
      </c>
      <c r="ES1795" s="906" t="s">
        <v>1452</v>
      </c>
      <c r="ET1795" s="2686">
        <v>9</v>
      </c>
      <c r="EV1795" s="985"/>
      <c r="EW1795" s="985"/>
      <c r="EX1795" s="387"/>
      <c r="EY1795" s="939"/>
      <c r="EZ1795" s="886"/>
    </row>
    <row r="1796" spans="88:156">
      <c r="CJ1796" s="197"/>
      <c r="CK1796" s="197"/>
      <c r="CL1796" s="197"/>
      <c r="CM1796" s="213"/>
      <c r="CN1796" s="213"/>
      <c r="CO1796" s="197"/>
      <c r="CP1796" s="197"/>
      <c r="CQ1796" s="197"/>
      <c r="CR1796" s="197"/>
      <c r="CS1796" s="197"/>
      <c r="CT1796" s="197"/>
      <c r="CU1796" s="197"/>
      <c r="CV1796" s="197"/>
      <c r="CW1796" s="197"/>
      <c r="CX1796" s="959"/>
      <c r="CY1796" s="959"/>
      <c r="CZ1796" s="959"/>
      <c r="DA1796" s="959"/>
      <c r="DB1796" s="959"/>
      <c r="DC1796" s="891">
        <v>6645</v>
      </c>
      <c r="DD1796" s="891" t="s">
        <v>2052</v>
      </c>
      <c r="DE1796" s="891" t="s">
        <v>433</v>
      </c>
      <c r="DF1796" s="891">
        <v>6</v>
      </c>
      <c r="DG1796" s="959"/>
      <c r="DH1796" s="959"/>
      <c r="ER1796" s="905">
        <v>7082</v>
      </c>
      <c r="ES1796" s="906" t="s">
        <v>1453</v>
      </c>
      <c r="ET1796" s="2686">
        <v>9</v>
      </c>
      <c r="EV1796" s="985"/>
      <c r="EW1796" s="985"/>
      <c r="EX1796" s="387"/>
      <c r="EY1796" s="939"/>
      <c r="EZ1796" s="886"/>
    </row>
    <row r="1797" spans="88:156">
      <c r="CJ1797" s="197"/>
      <c r="CK1797" s="197"/>
      <c r="CL1797" s="197"/>
      <c r="CM1797" s="213"/>
      <c r="CN1797" s="213"/>
      <c r="CO1797" s="197"/>
      <c r="CP1797" s="197"/>
      <c r="CQ1797" s="197"/>
      <c r="CR1797" s="197"/>
      <c r="CS1797" s="197"/>
      <c r="CT1797" s="197"/>
      <c r="CU1797" s="197"/>
      <c r="CV1797" s="197"/>
      <c r="CW1797" s="197"/>
      <c r="CX1797" s="959"/>
      <c r="CY1797" s="959"/>
      <c r="CZ1797" s="959"/>
      <c r="DA1797" s="959"/>
      <c r="DB1797" s="959"/>
      <c r="DC1797" s="891">
        <v>6646</v>
      </c>
      <c r="DD1797" s="891" t="s">
        <v>2053</v>
      </c>
      <c r="DE1797" s="891" t="s">
        <v>406</v>
      </c>
      <c r="DF1797" s="891">
        <v>6</v>
      </c>
      <c r="DG1797" s="959"/>
      <c r="DH1797" s="959"/>
      <c r="ER1797" s="905">
        <v>7083</v>
      </c>
      <c r="ES1797" s="906" t="s">
        <v>1454</v>
      </c>
      <c r="ET1797" s="2686">
        <v>9</v>
      </c>
      <c r="EV1797" s="985"/>
      <c r="EW1797" s="985"/>
      <c r="EX1797" s="387"/>
      <c r="EY1797" s="939"/>
      <c r="EZ1797" s="886"/>
    </row>
    <row r="1798" spans="88:156">
      <c r="CJ1798" s="197"/>
      <c r="CK1798" s="197"/>
      <c r="CL1798" s="197"/>
      <c r="CM1798" s="213"/>
      <c r="CN1798" s="213"/>
      <c r="CO1798" s="197"/>
      <c r="CP1798" s="197"/>
      <c r="CQ1798" s="197"/>
      <c r="CR1798" s="197"/>
      <c r="CS1798" s="197"/>
      <c r="CT1798" s="197"/>
      <c r="CU1798" s="197"/>
      <c r="CV1798" s="197"/>
      <c r="CW1798" s="197"/>
      <c r="CX1798" s="959"/>
      <c r="CY1798" s="959"/>
      <c r="CZ1798" s="959"/>
      <c r="DA1798" s="959"/>
      <c r="DB1798" s="959"/>
      <c r="DC1798" s="891">
        <v>6647</v>
      </c>
      <c r="DD1798" s="891" t="s">
        <v>2054</v>
      </c>
      <c r="DE1798" s="891" t="s">
        <v>421</v>
      </c>
      <c r="DF1798" s="891">
        <v>6</v>
      </c>
      <c r="DG1798" s="959"/>
      <c r="DH1798" s="959"/>
      <c r="ER1798" s="905">
        <v>7084</v>
      </c>
      <c r="ES1798" s="906" t="s">
        <v>1455</v>
      </c>
      <c r="ET1798" s="2686">
        <v>9</v>
      </c>
      <c r="EV1798" s="985"/>
      <c r="EW1798" s="985"/>
      <c r="EX1798" s="387"/>
      <c r="EY1798" s="939"/>
      <c r="EZ1798" s="886"/>
    </row>
    <row r="1799" spans="88:156">
      <c r="CJ1799" s="197"/>
      <c r="CK1799" s="197"/>
      <c r="CL1799" s="197"/>
      <c r="CM1799" s="213"/>
      <c r="CN1799" s="213"/>
      <c r="CO1799" s="197"/>
      <c r="CP1799" s="197"/>
      <c r="CQ1799" s="197"/>
      <c r="CR1799" s="197"/>
      <c r="CS1799" s="197"/>
      <c r="CT1799" s="197"/>
      <c r="CU1799" s="197"/>
      <c r="CV1799" s="197"/>
      <c r="CW1799" s="197"/>
      <c r="CX1799" s="959"/>
      <c r="CY1799" s="959"/>
      <c r="CZ1799" s="959"/>
      <c r="DA1799" s="959"/>
      <c r="DB1799" s="959"/>
      <c r="DC1799" s="891">
        <v>6648</v>
      </c>
      <c r="DD1799" s="891" t="s">
        <v>2055</v>
      </c>
      <c r="DE1799" s="891" t="s">
        <v>435</v>
      </c>
      <c r="DF1799" s="891">
        <v>6</v>
      </c>
      <c r="DG1799" s="959"/>
      <c r="DH1799" s="959"/>
      <c r="ER1799" s="905">
        <v>7085</v>
      </c>
      <c r="ES1799" s="906" t="s">
        <v>1456</v>
      </c>
      <c r="ET1799" s="2686">
        <v>9</v>
      </c>
      <c r="EV1799" s="985"/>
      <c r="EW1799" s="985"/>
      <c r="EX1799" s="387"/>
      <c r="EY1799" s="939"/>
      <c r="EZ1799" s="886"/>
    </row>
    <row r="1800" spans="88:156">
      <c r="CJ1800" s="197"/>
      <c r="CK1800" s="197"/>
      <c r="CL1800" s="197"/>
      <c r="CM1800" s="213"/>
      <c r="CN1800" s="213"/>
      <c r="CO1800" s="197"/>
      <c r="CP1800" s="197"/>
      <c r="CQ1800" s="197"/>
      <c r="CR1800" s="197"/>
      <c r="CS1800" s="197"/>
      <c r="CT1800" s="197"/>
      <c r="CU1800" s="197"/>
      <c r="CV1800" s="197"/>
      <c r="CW1800" s="197"/>
      <c r="CX1800" s="959"/>
      <c r="CY1800" s="959"/>
      <c r="CZ1800" s="959"/>
      <c r="DA1800" s="959"/>
      <c r="DB1800" s="959"/>
      <c r="DC1800" s="891">
        <v>6700</v>
      </c>
      <c r="DD1800" s="891" t="s">
        <v>2056</v>
      </c>
      <c r="DE1800" s="891" t="s">
        <v>433</v>
      </c>
      <c r="DF1800" s="891">
        <v>6</v>
      </c>
      <c r="DG1800" s="959"/>
      <c r="DH1800" s="959"/>
      <c r="ER1800" s="905">
        <v>7086</v>
      </c>
      <c r="ES1800" s="906" t="s">
        <v>1457</v>
      </c>
      <c r="ET1800" s="2686">
        <v>9</v>
      </c>
      <c r="EV1800" s="985"/>
      <c r="EW1800" s="985"/>
      <c r="EX1800" s="387"/>
      <c r="EY1800" s="939"/>
      <c r="EZ1800" s="886"/>
    </row>
    <row r="1801" spans="88:156">
      <c r="CJ1801" s="197"/>
      <c r="CK1801" s="197"/>
      <c r="CL1801" s="197"/>
      <c r="CM1801" s="213"/>
      <c r="CN1801" s="213"/>
      <c r="CO1801" s="197"/>
      <c r="CP1801" s="197"/>
      <c r="CQ1801" s="197"/>
      <c r="CR1801" s="197"/>
      <c r="CS1801" s="197"/>
      <c r="CT1801" s="197"/>
      <c r="CU1801" s="197"/>
      <c r="CV1801" s="197"/>
      <c r="CW1801" s="197"/>
      <c r="CX1801" s="959"/>
      <c r="CY1801" s="959"/>
      <c r="CZ1801" s="959"/>
      <c r="DA1801" s="959"/>
      <c r="DB1801" s="959"/>
      <c r="DC1801" s="891">
        <v>6710</v>
      </c>
      <c r="DD1801" s="891" t="s">
        <v>2057</v>
      </c>
      <c r="DE1801" s="891" t="s">
        <v>432</v>
      </c>
      <c r="DF1801" s="891">
        <v>6</v>
      </c>
      <c r="DG1801" s="959"/>
      <c r="DH1801" s="959"/>
      <c r="ER1801" s="905">
        <v>7087</v>
      </c>
      <c r="ES1801" s="906" t="s">
        <v>1458</v>
      </c>
      <c r="ET1801" s="2686">
        <v>9</v>
      </c>
      <c r="EV1801" s="985"/>
      <c r="EW1801" s="985"/>
      <c r="EX1801" s="387"/>
      <c r="EY1801" s="939"/>
      <c r="EZ1801" s="886"/>
    </row>
    <row r="1802" spans="88:156">
      <c r="CJ1802" s="197"/>
      <c r="CK1802" s="197"/>
      <c r="CL1802" s="197"/>
      <c r="CM1802" s="213"/>
      <c r="CN1802" s="213"/>
      <c r="CO1802" s="197"/>
      <c r="CP1802" s="197"/>
      <c r="CQ1802" s="197"/>
      <c r="CR1802" s="197"/>
      <c r="CS1802" s="197"/>
      <c r="CT1802" s="197"/>
      <c r="CU1802" s="197"/>
      <c r="CV1802" s="197"/>
      <c r="CW1802" s="197"/>
      <c r="CX1802" s="959"/>
      <c r="CY1802" s="959"/>
      <c r="CZ1802" s="959"/>
      <c r="DA1802" s="959"/>
      <c r="DB1802" s="959"/>
      <c r="DC1802" s="891">
        <v>6713</v>
      </c>
      <c r="DD1802" s="891" t="s">
        <v>2058</v>
      </c>
      <c r="DE1802" s="891" t="s">
        <v>417</v>
      </c>
      <c r="DF1802" s="891">
        <v>6</v>
      </c>
      <c r="DG1802" s="959"/>
      <c r="DH1802" s="959"/>
      <c r="ER1802" s="905">
        <v>7090</v>
      </c>
      <c r="ES1802" s="906" t="s">
        <v>1459</v>
      </c>
      <c r="ET1802" s="2686">
        <v>9</v>
      </c>
      <c r="EV1802" s="985"/>
      <c r="EW1802" s="985"/>
      <c r="EX1802" s="387"/>
      <c r="EY1802" s="939"/>
      <c r="EZ1802" s="886"/>
    </row>
    <row r="1803" spans="88:156">
      <c r="CJ1803" s="197"/>
      <c r="CK1803" s="197"/>
      <c r="CL1803" s="197"/>
      <c r="CM1803" s="213"/>
      <c r="CN1803" s="213"/>
      <c r="CO1803" s="197"/>
      <c r="CP1803" s="197"/>
      <c r="CQ1803" s="197"/>
      <c r="CR1803" s="197"/>
      <c r="CS1803" s="197"/>
      <c r="CT1803" s="197"/>
      <c r="CU1803" s="197"/>
      <c r="CV1803" s="197"/>
      <c r="CW1803" s="197"/>
      <c r="CX1803" s="959"/>
      <c r="CY1803" s="959"/>
      <c r="CZ1803" s="959"/>
      <c r="DA1803" s="959"/>
      <c r="DB1803" s="959"/>
      <c r="DC1803" s="891">
        <v>6720</v>
      </c>
      <c r="DD1803" s="891" t="s">
        <v>2056</v>
      </c>
      <c r="DE1803" s="891" t="s">
        <v>402</v>
      </c>
      <c r="DF1803" s="891">
        <v>6</v>
      </c>
      <c r="DG1803" s="959"/>
      <c r="DH1803" s="959"/>
      <c r="ER1803" s="905">
        <v>7091</v>
      </c>
      <c r="ES1803" s="906" t="s">
        <v>1351</v>
      </c>
      <c r="ET1803" s="2686">
        <v>9</v>
      </c>
      <c r="EV1803" s="985"/>
      <c r="EW1803" s="985"/>
      <c r="EX1803" s="387"/>
      <c r="EY1803" s="939"/>
      <c r="EZ1803" s="886"/>
    </row>
    <row r="1804" spans="88:156">
      <c r="CJ1804" s="197"/>
      <c r="CK1804" s="197"/>
      <c r="CL1804" s="197"/>
      <c r="CM1804" s="213"/>
      <c r="CN1804" s="213"/>
      <c r="CO1804" s="197"/>
      <c r="CP1804" s="197"/>
      <c r="CQ1804" s="197"/>
      <c r="CR1804" s="197"/>
      <c r="CS1804" s="197"/>
      <c r="CT1804" s="197"/>
      <c r="CU1804" s="197"/>
      <c r="CV1804" s="197"/>
      <c r="CW1804" s="197"/>
      <c r="CX1804" s="959"/>
      <c r="CY1804" s="959"/>
      <c r="CZ1804" s="959"/>
      <c r="DA1804" s="959"/>
      <c r="DB1804" s="959"/>
      <c r="DC1804" s="891">
        <v>6721</v>
      </c>
      <c r="DD1804" s="891" t="s">
        <v>2056</v>
      </c>
      <c r="DE1804" s="891" t="s">
        <v>412</v>
      </c>
      <c r="DF1804" s="891">
        <v>6</v>
      </c>
      <c r="DG1804" s="959"/>
      <c r="DH1804" s="959"/>
      <c r="ER1804" s="905">
        <v>7092</v>
      </c>
      <c r="ES1804" s="906" t="s">
        <v>1461</v>
      </c>
      <c r="ET1804" s="2686">
        <v>9</v>
      </c>
      <c r="EV1804" s="985"/>
      <c r="EW1804" s="985"/>
      <c r="EX1804" s="387"/>
      <c r="EY1804" s="939"/>
      <c r="EZ1804" s="886"/>
    </row>
    <row r="1805" spans="88:156">
      <c r="CJ1805" s="197"/>
      <c r="CK1805" s="197"/>
      <c r="CL1805" s="197"/>
      <c r="CM1805" s="213"/>
      <c r="CN1805" s="213"/>
      <c r="CO1805" s="197"/>
      <c r="CP1805" s="197"/>
      <c r="CQ1805" s="197"/>
      <c r="CR1805" s="197"/>
      <c r="CS1805" s="197"/>
      <c r="CT1805" s="197"/>
      <c r="CU1805" s="197"/>
      <c r="CV1805" s="197"/>
      <c r="CW1805" s="197"/>
      <c r="CX1805" s="959"/>
      <c r="CY1805" s="959"/>
      <c r="CZ1805" s="959"/>
      <c r="DA1805" s="959"/>
      <c r="DB1805" s="959"/>
      <c r="DC1805" s="891">
        <v>6722</v>
      </c>
      <c r="DD1805" s="891" t="s">
        <v>2056</v>
      </c>
      <c r="DE1805" s="891" t="s">
        <v>406</v>
      </c>
      <c r="DF1805" s="891">
        <v>6</v>
      </c>
      <c r="DG1805" s="959"/>
      <c r="DH1805" s="959"/>
      <c r="ER1805" s="905">
        <v>7093</v>
      </c>
      <c r="ES1805" s="906" t="s">
        <v>1462</v>
      </c>
      <c r="ET1805" s="2686">
        <v>9</v>
      </c>
      <c r="EV1805" s="985"/>
      <c r="EW1805" s="985"/>
      <c r="EX1805" s="387"/>
      <c r="EY1805" s="939"/>
      <c r="EZ1805" s="886"/>
    </row>
    <row r="1806" spans="88:156">
      <c r="CJ1806" s="197"/>
      <c r="CK1806" s="197"/>
      <c r="CL1806" s="197"/>
      <c r="CM1806" s="213"/>
      <c r="CN1806" s="213"/>
      <c r="CO1806" s="197"/>
      <c r="CP1806" s="197"/>
      <c r="CQ1806" s="197"/>
      <c r="CR1806" s="197"/>
      <c r="CS1806" s="197"/>
      <c r="CT1806" s="197"/>
      <c r="CU1806" s="197"/>
      <c r="CV1806" s="197"/>
      <c r="CW1806" s="197"/>
      <c r="CX1806" s="959"/>
      <c r="CY1806" s="959"/>
      <c r="CZ1806" s="959"/>
      <c r="DA1806" s="959"/>
      <c r="DB1806" s="959"/>
      <c r="DC1806" s="891">
        <v>6723</v>
      </c>
      <c r="DD1806" s="891" t="s">
        <v>2056</v>
      </c>
      <c r="DE1806" s="891" t="s">
        <v>431</v>
      </c>
      <c r="DF1806" s="891">
        <v>6</v>
      </c>
      <c r="DG1806" s="959"/>
      <c r="DH1806" s="959"/>
      <c r="ER1806" s="905">
        <v>7094</v>
      </c>
      <c r="ES1806" s="906" t="s">
        <v>1463</v>
      </c>
      <c r="ET1806" s="2686">
        <v>9</v>
      </c>
      <c r="EV1806" s="985"/>
      <c r="EW1806" s="985"/>
      <c r="EX1806" s="387"/>
      <c r="EY1806" s="939"/>
      <c r="EZ1806" s="886"/>
    </row>
    <row r="1807" spans="88:156">
      <c r="CJ1807" s="197"/>
      <c r="CK1807" s="197"/>
      <c r="CL1807" s="197"/>
      <c r="CM1807" s="213"/>
      <c r="CN1807" s="213"/>
      <c r="CO1807" s="197"/>
      <c r="CP1807" s="197"/>
      <c r="CQ1807" s="197"/>
      <c r="CR1807" s="197"/>
      <c r="CS1807" s="197"/>
      <c r="CT1807" s="197"/>
      <c r="CU1807" s="197"/>
      <c r="CV1807" s="197"/>
      <c r="CW1807" s="197"/>
      <c r="CX1807" s="959"/>
      <c r="CY1807" s="959"/>
      <c r="CZ1807" s="959"/>
      <c r="DA1807" s="959"/>
      <c r="DB1807" s="959"/>
      <c r="DC1807" s="891">
        <v>6724</v>
      </c>
      <c r="DD1807" s="891" t="s">
        <v>2056</v>
      </c>
      <c r="DE1807" s="891" t="s">
        <v>419</v>
      </c>
      <c r="DF1807" s="891">
        <v>6</v>
      </c>
      <c r="DG1807" s="959"/>
      <c r="DH1807" s="959"/>
      <c r="ER1807" s="905">
        <v>7095</v>
      </c>
      <c r="ES1807" s="906" t="s">
        <v>1352</v>
      </c>
      <c r="ET1807" s="2686">
        <v>9</v>
      </c>
      <c r="EV1807" s="985"/>
      <c r="EW1807" s="985"/>
      <c r="EX1807" s="387"/>
      <c r="EY1807" s="939"/>
      <c r="EZ1807" s="886"/>
    </row>
    <row r="1808" spans="88:156">
      <c r="CJ1808" s="197"/>
      <c r="CK1808" s="197"/>
      <c r="CL1808" s="197"/>
      <c r="CM1808" s="213"/>
      <c r="CN1808" s="213"/>
      <c r="CO1808" s="197"/>
      <c r="CP1808" s="197"/>
      <c r="CQ1808" s="197"/>
      <c r="CR1808" s="197"/>
      <c r="CS1808" s="197"/>
      <c r="CT1808" s="197"/>
      <c r="CU1808" s="197"/>
      <c r="CV1808" s="197"/>
      <c r="CW1808" s="197"/>
      <c r="CX1808" s="959"/>
      <c r="CY1808" s="959"/>
      <c r="CZ1808" s="959"/>
      <c r="DA1808" s="959"/>
      <c r="DB1808" s="959"/>
      <c r="DC1808" s="891">
        <v>6725</v>
      </c>
      <c r="DD1808" s="891" t="s">
        <v>2056</v>
      </c>
      <c r="DE1808" s="891" t="s">
        <v>419</v>
      </c>
      <c r="DF1808" s="891">
        <v>6</v>
      </c>
      <c r="DG1808" s="959"/>
      <c r="DH1808" s="959"/>
      <c r="ER1808" s="905">
        <v>7095</v>
      </c>
      <c r="ES1808" s="906" t="s">
        <v>1464</v>
      </c>
      <c r="ET1808" s="2686">
        <v>9</v>
      </c>
      <c r="EV1808" s="985"/>
      <c r="EW1808" s="985"/>
      <c r="EX1808" s="387"/>
      <c r="EY1808" s="939"/>
      <c r="EZ1808" s="886"/>
    </row>
    <row r="1809" spans="88:156">
      <c r="CJ1809" s="197"/>
      <c r="CK1809" s="197"/>
      <c r="CL1809" s="197"/>
      <c r="CM1809" s="213"/>
      <c r="CN1809" s="213"/>
      <c r="CO1809" s="197"/>
      <c r="CP1809" s="197"/>
      <c r="CQ1809" s="197"/>
      <c r="CR1809" s="197"/>
      <c r="CS1809" s="197"/>
      <c r="CT1809" s="197"/>
      <c r="CU1809" s="197"/>
      <c r="CV1809" s="197"/>
      <c r="CW1809" s="197"/>
      <c r="CX1809" s="959"/>
      <c r="CY1809" s="959"/>
      <c r="CZ1809" s="959"/>
      <c r="DA1809" s="959"/>
      <c r="DB1809" s="959"/>
      <c r="DC1809" s="891">
        <v>6726</v>
      </c>
      <c r="DD1809" s="891" t="s">
        <v>2056</v>
      </c>
      <c r="DE1809" s="891" t="s">
        <v>402</v>
      </c>
      <c r="DF1809" s="891">
        <v>6</v>
      </c>
      <c r="DG1809" s="959"/>
      <c r="DH1809" s="959"/>
      <c r="ER1809" s="905">
        <v>7097</v>
      </c>
      <c r="ES1809" s="906" t="s">
        <v>1465</v>
      </c>
      <c r="ET1809" s="2686">
        <v>9</v>
      </c>
      <c r="EV1809" s="985"/>
      <c r="EW1809" s="985"/>
      <c r="EX1809" s="387"/>
      <c r="EY1809" s="939"/>
      <c r="EZ1809" s="886"/>
    </row>
    <row r="1810" spans="88:156">
      <c r="CJ1810" s="197"/>
      <c r="CK1810" s="197"/>
      <c r="CL1810" s="197"/>
      <c r="CM1810" s="213"/>
      <c r="CN1810" s="213"/>
      <c r="CO1810" s="197"/>
      <c r="CP1810" s="197"/>
      <c r="CQ1810" s="197"/>
      <c r="CR1810" s="197"/>
      <c r="CS1810" s="197"/>
      <c r="CT1810" s="197"/>
      <c r="CU1810" s="197"/>
      <c r="CV1810" s="197"/>
      <c r="CW1810" s="197"/>
      <c r="CX1810" s="959"/>
      <c r="CY1810" s="959"/>
      <c r="CZ1810" s="959"/>
      <c r="DA1810" s="959"/>
      <c r="DB1810" s="959"/>
      <c r="DC1810" s="891">
        <v>6727</v>
      </c>
      <c r="DD1810" s="891" t="s">
        <v>2056</v>
      </c>
      <c r="DE1810" s="891" t="s">
        <v>428</v>
      </c>
      <c r="DF1810" s="891">
        <v>6</v>
      </c>
      <c r="DG1810" s="959"/>
      <c r="DH1810" s="959"/>
      <c r="ER1810" s="905">
        <v>7098</v>
      </c>
      <c r="ES1810" s="906" t="s">
        <v>1466</v>
      </c>
      <c r="ET1810" s="2686">
        <v>9</v>
      </c>
      <c r="EV1810" s="985"/>
      <c r="EW1810" s="985"/>
      <c r="EX1810" s="387"/>
      <c r="EY1810" s="939"/>
      <c r="EZ1810" s="886"/>
    </row>
    <row r="1811" spans="88:156">
      <c r="CJ1811" s="197"/>
      <c r="CK1811" s="197"/>
      <c r="CL1811" s="197"/>
      <c r="CM1811" s="213"/>
      <c r="CN1811" s="213"/>
      <c r="CO1811" s="197"/>
      <c r="CP1811" s="197"/>
      <c r="CQ1811" s="197"/>
      <c r="CR1811" s="197"/>
      <c r="CS1811" s="197"/>
      <c r="CT1811" s="197"/>
      <c r="CU1811" s="197"/>
      <c r="CV1811" s="197"/>
      <c r="CW1811" s="197"/>
      <c r="CX1811" s="959"/>
      <c r="CY1811" s="959"/>
      <c r="CZ1811" s="959"/>
      <c r="DA1811" s="959"/>
      <c r="DB1811" s="959"/>
      <c r="DC1811" s="891">
        <v>6728</v>
      </c>
      <c r="DD1811" s="891" t="s">
        <v>2056</v>
      </c>
      <c r="DE1811" s="891" t="s">
        <v>423</v>
      </c>
      <c r="DF1811" s="891">
        <v>6</v>
      </c>
      <c r="DG1811" s="959"/>
      <c r="DH1811" s="959"/>
      <c r="ER1811" s="905">
        <v>7099</v>
      </c>
      <c r="ES1811" s="906" t="s">
        <v>1467</v>
      </c>
      <c r="ET1811" s="2686">
        <v>9</v>
      </c>
      <c r="EV1811" s="985"/>
      <c r="EW1811" s="985"/>
      <c r="EX1811" s="387"/>
      <c r="EY1811" s="939"/>
      <c r="EZ1811" s="886"/>
    </row>
    <row r="1812" spans="88:156">
      <c r="CJ1812" s="197"/>
      <c r="CK1812" s="197"/>
      <c r="CL1812" s="197"/>
      <c r="CM1812" s="213"/>
      <c r="CN1812" s="213"/>
      <c r="CO1812" s="197"/>
      <c r="CP1812" s="197"/>
      <c r="CQ1812" s="197"/>
      <c r="CR1812" s="197"/>
      <c r="CS1812" s="197"/>
      <c r="CT1812" s="197"/>
      <c r="CU1812" s="197"/>
      <c r="CV1812" s="197"/>
      <c r="CW1812" s="197"/>
      <c r="CX1812" s="959"/>
      <c r="CY1812" s="959"/>
      <c r="CZ1812" s="959"/>
      <c r="DA1812" s="959"/>
      <c r="DB1812" s="959"/>
      <c r="DC1812" s="891">
        <v>6729</v>
      </c>
      <c r="DD1812" s="891" t="s">
        <v>2056</v>
      </c>
      <c r="DE1812" s="891" t="s">
        <v>406</v>
      </c>
      <c r="DF1812" s="891">
        <v>6</v>
      </c>
      <c r="DG1812" s="959"/>
      <c r="DH1812" s="959"/>
      <c r="ER1812" s="905">
        <v>7100</v>
      </c>
      <c r="ES1812" s="906" t="s">
        <v>1468</v>
      </c>
      <c r="ET1812" s="2686">
        <v>3</v>
      </c>
      <c r="EV1812" s="985"/>
      <c r="EW1812" s="985"/>
      <c r="EX1812" s="387"/>
      <c r="EY1812" s="939"/>
      <c r="EZ1812" s="886"/>
    </row>
    <row r="1813" spans="88:156">
      <c r="CJ1813" s="197"/>
      <c r="CK1813" s="197"/>
      <c r="CL1813" s="197"/>
      <c r="CM1813" s="213"/>
      <c r="CN1813" s="213"/>
      <c r="CO1813" s="197"/>
      <c r="CP1813" s="197"/>
      <c r="CQ1813" s="197"/>
      <c r="CR1813" s="197"/>
      <c r="CS1813" s="197"/>
      <c r="CT1813" s="197"/>
      <c r="CU1813" s="197"/>
      <c r="CV1813" s="197"/>
      <c r="CW1813" s="197"/>
      <c r="CX1813" s="959"/>
      <c r="CY1813" s="959"/>
      <c r="CZ1813" s="959"/>
      <c r="DA1813" s="959"/>
      <c r="DB1813" s="959"/>
      <c r="DC1813" s="891">
        <v>6750</v>
      </c>
      <c r="DD1813" s="891" t="s">
        <v>2059</v>
      </c>
      <c r="DE1813" s="891" t="s">
        <v>417</v>
      </c>
      <c r="DF1813" s="891">
        <v>6</v>
      </c>
      <c r="DG1813" s="959"/>
      <c r="DH1813" s="959"/>
      <c r="ER1813" s="905">
        <v>7121</v>
      </c>
      <c r="ES1813" s="906" t="s">
        <v>1469</v>
      </c>
      <c r="ET1813" s="2686">
        <v>9</v>
      </c>
      <c r="EV1813" s="985"/>
      <c r="EW1813" s="985"/>
      <c r="EX1813" s="387"/>
      <c r="EY1813" s="939"/>
      <c r="EZ1813" s="886"/>
    </row>
    <row r="1814" spans="88:156">
      <c r="CJ1814" s="197"/>
      <c r="CK1814" s="197"/>
      <c r="CL1814" s="197"/>
      <c r="CM1814" s="213"/>
      <c r="CN1814" s="213"/>
      <c r="CO1814" s="197"/>
      <c r="CP1814" s="197"/>
      <c r="CQ1814" s="197"/>
      <c r="CR1814" s="197"/>
      <c r="CS1814" s="197"/>
      <c r="CT1814" s="197"/>
      <c r="CU1814" s="197"/>
      <c r="CV1814" s="197"/>
      <c r="CW1814" s="197"/>
      <c r="CX1814" s="959"/>
      <c r="CY1814" s="959"/>
      <c r="CZ1814" s="959"/>
      <c r="DA1814" s="959"/>
      <c r="DB1814" s="959"/>
      <c r="DC1814" s="891">
        <v>6753</v>
      </c>
      <c r="DD1814" s="891" t="s">
        <v>2060</v>
      </c>
      <c r="DE1814" s="891" t="s">
        <v>2808</v>
      </c>
      <c r="DF1814" s="891">
        <v>6</v>
      </c>
      <c r="DG1814" s="959"/>
      <c r="DH1814" s="959"/>
      <c r="ER1814" s="905">
        <v>7122</v>
      </c>
      <c r="ES1814" s="906" t="s">
        <v>1470</v>
      </c>
      <c r="ET1814" s="2686">
        <v>9</v>
      </c>
      <c r="EV1814" s="985"/>
      <c r="EW1814" s="985"/>
      <c r="EX1814" s="387"/>
      <c r="EY1814" s="939"/>
      <c r="EZ1814" s="886"/>
    </row>
    <row r="1815" spans="88:156">
      <c r="CJ1815" s="197"/>
      <c r="CK1815" s="197"/>
      <c r="CL1815" s="197"/>
      <c r="CM1815" s="213"/>
      <c r="CN1815" s="213"/>
      <c r="CO1815" s="197"/>
      <c r="CP1815" s="197"/>
      <c r="CQ1815" s="197"/>
      <c r="CR1815" s="197"/>
      <c r="CS1815" s="197"/>
      <c r="CT1815" s="197"/>
      <c r="CU1815" s="197"/>
      <c r="CV1815" s="197"/>
      <c r="CW1815" s="197"/>
      <c r="CX1815" s="959"/>
      <c r="CY1815" s="959"/>
      <c r="CZ1815" s="959"/>
      <c r="DA1815" s="959"/>
      <c r="DB1815" s="959"/>
      <c r="DC1815" s="891">
        <v>6754</v>
      </c>
      <c r="DD1815" s="891" t="s">
        <v>2061</v>
      </c>
      <c r="DE1815" s="891" t="s">
        <v>417</v>
      </c>
      <c r="DF1815" s="891">
        <v>6</v>
      </c>
      <c r="DG1815" s="959"/>
      <c r="DH1815" s="959"/>
      <c r="ER1815" s="905">
        <v>7130</v>
      </c>
      <c r="ES1815" s="906" t="s">
        <v>435</v>
      </c>
      <c r="ET1815" s="2686">
        <v>9</v>
      </c>
      <c r="EV1815" s="985"/>
      <c r="EW1815" s="985"/>
      <c r="EX1815" s="387"/>
      <c r="EY1815" s="939"/>
      <c r="EZ1815" s="886"/>
    </row>
    <row r="1816" spans="88:156">
      <c r="CJ1816" s="197"/>
      <c r="CK1816" s="197"/>
      <c r="CL1816" s="197"/>
      <c r="CM1816" s="213"/>
      <c r="CN1816" s="213"/>
      <c r="CO1816" s="197"/>
      <c r="CP1816" s="197"/>
      <c r="CQ1816" s="197"/>
      <c r="CR1816" s="197"/>
      <c r="CS1816" s="197"/>
      <c r="CT1816" s="197"/>
      <c r="CU1816" s="197"/>
      <c r="CV1816" s="197"/>
      <c r="CW1816" s="197"/>
      <c r="CX1816" s="959"/>
      <c r="CY1816" s="959"/>
      <c r="CZ1816" s="959"/>
      <c r="DA1816" s="959"/>
      <c r="DB1816" s="959"/>
      <c r="DC1816" s="891">
        <v>6755</v>
      </c>
      <c r="DD1816" s="891" t="s">
        <v>2062</v>
      </c>
      <c r="DE1816" s="891" t="s">
        <v>423</v>
      </c>
      <c r="DF1816" s="891">
        <v>6</v>
      </c>
      <c r="DG1816" s="959"/>
      <c r="DH1816" s="959"/>
      <c r="ER1816" s="905">
        <v>7131</v>
      </c>
      <c r="ES1816" s="906" t="s">
        <v>1353</v>
      </c>
      <c r="ET1816" s="2686">
        <v>9</v>
      </c>
      <c r="EV1816" s="985"/>
      <c r="EW1816" s="985"/>
      <c r="EX1816" s="387"/>
      <c r="EY1816" s="939"/>
      <c r="EZ1816" s="886"/>
    </row>
    <row r="1817" spans="88:156">
      <c r="CJ1817" s="197"/>
      <c r="CK1817" s="197"/>
      <c r="CL1817" s="197"/>
      <c r="CM1817" s="213"/>
      <c r="CN1817" s="213"/>
      <c r="CO1817" s="197"/>
      <c r="CP1817" s="197"/>
      <c r="CQ1817" s="197"/>
      <c r="CR1817" s="197"/>
      <c r="CS1817" s="197"/>
      <c r="CT1817" s="197"/>
      <c r="CU1817" s="197"/>
      <c r="CV1817" s="197"/>
      <c r="CW1817" s="197"/>
      <c r="CX1817" s="959"/>
      <c r="CY1817" s="959"/>
      <c r="CZ1817" s="959"/>
      <c r="DA1817" s="959"/>
      <c r="DB1817" s="959"/>
      <c r="DC1817" s="891">
        <v>6756</v>
      </c>
      <c r="DD1817" s="891" t="s">
        <v>2063</v>
      </c>
      <c r="DE1817" s="891" t="s">
        <v>423</v>
      </c>
      <c r="DF1817" s="891">
        <v>6</v>
      </c>
      <c r="DG1817" s="959"/>
      <c r="DH1817" s="959"/>
      <c r="ER1817" s="905">
        <v>7132</v>
      </c>
      <c r="ES1817" s="906" t="s">
        <v>1472</v>
      </c>
      <c r="ET1817" s="2686">
        <v>9</v>
      </c>
      <c r="EV1817" s="985"/>
      <c r="EW1817" s="985"/>
      <c r="EX1817" s="387"/>
      <c r="EY1817" s="939"/>
      <c r="EZ1817" s="886"/>
    </row>
    <row r="1818" spans="88:156">
      <c r="CJ1818" s="197"/>
      <c r="CK1818" s="197"/>
      <c r="CL1818" s="197"/>
      <c r="CM1818" s="213"/>
      <c r="CN1818" s="213"/>
      <c r="CO1818" s="197"/>
      <c r="CP1818" s="197"/>
      <c r="CQ1818" s="197"/>
      <c r="CR1818" s="197"/>
      <c r="CS1818" s="197"/>
      <c r="CT1818" s="197"/>
      <c r="CU1818" s="197"/>
      <c r="CV1818" s="197"/>
      <c r="CW1818" s="197"/>
      <c r="CX1818" s="959"/>
      <c r="CY1818" s="959"/>
      <c r="CZ1818" s="959"/>
      <c r="DA1818" s="959"/>
      <c r="DB1818" s="959"/>
      <c r="DC1818" s="891">
        <v>6757</v>
      </c>
      <c r="DD1818" s="891" t="s">
        <v>2064</v>
      </c>
      <c r="DE1818" s="891" t="s">
        <v>2808</v>
      </c>
      <c r="DF1818" s="891">
        <v>6</v>
      </c>
      <c r="DG1818" s="959"/>
      <c r="DH1818" s="959"/>
      <c r="ER1818" s="905">
        <v>7133</v>
      </c>
      <c r="ES1818" s="906" t="s">
        <v>1354</v>
      </c>
      <c r="ET1818" s="2686">
        <v>9</v>
      </c>
      <c r="EV1818" s="985"/>
      <c r="EW1818" s="985"/>
      <c r="EX1818" s="387"/>
      <c r="EY1818" s="939"/>
      <c r="EZ1818" s="886"/>
    </row>
    <row r="1819" spans="88:156">
      <c r="CJ1819" s="197"/>
      <c r="CK1819" s="197"/>
      <c r="CL1819" s="197"/>
      <c r="CM1819" s="213"/>
      <c r="CN1819" s="213"/>
      <c r="CO1819" s="197"/>
      <c r="CP1819" s="197"/>
      <c r="CQ1819" s="197"/>
      <c r="CR1819" s="197"/>
      <c r="CS1819" s="197"/>
      <c r="CT1819" s="197"/>
      <c r="CU1819" s="197"/>
      <c r="CV1819" s="197"/>
      <c r="CW1819" s="197"/>
      <c r="CX1819" s="959"/>
      <c r="CY1819" s="959"/>
      <c r="CZ1819" s="959"/>
      <c r="DA1819" s="959"/>
      <c r="DB1819" s="959"/>
      <c r="DC1819" s="891">
        <v>6758</v>
      </c>
      <c r="DD1819" s="891" t="s">
        <v>2065</v>
      </c>
      <c r="DE1819" s="891" t="s">
        <v>420</v>
      </c>
      <c r="DF1819" s="891">
        <v>6</v>
      </c>
      <c r="DG1819" s="959"/>
      <c r="DH1819" s="959"/>
      <c r="ER1819" s="905">
        <v>7134</v>
      </c>
      <c r="ES1819" s="906" t="s">
        <v>1474</v>
      </c>
      <c r="ET1819" s="2686">
        <v>9</v>
      </c>
      <c r="EV1819" s="985"/>
      <c r="EW1819" s="985"/>
      <c r="EX1819" s="387"/>
      <c r="EY1819" s="939"/>
      <c r="EZ1819" s="886"/>
    </row>
    <row r="1820" spans="88:156">
      <c r="CJ1820" s="197"/>
      <c r="CK1820" s="197"/>
      <c r="CL1820" s="197"/>
      <c r="CM1820" s="213"/>
      <c r="CN1820" s="213"/>
      <c r="CO1820" s="197"/>
      <c r="CP1820" s="197"/>
      <c r="CQ1820" s="197"/>
      <c r="CR1820" s="197"/>
      <c r="CS1820" s="197"/>
      <c r="CT1820" s="197"/>
      <c r="CU1820" s="197"/>
      <c r="CV1820" s="197"/>
      <c r="CW1820" s="197"/>
      <c r="CX1820" s="959"/>
      <c r="CY1820" s="959"/>
      <c r="CZ1820" s="959"/>
      <c r="DA1820" s="959"/>
      <c r="DB1820" s="959"/>
      <c r="DC1820" s="891">
        <v>6760</v>
      </c>
      <c r="DD1820" s="891" t="s">
        <v>2066</v>
      </c>
      <c r="DE1820" s="891" t="s">
        <v>420</v>
      </c>
      <c r="DF1820" s="891">
        <v>6</v>
      </c>
      <c r="DG1820" s="959"/>
      <c r="DH1820" s="959"/>
      <c r="ER1820" s="905">
        <v>7135</v>
      </c>
      <c r="ES1820" s="906" t="s">
        <v>1475</v>
      </c>
      <c r="ET1820" s="2686">
        <v>9</v>
      </c>
      <c r="EV1820" s="985"/>
      <c r="EW1820" s="985"/>
      <c r="EX1820" s="387"/>
      <c r="EY1820" s="939"/>
      <c r="EZ1820" s="886"/>
    </row>
    <row r="1821" spans="88:156">
      <c r="CJ1821" s="197"/>
      <c r="CK1821" s="197"/>
      <c r="CL1821" s="197"/>
      <c r="CM1821" s="213"/>
      <c r="CN1821" s="213"/>
      <c r="CO1821" s="197"/>
      <c r="CP1821" s="197"/>
      <c r="CQ1821" s="197"/>
      <c r="CR1821" s="197"/>
      <c r="CS1821" s="197"/>
      <c r="CT1821" s="197"/>
      <c r="CU1821" s="197"/>
      <c r="CV1821" s="197"/>
      <c r="CW1821" s="197"/>
      <c r="CX1821" s="959"/>
      <c r="CY1821" s="959"/>
      <c r="CZ1821" s="959"/>
      <c r="DA1821" s="959"/>
      <c r="DB1821" s="959"/>
      <c r="DC1821" s="891">
        <v>6762</v>
      </c>
      <c r="DD1821" s="891" t="s">
        <v>2067</v>
      </c>
      <c r="DE1821" s="891" t="s">
        <v>423</v>
      </c>
      <c r="DF1821" s="891">
        <v>6</v>
      </c>
      <c r="DG1821" s="959"/>
      <c r="DH1821" s="959"/>
      <c r="ER1821" s="905">
        <v>7136</v>
      </c>
      <c r="ES1821" s="906" t="s">
        <v>1476</v>
      </c>
      <c r="ET1821" s="2686">
        <v>9</v>
      </c>
      <c r="EV1821" s="985"/>
      <c r="EW1821" s="985"/>
      <c r="EX1821" s="387"/>
      <c r="EY1821" s="939"/>
      <c r="EZ1821" s="886"/>
    </row>
    <row r="1822" spans="88:156">
      <c r="CJ1822" s="197"/>
      <c r="CK1822" s="197"/>
      <c r="CL1822" s="197"/>
      <c r="CM1822" s="213"/>
      <c r="CN1822" s="213"/>
      <c r="CO1822" s="197"/>
      <c r="CP1822" s="197"/>
      <c r="CQ1822" s="197"/>
      <c r="CR1822" s="197"/>
      <c r="CS1822" s="197"/>
      <c r="CT1822" s="197"/>
      <c r="CU1822" s="197"/>
      <c r="CV1822" s="197"/>
      <c r="CW1822" s="197"/>
      <c r="CX1822" s="959"/>
      <c r="CY1822" s="959"/>
      <c r="CZ1822" s="959"/>
      <c r="DA1822" s="959"/>
      <c r="DB1822" s="959"/>
      <c r="DC1822" s="891">
        <v>6763</v>
      </c>
      <c r="DD1822" s="891" t="s">
        <v>2068</v>
      </c>
      <c r="DE1822" s="891" t="s">
        <v>419</v>
      </c>
      <c r="DF1822" s="891">
        <v>6</v>
      </c>
      <c r="DG1822" s="959"/>
      <c r="DH1822" s="959"/>
      <c r="ER1822" s="905">
        <v>7140</v>
      </c>
      <c r="ES1822" s="906" t="s">
        <v>1478</v>
      </c>
      <c r="ET1822" s="2686">
        <v>9</v>
      </c>
      <c r="EV1822" s="985"/>
      <c r="EW1822" s="985"/>
      <c r="EX1822" s="387"/>
      <c r="EY1822" s="939"/>
      <c r="EZ1822" s="886"/>
    </row>
    <row r="1823" spans="88:156">
      <c r="CJ1823" s="197"/>
      <c r="CK1823" s="197"/>
      <c r="CL1823" s="197"/>
      <c r="CM1823" s="213"/>
      <c r="CN1823" s="213"/>
      <c r="CO1823" s="197"/>
      <c r="CP1823" s="197"/>
      <c r="CQ1823" s="197"/>
      <c r="CR1823" s="197"/>
      <c r="CS1823" s="197"/>
      <c r="CT1823" s="197"/>
      <c r="CU1823" s="197"/>
      <c r="CV1823" s="197"/>
      <c r="CW1823" s="197"/>
      <c r="CX1823" s="959"/>
      <c r="CY1823" s="959"/>
      <c r="CZ1823" s="959"/>
      <c r="DA1823" s="959"/>
      <c r="DB1823" s="959"/>
      <c r="DC1823" s="891">
        <v>6764</v>
      </c>
      <c r="DD1823" s="891" t="s">
        <v>2069</v>
      </c>
      <c r="DE1823" s="891" t="s">
        <v>406</v>
      </c>
      <c r="DF1823" s="891">
        <v>6</v>
      </c>
      <c r="DG1823" s="959"/>
      <c r="DH1823" s="959"/>
      <c r="ER1823" s="905">
        <v>7142</v>
      </c>
      <c r="ES1823" s="906" t="s">
        <v>1479</v>
      </c>
      <c r="ET1823" s="2686">
        <v>9</v>
      </c>
      <c r="EV1823" s="985"/>
      <c r="EW1823" s="985"/>
      <c r="EX1823" s="387"/>
      <c r="EY1823" s="939"/>
      <c r="EZ1823" s="886"/>
    </row>
    <row r="1824" spans="88:156">
      <c r="CJ1824" s="197"/>
      <c r="CK1824" s="197"/>
      <c r="CL1824" s="197"/>
      <c r="CM1824" s="213"/>
      <c r="CN1824" s="213"/>
      <c r="CO1824" s="197"/>
      <c r="CP1824" s="197"/>
      <c r="CQ1824" s="197"/>
      <c r="CR1824" s="197"/>
      <c r="CS1824" s="197"/>
      <c r="CT1824" s="197"/>
      <c r="CU1824" s="197"/>
      <c r="CV1824" s="197"/>
      <c r="CW1824" s="197"/>
      <c r="CX1824" s="959"/>
      <c r="CY1824" s="959"/>
      <c r="CZ1824" s="959"/>
      <c r="DA1824" s="959"/>
      <c r="DB1824" s="959"/>
      <c r="DC1824" s="891">
        <v>6765</v>
      </c>
      <c r="DD1824" s="891" t="s">
        <v>2070</v>
      </c>
      <c r="DE1824" s="891" t="s">
        <v>417</v>
      </c>
      <c r="DF1824" s="891">
        <v>6</v>
      </c>
      <c r="DG1824" s="959"/>
      <c r="DH1824" s="959"/>
      <c r="ER1824" s="905">
        <v>7143</v>
      </c>
      <c r="ES1824" s="906" t="s">
        <v>1480</v>
      </c>
      <c r="ET1824" s="2686">
        <v>9</v>
      </c>
      <c r="EV1824" s="985"/>
      <c r="EW1824" s="985"/>
      <c r="EX1824" s="387"/>
      <c r="EY1824" s="939"/>
      <c r="EZ1824" s="886"/>
    </row>
    <row r="1825" spans="88:156">
      <c r="CJ1825" s="197"/>
      <c r="CK1825" s="197"/>
      <c r="CL1825" s="197"/>
      <c r="CM1825" s="213"/>
      <c r="CN1825" s="213"/>
      <c r="CO1825" s="197"/>
      <c r="CP1825" s="197"/>
      <c r="CQ1825" s="197"/>
      <c r="CR1825" s="197"/>
      <c r="CS1825" s="197"/>
      <c r="CT1825" s="197"/>
      <c r="CU1825" s="197"/>
      <c r="CV1825" s="197"/>
      <c r="CW1825" s="197"/>
      <c r="CX1825" s="959"/>
      <c r="CY1825" s="959"/>
      <c r="CZ1825" s="959"/>
      <c r="DA1825" s="959"/>
      <c r="DB1825" s="959"/>
      <c r="DC1825" s="891">
        <v>6766</v>
      </c>
      <c r="DD1825" s="891" t="s">
        <v>2071</v>
      </c>
      <c r="DE1825" s="891" t="s">
        <v>432</v>
      </c>
      <c r="DF1825" s="891">
        <v>6</v>
      </c>
      <c r="DG1825" s="959"/>
      <c r="DH1825" s="959"/>
      <c r="ER1825" s="905">
        <v>7144</v>
      </c>
      <c r="ES1825" s="906" t="s">
        <v>1481</v>
      </c>
      <c r="ET1825" s="2686">
        <v>9</v>
      </c>
      <c r="EV1825" s="985"/>
      <c r="EW1825" s="985"/>
      <c r="EX1825" s="387"/>
      <c r="EY1825" s="939"/>
      <c r="EZ1825" s="886"/>
    </row>
    <row r="1826" spans="88:156">
      <c r="CJ1826" s="197"/>
      <c r="CK1826" s="197"/>
      <c r="CL1826" s="197"/>
      <c r="CM1826" s="213"/>
      <c r="CN1826" s="213"/>
      <c r="CO1826" s="197"/>
      <c r="CP1826" s="197"/>
      <c r="CQ1826" s="197"/>
      <c r="CR1826" s="197"/>
      <c r="CS1826" s="197"/>
      <c r="CT1826" s="197"/>
      <c r="CU1826" s="197"/>
      <c r="CV1826" s="197"/>
      <c r="CW1826" s="197"/>
      <c r="CX1826" s="959"/>
      <c r="CY1826" s="959"/>
      <c r="CZ1826" s="959"/>
      <c r="DA1826" s="959"/>
      <c r="DB1826" s="959"/>
      <c r="DC1826" s="891">
        <v>6767</v>
      </c>
      <c r="DD1826" s="891" t="s">
        <v>2072</v>
      </c>
      <c r="DE1826" s="891" t="s">
        <v>406</v>
      </c>
      <c r="DF1826" s="891">
        <v>6</v>
      </c>
      <c r="DG1826" s="959"/>
      <c r="DH1826" s="959"/>
      <c r="ER1826" s="905">
        <v>7145</v>
      </c>
      <c r="ES1826" s="906" t="s">
        <v>1482</v>
      </c>
      <c r="ET1826" s="2686">
        <v>9</v>
      </c>
      <c r="EV1826" s="985"/>
      <c r="EW1826" s="985"/>
      <c r="EX1826" s="387"/>
      <c r="EY1826" s="939"/>
      <c r="EZ1826" s="886"/>
    </row>
    <row r="1827" spans="88:156">
      <c r="CJ1827" s="197"/>
      <c r="CK1827" s="197"/>
      <c r="CL1827" s="197"/>
      <c r="CM1827" s="213"/>
      <c r="CN1827" s="213"/>
      <c r="CO1827" s="197"/>
      <c r="CP1827" s="197"/>
      <c r="CQ1827" s="197"/>
      <c r="CR1827" s="197"/>
      <c r="CS1827" s="197"/>
      <c r="CT1827" s="197"/>
      <c r="CU1827" s="197"/>
      <c r="CV1827" s="197"/>
      <c r="CW1827" s="197"/>
      <c r="CX1827" s="959"/>
      <c r="CY1827" s="959"/>
      <c r="CZ1827" s="959"/>
      <c r="DA1827" s="959"/>
      <c r="DB1827" s="959"/>
      <c r="DC1827" s="891">
        <v>6768</v>
      </c>
      <c r="DD1827" s="891" t="s">
        <v>2073</v>
      </c>
      <c r="DE1827" s="891" t="s">
        <v>412</v>
      </c>
      <c r="DF1827" s="891">
        <v>6</v>
      </c>
      <c r="DG1827" s="959"/>
      <c r="DH1827" s="959"/>
      <c r="ER1827" s="905">
        <v>7146</v>
      </c>
      <c r="ES1827" s="906" t="s">
        <v>1483</v>
      </c>
      <c r="ET1827" s="2686">
        <v>9</v>
      </c>
      <c r="EV1827" s="985"/>
      <c r="EW1827" s="985"/>
      <c r="EX1827" s="387"/>
      <c r="EY1827" s="939"/>
      <c r="EZ1827" s="886"/>
    </row>
    <row r="1828" spans="88:156">
      <c r="CJ1828" s="197"/>
      <c r="CK1828" s="197"/>
      <c r="CL1828" s="197"/>
      <c r="CM1828" s="213"/>
      <c r="CN1828" s="213"/>
      <c r="CO1828" s="197"/>
      <c r="CP1828" s="197"/>
      <c r="CQ1828" s="197"/>
      <c r="CR1828" s="197"/>
      <c r="CS1828" s="197"/>
      <c r="CT1828" s="197"/>
      <c r="CU1828" s="197"/>
      <c r="CV1828" s="197"/>
      <c r="CW1828" s="197"/>
      <c r="CX1828" s="959"/>
      <c r="CY1828" s="959"/>
      <c r="CZ1828" s="959"/>
      <c r="DA1828" s="959"/>
      <c r="DB1828" s="959"/>
      <c r="DC1828" s="891">
        <v>6769</v>
      </c>
      <c r="DD1828" s="891" t="s">
        <v>2074</v>
      </c>
      <c r="DE1828" s="891" t="s">
        <v>432</v>
      </c>
      <c r="DF1828" s="891">
        <v>6</v>
      </c>
      <c r="DG1828" s="959"/>
      <c r="DH1828" s="959"/>
      <c r="ER1828" s="905">
        <v>7147</v>
      </c>
      <c r="ES1828" s="906" t="s">
        <v>1195</v>
      </c>
      <c r="ET1828" s="2686">
        <v>9</v>
      </c>
      <c r="EV1828" s="985"/>
      <c r="EW1828" s="985"/>
      <c r="EX1828" s="387"/>
      <c r="EY1828" s="939"/>
      <c r="EZ1828" s="886"/>
    </row>
    <row r="1829" spans="88:156">
      <c r="CJ1829" s="197"/>
      <c r="CK1829" s="197"/>
      <c r="CL1829" s="197"/>
      <c r="CM1829" s="213"/>
      <c r="CN1829" s="213"/>
      <c r="CO1829" s="197"/>
      <c r="CP1829" s="197"/>
      <c r="CQ1829" s="197"/>
      <c r="CR1829" s="197"/>
      <c r="CS1829" s="197"/>
      <c r="CT1829" s="197"/>
      <c r="CU1829" s="197"/>
      <c r="CV1829" s="197"/>
      <c r="CW1829" s="197"/>
      <c r="CX1829" s="959"/>
      <c r="CY1829" s="959"/>
      <c r="CZ1829" s="959"/>
      <c r="DA1829" s="959"/>
      <c r="DB1829" s="959"/>
      <c r="DC1829" s="891">
        <v>6771</v>
      </c>
      <c r="DD1829" s="891" t="s">
        <v>2075</v>
      </c>
      <c r="DE1829" s="891" t="s">
        <v>419</v>
      </c>
      <c r="DF1829" s="891">
        <v>6</v>
      </c>
      <c r="DG1829" s="959"/>
      <c r="DH1829" s="959"/>
      <c r="ER1829" s="905">
        <v>7148</v>
      </c>
      <c r="ES1829" s="906" t="s">
        <v>1196</v>
      </c>
      <c r="ET1829" s="2686">
        <v>9</v>
      </c>
      <c r="EV1829" s="985"/>
      <c r="EW1829" s="985"/>
      <c r="EX1829" s="387"/>
      <c r="EY1829" s="939"/>
      <c r="EZ1829" s="886"/>
    </row>
    <row r="1830" spans="88:156">
      <c r="CJ1830" s="197"/>
      <c r="CK1830" s="197"/>
      <c r="CL1830" s="197"/>
      <c r="CM1830" s="213"/>
      <c r="CN1830" s="213"/>
      <c r="CO1830" s="197"/>
      <c r="CP1830" s="197"/>
      <c r="CQ1830" s="197"/>
      <c r="CR1830" s="197"/>
      <c r="CS1830" s="197"/>
      <c r="CT1830" s="197"/>
      <c r="CU1830" s="197"/>
      <c r="CV1830" s="197"/>
      <c r="CW1830" s="197"/>
      <c r="CX1830" s="959"/>
      <c r="CY1830" s="959"/>
      <c r="CZ1830" s="959"/>
      <c r="DA1830" s="959"/>
      <c r="DB1830" s="959"/>
      <c r="DC1830" s="891">
        <v>6772</v>
      </c>
      <c r="DD1830" s="891" t="s">
        <v>2076</v>
      </c>
      <c r="DE1830" s="891" t="s">
        <v>406</v>
      </c>
      <c r="DF1830" s="891">
        <v>6</v>
      </c>
      <c r="DG1830" s="959"/>
      <c r="DH1830" s="959"/>
      <c r="ER1830" s="905">
        <v>7149</v>
      </c>
      <c r="ES1830" s="906" t="s">
        <v>1197</v>
      </c>
      <c r="ET1830" s="2686">
        <v>9</v>
      </c>
      <c r="EV1830" s="985"/>
      <c r="EW1830" s="985"/>
      <c r="EX1830" s="387"/>
      <c r="EY1830" s="939"/>
      <c r="EZ1830" s="886"/>
    </row>
    <row r="1831" spans="88:156">
      <c r="CJ1831" s="197"/>
      <c r="CK1831" s="197"/>
      <c r="CL1831" s="197"/>
      <c r="CM1831" s="213"/>
      <c r="CN1831" s="213"/>
      <c r="CO1831" s="197"/>
      <c r="CP1831" s="197"/>
      <c r="CQ1831" s="197"/>
      <c r="CR1831" s="197"/>
      <c r="CS1831" s="197"/>
      <c r="CT1831" s="197"/>
      <c r="CU1831" s="197"/>
      <c r="CV1831" s="197"/>
      <c r="CW1831" s="197"/>
      <c r="CX1831" s="959"/>
      <c r="CY1831" s="959"/>
      <c r="CZ1831" s="959"/>
      <c r="DA1831" s="959"/>
      <c r="DB1831" s="959"/>
      <c r="DC1831" s="891">
        <v>6773</v>
      </c>
      <c r="DD1831" s="891" t="s">
        <v>2077</v>
      </c>
      <c r="DE1831" s="891" t="s">
        <v>406</v>
      </c>
      <c r="DF1831" s="891">
        <v>6</v>
      </c>
      <c r="DG1831" s="959"/>
      <c r="DH1831" s="959"/>
      <c r="ER1831" s="905">
        <v>7150</v>
      </c>
      <c r="ES1831" s="906" t="s">
        <v>1198</v>
      </c>
      <c r="ET1831" s="2686">
        <v>9</v>
      </c>
      <c r="EV1831" s="985"/>
      <c r="EW1831" s="985"/>
      <c r="EX1831" s="387"/>
      <c r="EY1831" s="939"/>
      <c r="EZ1831" s="886"/>
    </row>
    <row r="1832" spans="88:156">
      <c r="CJ1832" s="197"/>
      <c r="CK1832" s="197"/>
      <c r="CL1832" s="197"/>
      <c r="CM1832" s="213"/>
      <c r="CN1832" s="213"/>
      <c r="CO1832" s="197"/>
      <c r="CP1832" s="197"/>
      <c r="CQ1832" s="197"/>
      <c r="CR1832" s="197"/>
      <c r="CS1832" s="197"/>
      <c r="CT1832" s="197"/>
      <c r="CU1832" s="197"/>
      <c r="CV1832" s="197"/>
      <c r="CW1832" s="197"/>
      <c r="CX1832" s="959"/>
      <c r="CY1832" s="959"/>
      <c r="CZ1832" s="959"/>
      <c r="DA1832" s="959"/>
      <c r="DB1832" s="959"/>
      <c r="DC1832" s="891">
        <v>6774</v>
      </c>
      <c r="DD1832" s="891" t="s">
        <v>2078</v>
      </c>
      <c r="DE1832" s="891" t="s">
        <v>433</v>
      </c>
      <c r="DF1832" s="891">
        <v>6</v>
      </c>
      <c r="DG1832" s="959"/>
      <c r="DH1832" s="959"/>
      <c r="ER1832" s="905">
        <v>7158</v>
      </c>
      <c r="ES1832" s="906" t="s">
        <v>1199</v>
      </c>
      <c r="ET1832" s="2686">
        <v>9</v>
      </c>
      <c r="EV1832" s="985"/>
      <c r="EW1832" s="985"/>
      <c r="EX1832" s="387"/>
      <c r="EY1832" s="939"/>
      <c r="EZ1832" s="886"/>
    </row>
    <row r="1833" spans="88:156">
      <c r="CJ1833" s="197"/>
      <c r="CK1833" s="197"/>
      <c r="CL1833" s="197"/>
      <c r="CM1833" s="213"/>
      <c r="CN1833" s="213"/>
      <c r="CO1833" s="197"/>
      <c r="CP1833" s="197"/>
      <c r="CQ1833" s="197"/>
      <c r="CR1833" s="197"/>
      <c r="CS1833" s="197"/>
      <c r="CT1833" s="197"/>
      <c r="CU1833" s="197"/>
      <c r="CV1833" s="197"/>
      <c r="CW1833" s="197"/>
      <c r="CX1833" s="959"/>
      <c r="CY1833" s="959"/>
      <c r="CZ1833" s="959"/>
      <c r="DA1833" s="959"/>
      <c r="DB1833" s="959"/>
      <c r="DC1833" s="891">
        <v>6775</v>
      </c>
      <c r="DD1833" s="891" t="s">
        <v>2079</v>
      </c>
      <c r="DE1833" s="891" t="s">
        <v>435</v>
      </c>
      <c r="DF1833" s="891">
        <v>6</v>
      </c>
      <c r="DG1833" s="959"/>
      <c r="DH1833" s="959"/>
      <c r="ER1833" s="905">
        <v>7159</v>
      </c>
      <c r="ES1833" s="906" t="s">
        <v>1200</v>
      </c>
      <c r="ET1833" s="2686">
        <v>9</v>
      </c>
      <c r="EV1833" s="985"/>
      <c r="EW1833" s="985"/>
      <c r="EX1833" s="387"/>
      <c r="EY1833" s="939"/>
      <c r="EZ1833" s="886"/>
    </row>
    <row r="1834" spans="88:156">
      <c r="CJ1834" s="197"/>
      <c r="CK1834" s="197"/>
      <c r="CL1834" s="197"/>
      <c r="CM1834" s="213"/>
      <c r="CN1834" s="213"/>
      <c r="CO1834" s="197"/>
      <c r="CP1834" s="197"/>
      <c r="CQ1834" s="197"/>
      <c r="CR1834" s="197"/>
      <c r="CS1834" s="197"/>
      <c r="CT1834" s="197"/>
      <c r="CU1834" s="197"/>
      <c r="CV1834" s="197"/>
      <c r="CW1834" s="197"/>
      <c r="CX1834" s="959"/>
      <c r="CY1834" s="959"/>
      <c r="CZ1834" s="959"/>
      <c r="DA1834" s="959"/>
      <c r="DB1834" s="959"/>
      <c r="DC1834" s="891">
        <v>6781</v>
      </c>
      <c r="DD1834" s="891" t="s">
        <v>2080</v>
      </c>
      <c r="DE1834" s="891" t="s">
        <v>2808</v>
      </c>
      <c r="DF1834" s="891">
        <v>6</v>
      </c>
      <c r="DG1834" s="959"/>
      <c r="DH1834" s="959"/>
      <c r="ER1834" s="905">
        <v>7161</v>
      </c>
      <c r="ES1834" s="906" t="s">
        <v>1201</v>
      </c>
      <c r="ET1834" s="2686">
        <v>9</v>
      </c>
      <c r="EV1834" s="985"/>
      <c r="EW1834" s="985"/>
      <c r="EX1834" s="387"/>
      <c r="EY1834" s="939"/>
      <c r="EZ1834" s="886"/>
    </row>
    <row r="1835" spans="88:156">
      <c r="CJ1835" s="197"/>
      <c r="CK1835" s="197"/>
      <c r="CL1835" s="197"/>
      <c r="CM1835" s="213"/>
      <c r="CN1835" s="213"/>
      <c r="CO1835" s="197"/>
      <c r="CP1835" s="197"/>
      <c r="CQ1835" s="197"/>
      <c r="CR1835" s="197"/>
      <c r="CS1835" s="197"/>
      <c r="CT1835" s="197"/>
      <c r="CU1835" s="197"/>
      <c r="CV1835" s="197"/>
      <c r="CW1835" s="197"/>
      <c r="CX1835" s="959"/>
      <c r="CY1835" s="959"/>
      <c r="CZ1835" s="959"/>
      <c r="DA1835" s="959"/>
      <c r="DB1835" s="959"/>
      <c r="DC1835" s="891">
        <v>6782</v>
      </c>
      <c r="DD1835" s="891" t="s">
        <v>2081</v>
      </c>
      <c r="DE1835" s="891" t="s">
        <v>417</v>
      </c>
      <c r="DF1835" s="891">
        <v>6</v>
      </c>
      <c r="DG1835" s="959"/>
      <c r="DH1835" s="959"/>
      <c r="ER1835" s="905">
        <v>7162</v>
      </c>
      <c r="ES1835" s="906" t="s">
        <v>1355</v>
      </c>
      <c r="ET1835" s="2686">
        <v>9</v>
      </c>
      <c r="EV1835" s="985"/>
      <c r="EW1835" s="985"/>
      <c r="EX1835" s="387"/>
      <c r="EY1835" s="939"/>
      <c r="EZ1835" s="886"/>
    </row>
    <row r="1836" spans="88:156">
      <c r="CJ1836" s="197"/>
      <c r="CK1836" s="197"/>
      <c r="CL1836" s="197"/>
      <c r="CM1836" s="213"/>
      <c r="CN1836" s="213"/>
      <c r="CO1836" s="197"/>
      <c r="CP1836" s="197"/>
      <c r="CQ1836" s="197"/>
      <c r="CR1836" s="197"/>
      <c r="CS1836" s="197"/>
      <c r="CT1836" s="197"/>
      <c r="CU1836" s="197"/>
      <c r="CV1836" s="197"/>
      <c r="CW1836" s="197"/>
      <c r="CX1836" s="959"/>
      <c r="CY1836" s="959"/>
      <c r="CZ1836" s="959"/>
      <c r="DA1836" s="959"/>
      <c r="DB1836" s="959"/>
      <c r="DC1836" s="891">
        <v>6783</v>
      </c>
      <c r="DD1836" s="891" t="s">
        <v>2082</v>
      </c>
      <c r="DE1836" s="891" t="s">
        <v>410</v>
      </c>
      <c r="DF1836" s="891">
        <v>6</v>
      </c>
      <c r="DG1836" s="959"/>
      <c r="DH1836" s="959"/>
      <c r="ER1836" s="905">
        <v>7163</v>
      </c>
      <c r="ES1836" s="906" t="s">
        <v>1203</v>
      </c>
      <c r="ET1836" s="2686">
        <v>9</v>
      </c>
      <c r="EV1836" s="985"/>
      <c r="EW1836" s="985"/>
      <c r="EX1836" s="387"/>
      <c r="EY1836" s="939"/>
      <c r="EZ1836" s="886"/>
    </row>
    <row r="1837" spans="88:156">
      <c r="CJ1837" s="197"/>
      <c r="CK1837" s="197"/>
      <c r="CL1837" s="197"/>
      <c r="CM1837" s="213"/>
      <c r="CN1837" s="213"/>
      <c r="CO1837" s="197"/>
      <c r="CP1837" s="197"/>
      <c r="CQ1837" s="197"/>
      <c r="CR1837" s="197"/>
      <c r="CS1837" s="197"/>
      <c r="CT1837" s="197"/>
      <c r="CU1837" s="197"/>
      <c r="CV1837" s="197"/>
      <c r="CW1837" s="197"/>
      <c r="CX1837" s="959"/>
      <c r="CY1837" s="959"/>
      <c r="CZ1837" s="959"/>
      <c r="DA1837" s="959"/>
      <c r="DB1837" s="959"/>
      <c r="DC1837" s="891">
        <v>6784</v>
      </c>
      <c r="DD1837" s="891" t="s">
        <v>2083</v>
      </c>
      <c r="DE1837" s="891" t="s">
        <v>432</v>
      </c>
      <c r="DF1837" s="891">
        <v>6</v>
      </c>
      <c r="DG1837" s="959"/>
      <c r="DH1837" s="959"/>
      <c r="ER1837" s="905">
        <v>7164</v>
      </c>
      <c r="ES1837" s="906" t="s">
        <v>1204</v>
      </c>
      <c r="ET1837" s="2686">
        <v>9</v>
      </c>
      <c r="EV1837" s="985"/>
      <c r="EW1837" s="985"/>
      <c r="EX1837" s="387"/>
      <c r="EY1837" s="939"/>
      <c r="EZ1837" s="886"/>
    </row>
    <row r="1838" spans="88:156">
      <c r="CJ1838" s="197"/>
      <c r="CK1838" s="197"/>
      <c r="CL1838" s="197"/>
      <c r="CM1838" s="213"/>
      <c r="CN1838" s="213"/>
      <c r="CO1838" s="197"/>
      <c r="CP1838" s="197"/>
      <c r="CQ1838" s="197"/>
      <c r="CR1838" s="197"/>
      <c r="CS1838" s="197"/>
      <c r="CT1838" s="197"/>
      <c r="CU1838" s="197"/>
      <c r="CV1838" s="197"/>
      <c r="CW1838" s="197"/>
      <c r="CX1838" s="959"/>
      <c r="CY1838" s="959"/>
      <c r="CZ1838" s="959"/>
      <c r="DA1838" s="959"/>
      <c r="DB1838" s="959"/>
      <c r="DC1838" s="891">
        <v>6785</v>
      </c>
      <c r="DD1838" s="891" t="s">
        <v>2084</v>
      </c>
      <c r="DE1838" s="891" t="s">
        <v>423</v>
      </c>
      <c r="DF1838" s="891">
        <v>6</v>
      </c>
      <c r="DG1838" s="959"/>
      <c r="DH1838" s="959"/>
      <c r="ER1838" s="905">
        <v>7165</v>
      </c>
      <c r="ES1838" s="906" t="s">
        <v>1205</v>
      </c>
      <c r="ET1838" s="2686">
        <v>9</v>
      </c>
      <c r="EV1838" s="985"/>
      <c r="EW1838" s="985"/>
      <c r="EX1838" s="387"/>
      <c r="EY1838" s="939"/>
      <c r="EZ1838" s="886"/>
    </row>
    <row r="1839" spans="88:156">
      <c r="CJ1839" s="197"/>
      <c r="CK1839" s="197"/>
      <c r="CL1839" s="197"/>
      <c r="CM1839" s="213"/>
      <c r="CN1839" s="213"/>
      <c r="CO1839" s="197"/>
      <c r="CP1839" s="197"/>
      <c r="CQ1839" s="197"/>
      <c r="CR1839" s="197"/>
      <c r="CS1839" s="197"/>
      <c r="CT1839" s="197"/>
      <c r="CU1839" s="197"/>
      <c r="CV1839" s="197"/>
      <c r="CW1839" s="197"/>
      <c r="CX1839" s="959"/>
      <c r="CY1839" s="959"/>
      <c r="CZ1839" s="959"/>
      <c r="DA1839" s="959"/>
      <c r="DB1839" s="959"/>
      <c r="DC1839" s="891">
        <v>6786</v>
      </c>
      <c r="DD1839" s="891" t="s">
        <v>2085</v>
      </c>
      <c r="DE1839" s="891" t="s">
        <v>412</v>
      </c>
      <c r="DF1839" s="891">
        <v>6</v>
      </c>
      <c r="DG1839" s="959"/>
      <c r="DH1839" s="959"/>
      <c r="ER1839" s="905">
        <v>7171</v>
      </c>
      <c r="ES1839" s="906" t="s">
        <v>1206</v>
      </c>
      <c r="ET1839" s="2686">
        <v>9</v>
      </c>
      <c r="EV1839" s="985"/>
      <c r="EW1839" s="985"/>
      <c r="EX1839" s="387"/>
      <c r="EY1839" s="939"/>
      <c r="EZ1839" s="886"/>
    </row>
    <row r="1840" spans="88:156">
      <c r="CJ1840" s="197"/>
      <c r="CK1840" s="197"/>
      <c r="CL1840" s="197"/>
      <c r="CM1840" s="213"/>
      <c r="CN1840" s="213"/>
      <c r="CO1840" s="197"/>
      <c r="CP1840" s="197"/>
      <c r="CQ1840" s="197"/>
      <c r="CR1840" s="197"/>
      <c r="CS1840" s="197"/>
      <c r="CT1840" s="197"/>
      <c r="CU1840" s="197"/>
      <c r="CV1840" s="197"/>
      <c r="CW1840" s="197"/>
      <c r="CX1840" s="959"/>
      <c r="CY1840" s="959"/>
      <c r="CZ1840" s="959"/>
      <c r="DA1840" s="959"/>
      <c r="DB1840" s="959"/>
      <c r="DC1840" s="891">
        <v>6787</v>
      </c>
      <c r="DD1840" s="891" t="s">
        <v>2086</v>
      </c>
      <c r="DE1840" s="891" t="s">
        <v>406</v>
      </c>
      <c r="DF1840" s="891">
        <v>6</v>
      </c>
      <c r="DG1840" s="959"/>
      <c r="DH1840" s="959"/>
      <c r="ER1840" s="905">
        <v>7172</v>
      </c>
      <c r="ES1840" s="906" t="s">
        <v>1207</v>
      </c>
      <c r="ET1840" s="2686">
        <v>9</v>
      </c>
      <c r="EV1840" s="985"/>
      <c r="EW1840" s="985"/>
      <c r="EX1840" s="387"/>
      <c r="EY1840" s="939"/>
      <c r="EZ1840" s="886"/>
    </row>
    <row r="1841" spans="88:156">
      <c r="CJ1841" s="197"/>
      <c r="CK1841" s="197"/>
      <c r="CL1841" s="197"/>
      <c r="CM1841" s="213"/>
      <c r="CN1841" s="213"/>
      <c r="CO1841" s="197"/>
      <c r="CP1841" s="197"/>
      <c r="CQ1841" s="197"/>
      <c r="CR1841" s="197"/>
      <c r="CS1841" s="197"/>
      <c r="CT1841" s="197"/>
      <c r="CU1841" s="197"/>
      <c r="CV1841" s="197"/>
      <c r="CW1841" s="197"/>
      <c r="CX1841" s="959"/>
      <c r="CY1841" s="959"/>
      <c r="CZ1841" s="959"/>
      <c r="DA1841" s="959"/>
      <c r="DB1841" s="959"/>
      <c r="DC1841" s="891">
        <v>6791</v>
      </c>
      <c r="DD1841" s="891" t="s">
        <v>2087</v>
      </c>
      <c r="DE1841" s="891" t="s">
        <v>406</v>
      </c>
      <c r="DF1841" s="891">
        <v>6</v>
      </c>
      <c r="DG1841" s="959"/>
      <c r="DH1841" s="959"/>
      <c r="ER1841" s="905">
        <v>7173</v>
      </c>
      <c r="ES1841" s="906" t="s">
        <v>1356</v>
      </c>
      <c r="ET1841" s="2686">
        <v>9</v>
      </c>
      <c r="EV1841" s="985"/>
      <c r="EW1841" s="985"/>
      <c r="EX1841" s="387"/>
      <c r="EY1841" s="939"/>
      <c r="EZ1841" s="886"/>
    </row>
    <row r="1842" spans="88:156">
      <c r="CJ1842" s="197"/>
      <c r="CK1842" s="197"/>
      <c r="CL1842" s="197"/>
      <c r="CM1842" s="213"/>
      <c r="CN1842" s="213"/>
      <c r="CO1842" s="197"/>
      <c r="CP1842" s="197"/>
      <c r="CQ1842" s="197"/>
      <c r="CR1842" s="197"/>
      <c r="CS1842" s="197"/>
      <c r="CT1842" s="197"/>
      <c r="CU1842" s="197"/>
      <c r="CV1842" s="197"/>
      <c r="CW1842" s="197"/>
      <c r="CX1842" s="959"/>
      <c r="CY1842" s="959"/>
      <c r="CZ1842" s="959"/>
      <c r="DA1842" s="959"/>
      <c r="DB1842" s="959"/>
      <c r="DC1842" s="891">
        <v>6792</v>
      </c>
      <c r="DD1842" s="891" t="s">
        <v>2088</v>
      </c>
      <c r="DE1842" s="891" t="s">
        <v>2808</v>
      </c>
      <c r="DF1842" s="891">
        <v>6</v>
      </c>
      <c r="DG1842" s="959"/>
      <c r="DH1842" s="959"/>
      <c r="ER1842" s="905">
        <v>7174</v>
      </c>
      <c r="ES1842" s="906" t="s">
        <v>1209</v>
      </c>
      <c r="ET1842" s="2686">
        <v>9</v>
      </c>
      <c r="EV1842" s="985"/>
      <c r="EW1842" s="985"/>
      <c r="EX1842" s="387"/>
      <c r="EY1842" s="939"/>
      <c r="EZ1842" s="886"/>
    </row>
    <row r="1843" spans="88:156">
      <c r="CJ1843" s="197"/>
      <c r="CK1843" s="197"/>
      <c r="CL1843" s="197"/>
      <c r="CM1843" s="213"/>
      <c r="CN1843" s="213"/>
      <c r="CO1843" s="197"/>
      <c r="CP1843" s="197"/>
      <c r="CQ1843" s="197"/>
      <c r="CR1843" s="197"/>
      <c r="CS1843" s="197"/>
      <c r="CT1843" s="197"/>
      <c r="CU1843" s="197"/>
      <c r="CV1843" s="197"/>
      <c r="CW1843" s="197"/>
      <c r="CX1843" s="959"/>
      <c r="CY1843" s="959"/>
      <c r="CZ1843" s="959"/>
      <c r="DA1843" s="959"/>
      <c r="DB1843" s="959"/>
      <c r="DC1843" s="891">
        <v>6793</v>
      </c>
      <c r="DD1843" s="891" t="s">
        <v>2089</v>
      </c>
      <c r="DE1843" s="891" t="s">
        <v>406</v>
      </c>
      <c r="DF1843" s="891">
        <v>6</v>
      </c>
      <c r="DG1843" s="959"/>
      <c r="DH1843" s="959"/>
      <c r="ER1843" s="905">
        <v>7175</v>
      </c>
      <c r="ES1843" s="906" t="s">
        <v>1208</v>
      </c>
      <c r="ET1843" s="2686">
        <v>9</v>
      </c>
      <c r="EV1843" s="985"/>
      <c r="EW1843" s="985"/>
      <c r="EX1843" s="387"/>
      <c r="EY1843" s="939"/>
      <c r="EZ1843" s="886"/>
    </row>
    <row r="1844" spans="88:156">
      <c r="CJ1844" s="197"/>
      <c r="CK1844" s="197"/>
      <c r="CL1844" s="197"/>
      <c r="CM1844" s="213"/>
      <c r="CN1844" s="213"/>
      <c r="CO1844" s="197"/>
      <c r="CP1844" s="197"/>
      <c r="CQ1844" s="197"/>
      <c r="CR1844" s="197"/>
      <c r="CS1844" s="197"/>
      <c r="CT1844" s="197"/>
      <c r="CU1844" s="197"/>
      <c r="CV1844" s="197"/>
      <c r="CW1844" s="197"/>
      <c r="CX1844" s="959"/>
      <c r="CY1844" s="959"/>
      <c r="CZ1844" s="959"/>
      <c r="DA1844" s="959"/>
      <c r="DB1844" s="959"/>
      <c r="DC1844" s="891">
        <v>6794</v>
      </c>
      <c r="DD1844" s="891" t="s">
        <v>2090</v>
      </c>
      <c r="DE1844" s="891" t="s">
        <v>428</v>
      </c>
      <c r="DF1844" s="891">
        <v>6</v>
      </c>
      <c r="DG1844" s="959"/>
      <c r="DH1844" s="959"/>
      <c r="ER1844" s="905">
        <v>7176</v>
      </c>
      <c r="ES1844" s="906" t="s">
        <v>1211</v>
      </c>
      <c r="ET1844" s="2686">
        <v>9</v>
      </c>
      <c r="EV1844" s="985"/>
      <c r="EW1844" s="985"/>
      <c r="EX1844" s="387"/>
      <c r="EY1844" s="939"/>
      <c r="EZ1844" s="886"/>
    </row>
    <row r="1845" spans="88:156">
      <c r="CJ1845" s="197"/>
      <c r="CK1845" s="197"/>
      <c r="CL1845" s="197"/>
      <c r="CM1845" s="213"/>
      <c r="CN1845" s="213"/>
      <c r="CO1845" s="197"/>
      <c r="CP1845" s="197"/>
      <c r="CQ1845" s="197"/>
      <c r="CR1845" s="197"/>
      <c r="CS1845" s="197"/>
      <c r="CT1845" s="197"/>
      <c r="CU1845" s="197"/>
      <c r="CV1845" s="197"/>
      <c r="CW1845" s="197"/>
      <c r="CX1845" s="959"/>
      <c r="CY1845" s="959"/>
      <c r="CZ1845" s="959"/>
      <c r="DA1845" s="959"/>
      <c r="DB1845" s="959"/>
      <c r="DC1845" s="891">
        <v>6795</v>
      </c>
      <c r="DD1845" s="891" t="s">
        <v>2091</v>
      </c>
      <c r="DE1845" s="891" t="s">
        <v>412</v>
      </c>
      <c r="DF1845" s="891">
        <v>6</v>
      </c>
      <c r="DG1845" s="959"/>
      <c r="DH1845" s="959"/>
      <c r="ER1845" s="905">
        <v>7181</v>
      </c>
      <c r="ES1845" s="906" t="s">
        <v>1212</v>
      </c>
      <c r="ET1845" s="2686">
        <v>9</v>
      </c>
      <c r="EV1845" s="985"/>
      <c r="EW1845" s="985"/>
      <c r="EX1845" s="387"/>
      <c r="EY1845" s="939"/>
      <c r="EZ1845" s="886"/>
    </row>
    <row r="1846" spans="88:156">
      <c r="CJ1846" s="197"/>
      <c r="CK1846" s="197"/>
      <c r="CL1846" s="197"/>
      <c r="CM1846" s="213"/>
      <c r="CN1846" s="213"/>
      <c r="CO1846" s="197"/>
      <c r="CP1846" s="197"/>
      <c r="CQ1846" s="197"/>
      <c r="CR1846" s="197"/>
      <c r="CS1846" s="197"/>
      <c r="CT1846" s="197"/>
      <c r="CU1846" s="197"/>
      <c r="CV1846" s="197"/>
      <c r="CW1846" s="197"/>
      <c r="CX1846" s="959"/>
      <c r="CY1846" s="959"/>
      <c r="CZ1846" s="959"/>
      <c r="DA1846" s="959"/>
      <c r="DB1846" s="959"/>
      <c r="DC1846" s="891">
        <v>6800</v>
      </c>
      <c r="DD1846" s="891" t="s">
        <v>2092</v>
      </c>
      <c r="DE1846" s="891" t="s">
        <v>420</v>
      </c>
      <c r="DF1846" s="891">
        <v>6</v>
      </c>
      <c r="DG1846" s="959"/>
      <c r="DH1846" s="959"/>
      <c r="ER1846" s="905">
        <v>7182</v>
      </c>
      <c r="ES1846" s="906" t="s">
        <v>1213</v>
      </c>
      <c r="ET1846" s="2686">
        <v>9</v>
      </c>
      <c r="EV1846" s="985"/>
      <c r="EW1846" s="985"/>
      <c r="EX1846" s="387"/>
      <c r="EY1846" s="939"/>
      <c r="EZ1846" s="886"/>
    </row>
    <row r="1847" spans="88:156">
      <c r="CJ1847" s="197"/>
      <c r="CK1847" s="197"/>
      <c r="CL1847" s="197"/>
      <c r="CM1847" s="213"/>
      <c r="CN1847" s="213"/>
      <c r="CO1847" s="197"/>
      <c r="CP1847" s="197"/>
      <c r="CQ1847" s="197"/>
      <c r="CR1847" s="197"/>
      <c r="CS1847" s="197"/>
      <c r="CT1847" s="197"/>
      <c r="CU1847" s="197"/>
      <c r="CV1847" s="197"/>
      <c r="CW1847" s="197"/>
      <c r="CX1847" s="959"/>
      <c r="CY1847" s="959"/>
      <c r="CZ1847" s="959"/>
      <c r="DA1847" s="959"/>
      <c r="DB1847" s="959"/>
      <c r="DC1847" s="891">
        <v>6806</v>
      </c>
      <c r="DD1847" s="891" t="s">
        <v>2093</v>
      </c>
      <c r="DE1847" s="891" t="s">
        <v>406</v>
      </c>
      <c r="DF1847" s="891">
        <v>6</v>
      </c>
      <c r="DG1847" s="959"/>
      <c r="DH1847" s="959"/>
      <c r="ER1847" s="905">
        <v>7183</v>
      </c>
      <c r="ES1847" s="906" t="s">
        <v>1214</v>
      </c>
      <c r="ET1847" s="2686">
        <v>9</v>
      </c>
      <c r="EV1847" s="985"/>
      <c r="EW1847" s="985"/>
      <c r="EX1847" s="387"/>
      <c r="EY1847" s="939"/>
      <c r="EZ1847" s="886"/>
    </row>
    <row r="1848" spans="88:156">
      <c r="CJ1848" s="197"/>
      <c r="CK1848" s="197"/>
      <c r="CL1848" s="197"/>
      <c r="CM1848" s="213"/>
      <c r="CN1848" s="213"/>
      <c r="CO1848" s="197"/>
      <c r="CP1848" s="197"/>
      <c r="CQ1848" s="197"/>
      <c r="CR1848" s="197"/>
      <c r="CS1848" s="197"/>
      <c r="CT1848" s="197"/>
      <c r="CU1848" s="197"/>
      <c r="CV1848" s="197"/>
      <c r="CW1848" s="197"/>
      <c r="CX1848" s="959"/>
      <c r="CY1848" s="959"/>
      <c r="CZ1848" s="959"/>
      <c r="DA1848" s="959"/>
      <c r="DB1848" s="959"/>
      <c r="DC1848" s="891">
        <v>6821</v>
      </c>
      <c r="DD1848" s="891" t="s">
        <v>2094</v>
      </c>
      <c r="DE1848" s="891" t="s">
        <v>406</v>
      </c>
      <c r="DF1848" s="891">
        <v>6</v>
      </c>
      <c r="DG1848" s="959"/>
      <c r="DH1848" s="959"/>
      <c r="ER1848" s="905">
        <v>7184</v>
      </c>
      <c r="ES1848" s="906" t="s">
        <v>1357</v>
      </c>
      <c r="ET1848" s="2686">
        <v>9</v>
      </c>
      <c r="EV1848" s="985"/>
      <c r="EW1848" s="985"/>
      <c r="EX1848" s="387"/>
      <c r="EY1848" s="939"/>
      <c r="EZ1848" s="886"/>
    </row>
    <row r="1849" spans="88:156">
      <c r="CJ1849" s="197"/>
      <c r="CK1849" s="197"/>
      <c r="CL1849" s="197"/>
      <c r="CM1849" s="213"/>
      <c r="CN1849" s="213"/>
      <c r="CO1849" s="197"/>
      <c r="CP1849" s="197"/>
      <c r="CQ1849" s="197"/>
      <c r="CR1849" s="197"/>
      <c r="CS1849" s="197"/>
      <c r="CT1849" s="197"/>
      <c r="CU1849" s="197"/>
      <c r="CV1849" s="197"/>
      <c r="CW1849" s="197"/>
      <c r="CX1849" s="959"/>
      <c r="CY1849" s="959"/>
      <c r="CZ1849" s="959"/>
      <c r="DA1849" s="959"/>
      <c r="DB1849" s="959"/>
      <c r="DC1849" s="891">
        <v>6900</v>
      </c>
      <c r="DD1849" s="891" t="s">
        <v>2095</v>
      </c>
      <c r="DE1849" s="891" t="s">
        <v>412</v>
      </c>
      <c r="DF1849" s="891">
        <v>6</v>
      </c>
      <c r="DG1849" s="959"/>
      <c r="DH1849" s="959"/>
      <c r="ER1849" s="905">
        <v>7185</v>
      </c>
      <c r="ES1849" s="906" t="s">
        <v>1216</v>
      </c>
      <c r="ET1849" s="2686">
        <v>9</v>
      </c>
      <c r="EV1849" s="985"/>
      <c r="EW1849" s="985"/>
      <c r="EX1849" s="387"/>
      <c r="EY1849" s="939"/>
      <c r="EZ1849" s="886"/>
    </row>
    <row r="1850" spans="88:156">
      <c r="CJ1850" s="197"/>
      <c r="CK1850" s="197"/>
      <c r="CL1850" s="197"/>
      <c r="CM1850" s="213"/>
      <c r="CN1850" s="213"/>
      <c r="CO1850" s="197"/>
      <c r="CP1850" s="197"/>
      <c r="CQ1850" s="197"/>
      <c r="CR1850" s="197"/>
      <c r="CS1850" s="197"/>
      <c r="CT1850" s="197"/>
      <c r="CU1850" s="197"/>
      <c r="CV1850" s="197"/>
      <c r="CW1850" s="197"/>
      <c r="CX1850" s="959"/>
      <c r="CY1850" s="959"/>
      <c r="CZ1850" s="959"/>
      <c r="DA1850" s="959"/>
      <c r="DB1850" s="959"/>
      <c r="DC1850" s="891">
        <v>6903</v>
      </c>
      <c r="DD1850" s="891" t="s">
        <v>2096</v>
      </c>
      <c r="DE1850" s="891" t="s">
        <v>423</v>
      </c>
      <c r="DF1850" s="891">
        <v>6</v>
      </c>
      <c r="DG1850" s="959"/>
      <c r="DH1850" s="959"/>
      <c r="ER1850" s="905">
        <v>7186</v>
      </c>
      <c r="ES1850" s="906" t="s">
        <v>1358</v>
      </c>
      <c r="ET1850" s="2686">
        <v>9</v>
      </c>
      <c r="EV1850" s="985"/>
      <c r="EW1850" s="985"/>
      <c r="EX1850" s="387"/>
      <c r="EY1850" s="939"/>
      <c r="EZ1850" s="886"/>
    </row>
    <row r="1851" spans="88:156">
      <c r="CJ1851" s="197"/>
      <c r="CK1851" s="197"/>
      <c r="CL1851" s="197"/>
      <c r="CM1851" s="213"/>
      <c r="CN1851" s="213"/>
      <c r="CO1851" s="197"/>
      <c r="CP1851" s="197"/>
      <c r="CQ1851" s="197"/>
      <c r="CR1851" s="197"/>
      <c r="CS1851" s="197"/>
      <c r="CT1851" s="197"/>
      <c r="CU1851" s="197"/>
      <c r="CV1851" s="197"/>
      <c r="CW1851" s="197"/>
      <c r="CX1851" s="959"/>
      <c r="CY1851" s="959"/>
      <c r="CZ1851" s="959"/>
      <c r="DA1851" s="959"/>
      <c r="DB1851" s="959"/>
      <c r="DC1851" s="891">
        <v>6911</v>
      </c>
      <c r="DD1851" s="891" t="s">
        <v>2097</v>
      </c>
      <c r="DE1851" s="891" t="s">
        <v>410</v>
      </c>
      <c r="DF1851" s="891">
        <v>6</v>
      </c>
      <c r="DG1851" s="959"/>
      <c r="DH1851" s="959"/>
      <c r="ER1851" s="905">
        <v>7186</v>
      </c>
      <c r="ES1851" s="906" t="s">
        <v>1217</v>
      </c>
      <c r="ET1851" s="2686">
        <v>9</v>
      </c>
      <c r="EV1851" s="985"/>
      <c r="EW1851" s="985"/>
      <c r="EX1851" s="387"/>
      <c r="EY1851" s="939"/>
      <c r="EZ1851" s="886"/>
    </row>
    <row r="1852" spans="88:156">
      <c r="CJ1852" s="197"/>
      <c r="CK1852" s="197"/>
      <c r="CL1852" s="197"/>
      <c r="CM1852" s="213"/>
      <c r="CN1852" s="213"/>
      <c r="CO1852" s="197"/>
      <c r="CP1852" s="197"/>
      <c r="CQ1852" s="197"/>
      <c r="CR1852" s="197"/>
      <c r="CS1852" s="197"/>
      <c r="CT1852" s="197"/>
      <c r="CU1852" s="197"/>
      <c r="CV1852" s="197"/>
      <c r="CW1852" s="197"/>
      <c r="CX1852" s="959"/>
      <c r="CY1852" s="959"/>
      <c r="CZ1852" s="959"/>
      <c r="DA1852" s="959"/>
      <c r="DB1852" s="959"/>
      <c r="DC1852" s="891">
        <v>6912</v>
      </c>
      <c r="DD1852" s="891" t="s">
        <v>2098</v>
      </c>
      <c r="DE1852" s="891" t="s">
        <v>427</v>
      </c>
      <c r="DF1852" s="891">
        <v>6</v>
      </c>
      <c r="DG1852" s="959"/>
      <c r="DH1852" s="959"/>
      <c r="ER1852" s="905">
        <v>7187</v>
      </c>
      <c r="ES1852" s="906" t="s">
        <v>1359</v>
      </c>
      <c r="ET1852" s="2686">
        <v>9</v>
      </c>
      <c r="EV1852" s="985"/>
      <c r="EW1852" s="985"/>
      <c r="EX1852" s="387"/>
      <c r="EY1852" s="939"/>
      <c r="EZ1852" s="886"/>
    </row>
    <row r="1853" spans="88:156">
      <c r="CJ1853" s="197"/>
      <c r="CK1853" s="197"/>
      <c r="CL1853" s="197"/>
      <c r="CM1853" s="213"/>
      <c r="CN1853" s="213"/>
      <c r="CO1853" s="197"/>
      <c r="CP1853" s="197"/>
      <c r="CQ1853" s="197"/>
      <c r="CR1853" s="197"/>
      <c r="CS1853" s="197"/>
      <c r="CT1853" s="197"/>
      <c r="CU1853" s="197"/>
      <c r="CV1853" s="197"/>
      <c r="CW1853" s="197"/>
      <c r="CX1853" s="959"/>
      <c r="CY1853" s="959"/>
      <c r="CZ1853" s="959"/>
      <c r="DA1853" s="959"/>
      <c r="DB1853" s="959"/>
      <c r="DC1853" s="891">
        <v>6913</v>
      </c>
      <c r="DD1853" s="891" t="s">
        <v>2099</v>
      </c>
      <c r="DE1853" s="891" t="s">
        <v>427</v>
      </c>
      <c r="DF1853" s="891">
        <v>6</v>
      </c>
      <c r="DG1853" s="959"/>
      <c r="DH1853" s="959"/>
      <c r="ER1853" s="905">
        <v>7188</v>
      </c>
      <c r="ES1853" s="906" t="s">
        <v>1215</v>
      </c>
      <c r="ET1853" s="2686">
        <v>9</v>
      </c>
      <c r="EV1853" s="985"/>
      <c r="EW1853" s="985"/>
      <c r="EX1853" s="387"/>
      <c r="EY1853" s="939"/>
      <c r="EZ1853" s="886"/>
    </row>
    <row r="1854" spans="88:156">
      <c r="CJ1854" s="197"/>
      <c r="CK1854" s="197"/>
      <c r="CL1854" s="197"/>
      <c r="CM1854" s="213"/>
      <c r="CN1854" s="213"/>
      <c r="CO1854" s="197"/>
      <c r="CP1854" s="197"/>
      <c r="CQ1854" s="197"/>
      <c r="CR1854" s="197"/>
      <c r="CS1854" s="197"/>
      <c r="CT1854" s="197"/>
      <c r="CU1854" s="197"/>
      <c r="CV1854" s="197"/>
      <c r="CW1854" s="197"/>
      <c r="CX1854" s="959"/>
      <c r="CY1854" s="959"/>
      <c r="CZ1854" s="959"/>
      <c r="DA1854" s="959"/>
      <c r="DB1854" s="959"/>
      <c r="DC1854" s="891">
        <v>6914</v>
      </c>
      <c r="DD1854" s="891" t="s">
        <v>2100</v>
      </c>
      <c r="DE1854" s="891" t="s">
        <v>427</v>
      </c>
      <c r="DF1854" s="891">
        <v>6</v>
      </c>
      <c r="DG1854" s="959"/>
      <c r="DH1854" s="959"/>
      <c r="ER1854" s="905">
        <v>7191</v>
      </c>
      <c r="ES1854" s="906" t="s">
        <v>1219</v>
      </c>
      <c r="ET1854" s="2686">
        <v>9</v>
      </c>
      <c r="EV1854" s="985"/>
      <c r="EW1854" s="985"/>
      <c r="EX1854" s="387"/>
      <c r="EY1854" s="939"/>
      <c r="EZ1854" s="886"/>
    </row>
    <row r="1855" spans="88:156">
      <c r="CJ1855" s="197"/>
      <c r="CK1855" s="197"/>
      <c r="CL1855" s="197"/>
      <c r="CM1855" s="213"/>
      <c r="CN1855" s="213"/>
      <c r="CO1855" s="197"/>
      <c r="CP1855" s="197"/>
      <c r="CQ1855" s="197"/>
      <c r="CR1855" s="197"/>
      <c r="CS1855" s="197"/>
      <c r="CT1855" s="197"/>
      <c r="CU1855" s="197"/>
      <c r="CV1855" s="197"/>
      <c r="CW1855" s="197"/>
      <c r="CX1855" s="959"/>
      <c r="CY1855" s="959"/>
      <c r="CZ1855" s="959"/>
      <c r="DA1855" s="959"/>
      <c r="DB1855" s="959"/>
      <c r="DC1855" s="891">
        <v>6915</v>
      </c>
      <c r="DD1855" s="891" t="s">
        <v>2101</v>
      </c>
      <c r="DE1855" s="891" t="s">
        <v>427</v>
      </c>
      <c r="DF1855" s="891">
        <v>6</v>
      </c>
      <c r="DG1855" s="959"/>
      <c r="DH1855" s="959"/>
      <c r="ER1855" s="905">
        <v>7192</v>
      </c>
      <c r="ES1855" s="906" t="s">
        <v>1220</v>
      </c>
      <c r="ET1855" s="2686">
        <v>9</v>
      </c>
      <c r="EV1855" s="985"/>
      <c r="EW1855" s="985"/>
      <c r="EX1855" s="387"/>
      <c r="EY1855" s="939"/>
      <c r="EZ1855" s="886"/>
    </row>
    <row r="1856" spans="88:156">
      <c r="CJ1856" s="197"/>
      <c r="CK1856" s="197"/>
      <c r="CL1856" s="197"/>
      <c r="CM1856" s="213"/>
      <c r="CN1856" s="213"/>
      <c r="CO1856" s="197"/>
      <c r="CP1856" s="197"/>
      <c r="CQ1856" s="197"/>
      <c r="CR1856" s="197"/>
      <c r="CS1856" s="197"/>
      <c r="CT1856" s="197"/>
      <c r="CU1856" s="197"/>
      <c r="CV1856" s="197"/>
      <c r="CW1856" s="197"/>
      <c r="CX1856" s="959"/>
      <c r="CY1856" s="959"/>
      <c r="CZ1856" s="959"/>
      <c r="DA1856" s="959"/>
      <c r="DB1856" s="959"/>
      <c r="DC1856" s="891">
        <v>6916</v>
      </c>
      <c r="DD1856" s="891" t="s">
        <v>2102</v>
      </c>
      <c r="DE1856" s="891" t="s">
        <v>427</v>
      </c>
      <c r="DF1856" s="891">
        <v>6</v>
      </c>
      <c r="DG1856" s="959"/>
      <c r="DH1856" s="959"/>
      <c r="ER1856" s="905">
        <v>7193</v>
      </c>
      <c r="ES1856" s="906" t="s">
        <v>1221</v>
      </c>
      <c r="ET1856" s="2686">
        <v>9</v>
      </c>
      <c r="EV1856" s="985"/>
      <c r="EW1856" s="985"/>
      <c r="EX1856" s="387"/>
      <c r="EY1856" s="939"/>
      <c r="EZ1856" s="886"/>
    </row>
    <row r="1857" spans="88:156">
      <c r="CJ1857" s="197"/>
      <c r="CK1857" s="197"/>
      <c r="CL1857" s="197"/>
      <c r="CM1857" s="213"/>
      <c r="CN1857" s="213"/>
      <c r="CO1857" s="197"/>
      <c r="CP1857" s="197"/>
      <c r="CQ1857" s="197"/>
      <c r="CR1857" s="197"/>
      <c r="CS1857" s="197"/>
      <c r="CT1857" s="197"/>
      <c r="CU1857" s="197"/>
      <c r="CV1857" s="197"/>
      <c r="CW1857" s="197"/>
      <c r="CX1857" s="959"/>
      <c r="CY1857" s="959"/>
      <c r="CZ1857" s="959"/>
      <c r="DA1857" s="959"/>
      <c r="DB1857" s="959"/>
      <c r="DC1857" s="891">
        <v>6917</v>
      </c>
      <c r="DD1857" s="891" t="s">
        <v>2103</v>
      </c>
      <c r="DE1857" s="891" t="s">
        <v>427</v>
      </c>
      <c r="DF1857" s="891">
        <v>6</v>
      </c>
      <c r="DG1857" s="959"/>
      <c r="DH1857" s="959"/>
      <c r="ER1857" s="905">
        <v>7194</v>
      </c>
      <c r="ES1857" s="906" t="s">
        <v>1222</v>
      </c>
      <c r="ET1857" s="2686">
        <v>9</v>
      </c>
      <c r="EV1857" s="985"/>
      <c r="EW1857" s="985"/>
      <c r="EX1857" s="387"/>
      <c r="EY1857" s="939"/>
      <c r="EZ1857" s="886"/>
    </row>
    <row r="1858" spans="88:156">
      <c r="CJ1858" s="197"/>
      <c r="CK1858" s="197"/>
      <c r="CL1858" s="197"/>
      <c r="CM1858" s="213"/>
      <c r="CN1858" s="213"/>
      <c r="CO1858" s="197"/>
      <c r="CP1858" s="197"/>
      <c r="CQ1858" s="197"/>
      <c r="CR1858" s="197"/>
      <c r="CS1858" s="197"/>
      <c r="CT1858" s="197"/>
      <c r="CU1858" s="197"/>
      <c r="CV1858" s="197"/>
      <c r="CW1858" s="197"/>
      <c r="CX1858" s="959"/>
      <c r="CY1858" s="959"/>
      <c r="CZ1858" s="959"/>
      <c r="DA1858" s="959"/>
      <c r="DB1858" s="959"/>
      <c r="DC1858" s="891">
        <v>6921</v>
      </c>
      <c r="DD1858" s="891" t="s">
        <v>2104</v>
      </c>
      <c r="DE1858" s="891" t="s">
        <v>427</v>
      </c>
      <c r="DF1858" s="891">
        <v>6</v>
      </c>
      <c r="DG1858" s="959"/>
      <c r="DH1858" s="959"/>
      <c r="ER1858" s="905">
        <v>7195</v>
      </c>
      <c r="ES1858" s="906" t="s">
        <v>1223</v>
      </c>
      <c r="ET1858" s="2686">
        <v>9</v>
      </c>
      <c r="EV1858" s="985"/>
      <c r="EW1858" s="985"/>
      <c r="EX1858" s="387"/>
      <c r="EY1858" s="939"/>
      <c r="EZ1858" s="886"/>
    </row>
    <row r="1859" spans="88:156">
      <c r="CJ1859" s="197"/>
      <c r="CK1859" s="197"/>
      <c r="CL1859" s="197"/>
      <c r="CM1859" s="213"/>
      <c r="CN1859" s="213"/>
      <c r="CO1859" s="197"/>
      <c r="CP1859" s="197"/>
      <c r="CQ1859" s="197"/>
      <c r="CR1859" s="197"/>
      <c r="CS1859" s="197"/>
      <c r="CT1859" s="197"/>
      <c r="CU1859" s="197"/>
      <c r="CV1859" s="197"/>
      <c r="CW1859" s="197"/>
      <c r="CX1859" s="959"/>
      <c r="CY1859" s="959"/>
      <c r="CZ1859" s="959"/>
      <c r="DA1859" s="959"/>
      <c r="DB1859" s="959"/>
      <c r="DC1859" s="891">
        <v>6922</v>
      </c>
      <c r="DD1859" s="891" t="s">
        <v>2105</v>
      </c>
      <c r="DE1859" s="891" t="s">
        <v>427</v>
      </c>
      <c r="DF1859" s="891">
        <v>6</v>
      </c>
      <c r="DG1859" s="959"/>
      <c r="DH1859" s="959"/>
      <c r="ER1859" s="905">
        <v>7200</v>
      </c>
      <c r="ES1859" s="906" t="s">
        <v>1224</v>
      </c>
      <c r="ET1859" s="2686">
        <v>9</v>
      </c>
      <c r="EV1859" s="985"/>
      <c r="EW1859" s="985"/>
      <c r="EX1859" s="387"/>
      <c r="EY1859" s="939"/>
      <c r="EZ1859" s="886"/>
    </row>
    <row r="1860" spans="88:156">
      <c r="CJ1860" s="197"/>
      <c r="CK1860" s="197"/>
      <c r="CL1860" s="197"/>
      <c r="CM1860" s="213"/>
      <c r="CN1860" s="213"/>
      <c r="CO1860" s="197"/>
      <c r="CP1860" s="197"/>
      <c r="CQ1860" s="197"/>
      <c r="CR1860" s="197"/>
      <c r="CS1860" s="197"/>
      <c r="CT1860" s="197"/>
      <c r="CU1860" s="197"/>
      <c r="CV1860" s="197"/>
      <c r="CW1860" s="197"/>
      <c r="CX1860" s="959"/>
      <c r="CY1860" s="959"/>
      <c r="CZ1860" s="959"/>
      <c r="DA1860" s="959"/>
      <c r="DB1860" s="959"/>
      <c r="DC1860" s="891">
        <v>6923</v>
      </c>
      <c r="DD1860" s="891" t="s">
        <v>2106</v>
      </c>
      <c r="DE1860" s="891" t="s">
        <v>418</v>
      </c>
      <c r="DF1860" s="891">
        <v>6</v>
      </c>
      <c r="DG1860" s="959"/>
      <c r="DH1860" s="959"/>
      <c r="ER1860" s="905">
        <v>7211</v>
      </c>
      <c r="ES1860" s="906" t="s">
        <v>3895</v>
      </c>
      <c r="ET1860" s="2686">
        <v>9</v>
      </c>
      <c r="EV1860" s="985"/>
      <c r="EW1860" s="985"/>
      <c r="EX1860" s="387"/>
      <c r="EY1860" s="939"/>
      <c r="EZ1860" s="886"/>
    </row>
    <row r="1861" spans="88:156">
      <c r="CJ1861" s="197"/>
      <c r="CK1861" s="197"/>
      <c r="CL1861" s="197"/>
      <c r="CM1861" s="213"/>
      <c r="CN1861" s="213"/>
      <c r="CO1861" s="197"/>
      <c r="CP1861" s="197"/>
      <c r="CQ1861" s="197"/>
      <c r="CR1861" s="197"/>
      <c r="CS1861" s="197"/>
      <c r="CT1861" s="197"/>
      <c r="CU1861" s="197"/>
      <c r="CV1861" s="197"/>
      <c r="CW1861" s="197"/>
      <c r="CX1861" s="959"/>
      <c r="CY1861" s="959"/>
      <c r="CZ1861" s="959"/>
      <c r="DA1861" s="959"/>
      <c r="DB1861" s="959"/>
      <c r="DC1861" s="891">
        <v>6931</v>
      </c>
      <c r="DD1861" s="891" t="s">
        <v>2107</v>
      </c>
      <c r="DE1861" s="891" t="s">
        <v>418</v>
      </c>
      <c r="DF1861" s="891">
        <v>6</v>
      </c>
      <c r="DG1861" s="959"/>
      <c r="DH1861" s="959"/>
      <c r="ER1861" s="905">
        <v>7212</v>
      </c>
      <c r="ES1861" s="906" t="s">
        <v>3896</v>
      </c>
      <c r="ET1861" s="2686">
        <v>9</v>
      </c>
      <c r="EV1861" s="985"/>
      <c r="EW1861" s="985"/>
      <c r="EX1861" s="387"/>
      <c r="EY1861" s="939"/>
      <c r="EZ1861" s="886"/>
    </row>
    <row r="1862" spans="88:156">
      <c r="CJ1862" s="197"/>
      <c r="CK1862" s="197"/>
      <c r="CL1862" s="197"/>
      <c r="CM1862" s="213"/>
      <c r="CN1862" s="213"/>
      <c r="CO1862" s="197"/>
      <c r="CP1862" s="197"/>
      <c r="CQ1862" s="197"/>
      <c r="CR1862" s="197"/>
      <c r="CS1862" s="197"/>
      <c r="CT1862" s="197"/>
      <c r="CU1862" s="197"/>
      <c r="CV1862" s="197"/>
      <c r="CW1862" s="197"/>
      <c r="CX1862" s="959"/>
      <c r="CY1862" s="959"/>
      <c r="CZ1862" s="959"/>
      <c r="DA1862" s="959"/>
      <c r="DB1862" s="959"/>
      <c r="DC1862" s="891">
        <v>6932</v>
      </c>
      <c r="DD1862" s="891" t="s">
        <v>2108</v>
      </c>
      <c r="DE1862" s="891" t="s">
        <v>418</v>
      </c>
      <c r="DF1862" s="891">
        <v>6</v>
      </c>
      <c r="DG1862" s="959"/>
      <c r="DH1862" s="959"/>
      <c r="ER1862" s="905">
        <v>7213</v>
      </c>
      <c r="ES1862" s="906" t="s">
        <v>3897</v>
      </c>
      <c r="ET1862" s="2686">
        <v>9</v>
      </c>
      <c r="EV1862" s="985"/>
      <c r="EW1862" s="985"/>
      <c r="EX1862" s="387"/>
      <c r="EY1862" s="939"/>
      <c r="EZ1862" s="886"/>
    </row>
    <row r="1863" spans="88:156">
      <c r="CJ1863" s="197"/>
      <c r="CK1863" s="197"/>
      <c r="CL1863" s="197"/>
      <c r="CM1863" s="213"/>
      <c r="CN1863" s="213"/>
      <c r="CO1863" s="197"/>
      <c r="CP1863" s="197"/>
      <c r="CQ1863" s="197"/>
      <c r="CR1863" s="197"/>
      <c r="CS1863" s="197"/>
      <c r="CT1863" s="197"/>
      <c r="CU1863" s="197"/>
      <c r="CV1863" s="197"/>
      <c r="CW1863" s="197"/>
      <c r="CX1863" s="959"/>
      <c r="CY1863" s="959"/>
      <c r="CZ1863" s="959"/>
      <c r="DA1863" s="959"/>
      <c r="DB1863" s="959"/>
      <c r="DC1863" s="891">
        <v>6933</v>
      </c>
      <c r="DD1863" s="891" t="s">
        <v>2109</v>
      </c>
      <c r="DE1863" s="891" t="s">
        <v>427</v>
      </c>
      <c r="DF1863" s="891">
        <v>6</v>
      </c>
      <c r="DG1863" s="959"/>
      <c r="DH1863" s="959"/>
      <c r="ER1863" s="905">
        <v>7214</v>
      </c>
      <c r="ES1863" s="906" t="s">
        <v>1360</v>
      </c>
      <c r="ET1863" s="2686">
        <v>9</v>
      </c>
      <c r="EV1863" s="985"/>
      <c r="EW1863" s="985"/>
      <c r="EX1863" s="387"/>
      <c r="EY1863" s="939"/>
      <c r="EZ1863" s="886"/>
    </row>
    <row r="1864" spans="88:156">
      <c r="CJ1864" s="197"/>
      <c r="CK1864" s="197"/>
      <c r="CL1864" s="197"/>
      <c r="CM1864" s="213"/>
      <c r="CN1864" s="213"/>
      <c r="CO1864" s="197"/>
      <c r="CP1864" s="197"/>
      <c r="CQ1864" s="197"/>
      <c r="CR1864" s="197"/>
      <c r="CS1864" s="197"/>
      <c r="CT1864" s="197"/>
      <c r="CU1864" s="197"/>
      <c r="CV1864" s="197"/>
      <c r="CW1864" s="197"/>
      <c r="CX1864" s="959"/>
      <c r="CY1864" s="959"/>
      <c r="CZ1864" s="959"/>
      <c r="DA1864" s="959"/>
      <c r="DB1864" s="959"/>
      <c r="DC1864" s="891">
        <v>7000</v>
      </c>
      <c r="DD1864" s="891" t="s">
        <v>2110</v>
      </c>
      <c r="DE1864" s="891" t="s">
        <v>432</v>
      </c>
      <c r="DF1864" s="891">
        <v>6</v>
      </c>
      <c r="DG1864" s="959"/>
      <c r="DH1864" s="959"/>
      <c r="ER1864" s="905">
        <v>7214</v>
      </c>
      <c r="ES1864" s="906" t="s">
        <v>3898</v>
      </c>
      <c r="ET1864" s="2686">
        <v>9</v>
      </c>
      <c r="EV1864" s="985"/>
      <c r="EW1864" s="985"/>
      <c r="EX1864" s="387"/>
      <c r="EY1864" s="939"/>
      <c r="EZ1864" s="886"/>
    </row>
    <row r="1865" spans="88:156">
      <c r="CJ1865" s="197"/>
      <c r="CK1865" s="197"/>
      <c r="CL1865" s="197"/>
      <c r="CM1865" s="213"/>
      <c r="CN1865" s="213"/>
      <c r="CO1865" s="197"/>
      <c r="CP1865" s="197"/>
      <c r="CQ1865" s="197"/>
      <c r="CR1865" s="197"/>
      <c r="CS1865" s="197"/>
      <c r="CT1865" s="197"/>
      <c r="CU1865" s="197"/>
      <c r="CV1865" s="197"/>
      <c r="CW1865" s="197"/>
      <c r="CX1865" s="959"/>
      <c r="CY1865" s="959"/>
      <c r="CZ1865" s="959"/>
      <c r="DA1865" s="959"/>
      <c r="DB1865" s="959"/>
      <c r="DC1865" s="891">
        <v>7003</v>
      </c>
      <c r="DD1865" s="891" t="s">
        <v>2111</v>
      </c>
      <c r="DE1865" s="891" t="s">
        <v>402</v>
      </c>
      <c r="DF1865" s="891">
        <v>6</v>
      </c>
      <c r="DG1865" s="959"/>
      <c r="DH1865" s="959"/>
      <c r="ER1865" s="905">
        <v>7215</v>
      </c>
      <c r="ES1865" s="906" t="s">
        <v>3899</v>
      </c>
      <c r="ET1865" s="2686">
        <v>9</v>
      </c>
      <c r="EV1865" s="985"/>
      <c r="EW1865" s="985"/>
      <c r="EX1865" s="387"/>
      <c r="EY1865" s="939"/>
      <c r="EZ1865" s="886"/>
    </row>
    <row r="1866" spans="88:156">
      <c r="CJ1866" s="197"/>
      <c r="CK1866" s="197"/>
      <c r="CL1866" s="197"/>
      <c r="CM1866" s="213"/>
      <c r="CN1866" s="213"/>
      <c r="CO1866" s="197"/>
      <c r="CP1866" s="197"/>
      <c r="CQ1866" s="197"/>
      <c r="CR1866" s="197"/>
      <c r="CS1866" s="197"/>
      <c r="CT1866" s="197"/>
      <c r="CU1866" s="197"/>
      <c r="CV1866" s="197"/>
      <c r="CW1866" s="197"/>
      <c r="CX1866" s="959"/>
      <c r="CY1866" s="959"/>
      <c r="CZ1866" s="959"/>
      <c r="DA1866" s="959"/>
      <c r="DB1866" s="959"/>
      <c r="DC1866" s="891">
        <v>7011</v>
      </c>
      <c r="DD1866" s="891" t="s">
        <v>2112</v>
      </c>
      <c r="DE1866" s="891" t="s">
        <v>428</v>
      </c>
      <c r="DF1866" s="891">
        <v>6</v>
      </c>
      <c r="DG1866" s="959"/>
      <c r="DH1866" s="959"/>
      <c r="ER1866" s="905">
        <v>7224</v>
      </c>
      <c r="ES1866" s="906" t="s">
        <v>3900</v>
      </c>
      <c r="ET1866" s="2686">
        <v>9</v>
      </c>
      <c r="EV1866" s="985"/>
      <c r="EW1866" s="985"/>
      <c r="EX1866" s="387"/>
      <c r="EY1866" s="939"/>
      <c r="EZ1866" s="886"/>
    </row>
    <row r="1867" spans="88:156">
      <c r="CJ1867" s="197"/>
      <c r="CK1867" s="197"/>
      <c r="CL1867" s="197"/>
      <c r="CM1867" s="213"/>
      <c r="CN1867" s="213"/>
      <c r="CO1867" s="197"/>
      <c r="CP1867" s="197"/>
      <c r="CQ1867" s="197"/>
      <c r="CR1867" s="197"/>
      <c r="CS1867" s="197"/>
      <c r="CT1867" s="197"/>
      <c r="CU1867" s="197"/>
      <c r="CV1867" s="197"/>
      <c r="CW1867" s="197"/>
      <c r="CX1867" s="959"/>
      <c r="CY1867" s="959"/>
      <c r="CZ1867" s="959"/>
      <c r="DA1867" s="959"/>
      <c r="DB1867" s="959"/>
      <c r="DC1867" s="891">
        <v>7012</v>
      </c>
      <c r="DD1867" s="891" t="s">
        <v>2113</v>
      </c>
      <c r="DE1867" s="891" t="s">
        <v>406</v>
      </c>
      <c r="DF1867" s="891">
        <v>6</v>
      </c>
      <c r="DG1867" s="959"/>
      <c r="DH1867" s="959"/>
      <c r="ER1867" s="905">
        <v>7225</v>
      </c>
      <c r="ES1867" s="906" t="s">
        <v>3901</v>
      </c>
      <c r="ET1867" s="2686">
        <v>9</v>
      </c>
      <c r="EV1867" s="985"/>
      <c r="EW1867" s="985"/>
      <c r="EX1867" s="387"/>
      <c r="EY1867" s="939"/>
      <c r="EZ1867" s="886"/>
    </row>
    <row r="1868" spans="88:156">
      <c r="CJ1868" s="197"/>
      <c r="CK1868" s="197"/>
      <c r="CL1868" s="197"/>
      <c r="CM1868" s="213"/>
      <c r="CN1868" s="213"/>
      <c r="CO1868" s="197"/>
      <c r="CP1868" s="197"/>
      <c r="CQ1868" s="197"/>
      <c r="CR1868" s="197"/>
      <c r="CS1868" s="197"/>
      <c r="CT1868" s="197"/>
      <c r="CU1868" s="197"/>
      <c r="CV1868" s="197"/>
      <c r="CW1868" s="197"/>
      <c r="CX1868" s="959"/>
      <c r="CY1868" s="959"/>
      <c r="CZ1868" s="959"/>
      <c r="DA1868" s="959"/>
      <c r="DB1868" s="959"/>
      <c r="DC1868" s="891">
        <v>7013</v>
      </c>
      <c r="DD1868" s="891" t="s">
        <v>2114</v>
      </c>
      <c r="DE1868" s="891" t="s">
        <v>419</v>
      </c>
      <c r="DF1868" s="891">
        <v>6</v>
      </c>
      <c r="DG1868" s="959"/>
      <c r="DH1868" s="959"/>
      <c r="ER1868" s="905">
        <v>7226</v>
      </c>
      <c r="ES1868" s="906" t="s">
        <v>3902</v>
      </c>
      <c r="ET1868" s="2686">
        <v>9</v>
      </c>
      <c r="EV1868" s="985"/>
      <c r="EW1868" s="985"/>
      <c r="EX1868" s="387"/>
      <c r="EY1868" s="939"/>
      <c r="EZ1868" s="886"/>
    </row>
    <row r="1869" spans="88:156">
      <c r="CJ1869" s="197"/>
      <c r="CK1869" s="197"/>
      <c r="CL1869" s="197"/>
      <c r="CM1869" s="213"/>
      <c r="CN1869" s="213"/>
      <c r="CO1869" s="197"/>
      <c r="CP1869" s="197"/>
      <c r="CQ1869" s="197"/>
      <c r="CR1869" s="197"/>
      <c r="CS1869" s="197"/>
      <c r="CT1869" s="197"/>
      <c r="CU1869" s="197"/>
      <c r="CV1869" s="197"/>
      <c r="CW1869" s="197"/>
      <c r="CX1869" s="959"/>
      <c r="CY1869" s="959"/>
      <c r="CZ1869" s="959"/>
      <c r="DA1869" s="959"/>
      <c r="DB1869" s="959"/>
      <c r="DC1869" s="891">
        <v>7014</v>
      </c>
      <c r="DD1869" s="891" t="s">
        <v>2115</v>
      </c>
      <c r="DE1869" s="891" t="s">
        <v>435</v>
      </c>
      <c r="DF1869" s="891">
        <v>6</v>
      </c>
      <c r="DG1869" s="959"/>
      <c r="DH1869" s="959"/>
      <c r="ER1869" s="905">
        <v>7227</v>
      </c>
      <c r="ES1869" s="906" t="s">
        <v>3903</v>
      </c>
      <c r="ET1869" s="2686">
        <v>9</v>
      </c>
      <c r="EV1869" s="985"/>
      <c r="EW1869" s="985"/>
      <c r="EX1869" s="387"/>
      <c r="EY1869" s="939"/>
      <c r="EZ1869" s="886"/>
    </row>
    <row r="1870" spans="88:156">
      <c r="CJ1870" s="197"/>
      <c r="CK1870" s="197"/>
      <c r="CL1870" s="197"/>
      <c r="CM1870" s="213"/>
      <c r="CN1870" s="213"/>
      <c r="CO1870" s="197"/>
      <c r="CP1870" s="197"/>
      <c r="CQ1870" s="197"/>
      <c r="CR1870" s="197"/>
      <c r="CS1870" s="197"/>
      <c r="CT1870" s="197"/>
      <c r="CU1870" s="197"/>
      <c r="CV1870" s="197"/>
      <c r="CW1870" s="197"/>
      <c r="CX1870" s="959"/>
      <c r="CY1870" s="959"/>
      <c r="CZ1870" s="959"/>
      <c r="DA1870" s="959"/>
      <c r="DB1870" s="959"/>
      <c r="DC1870" s="891">
        <v>7015</v>
      </c>
      <c r="DD1870" s="891" t="s">
        <v>2116</v>
      </c>
      <c r="DE1870" s="891" t="s">
        <v>434</v>
      </c>
      <c r="DF1870" s="891">
        <v>6</v>
      </c>
      <c r="DG1870" s="959"/>
      <c r="DH1870" s="959"/>
      <c r="ER1870" s="905">
        <v>7228</v>
      </c>
      <c r="ES1870" s="906" t="s">
        <v>3904</v>
      </c>
      <c r="ET1870" s="2686">
        <v>9</v>
      </c>
      <c r="EV1870" s="985"/>
      <c r="EW1870" s="985"/>
      <c r="EX1870" s="387"/>
      <c r="EY1870" s="939"/>
      <c r="EZ1870" s="886"/>
    </row>
    <row r="1871" spans="88:156">
      <c r="CJ1871" s="197"/>
      <c r="CK1871" s="197"/>
      <c r="CL1871" s="197"/>
      <c r="CM1871" s="213"/>
      <c r="CN1871" s="213"/>
      <c r="CO1871" s="197"/>
      <c r="CP1871" s="197"/>
      <c r="CQ1871" s="197"/>
      <c r="CR1871" s="197"/>
      <c r="CS1871" s="197"/>
      <c r="CT1871" s="197"/>
      <c r="CU1871" s="197"/>
      <c r="CV1871" s="197"/>
      <c r="CW1871" s="197"/>
      <c r="CX1871" s="959"/>
      <c r="CY1871" s="959"/>
      <c r="CZ1871" s="959"/>
      <c r="DA1871" s="959"/>
      <c r="DB1871" s="959"/>
      <c r="DC1871" s="891">
        <v>7016</v>
      </c>
      <c r="DD1871" s="891" t="s">
        <v>2117</v>
      </c>
      <c r="DE1871" s="891" t="s">
        <v>418</v>
      </c>
      <c r="DF1871" s="891">
        <v>6</v>
      </c>
      <c r="DG1871" s="959"/>
      <c r="DH1871" s="959"/>
      <c r="ER1871" s="905">
        <v>7251</v>
      </c>
      <c r="ES1871" s="906" t="s">
        <v>3905</v>
      </c>
      <c r="ET1871" s="2686">
        <v>9</v>
      </c>
      <c r="EV1871" s="985"/>
      <c r="EW1871" s="985"/>
      <c r="EX1871" s="387"/>
      <c r="EY1871" s="939"/>
      <c r="EZ1871" s="886"/>
    </row>
    <row r="1872" spans="88:156">
      <c r="CJ1872" s="197"/>
      <c r="CK1872" s="197"/>
      <c r="CL1872" s="197"/>
      <c r="CM1872" s="213"/>
      <c r="CN1872" s="213"/>
      <c r="CO1872" s="197"/>
      <c r="CP1872" s="197"/>
      <c r="CQ1872" s="197"/>
      <c r="CR1872" s="197"/>
      <c r="CS1872" s="197"/>
      <c r="CT1872" s="197"/>
      <c r="CU1872" s="197"/>
      <c r="CV1872" s="197"/>
      <c r="CW1872" s="197"/>
      <c r="CX1872" s="959"/>
      <c r="CY1872" s="959"/>
      <c r="CZ1872" s="959"/>
      <c r="DA1872" s="959"/>
      <c r="DB1872" s="959"/>
      <c r="DC1872" s="891">
        <v>7017</v>
      </c>
      <c r="DD1872" s="891" t="s">
        <v>2118</v>
      </c>
      <c r="DE1872" s="891" t="s">
        <v>428</v>
      </c>
      <c r="DF1872" s="891">
        <v>5</v>
      </c>
      <c r="DG1872" s="959"/>
      <c r="DH1872" s="959"/>
      <c r="ER1872" s="905">
        <v>7252</v>
      </c>
      <c r="ES1872" s="906" t="s">
        <v>3906</v>
      </c>
      <c r="ET1872" s="2686">
        <v>9</v>
      </c>
      <c r="EV1872" s="985"/>
      <c r="EW1872" s="985"/>
      <c r="EX1872" s="387"/>
      <c r="EY1872" s="939"/>
      <c r="EZ1872" s="886"/>
    </row>
    <row r="1873" spans="88:156">
      <c r="CJ1873" s="197"/>
      <c r="CK1873" s="197"/>
      <c r="CL1873" s="197"/>
      <c r="CM1873" s="213"/>
      <c r="CN1873" s="213"/>
      <c r="CO1873" s="197"/>
      <c r="CP1873" s="197"/>
      <c r="CQ1873" s="197"/>
      <c r="CR1873" s="197"/>
      <c r="CS1873" s="197"/>
      <c r="CT1873" s="197"/>
      <c r="CU1873" s="197"/>
      <c r="CV1873" s="197"/>
      <c r="CW1873" s="197"/>
      <c r="CX1873" s="959"/>
      <c r="CY1873" s="959"/>
      <c r="CZ1873" s="959"/>
      <c r="DA1873" s="959"/>
      <c r="DB1873" s="959"/>
      <c r="DC1873" s="891">
        <v>7018</v>
      </c>
      <c r="DD1873" s="891" t="s">
        <v>2119</v>
      </c>
      <c r="DE1873" s="891" t="s">
        <v>410</v>
      </c>
      <c r="DF1873" s="891">
        <v>6</v>
      </c>
      <c r="DG1873" s="959"/>
      <c r="DH1873" s="959"/>
      <c r="ER1873" s="905">
        <v>7253</v>
      </c>
      <c r="ES1873" s="906" t="s">
        <v>1361</v>
      </c>
      <c r="ET1873" s="2686">
        <v>9</v>
      </c>
      <c r="EV1873" s="985"/>
      <c r="EW1873" s="985"/>
      <c r="EX1873" s="387"/>
      <c r="EY1873" s="939"/>
      <c r="EZ1873" s="886"/>
    </row>
    <row r="1874" spans="88:156">
      <c r="CJ1874" s="197"/>
      <c r="CK1874" s="197"/>
      <c r="CL1874" s="197"/>
      <c r="CM1874" s="213"/>
      <c r="CN1874" s="213"/>
      <c r="CO1874" s="197"/>
      <c r="CP1874" s="197"/>
      <c r="CQ1874" s="197"/>
      <c r="CR1874" s="197"/>
      <c r="CS1874" s="197"/>
      <c r="CT1874" s="197"/>
      <c r="CU1874" s="197"/>
      <c r="CV1874" s="197"/>
      <c r="CW1874" s="197"/>
      <c r="CX1874" s="959"/>
      <c r="CY1874" s="959"/>
      <c r="CZ1874" s="959"/>
      <c r="DA1874" s="959"/>
      <c r="DB1874" s="959"/>
      <c r="DC1874" s="891">
        <v>7019</v>
      </c>
      <c r="DD1874" s="891" t="s">
        <v>1423</v>
      </c>
      <c r="DE1874" s="891" t="s">
        <v>418</v>
      </c>
      <c r="DF1874" s="891">
        <v>6</v>
      </c>
      <c r="DG1874" s="959"/>
      <c r="DH1874" s="959"/>
      <c r="ER1874" s="905">
        <v>7253</v>
      </c>
      <c r="ES1874" s="906" t="s">
        <v>3907</v>
      </c>
      <c r="ET1874" s="2686">
        <v>9</v>
      </c>
      <c r="EV1874" s="985"/>
      <c r="EW1874" s="985"/>
      <c r="EX1874" s="387"/>
      <c r="EY1874" s="939"/>
      <c r="EZ1874" s="886"/>
    </row>
    <row r="1875" spans="88:156">
      <c r="CJ1875" s="197"/>
      <c r="CK1875" s="197"/>
      <c r="CL1875" s="197"/>
      <c r="CM1875" s="213"/>
      <c r="CN1875" s="213"/>
      <c r="CO1875" s="197"/>
      <c r="CP1875" s="197"/>
      <c r="CQ1875" s="197"/>
      <c r="CR1875" s="197"/>
      <c r="CS1875" s="197"/>
      <c r="CT1875" s="197"/>
      <c r="CU1875" s="197"/>
      <c r="CV1875" s="197"/>
      <c r="CW1875" s="197"/>
      <c r="CX1875" s="959"/>
      <c r="CY1875" s="959"/>
      <c r="CZ1875" s="959"/>
      <c r="DA1875" s="959"/>
      <c r="DB1875" s="959"/>
      <c r="DC1875" s="891">
        <v>7020</v>
      </c>
      <c r="DD1875" s="891" t="s">
        <v>1424</v>
      </c>
      <c r="DE1875" s="891" t="s">
        <v>406</v>
      </c>
      <c r="DF1875" s="891">
        <v>6</v>
      </c>
      <c r="DG1875" s="959"/>
      <c r="DH1875" s="959"/>
      <c r="ER1875" s="905">
        <v>7255</v>
      </c>
      <c r="ES1875" s="906" t="s">
        <v>3908</v>
      </c>
      <c r="ET1875" s="2686">
        <v>9</v>
      </c>
      <c r="EV1875" s="985"/>
      <c r="EW1875" s="985"/>
      <c r="EX1875" s="387"/>
      <c r="EY1875" s="939"/>
      <c r="EZ1875" s="886"/>
    </row>
    <row r="1876" spans="88:156">
      <c r="CJ1876" s="197"/>
      <c r="CK1876" s="197"/>
      <c r="CL1876" s="197"/>
      <c r="CM1876" s="213"/>
      <c r="CN1876" s="213"/>
      <c r="CO1876" s="197"/>
      <c r="CP1876" s="197"/>
      <c r="CQ1876" s="197"/>
      <c r="CR1876" s="197"/>
      <c r="CS1876" s="197"/>
      <c r="CT1876" s="197"/>
      <c r="CU1876" s="197"/>
      <c r="CV1876" s="197"/>
      <c r="CW1876" s="197"/>
      <c r="CX1876" s="959"/>
      <c r="CY1876" s="959"/>
      <c r="CZ1876" s="959"/>
      <c r="DA1876" s="959"/>
      <c r="DB1876" s="959"/>
      <c r="DC1876" s="891">
        <v>7025</v>
      </c>
      <c r="DD1876" s="891" t="s">
        <v>1425</v>
      </c>
      <c r="DE1876" s="891" t="s">
        <v>418</v>
      </c>
      <c r="DF1876" s="891">
        <v>6</v>
      </c>
      <c r="DG1876" s="959"/>
      <c r="DH1876" s="959"/>
      <c r="ER1876" s="905">
        <v>7256</v>
      </c>
      <c r="ES1876" s="906" t="s">
        <v>3909</v>
      </c>
      <c r="ET1876" s="2686">
        <v>9</v>
      </c>
      <c r="EV1876" s="985"/>
      <c r="EW1876" s="985"/>
      <c r="EX1876" s="387"/>
      <c r="EY1876" s="939"/>
      <c r="EZ1876" s="886"/>
    </row>
    <row r="1877" spans="88:156">
      <c r="CJ1877" s="197"/>
      <c r="CK1877" s="197"/>
      <c r="CL1877" s="197"/>
      <c r="CM1877" s="213"/>
      <c r="CN1877" s="213"/>
      <c r="CO1877" s="197"/>
      <c r="CP1877" s="197"/>
      <c r="CQ1877" s="197"/>
      <c r="CR1877" s="197"/>
      <c r="CS1877" s="197"/>
      <c r="CT1877" s="197"/>
      <c r="CU1877" s="197"/>
      <c r="CV1877" s="197"/>
      <c r="CW1877" s="197"/>
      <c r="CX1877" s="959"/>
      <c r="CY1877" s="959"/>
      <c r="CZ1877" s="959"/>
      <c r="DA1877" s="959"/>
      <c r="DB1877" s="959"/>
      <c r="DC1877" s="891">
        <v>7026</v>
      </c>
      <c r="DD1877" s="891" t="s">
        <v>1426</v>
      </c>
      <c r="DE1877" s="891" t="s">
        <v>428</v>
      </c>
      <c r="DF1877" s="891">
        <v>6</v>
      </c>
      <c r="DG1877" s="959"/>
      <c r="DH1877" s="959"/>
      <c r="ER1877" s="905">
        <v>7257</v>
      </c>
      <c r="ES1877" s="906" t="s">
        <v>3910</v>
      </c>
      <c r="ET1877" s="2686">
        <v>9</v>
      </c>
      <c r="EV1877" s="985"/>
      <c r="EW1877" s="985"/>
      <c r="EX1877" s="387"/>
      <c r="EY1877" s="939"/>
      <c r="EZ1877" s="886"/>
    </row>
    <row r="1878" spans="88:156">
      <c r="CJ1878" s="197"/>
      <c r="CK1878" s="197"/>
      <c r="CL1878" s="197"/>
      <c r="CM1878" s="213"/>
      <c r="CN1878" s="213"/>
      <c r="CO1878" s="197"/>
      <c r="CP1878" s="197"/>
      <c r="CQ1878" s="197"/>
      <c r="CR1878" s="197"/>
      <c r="CS1878" s="197"/>
      <c r="CT1878" s="197"/>
      <c r="CU1878" s="197"/>
      <c r="CV1878" s="197"/>
      <c r="CW1878" s="197"/>
      <c r="CX1878" s="959"/>
      <c r="CY1878" s="959"/>
      <c r="CZ1878" s="959"/>
      <c r="DA1878" s="959"/>
      <c r="DB1878" s="959"/>
      <c r="DC1878" s="891">
        <v>7027</v>
      </c>
      <c r="DD1878" s="891" t="s">
        <v>1427</v>
      </c>
      <c r="DE1878" s="891" t="s">
        <v>432</v>
      </c>
      <c r="DF1878" s="891">
        <v>6</v>
      </c>
      <c r="DG1878" s="959"/>
      <c r="DH1878" s="959"/>
      <c r="ER1878" s="905">
        <v>7258</v>
      </c>
      <c r="ES1878" s="906" t="s">
        <v>3911</v>
      </c>
      <c r="ET1878" s="2686">
        <v>9</v>
      </c>
      <c r="EV1878" s="985"/>
      <c r="EW1878" s="985"/>
      <c r="EX1878" s="387"/>
      <c r="EY1878" s="939"/>
      <c r="EZ1878" s="886"/>
    </row>
    <row r="1879" spans="88:156">
      <c r="CJ1879" s="197"/>
      <c r="CK1879" s="197"/>
      <c r="CL1879" s="197"/>
      <c r="CM1879" s="213"/>
      <c r="CN1879" s="213"/>
      <c r="CO1879" s="197"/>
      <c r="CP1879" s="197"/>
      <c r="CQ1879" s="197"/>
      <c r="CR1879" s="197"/>
      <c r="CS1879" s="197"/>
      <c r="CT1879" s="197"/>
      <c r="CU1879" s="197"/>
      <c r="CV1879" s="197"/>
      <c r="CW1879" s="197"/>
      <c r="CX1879" s="959"/>
      <c r="CY1879" s="959"/>
      <c r="CZ1879" s="959"/>
      <c r="DA1879" s="959"/>
      <c r="DB1879" s="959"/>
      <c r="DC1879" s="891">
        <v>7030</v>
      </c>
      <c r="DD1879" s="891" t="s">
        <v>1427</v>
      </c>
      <c r="DE1879" s="891" t="s">
        <v>419</v>
      </c>
      <c r="DF1879" s="891">
        <v>6</v>
      </c>
      <c r="DG1879" s="959"/>
      <c r="DH1879" s="959"/>
      <c r="ER1879" s="905">
        <v>7258</v>
      </c>
      <c r="ES1879" s="906" t="s">
        <v>3912</v>
      </c>
      <c r="ET1879" s="2686">
        <v>9</v>
      </c>
      <c r="EV1879" s="985"/>
      <c r="EW1879" s="985"/>
      <c r="EX1879" s="387"/>
      <c r="EY1879" s="939"/>
      <c r="EZ1879" s="886"/>
    </row>
    <row r="1880" spans="88:156">
      <c r="CJ1880" s="197"/>
      <c r="CK1880" s="197"/>
      <c r="CL1880" s="197"/>
      <c r="CM1880" s="213"/>
      <c r="CN1880" s="213"/>
      <c r="CO1880" s="197"/>
      <c r="CP1880" s="197"/>
      <c r="CQ1880" s="197"/>
      <c r="CR1880" s="197"/>
      <c r="CS1880" s="197"/>
      <c r="CT1880" s="197"/>
      <c r="CU1880" s="197"/>
      <c r="CV1880" s="197"/>
      <c r="CW1880" s="197"/>
      <c r="CX1880" s="959"/>
      <c r="CY1880" s="959"/>
      <c r="CZ1880" s="959"/>
      <c r="DA1880" s="959"/>
      <c r="DB1880" s="959"/>
      <c r="DC1880" s="891">
        <v>7038</v>
      </c>
      <c r="DD1880" s="891" t="s">
        <v>1428</v>
      </c>
      <c r="DE1880" s="891" t="s">
        <v>421</v>
      </c>
      <c r="DF1880" s="891">
        <v>6</v>
      </c>
      <c r="DG1880" s="959"/>
      <c r="DH1880" s="959"/>
      <c r="ER1880" s="905">
        <v>7261</v>
      </c>
      <c r="ES1880" s="906" t="s">
        <v>1362</v>
      </c>
      <c r="ET1880" s="2686">
        <v>4</v>
      </c>
      <c r="EV1880" s="985"/>
      <c r="EW1880" s="985"/>
      <c r="EX1880" s="387"/>
      <c r="EY1880" s="939"/>
      <c r="EZ1880" s="886"/>
    </row>
    <row r="1881" spans="88:156">
      <c r="CJ1881" s="197"/>
      <c r="CK1881" s="197"/>
      <c r="CL1881" s="197"/>
      <c r="CM1881" s="213"/>
      <c r="CN1881" s="213"/>
      <c r="CO1881" s="197"/>
      <c r="CP1881" s="197"/>
      <c r="CQ1881" s="197"/>
      <c r="CR1881" s="197"/>
      <c r="CS1881" s="197"/>
      <c r="CT1881" s="197"/>
      <c r="CU1881" s="197"/>
      <c r="CV1881" s="197"/>
      <c r="CW1881" s="197"/>
      <c r="CX1881" s="959"/>
      <c r="CY1881" s="959"/>
      <c r="CZ1881" s="959"/>
      <c r="DA1881" s="959"/>
      <c r="DB1881" s="959"/>
      <c r="DC1881" s="891">
        <v>7039</v>
      </c>
      <c r="DD1881" s="891" t="s">
        <v>1429</v>
      </c>
      <c r="DE1881" s="891" t="s">
        <v>432</v>
      </c>
      <c r="DF1881" s="891">
        <v>6</v>
      </c>
      <c r="DG1881" s="959"/>
      <c r="DH1881" s="959"/>
      <c r="ER1881" s="905">
        <v>7261</v>
      </c>
      <c r="ES1881" s="906" t="s">
        <v>3913</v>
      </c>
      <c r="ET1881" s="2686">
        <v>4</v>
      </c>
      <c r="EV1881" s="985"/>
      <c r="EW1881" s="985"/>
      <c r="EX1881" s="387"/>
      <c r="EY1881" s="939"/>
      <c r="EZ1881" s="886"/>
    </row>
    <row r="1882" spans="88:156">
      <c r="CJ1882" s="197"/>
      <c r="CK1882" s="197"/>
      <c r="CL1882" s="197"/>
      <c r="CM1882" s="213"/>
      <c r="CN1882" s="213"/>
      <c r="CO1882" s="197"/>
      <c r="CP1882" s="197"/>
      <c r="CQ1882" s="197"/>
      <c r="CR1882" s="197"/>
      <c r="CS1882" s="197"/>
      <c r="CT1882" s="197"/>
      <c r="CU1882" s="197"/>
      <c r="CV1882" s="197"/>
      <c r="CW1882" s="197"/>
      <c r="CX1882" s="959"/>
      <c r="CY1882" s="959"/>
      <c r="CZ1882" s="959"/>
      <c r="DA1882" s="959"/>
      <c r="DB1882" s="959"/>
      <c r="DC1882" s="891">
        <v>7041</v>
      </c>
      <c r="DD1882" s="891" t="s">
        <v>1430</v>
      </c>
      <c r="DE1882" s="891" t="s">
        <v>412</v>
      </c>
      <c r="DF1882" s="891">
        <v>6</v>
      </c>
      <c r="DG1882" s="959"/>
      <c r="DH1882" s="959"/>
      <c r="ER1882" s="905">
        <v>7271</v>
      </c>
      <c r="ES1882" s="906" t="s">
        <v>3914</v>
      </c>
      <c r="ET1882" s="2686">
        <v>9</v>
      </c>
      <c r="EV1882" s="985"/>
      <c r="EW1882" s="985"/>
      <c r="EX1882" s="387"/>
      <c r="EY1882" s="939"/>
      <c r="EZ1882" s="886"/>
    </row>
    <row r="1883" spans="88:156">
      <c r="CJ1883" s="197"/>
      <c r="CK1883" s="197"/>
      <c r="CL1883" s="197"/>
      <c r="CM1883" s="213"/>
      <c r="CN1883" s="213"/>
      <c r="CO1883" s="197"/>
      <c r="CP1883" s="197"/>
      <c r="CQ1883" s="197"/>
      <c r="CR1883" s="197"/>
      <c r="CS1883" s="197"/>
      <c r="CT1883" s="197"/>
      <c r="CU1883" s="197"/>
      <c r="CV1883" s="197"/>
      <c r="CW1883" s="197"/>
      <c r="CX1883" s="959"/>
      <c r="CY1883" s="959"/>
      <c r="CZ1883" s="959"/>
      <c r="DA1883" s="959"/>
      <c r="DB1883" s="959"/>
      <c r="DC1883" s="891">
        <v>7042</v>
      </c>
      <c r="DD1883" s="891" t="s">
        <v>1431</v>
      </c>
      <c r="DE1883" s="891" t="s">
        <v>412</v>
      </c>
      <c r="DF1883" s="891">
        <v>6</v>
      </c>
      <c r="DG1883" s="959"/>
      <c r="DH1883" s="959"/>
      <c r="ER1883" s="905">
        <v>7272</v>
      </c>
      <c r="ES1883" s="906" t="s">
        <v>1363</v>
      </c>
      <c r="ET1883" s="2686">
        <v>9</v>
      </c>
      <c r="EV1883" s="985"/>
      <c r="EW1883" s="985"/>
      <c r="EX1883" s="387"/>
      <c r="EY1883" s="939"/>
      <c r="EZ1883" s="886"/>
    </row>
    <row r="1884" spans="88:156">
      <c r="CJ1884" s="197"/>
      <c r="CK1884" s="197"/>
      <c r="CL1884" s="197"/>
      <c r="CM1884" s="213"/>
      <c r="CN1884" s="213"/>
      <c r="CO1884" s="197"/>
      <c r="CP1884" s="197"/>
      <c r="CQ1884" s="197"/>
      <c r="CR1884" s="197"/>
      <c r="CS1884" s="197"/>
      <c r="CT1884" s="197"/>
      <c r="CU1884" s="197"/>
      <c r="CV1884" s="197"/>
      <c r="CW1884" s="197"/>
      <c r="CX1884" s="959"/>
      <c r="CY1884" s="959"/>
      <c r="CZ1884" s="959"/>
      <c r="DA1884" s="959"/>
      <c r="DB1884" s="959"/>
      <c r="DC1884" s="891">
        <v>7043</v>
      </c>
      <c r="DD1884" s="891" t="s">
        <v>1432</v>
      </c>
      <c r="DE1884" s="891" t="s">
        <v>421</v>
      </c>
      <c r="DF1884" s="891">
        <v>6</v>
      </c>
      <c r="DG1884" s="959"/>
      <c r="DH1884" s="959"/>
      <c r="ER1884" s="905">
        <v>7273</v>
      </c>
      <c r="ES1884" s="906" t="s">
        <v>3916</v>
      </c>
      <c r="ET1884" s="2686">
        <v>9</v>
      </c>
      <c r="EV1884" s="985"/>
      <c r="EW1884" s="985"/>
      <c r="EX1884" s="387"/>
      <c r="EY1884" s="939"/>
      <c r="EZ1884" s="886"/>
    </row>
    <row r="1885" spans="88:156">
      <c r="CJ1885" s="197"/>
      <c r="CK1885" s="197"/>
      <c r="CL1885" s="197"/>
      <c r="CM1885" s="213"/>
      <c r="CN1885" s="213"/>
      <c r="CO1885" s="197"/>
      <c r="CP1885" s="197"/>
      <c r="CQ1885" s="197"/>
      <c r="CR1885" s="197"/>
      <c r="CS1885" s="197"/>
      <c r="CT1885" s="197"/>
      <c r="CU1885" s="197"/>
      <c r="CV1885" s="197"/>
      <c r="CW1885" s="197"/>
      <c r="CX1885" s="959"/>
      <c r="CY1885" s="959"/>
      <c r="CZ1885" s="959"/>
      <c r="DA1885" s="959"/>
      <c r="DB1885" s="959"/>
      <c r="DC1885" s="891">
        <v>7044</v>
      </c>
      <c r="DD1885" s="891" t="s">
        <v>1433</v>
      </c>
      <c r="DE1885" s="891" t="s">
        <v>406</v>
      </c>
      <c r="DF1885" s="891">
        <v>6</v>
      </c>
      <c r="DG1885" s="959"/>
      <c r="DH1885" s="959"/>
      <c r="ER1885" s="905">
        <v>7274</v>
      </c>
      <c r="ES1885" s="906" t="s">
        <v>3917</v>
      </c>
      <c r="ET1885" s="2686">
        <v>9</v>
      </c>
      <c r="EV1885" s="985"/>
      <c r="EW1885" s="985"/>
      <c r="EX1885" s="387"/>
      <c r="EY1885" s="939"/>
      <c r="EZ1885" s="886"/>
    </row>
    <row r="1886" spans="88:156">
      <c r="CJ1886" s="197"/>
      <c r="CK1886" s="197"/>
      <c r="CL1886" s="197"/>
      <c r="CM1886" s="213"/>
      <c r="CN1886" s="213"/>
      <c r="CO1886" s="197"/>
      <c r="CP1886" s="197"/>
      <c r="CQ1886" s="197"/>
      <c r="CR1886" s="197"/>
      <c r="CS1886" s="197"/>
      <c r="CT1886" s="197"/>
      <c r="CU1886" s="197"/>
      <c r="CV1886" s="197"/>
      <c r="CW1886" s="197"/>
      <c r="CX1886" s="959"/>
      <c r="CY1886" s="959"/>
      <c r="CZ1886" s="959"/>
      <c r="DA1886" s="959"/>
      <c r="DB1886" s="959"/>
      <c r="DC1886" s="891">
        <v>7045</v>
      </c>
      <c r="DD1886" s="891" t="s">
        <v>1434</v>
      </c>
      <c r="DE1886" s="891" t="s">
        <v>406</v>
      </c>
      <c r="DF1886" s="891">
        <v>6</v>
      </c>
      <c r="DG1886" s="959"/>
      <c r="DH1886" s="959"/>
      <c r="ER1886" s="905">
        <v>7275</v>
      </c>
      <c r="ES1886" s="906" t="s">
        <v>3918</v>
      </c>
      <c r="ET1886" s="2686">
        <v>9</v>
      </c>
      <c r="EV1886" s="985"/>
      <c r="EW1886" s="985"/>
      <c r="EX1886" s="387"/>
      <c r="EY1886" s="939"/>
      <c r="EZ1886" s="886"/>
    </row>
    <row r="1887" spans="88:156">
      <c r="CJ1887" s="197"/>
      <c r="CK1887" s="197"/>
      <c r="CL1887" s="197"/>
      <c r="CM1887" s="213"/>
      <c r="CN1887" s="213"/>
      <c r="CO1887" s="197"/>
      <c r="CP1887" s="197"/>
      <c r="CQ1887" s="197"/>
      <c r="CR1887" s="197"/>
      <c r="CS1887" s="197"/>
      <c r="CT1887" s="197"/>
      <c r="CU1887" s="197"/>
      <c r="CV1887" s="197"/>
      <c r="CW1887" s="197"/>
      <c r="CX1887" s="959"/>
      <c r="CY1887" s="959"/>
      <c r="CZ1887" s="959"/>
      <c r="DA1887" s="959"/>
      <c r="DB1887" s="959"/>
      <c r="DC1887" s="891">
        <v>7047</v>
      </c>
      <c r="DD1887" s="891" t="s">
        <v>1435</v>
      </c>
      <c r="DE1887" s="891" t="s">
        <v>2807</v>
      </c>
      <c r="DF1887" s="891">
        <v>6</v>
      </c>
      <c r="DG1887" s="959"/>
      <c r="DH1887" s="959"/>
      <c r="ER1887" s="905">
        <v>7276</v>
      </c>
      <c r="ES1887" s="906" t="s">
        <v>3920</v>
      </c>
      <c r="ET1887" s="2686">
        <v>9</v>
      </c>
      <c r="EV1887" s="985"/>
      <c r="EW1887" s="985"/>
      <c r="EX1887" s="387"/>
      <c r="EY1887" s="939"/>
      <c r="EZ1887" s="886"/>
    </row>
    <row r="1888" spans="88:156">
      <c r="CJ1888" s="197"/>
      <c r="CK1888" s="197"/>
      <c r="CL1888" s="197"/>
      <c r="CM1888" s="213"/>
      <c r="CN1888" s="213"/>
      <c r="CO1888" s="197"/>
      <c r="CP1888" s="197"/>
      <c r="CQ1888" s="197"/>
      <c r="CR1888" s="197"/>
      <c r="CS1888" s="197"/>
      <c r="CT1888" s="197"/>
      <c r="CU1888" s="197"/>
      <c r="CV1888" s="197"/>
      <c r="CW1888" s="197"/>
      <c r="CX1888" s="959"/>
      <c r="CY1888" s="959"/>
      <c r="CZ1888" s="959"/>
      <c r="DA1888" s="959"/>
      <c r="DB1888" s="959"/>
      <c r="DC1888" s="891">
        <v>7051</v>
      </c>
      <c r="DD1888" s="891" t="s">
        <v>1436</v>
      </c>
      <c r="DE1888" s="891" t="s">
        <v>431</v>
      </c>
      <c r="DF1888" s="891">
        <v>6</v>
      </c>
      <c r="DG1888" s="959"/>
      <c r="DH1888" s="959"/>
      <c r="ER1888" s="905">
        <v>7276</v>
      </c>
      <c r="ES1888" s="906" t="s">
        <v>3919</v>
      </c>
      <c r="ET1888" s="2686">
        <v>9</v>
      </c>
      <c r="EV1888" s="985"/>
      <c r="EW1888" s="985"/>
      <c r="EX1888" s="387"/>
      <c r="EY1888" s="939"/>
      <c r="EZ1888" s="886"/>
    </row>
    <row r="1889" spans="88:156">
      <c r="CJ1889" s="197"/>
      <c r="CK1889" s="197"/>
      <c r="CL1889" s="197"/>
      <c r="CM1889" s="213"/>
      <c r="CN1889" s="213"/>
      <c r="CO1889" s="197"/>
      <c r="CP1889" s="197"/>
      <c r="CQ1889" s="197"/>
      <c r="CR1889" s="197"/>
      <c r="CS1889" s="197"/>
      <c r="CT1889" s="197"/>
      <c r="CU1889" s="197"/>
      <c r="CV1889" s="197"/>
      <c r="CW1889" s="197"/>
      <c r="CX1889" s="959"/>
      <c r="CY1889" s="959"/>
      <c r="CZ1889" s="959"/>
      <c r="DA1889" s="959"/>
      <c r="DB1889" s="959"/>
      <c r="DC1889" s="891">
        <v>7052</v>
      </c>
      <c r="DD1889" s="891" t="s">
        <v>1437</v>
      </c>
      <c r="DE1889" s="891" t="s">
        <v>412</v>
      </c>
      <c r="DF1889" s="891">
        <v>6</v>
      </c>
      <c r="DG1889" s="959"/>
      <c r="DH1889" s="959"/>
      <c r="ER1889" s="905">
        <v>7279</v>
      </c>
      <c r="ES1889" s="906" t="s">
        <v>3921</v>
      </c>
      <c r="ET1889" s="2686">
        <v>9</v>
      </c>
      <c r="EV1889" s="985"/>
      <c r="EW1889" s="985"/>
      <c r="EX1889" s="387"/>
      <c r="EY1889" s="939"/>
      <c r="EZ1889" s="886"/>
    </row>
    <row r="1890" spans="88:156">
      <c r="CJ1890" s="197"/>
      <c r="CK1890" s="197"/>
      <c r="CL1890" s="197"/>
      <c r="CM1890" s="213"/>
      <c r="CN1890" s="213"/>
      <c r="CO1890" s="197"/>
      <c r="CP1890" s="197"/>
      <c r="CQ1890" s="197"/>
      <c r="CR1890" s="197"/>
      <c r="CS1890" s="197"/>
      <c r="CT1890" s="197"/>
      <c r="CU1890" s="197"/>
      <c r="CV1890" s="197"/>
      <c r="CW1890" s="197"/>
      <c r="CX1890" s="959"/>
      <c r="CY1890" s="959"/>
      <c r="CZ1890" s="959"/>
      <c r="DA1890" s="959"/>
      <c r="DB1890" s="959"/>
      <c r="DC1890" s="891">
        <v>7054</v>
      </c>
      <c r="DD1890" s="891" t="s">
        <v>1438</v>
      </c>
      <c r="DE1890" s="891" t="s">
        <v>432</v>
      </c>
      <c r="DF1890" s="891">
        <v>6</v>
      </c>
      <c r="DG1890" s="959"/>
      <c r="DH1890" s="959"/>
      <c r="ER1890" s="905">
        <v>7281</v>
      </c>
      <c r="ES1890" s="906" t="s">
        <v>1364</v>
      </c>
      <c r="ET1890" s="2686">
        <v>9</v>
      </c>
      <c r="EV1890" s="985"/>
      <c r="EW1890" s="985"/>
      <c r="EX1890" s="387"/>
      <c r="EY1890" s="939"/>
      <c r="EZ1890" s="886"/>
    </row>
    <row r="1891" spans="88:156">
      <c r="CJ1891" s="197"/>
      <c r="CK1891" s="197"/>
      <c r="CL1891" s="197"/>
      <c r="CM1891" s="213"/>
      <c r="CN1891" s="213"/>
      <c r="CO1891" s="197"/>
      <c r="CP1891" s="197"/>
      <c r="CQ1891" s="197"/>
      <c r="CR1891" s="197"/>
      <c r="CS1891" s="197"/>
      <c r="CT1891" s="197"/>
      <c r="CU1891" s="197"/>
      <c r="CV1891" s="197"/>
      <c r="CW1891" s="197"/>
      <c r="CX1891" s="959"/>
      <c r="CY1891" s="959"/>
      <c r="CZ1891" s="959"/>
      <c r="DA1891" s="959"/>
      <c r="DB1891" s="959"/>
      <c r="DC1891" s="891">
        <v>7055</v>
      </c>
      <c r="DD1891" s="891" t="s">
        <v>1439</v>
      </c>
      <c r="DE1891" s="891" t="s">
        <v>435</v>
      </c>
      <c r="DF1891" s="891">
        <v>6</v>
      </c>
      <c r="DG1891" s="959"/>
      <c r="DH1891" s="959"/>
      <c r="ER1891" s="905">
        <v>7282</v>
      </c>
      <c r="ES1891" s="906" t="s">
        <v>3923</v>
      </c>
      <c r="ET1891" s="2686">
        <v>9</v>
      </c>
      <c r="EV1891" s="985"/>
      <c r="EW1891" s="985"/>
      <c r="EX1891" s="387"/>
      <c r="EY1891" s="939"/>
      <c r="EZ1891" s="886"/>
    </row>
    <row r="1892" spans="88:156">
      <c r="CJ1892" s="197"/>
      <c r="CK1892" s="197"/>
      <c r="CL1892" s="197"/>
      <c r="CM1892" s="213"/>
      <c r="CN1892" s="213"/>
      <c r="CO1892" s="197"/>
      <c r="CP1892" s="197"/>
      <c r="CQ1892" s="197"/>
      <c r="CR1892" s="197"/>
      <c r="CS1892" s="197"/>
      <c r="CT1892" s="197"/>
      <c r="CU1892" s="197"/>
      <c r="CV1892" s="197"/>
      <c r="CW1892" s="197"/>
      <c r="CX1892" s="959"/>
      <c r="CY1892" s="959"/>
      <c r="CZ1892" s="959"/>
      <c r="DA1892" s="959"/>
      <c r="DB1892" s="959"/>
      <c r="DC1892" s="891">
        <v>7056</v>
      </c>
      <c r="DD1892" s="891" t="s">
        <v>1440</v>
      </c>
      <c r="DE1892" s="891" t="s">
        <v>406</v>
      </c>
      <c r="DF1892" s="891">
        <v>5</v>
      </c>
      <c r="DG1892" s="959"/>
      <c r="DH1892" s="959"/>
      <c r="ER1892" s="905">
        <v>7282</v>
      </c>
      <c r="ES1892" s="906" t="s">
        <v>3922</v>
      </c>
      <c r="ET1892" s="2686">
        <v>9</v>
      </c>
      <c r="EV1892" s="985"/>
      <c r="EW1892" s="985"/>
      <c r="EX1892" s="387"/>
      <c r="EY1892" s="939"/>
      <c r="EZ1892" s="886"/>
    </row>
    <row r="1893" spans="88:156">
      <c r="CJ1893" s="197"/>
      <c r="CK1893" s="197"/>
      <c r="CL1893" s="197"/>
      <c r="CM1893" s="213"/>
      <c r="CN1893" s="213"/>
      <c r="CO1893" s="197"/>
      <c r="CP1893" s="197"/>
      <c r="CQ1893" s="197"/>
      <c r="CR1893" s="197"/>
      <c r="CS1893" s="197"/>
      <c r="CT1893" s="197"/>
      <c r="CU1893" s="197"/>
      <c r="CV1893" s="197"/>
      <c r="CW1893" s="197"/>
      <c r="CX1893" s="959"/>
      <c r="CY1893" s="959"/>
      <c r="CZ1893" s="959"/>
      <c r="DA1893" s="959"/>
      <c r="DB1893" s="959"/>
      <c r="DC1893" s="891">
        <v>7057</v>
      </c>
      <c r="DD1893" s="891" t="s">
        <v>1441</v>
      </c>
      <c r="DE1893" s="891" t="s">
        <v>404</v>
      </c>
      <c r="DF1893" s="891">
        <v>6</v>
      </c>
      <c r="DG1893" s="959"/>
      <c r="DH1893" s="959"/>
      <c r="ER1893" s="905">
        <v>7283</v>
      </c>
      <c r="ES1893" s="906" t="s">
        <v>3924</v>
      </c>
      <c r="ET1893" s="2686">
        <v>9</v>
      </c>
      <c r="EV1893" s="985"/>
      <c r="EW1893" s="985"/>
      <c r="EX1893" s="387"/>
      <c r="EY1893" s="939"/>
      <c r="EZ1893" s="886"/>
    </row>
    <row r="1894" spans="88:156">
      <c r="CJ1894" s="197"/>
      <c r="CK1894" s="197"/>
      <c r="CL1894" s="197"/>
      <c r="CM1894" s="213"/>
      <c r="CN1894" s="213"/>
      <c r="CO1894" s="197"/>
      <c r="CP1894" s="197"/>
      <c r="CQ1894" s="197"/>
      <c r="CR1894" s="197"/>
      <c r="CS1894" s="197"/>
      <c r="CT1894" s="197"/>
      <c r="CU1894" s="197"/>
      <c r="CV1894" s="197"/>
      <c r="CW1894" s="197"/>
      <c r="CX1894" s="959"/>
      <c r="CY1894" s="959"/>
      <c r="CZ1894" s="959"/>
      <c r="DA1894" s="959"/>
      <c r="DB1894" s="959"/>
      <c r="DC1894" s="891">
        <v>7061</v>
      </c>
      <c r="DD1894" s="891" t="s">
        <v>1442</v>
      </c>
      <c r="DE1894" s="891" t="s">
        <v>404</v>
      </c>
      <c r="DF1894" s="891">
        <v>6</v>
      </c>
      <c r="DG1894" s="959"/>
      <c r="DH1894" s="959"/>
      <c r="ER1894" s="905">
        <v>7284</v>
      </c>
      <c r="ES1894" s="906" t="s">
        <v>3925</v>
      </c>
      <c r="ET1894" s="2686">
        <v>9</v>
      </c>
      <c r="EV1894" s="985"/>
      <c r="EW1894" s="985"/>
      <c r="EX1894" s="387"/>
      <c r="EY1894" s="939"/>
      <c r="EZ1894" s="886"/>
    </row>
    <row r="1895" spans="88:156">
      <c r="CJ1895" s="197"/>
      <c r="CK1895" s="197"/>
      <c r="CL1895" s="197"/>
      <c r="CM1895" s="213"/>
      <c r="CN1895" s="213"/>
      <c r="CO1895" s="197"/>
      <c r="CP1895" s="197"/>
      <c r="CQ1895" s="197"/>
      <c r="CR1895" s="197"/>
      <c r="CS1895" s="197"/>
      <c r="CT1895" s="197"/>
      <c r="CU1895" s="197"/>
      <c r="CV1895" s="197"/>
      <c r="CW1895" s="197"/>
      <c r="CX1895" s="959"/>
      <c r="CY1895" s="959"/>
      <c r="CZ1895" s="959"/>
      <c r="DA1895" s="959"/>
      <c r="DB1895" s="959"/>
      <c r="DC1895" s="891">
        <v>7062</v>
      </c>
      <c r="DD1895" s="891" t="s">
        <v>1443</v>
      </c>
      <c r="DE1895" s="891" t="s">
        <v>421</v>
      </c>
      <c r="DF1895" s="891">
        <v>6</v>
      </c>
      <c r="DG1895" s="959"/>
      <c r="DH1895" s="959"/>
      <c r="ER1895" s="905">
        <v>7285</v>
      </c>
      <c r="ES1895" s="906" t="s">
        <v>1365</v>
      </c>
      <c r="ET1895" s="2686">
        <v>9</v>
      </c>
      <c r="EV1895" s="985"/>
      <c r="EW1895" s="985"/>
      <c r="EX1895" s="387"/>
      <c r="EY1895" s="939"/>
      <c r="EZ1895" s="886"/>
    </row>
    <row r="1896" spans="88:156">
      <c r="CJ1896" s="197"/>
      <c r="CK1896" s="197"/>
      <c r="CL1896" s="197"/>
      <c r="CM1896" s="213"/>
      <c r="CN1896" s="213"/>
      <c r="CO1896" s="197"/>
      <c r="CP1896" s="197"/>
      <c r="CQ1896" s="197"/>
      <c r="CR1896" s="197"/>
      <c r="CS1896" s="197"/>
      <c r="CT1896" s="197"/>
      <c r="CU1896" s="197"/>
      <c r="CV1896" s="197"/>
      <c r="CW1896" s="197"/>
      <c r="CX1896" s="959"/>
      <c r="CY1896" s="959"/>
      <c r="CZ1896" s="959"/>
      <c r="DA1896" s="959"/>
      <c r="DB1896" s="959"/>
      <c r="DC1896" s="891">
        <v>7063</v>
      </c>
      <c r="DD1896" s="891" t="s">
        <v>1444</v>
      </c>
      <c r="DE1896" s="891" t="s">
        <v>428</v>
      </c>
      <c r="DF1896" s="891">
        <v>6</v>
      </c>
      <c r="DG1896" s="959"/>
      <c r="DH1896" s="959"/>
      <c r="ER1896" s="905">
        <v>7285</v>
      </c>
      <c r="ES1896" s="906" t="s">
        <v>1366</v>
      </c>
      <c r="ET1896" s="2686">
        <v>9</v>
      </c>
      <c r="EV1896" s="985"/>
      <c r="EW1896" s="985"/>
      <c r="EX1896" s="387"/>
      <c r="EY1896" s="939"/>
      <c r="EZ1896" s="886"/>
    </row>
    <row r="1897" spans="88:156">
      <c r="CJ1897" s="197"/>
      <c r="CK1897" s="197"/>
      <c r="CL1897" s="197"/>
      <c r="CM1897" s="213"/>
      <c r="CN1897" s="213"/>
      <c r="CO1897" s="197"/>
      <c r="CP1897" s="197"/>
      <c r="CQ1897" s="197"/>
      <c r="CR1897" s="197"/>
      <c r="CS1897" s="197"/>
      <c r="CT1897" s="197"/>
      <c r="CU1897" s="197"/>
      <c r="CV1897" s="197"/>
      <c r="CW1897" s="197"/>
      <c r="CX1897" s="959"/>
      <c r="CY1897" s="959"/>
      <c r="CZ1897" s="959"/>
      <c r="DA1897" s="959"/>
      <c r="DB1897" s="959"/>
      <c r="DC1897" s="891">
        <v>7064</v>
      </c>
      <c r="DD1897" s="891" t="s">
        <v>1445</v>
      </c>
      <c r="DE1897" s="891" t="s">
        <v>428</v>
      </c>
      <c r="DF1897" s="891">
        <v>6</v>
      </c>
      <c r="DG1897" s="959"/>
      <c r="DH1897" s="959"/>
      <c r="ER1897" s="905">
        <v>7285</v>
      </c>
      <c r="ES1897" s="906" t="s">
        <v>3926</v>
      </c>
      <c r="ET1897" s="2686">
        <v>9</v>
      </c>
      <c r="EV1897" s="985"/>
      <c r="EW1897" s="985"/>
      <c r="EX1897" s="387"/>
      <c r="EY1897" s="939"/>
      <c r="EZ1897" s="886"/>
    </row>
    <row r="1898" spans="88:156">
      <c r="CJ1898" s="197"/>
      <c r="CK1898" s="197"/>
      <c r="CL1898" s="197"/>
      <c r="CM1898" s="213"/>
      <c r="CN1898" s="213"/>
      <c r="CO1898" s="197"/>
      <c r="CP1898" s="197"/>
      <c r="CQ1898" s="197"/>
      <c r="CR1898" s="197"/>
      <c r="CS1898" s="197"/>
      <c r="CT1898" s="197"/>
      <c r="CU1898" s="197"/>
      <c r="CV1898" s="197"/>
      <c r="CW1898" s="197"/>
      <c r="CX1898" s="959"/>
      <c r="CY1898" s="959"/>
      <c r="CZ1898" s="959"/>
      <c r="DA1898" s="959"/>
      <c r="DB1898" s="959"/>
      <c r="DC1898" s="891">
        <v>7065</v>
      </c>
      <c r="DD1898" s="891" t="s">
        <v>1446</v>
      </c>
      <c r="DE1898" s="891" t="s">
        <v>428</v>
      </c>
      <c r="DF1898" s="891">
        <v>6</v>
      </c>
      <c r="DG1898" s="959"/>
      <c r="DH1898" s="959"/>
      <c r="ER1898" s="905">
        <v>7300</v>
      </c>
      <c r="ES1898" s="906" t="s">
        <v>1367</v>
      </c>
      <c r="ET1898" s="2686">
        <v>4</v>
      </c>
      <c r="EV1898" s="985"/>
      <c r="EW1898" s="985"/>
      <c r="EX1898" s="387"/>
      <c r="EY1898" s="939"/>
      <c r="EZ1898" s="886"/>
    </row>
    <row r="1899" spans="88:156">
      <c r="CJ1899" s="197"/>
      <c r="CK1899" s="197"/>
      <c r="CL1899" s="197"/>
      <c r="CM1899" s="213"/>
      <c r="CN1899" s="213"/>
      <c r="CO1899" s="197"/>
      <c r="CP1899" s="197"/>
      <c r="CQ1899" s="197"/>
      <c r="CR1899" s="197"/>
      <c r="CS1899" s="197"/>
      <c r="CT1899" s="197"/>
      <c r="CU1899" s="197"/>
      <c r="CV1899" s="197"/>
      <c r="CW1899" s="197"/>
      <c r="CX1899" s="959"/>
      <c r="CY1899" s="959"/>
      <c r="CZ1899" s="959"/>
      <c r="DA1899" s="959"/>
      <c r="DB1899" s="959"/>
      <c r="DC1899" s="891">
        <v>7066</v>
      </c>
      <c r="DD1899" s="891" t="s">
        <v>1447</v>
      </c>
      <c r="DE1899" s="891" t="s">
        <v>428</v>
      </c>
      <c r="DF1899" s="891">
        <v>6</v>
      </c>
      <c r="DG1899" s="959"/>
      <c r="DH1899" s="959"/>
      <c r="ER1899" s="905">
        <v>7300</v>
      </c>
      <c r="ES1899" s="906" t="s">
        <v>1368</v>
      </c>
      <c r="ET1899" s="2686">
        <v>4</v>
      </c>
      <c r="EV1899" s="985"/>
      <c r="EW1899" s="985"/>
      <c r="EX1899" s="387"/>
      <c r="EY1899" s="939"/>
      <c r="EZ1899" s="886"/>
    </row>
    <row r="1900" spans="88:156">
      <c r="CJ1900" s="197"/>
      <c r="CK1900" s="197"/>
      <c r="CL1900" s="197"/>
      <c r="CM1900" s="213"/>
      <c r="CN1900" s="213"/>
      <c r="CO1900" s="197"/>
      <c r="CP1900" s="197"/>
      <c r="CQ1900" s="197"/>
      <c r="CR1900" s="197"/>
      <c r="CS1900" s="197"/>
      <c r="CT1900" s="197"/>
      <c r="CU1900" s="197"/>
      <c r="CV1900" s="197"/>
      <c r="CW1900" s="197"/>
      <c r="CX1900" s="959"/>
      <c r="CY1900" s="959"/>
      <c r="CZ1900" s="959"/>
      <c r="DA1900" s="959"/>
      <c r="DB1900" s="959"/>
      <c r="DC1900" s="891">
        <v>7067</v>
      </c>
      <c r="DD1900" s="891" t="s">
        <v>1448</v>
      </c>
      <c r="DE1900" s="891" t="s">
        <v>432</v>
      </c>
      <c r="DF1900" s="891">
        <v>6</v>
      </c>
      <c r="DG1900" s="959"/>
      <c r="DH1900" s="959"/>
      <c r="ER1900" s="905">
        <v>7304</v>
      </c>
      <c r="ES1900" s="906" t="s">
        <v>1369</v>
      </c>
      <c r="ET1900" s="2686">
        <v>4</v>
      </c>
      <c r="EV1900" s="985"/>
      <c r="EW1900" s="985"/>
      <c r="EX1900" s="387"/>
      <c r="EY1900" s="939"/>
      <c r="EZ1900" s="886"/>
    </row>
    <row r="1901" spans="88:156">
      <c r="CJ1901" s="197"/>
      <c r="CK1901" s="197"/>
      <c r="CL1901" s="197"/>
      <c r="CM1901" s="213"/>
      <c r="CN1901" s="213"/>
      <c r="CO1901" s="197"/>
      <c r="CP1901" s="197"/>
      <c r="CQ1901" s="197"/>
      <c r="CR1901" s="197"/>
      <c r="CS1901" s="197"/>
      <c r="CT1901" s="197"/>
      <c r="CU1901" s="197"/>
      <c r="CV1901" s="197"/>
      <c r="CW1901" s="197"/>
      <c r="CX1901" s="959"/>
      <c r="CY1901" s="959"/>
      <c r="CZ1901" s="959"/>
      <c r="DA1901" s="959"/>
      <c r="DB1901" s="959"/>
      <c r="DC1901" s="891">
        <v>7068</v>
      </c>
      <c r="DD1901" s="891" t="s">
        <v>1449</v>
      </c>
      <c r="DE1901" s="891" t="s">
        <v>406</v>
      </c>
      <c r="DF1901" s="891">
        <v>6</v>
      </c>
      <c r="DG1901" s="959"/>
      <c r="DH1901" s="959"/>
      <c r="ER1901" s="905">
        <v>7305</v>
      </c>
      <c r="ES1901" s="905" t="s">
        <v>3930</v>
      </c>
      <c r="ET1901" s="2686">
        <v>4</v>
      </c>
      <c r="EV1901" s="985"/>
      <c r="EW1901" s="985"/>
      <c r="EX1901" s="387"/>
      <c r="EY1901" s="939"/>
      <c r="EZ1901" s="886"/>
    </row>
    <row r="1902" spans="88:156">
      <c r="CJ1902" s="197"/>
      <c r="CK1902" s="197"/>
      <c r="CL1902" s="197"/>
      <c r="CM1902" s="213"/>
      <c r="CN1902" s="213"/>
      <c r="CO1902" s="197"/>
      <c r="CP1902" s="197"/>
      <c r="CQ1902" s="197"/>
      <c r="CR1902" s="197"/>
      <c r="CS1902" s="197"/>
      <c r="CT1902" s="197"/>
      <c r="CU1902" s="197"/>
      <c r="CV1902" s="197"/>
      <c r="CW1902" s="197"/>
      <c r="CX1902" s="959"/>
      <c r="CY1902" s="959"/>
      <c r="CZ1902" s="959"/>
      <c r="DA1902" s="959"/>
      <c r="DB1902" s="959"/>
      <c r="DC1902" s="891">
        <v>7071</v>
      </c>
      <c r="DD1902" s="891" t="s">
        <v>1450</v>
      </c>
      <c r="DE1902" s="891" t="s">
        <v>435</v>
      </c>
      <c r="DF1902" s="891">
        <v>6</v>
      </c>
      <c r="DG1902" s="959"/>
      <c r="DH1902" s="959"/>
      <c r="ER1902" s="905">
        <v>7331</v>
      </c>
      <c r="ES1902" s="906" t="s">
        <v>3933</v>
      </c>
      <c r="ET1902" s="2686">
        <v>4</v>
      </c>
      <c r="EV1902" s="985"/>
      <c r="EW1902" s="985"/>
      <c r="EX1902" s="387"/>
      <c r="EY1902" s="939"/>
      <c r="EZ1902" s="886"/>
    </row>
    <row r="1903" spans="88:156">
      <c r="CJ1903" s="197"/>
      <c r="CK1903" s="197"/>
      <c r="CL1903" s="197"/>
      <c r="CM1903" s="213"/>
      <c r="CN1903" s="213"/>
      <c r="CO1903" s="197"/>
      <c r="CP1903" s="197"/>
      <c r="CQ1903" s="197"/>
      <c r="CR1903" s="197"/>
      <c r="CS1903" s="197"/>
      <c r="CT1903" s="197"/>
      <c r="CU1903" s="197"/>
      <c r="CV1903" s="197"/>
      <c r="CW1903" s="197"/>
      <c r="CX1903" s="959"/>
      <c r="CY1903" s="959"/>
      <c r="CZ1903" s="959"/>
      <c r="DA1903" s="959"/>
      <c r="DB1903" s="959"/>
      <c r="DC1903" s="891">
        <v>7072</v>
      </c>
      <c r="DD1903" s="891" t="s">
        <v>1451</v>
      </c>
      <c r="DE1903" s="891" t="s">
        <v>431</v>
      </c>
      <c r="DF1903" s="891">
        <v>6</v>
      </c>
      <c r="DG1903" s="959"/>
      <c r="DH1903" s="959"/>
      <c r="ER1903" s="905">
        <v>7332</v>
      </c>
      <c r="ES1903" s="906" t="s">
        <v>3934</v>
      </c>
      <c r="ET1903" s="2686">
        <v>4</v>
      </c>
      <c r="EV1903" s="985"/>
      <c r="EW1903" s="985"/>
      <c r="EX1903" s="387"/>
      <c r="EY1903" s="939"/>
      <c r="EZ1903" s="886"/>
    </row>
    <row r="1904" spans="88:156">
      <c r="CJ1904" s="197"/>
      <c r="CK1904" s="197"/>
      <c r="CL1904" s="197"/>
      <c r="CM1904" s="213"/>
      <c r="CN1904" s="213"/>
      <c r="CO1904" s="197"/>
      <c r="CP1904" s="197"/>
      <c r="CQ1904" s="197"/>
      <c r="CR1904" s="197"/>
      <c r="CS1904" s="197"/>
      <c r="CT1904" s="197"/>
      <c r="CU1904" s="197"/>
      <c r="CV1904" s="197"/>
      <c r="CW1904" s="197"/>
      <c r="CX1904" s="959"/>
      <c r="CY1904" s="959"/>
      <c r="CZ1904" s="959"/>
      <c r="DA1904" s="959"/>
      <c r="DB1904" s="959"/>
      <c r="DC1904" s="891">
        <v>7081</v>
      </c>
      <c r="DD1904" s="891" t="s">
        <v>1452</v>
      </c>
      <c r="DE1904" s="891" t="s">
        <v>421</v>
      </c>
      <c r="DF1904" s="891">
        <v>6</v>
      </c>
      <c r="DG1904" s="959"/>
      <c r="DH1904" s="959"/>
      <c r="ER1904" s="905">
        <v>7333</v>
      </c>
      <c r="ES1904" s="906" t="s">
        <v>1370</v>
      </c>
      <c r="ET1904" s="2686">
        <v>9</v>
      </c>
      <c r="EV1904" s="985"/>
      <c r="EW1904" s="985"/>
      <c r="EX1904" s="387"/>
      <c r="EY1904" s="939"/>
      <c r="EZ1904" s="886"/>
    </row>
    <row r="1905" spans="88:156">
      <c r="CJ1905" s="197"/>
      <c r="CK1905" s="197"/>
      <c r="CL1905" s="197"/>
      <c r="CM1905" s="213"/>
      <c r="CN1905" s="213"/>
      <c r="CO1905" s="197"/>
      <c r="CP1905" s="197"/>
      <c r="CQ1905" s="197"/>
      <c r="CR1905" s="197"/>
      <c r="CS1905" s="197"/>
      <c r="CT1905" s="197"/>
      <c r="CU1905" s="197"/>
      <c r="CV1905" s="197"/>
      <c r="CW1905" s="197"/>
      <c r="CX1905" s="959"/>
      <c r="CY1905" s="959"/>
      <c r="CZ1905" s="959"/>
      <c r="DA1905" s="959"/>
      <c r="DB1905" s="959"/>
      <c r="DC1905" s="891">
        <v>7082</v>
      </c>
      <c r="DD1905" s="891" t="s">
        <v>1453</v>
      </c>
      <c r="DE1905" s="891" t="s">
        <v>427</v>
      </c>
      <c r="DF1905" s="891">
        <v>6</v>
      </c>
      <c r="DG1905" s="959"/>
      <c r="DH1905" s="959"/>
      <c r="ER1905" s="905">
        <v>7333</v>
      </c>
      <c r="ES1905" s="906" t="s">
        <v>3935</v>
      </c>
      <c r="ET1905" s="2686">
        <v>9</v>
      </c>
      <c r="EV1905" s="985"/>
      <c r="EW1905" s="985"/>
      <c r="EX1905" s="387"/>
      <c r="EY1905" s="939"/>
      <c r="EZ1905" s="886"/>
    </row>
    <row r="1906" spans="88:156">
      <c r="CJ1906" s="197"/>
      <c r="CK1906" s="197"/>
      <c r="CL1906" s="197"/>
      <c r="CM1906" s="213"/>
      <c r="CN1906" s="213"/>
      <c r="CO1906" s="197"/>
      <c r="CP1906" s="197"/>
      <c r="CQ1906" s="197"/>
      <c r="CR1906" s="197"/>
      <c r="CS1906" s="197"/>
      <c r="CT1906" s="197"/>
      <c r="CU1906" s="197"/>
      <c r="CV1906" s="197"/>
      <c r="CW1906" s="197"/>
      <c r="CX1906" s="959"/>
      <c r="CY1906" s="959"/>
      <c r="CZ1906" s="959"/>
      <c r="DA1906" s="959"/>
      <c r="DB1906" s="959"/>
      <c r="DC1906" s="891">
        <v>7083</v>
      </c>
      <c r="DD1906" s="891" t="s">
        <v>1454</v>
      </c>
      <c r="DE1906" s="891" t="s">
        <v>435</v>
      </c>
      <c r="DF1906" s="891">
        <v>6</v>
      </c>
      <c r="DG1906" s="959"/>
      <c r="DH1906" s="959"/>
      <c r="ER1906" s="905">
        <v>7334</v>
      </c>
      <c r="ES1906" s="906" t="s">
        <v>1371</v>
      </c>
      <c r="ET1906" s="2686">
        <v>9</v>
      </c>
      <c r="EV1906" s="985"/>
      <c r="EW1906" s="985"/>
      <c r="EX1906" s="387"/>
      <c r="EY1906" s="939"/>
      <c r="EZ1906" s="886"/>
    </row>
    <row r="1907" spans="88:156">
      <c r="CJ1907" s="197"/>
      <c r="CK1907" s="197"/>
      <c r="CL1907" s="197"/>
      <c r="CM1907" s="213"/>
      <c r="CN1907" s="213"/>
      <c r="CO1907" s="197"/>
      <c r="CP1907" s="197"/>
      <c r="CQ1907" s="197"/>
      <c r="CR1907" s="197"/>
      <c r="CS1907" s="197"/>
      <c r="CT1907" s="197"/>
      <c r="CU1907" s="197"/>
      <c r="CV1907" s="197"/>
      <c r="CW1907" s="197"/>
      <c r="CX1907" s="959"/>
      <c r="CY1907" s="959"/>
      <c r="CZ1907" s="959"/>
      <c r="DA1907" s="959"/>
      <c r="DB1907" s="959"/>
      <c r="DC1907" s="891">
        <v>7084</v>
      </c>
      <c r="DD1907" s="891" t="s">
        <v>1455</v>
      </c>
      <c r="DE1907" s="891" t="s">
        <v>428</v>
      </c>
      <c r="DF1907" s="891">
        <v>6</v>
      </c>
      <c r="DG1907" s="959"/>
      <c r="DH1907" s="959"/>
      <c r="ER1907" s="905">
        <v>7334</v>
      </c>
      <c r="ES1907" s="906" t="s">
        <v>3936</v>
      </c>
      <c r="ET1907" s="2686">
        <v>9</v>
      </c>
      <c r="EV1907" s="985"/>
      <c r="EW1907" s="985"/>
      <c r="EX1907" s="387"/>
      <c r="EY1907" s="939"/>
      <c r="EZ1907" s="886"/>
    </row>
    <row r="1908" spans="88:156">
      <c r="CJ1908" s="197"/>
      <c r="CK1908" s="197"/>
      <c r="CL1908" s="197"/>
      <c r="CM1908" s="213"/>
      <c r="CN1908" s="213"/>
      <c r="CO1908" s="197"/>
      <c r="CP1908" s="197"/>
      <c r="CQ1908" s="197"/>
      <c r="CR1908" s="197"/>
      <c r="CS1908" s="197"/>
      <c r="CT1908" s="197"/>
      <c r="CU1908" s="197"/>
      <c r="CV1908" s="197"/>
      <c r="CW1908" s="197"/>
      <c r="CX1908" s="959"/>
      <c r="CY1908" s="959"/>
      <c r="CZ1908" s="959"/>
      <c r="DA1908" s="959"/>
      <c r="DB1908" s="959"/>
      <c r="DC1908" s="891">
        <v>7085</v>
      </c>
      <c r="DD1908" s="891" t="s">
        <v>1456</v>
      </c>
      <c r="DE1908" s="891" t="s">
        <v>406</v>
      </c>
      <c r="DF1908" s="891">
        <v>6</v>
      </c>
      <c r="DG1908" s="959"/>
      <c r="DH1908" s="959"/>
      <c r="ER1908" s="905">
        <v>7341</v>
      </c>
      <c r="ES1908" s="906" t="s">
        <v>3937</v>
      </c>
      <c r="ET1908" s="2686">
        <v>9</v>
      </c>
      <c r="EV1908" s="985"/>
      <c r="EW1908" s="985"/>
      <c r="EX1908" s="387"/>
      <c r="EY1908" s="939"/>
      <c r="EZ1908" s="886"/>
    </row>
    <row r="1909" spans="88:156">
      <c r="CJ1909" s="197"/>
      <c r="CK1909" s="197"/>
      <c r="CL1909" s="197"/>
      <c r="CM1909" s="213"/>
      <c r="CN1909" s="213"/>
      <c r="CO1909" s="197"/>
      <c r="CP1909" s="197"/>
      <c r="CQ1909" s="197"/>
      <c r="CR1909" s="197"/>
      <c r="CS1909" s="197"/>
      <c r="CT1909" s="197"/>
      <c r="CU1909" s="197"/>
      <c r="CV1909" s="197"/>
      <c r="CW1909" s="197"/>
      <c r="CX1909" s="959"/>
      <c r="CY1909" s="959"/>
      <c r="CZ1909" s="959"/>
      <c r="DA1909" s="959"/>
      <c r="DB1909" s="959"/>
      <c r="DC1909" s="891">
        <v>7086</v>
      </c>
      <c r="DD1909" s="891" t="s">
        <v>1457</v>
      </c>
      <c r="DE1909" s="891" t="s">
        <v>432</v>
      </c>
      <c r="DF1909" s="891">
        <v>6</v>
      </c>
      <c r="DG1909" s="959"/>
      <c r="DH1909" s="959"/>
      <c r="ER1909" s="905">
        <v>7342</v>
      </c>
      <c r="ES1909" s="906" t="s">
        <v>3938</v>
      </c>
      <c r="ET1909" s="2686">
        <v>9</v>
      </c>
      <c r="EV1909" s="985"/>
      <c r="EW1909" s="985"/>
      <c r="EX1909" s="387"/>
      <c r="EY1909" s="939"/>
      <c r="EZ1909" s="886"/>
    </row>
    <row r="1910" spans="88:156">
      <c r="CJ1910" s="197"/>
      <c r="CK1910" s="197"/>
      <c r="CL1910" s="197"/>
      <c r="CM1910" s="213"/>
      <c r="CN1910" s="213"/>
      <c r="CO1910" s="197"/>
      <c r="CP1910" s="197"/>
      <c r="CQ1910" s="197"/>
      <c r="CR1910" s="197"/>
      <c r="CS1910" s="197"/>
      <c r="CT1910" s="197"/>
      <c r="CU1910" s="197"/>
      <c r="CV1910" s="197"/>
      <c r="CW1910" s="197"/>
      <c r="CX1910" s="959"/>
      <c r="CY1910" s="959"/>
      <c r="CZ1910" s="959"/>
      <c r="DA1910" s="959"/>
      <c r="DB1910" s="959"/>
      <c r="DC1910" s="891">
        <v>7087</v>
      </c>
      <c r="DD1910" s="891" t="s">
        <v>1458</v>
      </c>
      <c r="DE1910" s="891" t="s">
        <v>419</v>
      </c>
      <c r="DF1910" s="891">
        <v>6</v>
      </c>
      <c r="DG1910" s="959"/>
      <c r="DH1910" s="959"/>
      <c r="ER1910" s="905">
        <v>7343</v>
      </c>
      <c r="ES1910" s="906" t="s">
        <v>3939</v>
      </c>
      <c r="ET1910" s="2686">
        <v>9</v>
      </c>
      <c r="EV1910" s="985"/>
      <c r="EW1910" s="985"/>
      <c r="EX1910" s="387"/>
      <c r="EY1910" s="939"/>
      <c r="EZ1910" s="886"/>
    </row>
    <row r="1911" spans="88:156">
      <c r="CJ1911" s="197"/>
      <c r="CK1911" s="197"/>
      <c r="CL1911" s="197"/>
      <c r="CM1911" s="213"/>
      <c r="CN1911" s="213"/>
      <c r="CO1911" s="197"/>
      <c r="CP1911" s="197"/>
      <c r="CQ1911" s="197"/>
      <c r="CR1911" s="197"/>
      <c r="CS1911" s="197"/>
      <c r="CT1911" s="197"/>
      <c r="CU1911" s="197"/>
      <c r="CV1911" s="197"/>
      <c r="CW1911" s="197"/>
      <c r="CX1911" s="959"/>
      <c r="CY1911" s="959"/>
      <c r="CZ1911" s="959"/>
      <c r="DA1911" s="959"/>
      <c r="DB1911" s="959"/>
      <c r="DC1911" s="891">
        <v>7090</v>
      </c>
      <c r="DD1911" s="891" t="s">
        <v>1459</v>
      </c>
      <c r="DE1911" s="891" t="s">
        <v>431</v>
      </c>
      <c r="DF1911" s="891">
        <v>6</v>
      </c>
      <c r="DG1911" s="959"/>
      <c r="DH1911" s="959"/>
      <c r="ER1911" s="905">
        <v>7344</v>
      </c>
      <c r="ES1911" s="906" t="s">
        <v>3940</v>
      </c>
      <c r="ET1911" s="2686">
        <v>9</v>
      </c>
      <c r="EV1911" s="985"/>
      <c r="EW1911" s="985"/>
      <c r="EX1911" s="387"/>
      <c r="EY1911" s="939"/>
      <c r="EZ1911" s="886"/>
    </row>
    <row r="1912" spans="88:156">
      <c r="CJ1912" s="197"/>
      <c r="CK1912" s="197"/>
      <c r="CL1912" s="197"/>
      <c r="CM1912" s="213"/>
      <c r="CN1912" s="213"/>
      <c r="CO1912" s="197"/>
      <c r="CP1912" s="197"/>
      <c r="CQ1912" s="197"/>
      <c r="CR1912" s="197"/>
      <c r="CS1912" s="197"/>
      <c r="CT1912" s="197"/>
      <c r="CU1912" s="197"/>
      <c r="CV1912" s="197"/>
      <c r="CW1912" s="197"/>
      <c r="CX1912" s="959"/>
      <c r="CY1912" s="959"/>
      <c r="CZ1912" s="959"/>
      <c r="DA1912" s="959"/>
      <c r="DB1912" s="959"/>
      <c r="DC1912" s="891">
        <v>7091</v>
      </c>
      <c r="DD1912" s="891" t="s">
        <v>1460</v>
      </c>
      <c r="DE1912" s="891" t="s">
        <v>420</v>
      </c>
      <c r="DF1912" s="891">
        <v>6</v>
      </c>
      <c r="DG1912" s="959"/>
      <c r="DH1912" s="959"/>
      <c r="ER1912" s="905">
        <v>7345</v>
      </c>
      <c r="ES1912" s="906" t="s">
        <v>3941</v>
      </c>
      <c r="ET1912" s="2686">
        <v>9</v>
      </c>
      <c r="EV1912" s="985"/>
      <c r="EW1912" s="985"/>
      <c r="EX1912" s="387"/>
      <c r="EY1912" s="939"/>
      <c r="EZ1912" s="886"/>
    </row>
    <row r="1913" spans="88:156">
      <c r="CJ1913" s="197"/>
      <c r="CK1913" s="197"/>
      <c r="CL1913" s="197"/>
      <c r="CM1913" s="213"/>
      <c r="CN1913" s="213"/>
      <c r="CO1913" s="197"/>
      <c r="CP1913" s="197"/>
      <c r="CQ1913" s="197"/>
      <c r="CR1913" s="197"/>
      <c r="CS1913" s="197"/>
      <c r="CT1913" s="197"/>
      <c r="CU1913" s="197"/>
      <c r="CV1913" s="197"/>
      <c r="CW1913" s="197"/>
      <c r="CX1913" s="959"/>
      <c r="CY1913" s="959"/>
      <c r="CZ1913" s="959"/>
      <c r="DA1913" s="959"/>
      <c r="DB1913" s="959"/>
      <c r="DC1913" s="891">
        <v>7092</v>
      </c>
      <c r="DD1913" s="891" t="s">
        <v>1461</v>
      </c>
      <c r="DE1913" s="891" t="s">
        <v>418</v>
      </c>
      <c r="DF1913" s="891">
        <v>6</v>
      </c>
      <c r="DG1913" s="959"/>
      <c r="DH1913" s="959"/>
      <c r="ER1913" s="905">
        <v>7346</v>
      </c>
      <c r="ES1913" s="906" t="s">
        <v>3942</v>
      </c>
      <c r="ET1913" s="2686">
        <v>9</v>
      </c>
      <c r="EV1913" s="985"/>
      <c r="EW1913" s="985"/>
      <c r="EX1913" s="387"/>
      <c r="EY1913" s="939"/>
      <c r="EZ1913" s="886"/>
    </row>
    <row r="1914" spans="88:156">
      <c r="CJ1914" s="197"/>
      <c r="CK1914" s="197"/>
      <c r="CL1914" s="197"/>
      <c r="CM1914" s="213"/>
      <c r="CN1914" s="213"/>
      <c r="CO1914" s="197"/>
      <c r="CP1914" s="197"/>
      <c r="CQ1914" s="197"/>
      <c r="CR1914" s="197"/>
      <c r="CS1914" s="197"/>
      <c r="CT1914" s="197"/>
      <c r="CU1914" s="197"/>
      <c r="CV1914" s="197"/>
      <c r="CW1914" s="197"/>
      <c r="CX1914" s="959"/>
      <c r="CY1914" s="959"/>
      <c r="CZ1914" s="959"/>
      <c r="DA1914" s="959"/>
      <c r="DB1914" s="959"/>
      <c r="DC1914" s="891">
        <v>7093</v>
      </c>
      <c r="DD1914" s="891" t="s">
        <v>1462</v>
      </c>
      <c r="DE1914" s="891" t="s">
        <v>435</v>
      </c>
      <c r="DF1914" s="891">
        <v>6</v>
      </c>
      <c r="DG1914" s="959"/>
      <c r="DH1914" s="959"/>
      <c r="ER1914" s="905">
        <v>7347</v>
      </c>
      <c r="ES1914" s="906" t="s">
        <v>3943</v>
      </c>
      <c r="ET1914" s="2686">
        <v>9</v>
      </c>
      <c r="EV1914" s="985"/>
      <c r="EW1914" s="985"/>
      <c r="EX1914" s="387"/>
      <c r="EY1914" s="939"/>
      <c r="EZ1914" s="886"/>
    </row>
    <row r="1915" spans="88:156">
      <c r="CJ1915" s="197"/>
      <c r="CK1915" s="197"/>
      <c r="CL1915" s="197"/>
      <c r="CM1915" s="213"/>
      <c r="CN1915" s="213"/>
      <c r="CO1915" s="197"/>
      <c r="CP1915" s="197"/>
      <c r="CQ1915" s="197"/>
      <c r="CR1915" s="197"/>
      <c r="CS1915" s="197"/>
      <c r="CT1915" s="197"/>
      <c r="CU1915" s="197"/>
      <c r="CV1915" s="197"/>
      <c r="CW1915" s="197"/>
      <c r="CX1915" s="959"/>
      <c r="CY1915" s="959"/>
      <c r="CZ1915" s="959"/>
      <c r="DA1915" s="959"/>
      <c r="DB1915" s="959"/>
      <c r="DC1915" s="891">
        <v>7094</v>
      </c>
      <c r="DD1915" s="891" t="s">
        <v>1463</v>
      </c>
      <c r="DE1915" s="891" t="s">
        <v>428</v>
      </c>
      <c r="DF1915" s="891">
        <v>6</v>
      </c>
      <c r="DG1915" s="959"/>
      <c r="DH1915" s="959"/>
      <c r="ER1915" s="905">
        <v>7348</v>
      </c>
      <c r="ES1915" s="906" t="s">
        <v>1372</v>
      </c>
      <c r="ET1915" s="2686">
        <v>9</v>
      </c>
      <c r="EV1915" s="985"/>
      <c r="EW1915" s="985"/>
      <c r="EX1915" s="387"/>
      <c r="EY1915" s="939"/>
      <c r="EZ1915" s="886"/>
    </row>
    <row r="1916" spans="88:156">
      <c r="CJ1916" s="197"/>
      <c r="CK1916" s="197"/>
      <c r="CL1916" s="197"/>
      <c r="CM1916" s="213"/>
      <c r="CN1916" s="213"/>
      <c r="CO1916" s="197"/>
      <c r="CP1916" s="197"/>
      <c r="CQ1916" s="197"/>
      <c r="CR1916" s="197"/>
      <c r="CS1916" s="197"/>
      <c r="CT1916" s="197"/>
      <c r="CU1916" s="197"/>
      <c r="CV1916" s="197"/>
      <c r="CW1916" s="197"/>
      <c r="CX1916" s="959"/>
      <c r="CY1916" s="959"/>
      <c r="CZ1916" s="959"/>
      <c r="DA1916" s="959"/>
      <c r="DB1916" s="959"/>
      <c r="DC1916" s="891">
        <v>7095</v>
      </c>
      <c r="DD1916" s="891" t="s">
        <v>1464</v>
      </c>
      <c r="DE1916" s="891" t="s">
        <v>418</v>
      </c>
      <c r="DF1916" s="891">
        <v>6</v>
      </c>
      <c r="DG1916" s="959"/>
      <c r="DH1916" s="959"/>
      <c r="ER1916" s="905">
        <v>7348</v>
      </c>
      <c r="ES1916" s="906" t="s">
        <v>3944</v>
      </c>
      <c r="ET1916" s="2686">
        <v>9</v>
      </c>
      <c r="EV1916" s="985"/>
      <c r="EW1916" s="985"/>
      <c r="EX1916" s="387"/>
      <c r="EY1916" s="939"/>
      <c r="EZ1916" s="886"/>
    </row>
    <row r="1917" spans="88:156">
      <c r="CJ1917" s="197"/>
      <c r="CK1917" s="197"/>
      <c r="CL1917" s="197"/>
      <c r="CM1917" s="213"/>
      <c r="CN1917" s="213"/>
      <c r="CO1917" s="197"/>
      <c r="CP1917" s="197"/>
      <c r="CQ1917" s="197"/>
      <c r="CR1917" s="197"/>
      <c r="CS1917" s="197"/>
      <c r="CT1917" s="197"/>
      <c r="CU1917" s="197"/>
      <c r="CV1917" s="197"/>
      <c r="CW1917" s="197"/>
      <c r="CX1917" s="959"/>
      <c r="CY1917" s="959"/>
      <c r="CZ1917" s="959"/>
      <c r="DA1917" s="959"/>
      <c r="DB1917" s="959"/>
      <c r="DC1917" s="891">
        <v>7097</v>
      </c>
      <c r="DD1917" s="891" t="s">
        <v>1465</v>
      </c>
      <c r="DE1917" s="891" t="s">
        <v>434</v>
      </c>
      <c r="DF1917" s="891">
        <v>6</v>
      </c>
      <c r="DG1917" s="959"/>
      <c r="DH1917" s="959"/>
      <c r="ER1917" s="905">
        <v>7349</v>
      </c>
      <c r="ES1917" s="906" t="s">
        <v>3945</v>
      </c>
      <c r="ET1917" s="2686">
        <v>9</v>
      </c>
      <c r="EV1917" s="985"/>
      <c r="EW1917" s="985"/>
      <c r="EX1917" s="387"/>
      <c r="EY1917" s="939"/>
      <c r="EZ1917" s="886"/>
    </row>
    <row r="1918" spans="88:156">
      <c r="CJ1918" s="197"/>
      <c r="CK1918" s="197"/>
      <c r="CL1918" s="197"/>
      <c r="CM1918" s="213"/>
      <c r="CN1918" s="213"/>
      <c r="CO1918" s="197"/>
      <c r="CP1918" s="197"/>
      <c r="CQ1918" s="197"/>
      <c r="CR1918" s="197"/>
      <c r="CS1918" s="197"/>
      <c r="CT1918" s="197"/>
      <c r="CU1918" s="197"/>
      <c r="CV1918" s="197"/>
      <c r="CW1918" s="197"/>
      <c r="CX1918" s="959"/>
      <c r="CY1918" s="959"/>
      <c r="CZ1918" s="959"/>
      <c r="DA1918" s="959"/>
      <c r="DB1918" s="959"/>
      <c r="DC1918" s="891">
        <v>7098</v>
      </c>
      <c r="DD1918" s="891" t="s">
        <v>1466</v>
      </c>
      <c r="DE1918" s="891" t="s">
        <v>419</v>
      </c>
      <c r="DF1918" s="891">
        <v>6</v>
      </c>
      <c r="DG1918" s="959"/>
      <c r="DH1918" s="959"/>
      <c r="ER1918" s="905">
        <v>7351</v>
      </c>
      <c r="ES1918" s="906" t="s">
        <v>1373</v>
      </c>
      <c r="ET1918" s="2686">
        <v>9</v>
      </c>
      <c r="EV1918" s="985"/>
      <c r="EW1918" s="985"/>
      <c r="EX1918" s="387"/>
      <c r="EY1918" s="939"/>
      <c r="EZ1918" s="886"/>
    </row>
    <row r="1919" spans="88:156">
      <c r="CJ1919" s="197"/>
      <c r="CK1919" s="197"/>
      <c r="CL1919" s="197"/>
      <c r="CM1919" s="213"/>
      <c r="CN1919" s="213"/>
      <c r="CO1919" s="197"/>
      <c r="CP1919" s="197"/>
      <c r="CQ1919" s="197"/>
      <c r="CR1919" s="197"/>
      <c r="CS1919" s="197"/>
      <c r="CT1919" s="197"/>
      <c r="CU1919" s="197"/>
      <c r="CV1919" s="197"/>
      <c r="CW1919" s="197"/>
      <c r="CX1919" s="959"/>
      <c r="CY1919" s="959"/>
      <c r="CZ1919" s="959"/>
      <c r="DA1919" s="959"/>
      <c r="DB1919" s="959"/>
      <c r="DC1919" s="891">
        <v>7099</v>
      </c>
      <c r="DD1919" s="891" t="s">
        <v>1467</v>
      </c>
      <c r="DE1919" s="891" t="s">
        <v>434</v>
      </c>
      <c r="DF1919" s="891">
        <v>6</v>
      </c>
      <c r="DG1919" s="959"/>
      <c r="DH1919" s="959"/>
      <c r="ER1919" s="905">
        <v>7352</v>
      </c>
      <c r="ES1919" s="906" t="s">
        <v>3947</v>
      </c>
      <c r="ET1919" s="2686">
        <v>9</v>
      </c>
      <c r="EV1919" s="985"/>
      <c r="EW1919" s="985"/>
      <c r="EX1919" s="387"/>
      <c r="EY1919" s="939"/>
      <c r="EZ1919" s="886"/>
    </row>
    <row r="1920" spans="88:156">
      <c r="CJ1920" s="197"/>
      <c r="CK1920" s="197"/>
      <c r="CL1920" s="197"/>
      <c r="CM1920" s="213"/>
      <c r="CN1920" s="213"/>
      <c r="CO1920" s="197"/>
      <c r="CP1920" s="197"/>
      <c r="CQ1920" s="197"/>
      <c r="CR1920" s="197"/>
      <c r="CS1920" s="197"/>
      <c r="CT1920" s="197"/>
      <c r="CU1920" s="197"/>
      <c r="CV1920" s="197"/>
      <c r="CW1920" s="197"/>
      <c r="CX1920" s="959"/>
      <c r="CY1920" s="959"/>
      <c r="CZ1920" s="959"/>
      <c r="DA1920" s="959"/>
      <c r="DB1920" s="959"/>
      <c r="DC1920" s="891">
        <v>7100</v>
      </c>
      <c r="DD1920" s="891" t="s">
        <v>1468</v>
      </c>
      <c r="DE1920" s="891" t="s">
        <v>420</v>
      </c>
      <c r="DF1920" s="891">
        <v>5</v>
      </c>
      <c r="DG1920" s="959"/>
      <c r="DH1920" s="959"/>
      <c r="ER1920" s="905">
        <v>7353</v>
      </c>
      <c r="ES1920" s="906" t="s">
        <v>3948</v>
      </c>
      <c r="ET1920" s="2686">
        <v>9</v>
      </c>
      <c r="EV1920" s="985"/>
      <c r="EW1920" s="985"/>
      <c r="EX1920" s="387"/>
      <c r="EY1920" s="939"/>
      <c r="EZ1920" s="886"/>
    </row>
    <row r="1921" spans="88:156">
      <c r="CJ1921" s="197"/>
      <c r="CK1921" s="197"/>
      <c r="CL1921" s="197"/>
      <c r="CM1921" s="213"/>
      <c r="CN1921" s="213"/>
      <c r="CO1921" s="197"/>
      <c r="CP1921" s="197"/>
      <c r="CQ1921" s="197"/>
      <c r="CR1921" s="197"/>
      <c r="CS1921" s="197"/>
      <c r="CT1921" s="197"/>
      <c r="CU1921" s="197"/>
      <c r="CV1921" s="197"/>
      <c r="CW1921" s="197"/>
      <c r="CX1921" s="959"/>
      <c r="CY1921" s="959"/>
      <c r="CZ1921" s="959"/>
      <c r="DA1921" s="959"/>
      <c r="DB1921" s="959"/>
      <c r="DC1921" s="891">
        <v>7121</v>
      </c>
      <c r="DD1921" s="891" t="s">
        <v>1469</v>
      </c>
      <c r="DE1921" s="891" t="s">
        <v>420</v>
      </c>
      <c r="DF1921" s="891">
        <v>5</v>
      </c>
      <c r="DG1921" s="959"/>
      <c r="DH1921" s="959"/>
      <c r="ER1921" s="905">
        <v>7354</v>
      </c>
      <c r="ES1921" s="906" t="s">
        <v>3949</v>
      </c>
      <c r="ET1921" s="2686">
        <v>9</v>
      </c>
      <c r="EV1921" s="985"/>
      <c r="EW1921" s="985"/>
      <c r="EX1921" s="387"/>
      <c r="EY1921" s="939"/>
      <c r="EZ1921" s="886"/>
    </row>
    <row r="1922" spans="88:156">
      <c r="CJ1922" s="197"/>
      <c r="CK1922" s="197"/>
      <c r="CL1922" s="197"/>
      <c r="CM1922" s="213"/>
      <c r="CN1922" s="213"/>
      <c r="CO1922" s="197"/>
      <c r="CP1922" s="197"/>
      <c r="CQ1922" s="197"/>
      <c r="CR1922" s="197"/>
      <c r="CS1922" s="197"/>
      <c r="CT1922" s="197"/>
      <c r="CU1922" s="197"/>
      <c r="CV1922" s="197"/>
      <c r="CW1922" s="197"/>
      <c r="CX1922" s="959"/>
      <c r="CY1922" s="959"/>
      <c r="CZ1922" s="959"/>
      <c r="DA1922" s="959"/>
      <c r="DB1922" s="959"/>
      <c r="DC1922" s="891">
        <v>7122</v>
      </c>
      <c r="DD1922" s="891" t="s">
        <v>1470</v>
      </c>
      <c r="DE1922" s="891" t="s">
        <v>420</v>
      </c>
      <c r="DF1922" s="891">
        <v>5</v>
      </c>
      <c r="DG1922" s="959"/>
      <c r="DH1922" s="959"/>
      <c r="ER1922" s="905">
        <v>7355</v>
      </c>
      <c r="ES1922" s="906" t="s">
        <v>3950</v>
      </c>
      <c r="ET1922" s="2686">
        <v>9</v>
      </c>
      <c r="EV1922" s="985"/>
      <c r="EW1922" s="985"/>
      <c r="EX1922" s="387"/>
      <c r="EY1922" s="939"/>
      <c r="EZ1922" s="886"/>
    </row>
    <row r="1923" spans="88:156">
      <c r="CJ1923" s="197"/>
      <c r="CK1923" s="197"/>
      <c r="CL1923" s="197"/>
      <c r="CM1923" s="213"/>
      <c r="CN1923" s="213"/>
      <c r="CO1923" s="197"/>
      <c r="CP1923" s="197"/>
      <c r="CQ1923" s="197"/>
      <c r="CR1923" s="197"/>
      <c r="CS1923" s="197"/>
      <c r="CT1923" s="197"/>
      <c r="CU1923" s="197"/>
      <c r="CV1923" s="197"/>
      <c r="CW1923" s="197"/>
      <c r="CX1923" s="959"/>
      <c r="CY1923" s="959"/>
      <c r="CZ1923" s="959"/>
      <c r="DA1923" s="959"/>
      <c r="DB1923" s="959"/>
      <c r="DC1923" s="891">
        <v>7130</v>
      </c>
      <c r="DD1923" s="891" t="s">
        <v>435</v>
      </c>
      <c r="DE1923" s="891" t="s">
        <v>420</v>
      </c>
      <c r="DF1923" s="891">
        <v>5</v>
      </c>
      <c r="DG1923" s="959"/>
      <c r="DH1923" s="959"/>
      <c r="ER1923" s="905">
        <v>7356</v>
      </c>
      <c r="ES1923" s="906" t="s">
        <v>3951</v>
      </c>
      <c r="ET1923" s="2686">
        <v>9</v>
      </c>
      <c r="EV1923" s="985"/>
      <c r="EW1923" s="985"/>
      <c r="EX1923" s="387"/>
      <c r="EY1923" s="939"/>
      <c r="EZ1923" s="886"/>
    </row>
    <row r="1924" spans="88:156">
      <c r="CJ1924" s="197"/>
      <c r="CK1924" s="197"/>
      <c r="CL1924" s="197"/>
      <c r="CM1924" s="213"/>
      <c r="CN1924" s="213"/>
      <c r="CO1924" s="197"/>
      <c r="CP1924" s="197"/>
      <c r="CQ1924" s="197"/>
      <c r="CR1924" s="197"/>
      <c r="CS1924" s="197"/>
      <c r="CT1924" s="197"/>
      <c r="CU1924" s="197"/>
      <c r="CV1924" s="197"/>
      <c r="CW1924" s="197"/>
      <c r="CX1924" s="959"/>
      <c r="CY1924" s="959"/>
      <c r="CZ1924" s="959"/>
      <c r="DA1924" s="959"/>
      <c r="DB1924" s="959"/>
      <c r="DC1924" s="891">
        <v>7131</v>
      </c>
      <c r="DD1924" s="891" t="s">
        <v>1471</v>
      </c>
      <c r="DE1924" s="891" t="s">
        <v>420</v>
      </c>
      <c r="DF1924" s="891">
        <v>5</v>
      </c>
      <c r="DG1924" s="959"/>
      <c r="DH1924" s="959"/>
      <c r="ER1924" s="905">
        <v>7357</v>
      </c>
      <c r="ES1924" s="906" t="s">
        <v>3952</v>
      </c>
      <c r="ET1924" s="2686">
        <v>9</v>
      </c>
      <c r="EV1924" s="985"/>
      <c r="EW1924" s="985"/>
      <c r="EX1924" s="387"/>
      <c r="EY1924" s="939"/>
      <c r="EZ1924" s="886"/>
    </row>
    <row r="1925" spans="88:156">
      <c r="CJ1925" s="197"/>
      <c r="CK1925" s="197"/>
      <c r="CL1925" s="197"/>
      <c r="CM1925" s="213"/>
      <c r="CN1925" s="213"/>
      <c r="CO1925" s="197"/>
      <c r="CP1925" s="197"/>
      <c r="CQ1925" s="197"/>
      <c r="CR1925" s="197"/>
      <c r="CS1925" s="197"/>
      <c r="CT1925" s="197"/>
      <c r="CU1925" s="197"/>
      <c r="CV1925" s="197"/>
      <c r="CW1925" s="197"/>
      <c r="CX1925" s="959"/>
      <c r="CY1925" s="959"/>
      <c r="CZ1925" s="959"/>
      <c r="DA1925" s="959"/>
      <c r="DB1925" s="959"/>
      <c r="DC1925" s="891">
        <v>7132</v>
      </c>
      <c r="DD1925" s="891" t="s">
        <v>1472</v>
      </c>
      <c r="DE1925" s="891" t="s">
        <v>420</v>
      </c>
      <c r="DF1925" s="891">
        <v>5</v>
      </c>
      <c r="DG1925" s="959"/>
      <c r="DH1925" s="959"/>
      <c r="ER1925" s="905">
        <v>7361</v>
      </c>
      <c r="ES1925" s="906" t="s">
        <v>3953</v>
      </c>
      <c r="ET1925" s="2686">
        <v>9</v>
      </c>
      <c r="EV1925" s="985"/>
      <c r="EW1925" s="985"/>
      <c r="EX1925" s="387"/>
      <c r="EY1925" s="939"/>
      <c r="EZ1925" s="886"/>
    </row>
    <row r="1926" spans="88:156">
      <c r="CJ1926" s="197"/>
      <c r="CK1926" s="197"/>
      <c r="CL1926" s="197"/>
      <c r="CM1926" s="213"/>
      <c r="CN1926" s="213"/>
      <c r="CO1926" s="197"/>
      <c r="CP1926" s="197"/>
      <c r="CQ1926" s="197"/>
      <c r="CR1926" s="197"/>
      <c r="CS1926" s="197"/>
      <c r="CT1926" s="197"/>
      <c r="CU1926" s="197"/>
      <c r="CV1926" s="197"/>
      <c r="CW1926" s="197"/>
      <c r="CX1926" s="959"/>
      <c r="CY1926" s="959"/>
      <c r="CZ1926" s="959"/>
      <c r="DA1926" s="959"/>
      <c r="DB1926" s="959"/>
      <c r="DC1926" s="891">
        <v>7133</v>
      </c>
      <c r="DD1926" s="891" t="s">
        <v>1473</v>
      </c>
      <c r="DE1926" s="891" t="s">
        <v>420</v>
      </c>
      <c r="DF1926" s="891">
        <v>5</v>
      </c>
      <c r="DG1926" s="959"/>
      <c r="DH1926" s="959"/>
      <c r="ER1926" s="905">
        <v>7362</v>
      </c>
      <c r="ES1926" s="906" t="s">
        <v>1374</v>
      </c>
      <c r="ET1926" s="2686">
        <v>9</v>
      </c>
      <c r="EV1926" s="985"/>
      <c r="EW1926" s="985"/>
      <c r="EX1926" s="387"/>
      <c r="EY1926" s="939"/>
      <c r="EZ1926" s="886"/>
    </row>
    <row r="1927" spans="88:156">
      <c r="CJ1927" s="197"/>
      <c r="CK1927" s="197"/>
      <c r="CL1927" s="197"/>
      <c r="CM1927" s="213"/>
      <c r="CN1927" s="213"/>
      <c r="CO1927" s="197"/>
      <c r="CP1927" s="197"/>
      <c r="CQ1927" s="197"/>
      <c r="CR1927" s="197"/>
      <c r="CS1927" s="197"/>
      <c r="CT1927" s="197"/>
      <c r="CU1927" s="197"/>
      <c r="CV1927" s="197"/>
      <c r="CW1927" s="197"/>
      <c r="CX1927" s="959"/>
      <c r="CY1927" s="959"/>
      <c r="CZ1927" s="959"/>
      <c r="DA1927" s="959"/>
      <c r="DB1927" s="959"/>
      <c r="DC1927" s="891">
        <v>7134</v>
      </c>
      <c r="DD1927" s="891" t="s">
        <v>1474</v>
      </c>
      <c r="DE1927" s="891" t="s">
        <v>412</v>
      </c>
      <c r="DF1927" s="891">
        <v>6</v>
      </c>
      <c r="DG1927" s="959"/>
      <c r="DH1927" s="959"/>
      <c r="ER1927" s="905">
        <v>7362</v>
      </c>
      <c r="ES1927" s="906" t="s">
        <v>1375</v>
      </c>
      <c r="ET1927" s="2686">
        <v>9</v>
      </c>
      <c r="EV1927" s="985"/>
      <c r="EW1927" s="985"/>
      <c r="EX1927" s="387"/>
      <c r="EY1927" s="939"/>
      <c r="EZ1927" s="886"/>
    </row>
    <row r="1928" spans="88:156">
      <c r="CJ1928" s="197"/>
      <c r="CK1928" s="197"/>
      <c r="CL1928" s="197"/>
      <c r="CM1928" s="213"/>
      <c r="CN1928" s="213"/>
      <c r="CO1928" s="197"/>
      <c r="CP1928" s="197"/>
      <c r="CQ1928" s="197"/>
      <c r="CR1928" s="197"/>
      <c r="CS1928" s="197"/>
      <c r="CT1928" s="197"/>
      <c r="CU1928" s="197"/>
      <c r="CV1928" s="197"/>
      <c r="CW1928" s="197"/>
      <c r="CX1928" s="959"/>
      <c r="CY1928" s="959"/>
      <c r="CZ1928" s="959"/>
      <c r="DA1928" s="959"/>
      <c r="DB1928" s="959"/>
      <c r="DC1928" s="891">
        <v>7135</v>
      </c>
      <c r="DD1928" s="891" t="s">
        <v>1475</v>
      </c>
      <c r="DE1928" s="891" t="s">
        <v>406</v>
      </c>
      <c r="DF1928" s="891">
        <v>6</v>
      </c>
      <c r="DG1928" s="959"/>
      <c r="DH1928" s="959"/>
      <c r="ER1928" s="905">
        <v>7362</v>
      </c>
      <c r="ES1928" s="906" t="s">
        <v>3954</v>
      </c>
      <c r="ET1928" s="2686">
        <v>9</v>
      </c>
      <c r="EV1928" s="985"/>
      <c r="EW1928" s="985"/>
      <c r="EX1928" s="387"/>
      <c r="EY1928" s="939"/>
      <c r="EZ1928" s="886"/>
    </row>
    <row r="1929" spans="88:156">
      <c r="CJ1929" s="197"/>
      <c r="CK1929" s="197"/>
      <c r="CL1929" s="197"/>
      <c r="CM1929" s="213"/>
      <c r="CN1929" s="213"/>
      <c r="CO1929" s="197"/>
      <c r="CP1929" s="197"/>
      <c r="CQ1929" s="197"/>
      <c r="CR1929" s="197"/>
      <c r="CS1929" s="197"/>
      <c r="CT1929" s="197"/>
      <c r="CU1929" s="197"/>
      <c r="CV1929" s="197"/>
      <c r="CW1929" s="197"/>
      <c r="CX1929" s="959"/>
      <c r="CY1929" s="959"/>
      <c r="CZ1929" s="959"/>
      <c r="DA1929" s="959"/>
      <c r="DB1929" s="959"/>
      <c r="DC1929" s="891">
        <v>7136</v>
      </c>
      <c r="DD1929" s="891" t="s">
        <v>1476</v>
      </c>
      <c r="DE1929" s="891" t="s">
        <v>406</v>
      </c>
      <c r="DF1929" s="891">
        <v>5</v>
      </c>
      <c r="DG1929" s="959"/>
      <c r="DH1929" s="959"/>
      <c r="ER1929" s="905">
        <v>7370</v>
      </c>
      <c r="ES1929" s="906" t="s">
        <v>1376</v>
      </c>
      <c r="ET1929" s="2686">
        <v>9</v>
      </c>
      <c r="EV1929" s="985"/>
      <c r="EW1929" s="985"/>
      <c r="EX1929" s="387"/>
      <c r="EY1929" s="939"/>
      <c r="EZ1929" s="886"/>
    </row>
    <row r="1930" spans="88:156">
      <c r="CJ1930" s="197"/>
      <c r="CK1930" s="197"/>
      <c r="CL1930" s="197"/>
      <c r="CM1930" s="213"/>
      <c r="CN1930" s="213"/>
      <c r="CO1930" s="197"/>
      <c r="CP1930" s="197"/>
      <c r="CQ1930" s="197"/>
      <c r="CR1930" s="197"/>
      <c r="CS1930" s="197"/>
      <c r="CT1930" s="197"/>
      <c r="CU1930" s="197"/>
      <c r="CV1930" s="197"/>
      <c r="CW1930" s="197"/>
      <c r="CX1930" s="959"/>
      <c r="CY1930" s="959"/>
      <c r="CZ1930" s="959"/>
      <c r="DA1930" s="959"/>
      <c r="DB1930" s="959"/>
      <c r="DC1930" s="891">
        <v>7139</v>
      </c>
      <c r="DD1930" s="891" t="s">
        <v>1477</v>
      </c>
      <c r="DE1930" s="891" t="s">
        <v>406</v>
      </c>
      <c r="DF1930" s="891">
        <v>5</v>
      </c>
      <c r="DG1930" s="959"/>
      <c r="DH1930" s="959"/>
      <c r="ER1930" s="905">
        <v>7370</v>
      </c>
      <c r="ES1930" s="906" t="s">
        <v>1377</v>
      </c>
      <c r="ET1930" s="2686">
        <v>9</v>
      </c>
      <c r="EV1930" s="985"/>
      <c r="EW1930" s="985"/>
      <c r="EX1930" s="387"/>
      <c r="EY1930" s="939"/>
      <c r="EZ1930" s="886"/>
    </row>
    <row r="1931" spans="88:156">
      <c r="CJ1931" s="197"/>
      <c r="CK1931" s="197"/>
      <c r="CL1931" s="197"/>
      <c r="CM1931" s="213"/>
      <c r="CN1931" s="213"/>
      <c r="CO1931" s="197"/>
      <c r="CP1931" s="197"/>
      <c r="CQ1931" s="197"/>
      <c r="CR1931" s="197"/>
      <c r="CS1931" s="197"/>
      <c r="CT1931" s="197"/>
      <c r="CU1931" s="197"/>
      <c r="CV1931" s="197"/>
      <c r="CW1931" s="197"/>
      <c r="CX1931" s="959"/>
      <c r="CY1931" s="959"/>
      <c r="CZ1931" s="959"/>
      <c r="DA1931" s="959"/>
      <c r="DB1931" s="959"/>
      <c r="DC1931" s="891">
        <v>7140</v>
      </c>
      <c r="DD1931" s="891" t="s">
        <v>1478</v>
      </c>
      <c r="DE1931" s="891" t="s">
        <v>406</v>
      </c>
      <c r="DF1931" s="891">
        <v>5</v>
      </c>
      <c r="DG1931" s="959"/>
      <c r="DH1931" s="959"/>
      <c r="ER1931" s="905">
        <v>7370</v>
      </c>
      <c r="ES1931" s="906" t="s">
        <v>1378</v>
      </c>
      <c r="ET1931" s="2686">
        <v>9</v>
      </c>
      <c r="EV1931" s="985"/>
      <c r="EW1931" s="985"/>
      <c r="EX1931" s="387"/>
      <c r="EY1931" s="939"/>
      <c r="EZ1931" s="886"/>
    </row>
    <row r="1932" spans="88:156">
      <c r="CJ1932" s="197"/>
      <c r="CK1932" s="197"/>
      <c r="CL1932" s="197"/>
      <c r="CM1932" s="213"/>
      <c r="CN1932" s="213"/>
      <c r="CO1932" s="197"/>
      <c r="CP1932" s="197"/>
      <c r="CQ1932" s="197"/>
      <c r="CR1932" s="197"/>
      <c r="CS1932" s="197"/>
      <c r="CT1932" s="197"/>
      <c r="CU1932" s="197"/>
      <c r="CV1932" s="197"/>
      <c r="CW1932" s="197"/>
      <c r="CX1932" s="959"/>
      <c r="CY1932" s="959"/>
      <c r="CZ1932" s="959"/>
      <c r="DA1932" s="959"/>
      <c r="DB1932" s="959"/>
      <c r="DC1932" s="891">
        <v>7142</v>
      </c>
      <c r="DD1932" s="891" t="s">
        <v>1479</v>
      </c>
      <c r="DE1932" s="891" t="s">
        <v>406</v>
      </c>
      <c r="DF1932" s="891">
        <v>5</v>
      </c>
      <c r="DG1932" s="959"/>
      <c r="DH1932" s="959"/>
      <c r="ER1932" s="905">
        <v>7370</v>
      </c>
      <c r="ES1932" s="906" t="s">
        <v>1379</v>
      </c>
      <c r="ET1932" s="2686">
        <v>9</v>
      </c>
      <c r="EV1932" s="985"/>
      <c r="EW1932" s="985"/>
      <c r="EX1932" s="387"/>
      <c r="EY1932" s="939"/>
      <c r="EZ1932" s="886"/>
    </row>
    <row r="1933" spans="88:156">
      <c r="CJ1933" s="197"/>
      <c r="CK1933" s="197"/>
      <c r="CL1933" s="197"/>
      <c r="CM1933" s="213"/>
      <c r="CN1933" s="213"/>
      <c r="CO1933" s="197"/>
      <c r="CP1933" s="197"/>
      <c r="CQ1933" s="197"/>
      <c r="CR1933" s="197"/>
      <c r="CS1933" s="197"/>
      <c r="CT1933" s="197"/>
      <c r="CU1933" s="197"/>
      <c r="CV1933" s="197"/>
      <c r="CW1933" s="197"/>
      <c r="CX1933" s="959"/>
      <c r="CY1933" s="959"/>
      <c r="CZ1933" s="959"/>
      <c r="DA1933" s="959"/>
      <c r="DB1933" s="959"/>
      <c r="DC1933" s="891">
        <v>7143</v>
      </c>
      <c r="DD1933" s="891" t="s">
        <v>1480</v>
      </c>
      <c r="DE1933" s="891" t="s">
        <v>406</v>
      </c>
      <c r="DF1933" s="891">
        <v>5</v>
      </c>
      <c r="DG1933" s="959"/>
      <c r="DH1933" s="959"/>
      <c r="ER1933" s="905">
        <v>7370</v>
      </c>
      <c r="ES1933" s="906" t="s">
        <v>1380</v>
      </c>
      <c r="ET1933" s="2686">
        <v>9</v>
      </c>
      <c r="EV1933" s="985"/>
      <c r="EW1933" s="985"/>
      <c r="EX1933" s="387"/>
      <c r="EY1933" s="939"/>
      <c r="EZ1933" s="886"/>
    </row>
    <row r="1934" spans="88:156">
      <c r="CJ1934" s="197"/>
      <c r="CK1934" s="197"/>
      <c r="CL1934" s="197"/>
      <c r="CM1934" s="213"/>
      <c r="CN1934" s="213"/>
      <c r="CO1934" s="197"/>
      <c r="CP1934" s="197"/>
      <c r="CQ1934" s="197"/>
      <c r="CR1934" s="197"/>
      <c r="CS1934" s="197"/>
      <c r="CT1934" s="197"/>
      <c r="CU1934" s="197"/>
      <c r="CV1934" s="197"/>
      <c r="CW1934" s="197"/>
      <c r="CX1934" s="959"/>
      <c r="CY1934" s="959"/>
      <c r="CZ1934" s="959"/>
      <c r="DA1934" s="959"/>
      <c r="DB1934" s="959"/>
      <c r="DC1934" s="891">
        <v>7144</v>
      </c>
      <c r="DD1934" s="891" t="s">
        <v>1481</v>
      </c>
      <c r="DE1934" s="891" t="s">
        <v>406</v>
      </c>
      <c r="DF1934" s="891">
        <v>5</v>
      </c>
      <c r="DG1934" s="959"/>
      <c r="DH1934" s="959"/>
      <c r="ER1934" s="905">
        <v>7370</v>
      </c>
      <c r="ES1934" s="906" t="s">
        <v>1381</v>
      </c>
      <c r="ET1934" s="2686">
        <v>9</v>
      </c>
      <c r="EV1934" s="985"/>
      <c r="EW1934" s="985"/>
      <c r="EX1934" s="387"/>
      <c r="EY1934" s="939"/>
      <c r="EZ1934" s="886"/>
    </row>
    <row r="1935" spans="88:156">
      <c r="CJ1935" s="197"/>
      <c r="CK1935" s="197"/>
      <c r="CL1935" s="197"/>
      <c r="CM1935" s="213"/>
      <c r="CN1935" s="213"/>
      <c r="CO1935" s="197"/>
      <c r="CP1935" s="197"/>
      <c r="CQ1935" s="197"/>
      <c r="CR1935" s="197"/>
      <c r="CS1935" s="197"/>
      <c r="CT1935" s="197"/>
      <c r="CU1935" s="197"/>
      <c r="CV1935" s="197"/>
      <c r="CW1935" s="197"/>
      <c r="CX1935" s="959"/>
      <c r="CY1935" s="959"/>
      <c r="CZ1935" s="959"/>
      <c r="DA1935" s="959"/>
      <c r="DB1935" s="959"/>
      <c r="DC1935" s="891">
        <v>7145</v>
      </c>
      <c r="DD1935" s="891" t="s">
        <v>1482</v>
      </c>
      <c r="DE1935" s="891" t="s">
        <v>428</v>
      </c>
      <c r="DF1935" s="891">
        <v>5</v>
      </c>
      <c r="DG1935" s="959"/>
      <c r="DH1935" s="959"/>
      <c r="ER1935" s="905">
        <v>7370</v>
      </c>
      <c r="ES1935" s="906" t="s">
        <v>3955</v>
      </c>
      <c r="ET1935" s="2686">
        <v>9</v>
      </c>
      <c r="EV1935" s="985"/>
      <c r="EW1935" s="985"/>
      <c r="EX1935" s="387"/>
      <c r="EY1935" s="939"/>
      <c r="EZ1935" s="886"/>
    </row>
    <row r="1936" spans="88:156">
      <c r="CJ1936" s="197"/>
      <c r="CK1936" s="197"/>
      <c r="CL1936" s="197"/>
      <c r="CM1936" s="213"/>
      <c r="CN1936" s="213"/>
      <c r="CO1936" s="197"/>
      <c r="CP1936" s="197"/>
      <c r="CQ1936" s="197"/>
      <c r="CR1936" s="197"/>
      <c r="CS1936" s="197"/>
      <c r="CT1936" s="197"/>
      <c r="CU1936" s="197"/>
      <c r="CV1936" s="197"/>
      <c r="CW1936" s="197"/>
      <c r="CX1936" s="959"/>
      <c r="CY1936" s="959"/>
      <c r="CZ1936" s="959"/>
      <c r="DA1936" s="959"/>
      <c r="DB1936" s="959"/>
      <c r="DC1936" s="891">
        <v>7146</v>
      </c>
      <c r="DD1936" s="891" t="s">
        <v>1483</v>
      </c>
      <c r="DE1936" s="891" t="s">
        <v>423</v>
      </c>
      <c r="DF1936" s="891">
        <v>5</v>
      </c>
      <c r="DG1936" s="959"/>
      <c r="DH1936" s="959"/>
      <c r="ER1936" s="905">
        <v>7381</v>
      </c>
      <c r="ES1936" s="906" t="s">
        <v>1382</v>
      </c>
      <c r="ET1936" s="2686">
        <v>9</v>
      </c>
      <c r="EV1936" s="985"/>
      <c r="EW1936" s="985"/>
      <c r="EX1936" s="387"/>
      <c r="EY1936" s="939"/>
      <c r="EZ1936" s="886"/>
    </row>
    <row r="1937" spans="88:156">
      <c r="CJ1937" s="197"/>
      <c r="CK1937" s="197"/>
      <c r="CL1937" s="197"/>
      <c r="CM1937" s="213"/>
      <c r="CN1937" s="213"/>
      <c r="CO1937" s="197"/>
      <c r="CP1937" s="197"/>
      <c r="CQ1937" s="197"/>
      <c r="CR1937" s="197"/>
      <c r="CS1937" s="197"/>
      <c r="CT1937" s="197"/>
      <c r="CU1937" s="197"/>
      <c r="CV1937" s="197"/>
      <c r="CW1937" s="197"/>
      <c r="CX1937" s="959"/>
      <c r="CY1937" s="959"/>
      <c r="CZ1937" s="959"/>
      <c r="DA1937" s="959"/>
      <c r="DB1937" s="959"/>
      <c r="DC1937" s="891">
        <v>7147</v>
      </c>
      <c r="DD1937" s="891" t="s">
        <v>1195</v>
      </c>
      <c r="DE1937" s="891" t="s">
        <v>412</v>
      </c>
      <c r="DF1937" s="891">
        <v>5</v>
      </c>
      <c r="DG1937" s="959"/>
      <c r="DH1937" s="959"/>
      <c r="ER1937" s="905">
        <v>7381</v>
      </c>
      <c r="ES1937" s="906" t="s">
        <v>1383</v>
      </c>
      <c r="ET1937" s="2686">
        <v>9</v>
      </c>
      <c r="EV1937" s="985"/>
      <c r="EW1937" s="985"/>
      <c r="EX1937" s="387"/>
      <c r="EY1937" s="939"/>
      <c r="EZ1937" s="886"/>
    </row>
    <row r="1938" spans="88:156">
      <c r="CJ1938" s="197"/>
      <c r="CK1938" s="197"/>
      <c r="CL1938" s="197"/>
      <c r="CM1938" s="213"/>
      <c r="CN1938" s="213"/>
      <c r="CO1938" s="197"/>
      <c r="CP1938" s="197"/>
      <c r="CQ1938" s="197"/>
      <c r="CR1938" s="197"/>
      <c r="CS1938" s="197"/>
      <c r="CT1938" s="197"/>
      <c r="CU1938" s="197"/>
      <c r="CV1938" s="197"/>
      <c r="CW1938" s="197"/>
      <c r="CX1938" s="959"/>
      <c r="CY1938" s="959"/>
      <c r="CZ1938" s="959"/>
      <c r="DA1938" s="959"/>
      <c r="DB1938" s="959"/>
      <c r="DC1938" s="891">
        <v>7148</v>
      </c>
      <c r="DD1938" s="891" t="s">
        <v>1196</v>
      </c>
      <c r="DE1938" s="891" t="s">
        <v>428</v>
      </c>
      <c r="DF1938" s="891">
        <v>5</v>
      </c>
      <c r="DG1938" s="959"/>
      <c r="DH1938" s="959"/>
      <c r="ER1938" s="905">
        <v>7381</v>
      </c>
      <c r="ES1938" s="906" t="s">
        <v>3956</v>
      </c>
      <c r="ET1938" s="2686">
        <v>9</v>
      </c>
      <c r="EV1938" s="985"/>
      <c r="EW1938" s="985"/>
      <c r="EX1938" s="387"/>
      <c r="EY1938" s="939"/>
      <c r="EZ1938" s="886"/>
    </row>
    <row r="1939" spans="88:156">
      <c r="CJ1939" s="197"/>
      <c r="CK1939" s="197"/>
      <c r="CL1939" s="197"/>
      <c r="CM1939" s="213"/>
      <c r="CN1939" s="213"/>
      <c r="CO1939" s="197"/>
      <c r="CP1939" s="197"/>
      <c r="CQ1939" s="197"/>
      <c r="CR1939" s="197"/>
      <c r="CS1939" s="197"/>
      <c r="CT1939" s="197"/>
      <c r="CU1939" s="197"/>
      <c r="CV1939" s="197"/>
      <c r="CW1939" s="197"/>
      <c r="CX1939" s="959"/>
      <c r="CY1939" s="959"/>
      <c r="CZ1939" s="959"/>
      <c r="DA1939" s="959"/>
      <c r="DB1939" s="959"/>
      <c r="DC1939" s="891">
        <v>7149</v>
      </c>
      <c r="DD1939" s="891" t="s">
        <v>1197</v>
      </c>
      <c r="DE1939" s="891" t="s">
        <v>410</v>
      </c>
      <c r="DF1939" s="891">
        <v>5</v>
      </c>
      <c r="DG1939" s="959"/>
      <c r="DH1939" s="959"/>
      <c r="ER1939" s="905">
        <v>7383</v>
      </c>
      <c r="ES1939" s="906" t="s">
        <v>1384</v>
      </c>
      <c r="ET1939" s="2686">
        <v>9</v>
      </c>
      <c r="EV1939" s="985"/>
      <c r="EW1939" s="985"/>
      <c r="EX1939" s="387"/>
      <c r="EY1939" s="939"/>
      <c r="EZ1939" s="886"/>
    </row>
    <row r="1940" spans="88:156">
      <c r="CJ1940" s="197"/>
      <c r="CK1940" s="197"/>
      <c r="CL1940" s="197"/>
      <c r="CM1940" s="213"/>
      <c r="CN1940" s="213"/>
      <c r="CO1940" s="197"/>
      <c r="CP1940" s="197"/>
      <c r="CQ1940" s="197"/>
      <c r="CR1940" s="197"/>
      <c r="CS1940" s="197"/>
      <c r="CT1940" s="197"/>
      <c r="CU1940" s="197"/>
      <c r="CV1940" s="197"/>
      <c r="CW1940" s="197"/>
      <c r="CX1940" s="959"/>
      <c r="CY1940" s="959"/>
      <c r="CZ1940" s="959"/>
      <c r="DA1940" s="959"/>
      <c r="DB1940" s="959"/>
      <c r="DC1940" s="891">
        <v>7150</v>
      </c>
      <c r="DD1940" s="891" t="s">
        <v>1198</v>
      </c>
      <c r="DE1940" s="891" t="s">
        <v>412</v>
      </c>
      <c r="DF1940" s="891">
        <v>5</v>
      </c>
      <c r="DG1940" s="959"/>
      <c r="DH1940" s="959"/>
      <c r="ER1940" s="905">
        <v>7383</v>
      </c>
      <c r="ES1940" s="906" t="s">
        <v>1385</v>
      </c>
      <c r="ET1940" s="2686">
        <v>9</v>
      </c>
      <c r="EV1940" s="985"/>
      <c r="EW1940" s="985"/>
      <c r="EX1940" s="387"/>
      <c r="EY1940" s="939"/>
      <c r="EZ1940" s="886"/>
    </row>
    <row r="1941" spans="88:156">
      <c r="CJ1941" s="197"/>
      <c r="CK1941" s="197"/>
      <c r="CL1941" s="197"/>
      <c r="CM1941" s="213"/>
      <c r="CN1941" s="213"/>
      <c r="CO1941" s="197"/>
      <c r="CP1941" s="197"/>
      <c r="CQ1941" s="197"/>
      <c r="CR1941" s="197"/>
      <c r="CS1941" s="197"/>
      <c r="CT1941" s="197"/>
      <c r="CU1941" s="197"/>
      <c r="CV1941" s="197"/>
      <c r="CW1941" s="197"/>
      <c r="CX1941" s="959"/>
      <c r="CY1941" s="959"/>
      <c r="CZ1941" s="959"/>
      <c r="DA1941" s="959"/>
      <c r="DB1941" s="959"/>
      <c r="DC1941" s="891">
        <v>7158</v>
      </c>
      <c r="DD1941" s="891" t="s">
        <v>1199</v>
      </c>
      <c r="DE1941" s="891" t="s">
        <v>421</v>
      </c>
      <c r="DF1941" s="891">
        <v>5</v>
      </c>
      <c r="DG1941" s="959"/>
      <c r="DH1941" s="959"/>
      <c r="ER1941" s="905">
        <v>7383</v>
      </c>
      <c r="ES1941" s="906" t="s">
        <v>3957</v>
      </c>
      <c r="ET1941" s="2686">
        <v>9</v>
      </c>
      <c r="EV1941" s="985"/>
      <c r="EW1941" s="985"/>
      <c r="EX1941" s="387"/>
      <c r="EY1941" s="939"/>
      <c r="EZ1941" s="886"/>
    </row>
    <row r="1942" spans="88:156">
      <c r="CJ1942" s="197"/>
      <c r="CK1942" s="197"/>
      <c r="CL1942" s="197"/>
      <c r="CM1942" s="213"/>
      <c r="CN1942" s="213"/>
      <c r="CO1942" s="197"/>
      <c r="CP1942" s="197"/>
      <c r="CQ1942" s="197"/>
      <c r="CR1942" s="197"/>
      <c r="CS1942" s="197"/>
      <c r="CT1942" s="197"/>
      <c r="CU1942" s="197"/>
      <c r="CV1942" s="197"/>
      <c r="CW1942" s="197"/>
      <c r="CX1942" s="959"/>
      <c r="CY1942" s="959"/>
      <c r="CZ1942" s="959"/>
      <c r="DA1942" s="959"/>
      <c r="DB1942" s="959"/>
      <c r="DC1942" s="891">
        <v>7159</v>
      </c>
      <c r="DD1942" s="891" t="s">
        <v>1200</v>
      </c>
      <c r="DE1942" s="891" t="s">
        <v>433</v>
      </c>
      <c r="DF1942" s="891">
        <v>6</v>
      </c>
      <c r="DG1942" s="959"/>
      <c r="DH1942" s="959"/>
      <c r="ER1942" s="905">
        <v>7384</v>
      </c>
      <c r="ES1942" s="906" t="s">
        <v>3958</v>
      </c>
      <c r="ET1942" s="2686">
        <v>9</v>
      </c>
      <c r="EV1942" s="985"/>
      <c r="EW1942" s="985"/>
      <c r="EX1942" s="387"/>
      <c r="EY1942" s="939"/>
      <c r="EZ1942" s="886"/>
    </row>
    <row r="1943" spans="88:156">
      <c r="CJ1943" s="197"/>
      <c r="CK1943" s="197"/>
      <c r="CL1943" s="197"/>
      <c r="CM1943" s="213"/>
      <c r="CN1943" s="213"/>
      <c r="CO1943" s="197"/>
      <c r="CP1943" s="197"/>
      <c r="CQ1943" s="197"/>
      <c r="CR1943" s="197"/>
      <c r="CS1943" s="197"/>
      <c r="CT1943" s="197"/>
      <c r="CU1943" s="197"/>
      <c r="CV1943" s="197"/>
      <c r="CW1943" s="197"/>
      <c r="CX1943" s="959"/>
      <c r="CY1943" s="959"/>
      <c r="CZ1943" s="959"/>
      <c r="DA1943" s="959"/>
      <c r="DB1943" s="959"/>
      <c r="DC1943" s="891">
        <v>7161</v>
      </c>
      <c r="DD1943" s="891" t="s">
        <v>1201</v>
      </c>
      <c r="DE1943" s="891" t="s">
        <v>417</v>
      </c>
      <c r="DF1943" s="891">
        <v>5</v>
      </c>
      <c r="DG1943" s="959"/>
      <c r="DH1943" s="959"/>
      <c r="ER1943" s="905">
        <v>7385</v>
      </c>
      <c r="ES1943" s="906" t="s">
        <v>1386</v>
      </c>
      <c r="ET1943" s="2686">
        <v>9</v>
      </c>
      <c r="EV1943" s="985"/>
      <c r="EW1943" s="985"/>
      <c r="EX1943" s="387"/>
      <c r="EY1943" s="939"/>
      <c r="EZ1943" s="886"/>
    </row>
    <row r="1944" spans="88:156">
      <c r="CJ1944" s="197"/>
      <c r="CK1944" s="197"/>
      <c r="CL1944" s="197"/>
      <c r="CM1944" s="213"/>
      <c r="CN1944" s="213"/>
      <c r="CO1944" s="197"/>
      <c r="CP1944" s="197"/>
      <c r="CQ1944" s="197"/>
      <c r="CR1944" s="197"/>
      <c r="CS1944" s="197"/>
      <c r="CT1944" s="197"/>
      <c r="CU1944" s="197"/>
      <c r="CV1944" s="197"/>
      <c r="CW1944" s="197"/>
      <c r="CX1944" s="959"/>
      <c r="CY1944" s="959"/>
      <c r="CZ1944" s="959"/>
      <c r="DA1944" s="959"/>
      <c r="DB1944" s="959"/>
      <c r="DC1944" s="891">
        <v>7162</v>
      </c>
      <c r="DD1944" s="891" t="s">
        <v>1202</v>
      </c>
      <c r="DE1944" s="891" t="s">
        <v>434</v>
      </c>
      <c r="DF1944" s="891">
        <v>5</v>
      </c>
      <c r="DG1944" s="959"/>
      <c r="DH1944" s="959"/>
      <c r="ER1944" s="905">
        <v>7386</v>
      </c>
      <c r="ES1944" s="905" t="s">
        <v>1387</v>
      </c>
      <c r="ET1944" s="2686">
        <v>9</v>
      </c>
      <c r="EV1944" s="985"/>
      <c r="EW1944" s="985"/>
      <c r="EX1944" s="387"/>
      <c r="EY1944" s="939"/>
      <c r="EZ1944" s="886"/>
    </row>
    <row r="1945" spans="88:156">
      <c r="CJ1945" s="197"/>
      <c r="CK1945" s="197"/>
      <c r="CL1945" s="197"/>
      <c r="CM1945" s="213"/>
      <c r="CN1945" s="213"/>
      <c r="CO1945" s="197"/>
      <c r="CP1945" s="197"/>
      <c r="CQ1945" s="197"/>
      <c r="CR1945" s="197"/>
      <c r="CS1945" s="197"/>
      <c r="CT1945" s="197"/>
      <c r="CU1945" s="197"/>
      <c r="CV1945" s="197"/>
      <c r="CW1945" s="197"/>
      <c r="CX1945" s="959"/>
      <c r="CY1945" s="959"/>
      <c r="CZ1945" s="959"/>
      <c r="DA1945" s="959"/>
      <c r="DB1945" s="959"/>
      <c r="DC1945" s="891">
        <v>7163</v>
      </c>
      <c r="DD1945" s="891" t="s">
        <v>1203</v>
      </c>
      <c r="DE1945" s="891" t="s">
        <v>417</v>
      </c>
      <c r="DF1945" s="891">
        <v>5</v>
      </c>
      <c r="DG1945" s="959"/>
      <c r="DH1945" s="959"/>
      <c r="ER1945" s="905">
        <v>7391</v>
      </c>
      <c r="ES1945" s="906" t="s">
        <v>1388</v>
      </c>
      <c r="ET1945" s="2686">
        <v>9</v>
      </c>
      <c r="EV1945" s="985"/>
      <c r="EW1945" s="985"/>
      <c r="EX1945" s="387"/>
      <c r="EY1945" s="939"/>
      <c r="EZ1945" s="886"/>
    </row>
    <row r="1946" spans="88:156">
      <c r="CJ1946" s="197"/>
      <c r="CK1946" s="197"/>
      <c r="CL1946" s="197"/>
      <c r="CM1946" s="213"/>
      <c r="CN1946" s="213"/>
      <c r="CO1946" s="197"/>
      <c r="CP1946" s="197"/>
      <c r="CQ1946" s="197"/>
      <c r="CR1946" s="197"/>
      <c r="CS1946" s="197"/>
      <c r="CT1946" s="197"/>
      <c r="CU1946" s="197"/>
      <c r="CV1946" s="197"/>
      <c r="CW1946" s="197"/>
      <c r="CX1946" s="959"/>
      <c r="CY1946" s="959"/>
      <c r="CZ1946" s="959"/>
      <c r="DA1946" s="959"/>
      <c r="DB1946" s="959"/>
      <c r="DC1946" s="891">
        <v>7164</v>
      </c>
      <c r="DD1946" s="891" t="s">
        <v>1204</v>
      </c>
      <c r="DE1946" s="891" t="s">
        <v>435</v>
      </c>
      <c r="DF1946" s="891">
        <v>5</v>
      </c>
      <c r="DG1946" s="959"/>
      <c r="DH1946" s="959"/>
      <c r="ER1946" s="905">
        <v>7391</v>
      </c>
      <c r="ES1946" s="906" t="s">
        <v>1389</v>
      </c>
      <c r="ET1946" s="2686">
        <v>9</v>
      </c>
      <c r="EV1946" s="985"/>
      <c r="EW1946" s="985"/>
      <c r="EX1946" s="387"/>
      <c r="EY1946" s="939"/>
      <c r="EZ1946" s="886"/>
    </row>
    <row r="1947" spans="88:156">
      <c r="CJ1947" s="197"/>
      <c r="CK1947" s="197"/>
      <c r="CL1947" s="197"/>
      <c r="CM1947" s="213"/>
      <c r="CN1947" s="213"/>
      <c r="CO1947" s="197"/>
      <c r="CP1947" s="197"/>
      <c r="CQ1947" s="197"/>
      <c r="CR1947" s="197"/>
      <c r="CS1947" s="197"/>
      <c r="CT1947" s="197"/>
      <c r="CU1947" s="197"/>
      <c r="CV1947" s="197"/>
      <c r="CW1947" s="197"/>
      <c r="CX1947" s="959"/>
      <c r="CY1947" s="959"/>
      <c r="CZ1947" s="959"/>
      <c r="DA1947" s="959"/>
      <c r="DB1947" s="959"/>
      <c r="DC1947" s="891">
        <v>7165</v>
      </c>
      <c r="DD1947" s="891" t="s">
        <v>1205</v>
      </c>
      <c r="DE1947" s="891" t="s">
        <v>412</v>
      </c>
      <c r="DF1947" s="891">
        <v>5</v>
      </c>
      <c r="DG1947" s="959"/>
      <c r="DH1947" s="959"/>
      <c r="ER1947" s="905">
        <v>7391</v>
      </c>
      <c r="ES1947" s="906" t="s">
        <v>3961</v>
      </c>
      <c r="ET1947" s="2686">
        <v>9</v>
      </c>
      <c r="EV1947" s="985"/>
      <c r="EW1947" s="985"/>
      <c r="EX1947" s="387"/>
      <c r="EY1947" s="939"/>
      <c r="EZ1947" s="886"/>
    </row>
    <row r="1948" spans="88:156">
      <c r="CJ1948" s="197"/>
      <c r="CK1948" s="197"/>
      <c r="CL1948" s="197"/>
      <c r="CM1948" s="213"/>
      <c r="CN1948" s="213"/>
      <c r="CO1948" s="197"/>
      <c r="CP1948" s="197"/>
      <c r="CQ1948" s="197"/>
      <c r="CR1948" s="197"/>
      <c r="CS1948" s="197"/>
      <c r="CT1948" s="197"/>
      <c r="CU1948" s="197"/>
      <c r="CV1948" s="197"/>
      <c r="CW1948" s="197"/>
      <c r="CX1948" s="959"/>
      <c r="CY1948" s="959"/>
      <c r="CZ1948" s="959"/>
      <c r="DA1948" s="959"/>
      <c r="DB1948" s="959"/>
      <c r="DC1948" s="891">
        <v>7171</v>
      </c>
      <c r="DD1948" s="891" t="s">
        <v>1206</v>
      </c>
      <c r="DE1948" s="891" t="s">
        <v>417</v>
      </c>
      <c r="DF1948" s="891">
        <v>5</v>
      </c>
      <c r="DG1948" s="959"/>
      <c r="DH1948" s="959"/>
      <c r="ER1948" s="905">
        <v>7393</v>
      </c>
      <c r="ES1948" s="906" t="s">
        <v>3962</v>
      </c>
      <c r="ET1948" s="2686">
        <v>9</v>
      </c>
      <c r="EV1948" s="985"/>
      <c r="EW1948" s="985"/>
      <c r="EX1948" s="387"/>
      <c r="EY1948" s="939"/>
      <c r="EZ1948" s="886"/>
    </row>
    <row r="1949" spans="88:156">
      <c r="CJ1949" s="197"/>
      <c r="CK1949" s="197"/>
      <c r="CL1949" s="197"/>
      <c r="CM1949" s="213"/>
      <c r="CN1949" s="213"/>
      <c r="CO1949" s="197"/>
      <c r="CP1949" s="197"/>
      <c r="CQ1949" s="197"/>
      <c r="CR1949" s="197"/>
      <c r="CS1949" s="197"/>
      <c r="CT1949" s="197"/>
      <c r="CU1949" s="197"/>
      <c r="CV1949" s="197"/>
      <c r="CW1949" s="197"/>
      <c r="CX1949" s="959"/>
      <c r="CY1949" s="959"/>
      <c r="CZ1949" s="959"/>
      <c r="DA1949" s="959"/>
      <c r="DB1949" s="959"/>
      <c r="DC1949" s="891">
        <v>7172</v>
      </c>
      <c r="DD1949" s="891" t="s">
        <v>1207</v>
      </c>
      <c r="DE1949" s="891" t="s">
        <v>406</v>
      </c>
      <c r="DF1949" s="891">
        <v>5</v>
      </c>
      <c r="DG1949" s="959"/>
      <c r="DH1949" s="959"/>
      <c r="ER1949" s="905">
        <v>7394</v>
      </c>
      <c r="ES1949" s="906" t="s">
        <v>545</v>
      </c>
      <c r="ET1949" s="2686">
        <v>9</v>
      </c>
      <c r="EV1949" s="985"/>
      <c r="EW1949" s="985"/>
      <c r="EX1949" s="387"/>
      <c r="EY1949" s="939"/>
      <c r="EZ1949" s="886"/>
    </row>
    <row r="1950" spans="88:156">
      <c r="CJ1950" s="197"/>
      <c r="CK1950" s="197"/>
      <c r="CL1950" s="197"/>
      <c r="CM1950" s="213"/>
      <c r="CN1950" s="213"/>
      <c r="CO1950" s="197"/>
      <c r="CP1950" s="197"/>
      <c r="CQ1950" s="197"/>
      <c r="CR1950" s="197"/>
      <c r="CS1950" s="197"/>
      <c r="CT1950" s="197"/>
      <c r="CU1950" s="197"/>
      <c r="CV1950" s="197"/>
      <c r="CW1950" s="197"/>
      <c r="CX1950" s="959"/>
      <c r="CY1950" s="959"/>
      <c r="CZ1950" s="959"/>
      <c r="DA1950" s="959"/>
      <c r="DB1950" s="959"/>
      <c r="DC1950" s="891">
        <v>7173</v>
      </c>
      <c r="DD1950" s="891" t="s">
        <v>1208</v>
      </c>
      <c r="DE1950" s="891" t="s">
        <v>418</v>
      </c>
      <c r="DF1950" s="891">
        <v>6</v>
      </c>
      <c r="DG1950" s="959"/>
      <c r="DH1950" s="959"/>
      <c r="ER1950" s="905">
        <v>7394</v>
      </c>
      <c r="ES1950" s="906" t="s">
        <v>3963</v>
      </c>
      <c r="ET1950" s="2686">
        <v>9</v>
      </c>
      <c r="EV1950" s="985"/>
      <c r="EW1950" s="985"/>
      <c r="EX1950" s="387"/>
      <c r="EY1950" s="939"/>
      <c r="EZ1950" s="886"/>
    </row>
    <row r="1951" spans="88:156">
      <c r="CJ1951" s="197"/>
      <c r="CK1951" s="197"/>
      <c r="CL1951" s="197"/>
      <c r="CM1951" s="213"/>
      <c r="CN1951" s="213"/>
      <c r="CO1951" s="197"/>
      <c r="CP1951" s="197"/>
      <c r="CQ1951" s="197"/>
      <c r="CR1951" s="197"/>
      <c r="CS1951" s="197"/>
      <c r="CT1951" s="197"/>
      <c r="CU1951" s="197"/>
      <c r="CV1951" s="197"/>
      <c r="CW1951" s="197"/>
      <c r="CX1951" s="959"/>
      <c r="CY1951" s="959"/>
      <c r="CZ1951" s="959"/>
      <c r="DA1951" s="959"/>
      <c r="DB1951" s="959"/>
      <c r="DC1951" s="891">
        <v>7174</v>
      </c>
      <c r="DD1951" s="891" t="s">
        <v>1209</v>
      </c>
      <c r="DE1951" s="891" t="s">
        <v>418</v>
      </c>
      <c r="DF1951" s="891">
        <v>6</v>
      </c>
      <c r="DG1951" s="959"/>
      <c r="DH1951" s="959"/>
      <c r="ER1951" s="905">
        <v>7396</v>
      </c>
      <c r="ES1951" s="906" t="s">
        <v>3964</v>
      </c>
      <c r="ET1951" s="2686">
        <v>4</v>
      </c>
      <c r="EV1951" s="985"/>
      <c r="EW1951" s="985"/>
      <c r="EX1951" s="387"/>
      <c r="EY1951" s="939"/>
      <c r="EZ1951" s="886"/>
    </row>
    <row r="1952" spans="88:156">
      <c r="CJ1952" s="197"/>
      <c r="CK1952" s="197"/>
      <c r="CL1952" s="197"/>
      <c r="CM1952" s="213"/>
      <c r="CN1952" s="213"/>
      <c r="CO1952" s="197"/>
      <c r="CP1952" s="197"/>
      <c r="CQ1952" s="197"/>
      <c r="CR1952" s="197"/>
      <c r="CS1952" s="197"/>
      <c r="CT1952" s="197"/>
      <c r="CU1952" s="197"/>
      <c r="CV1952" s="197"/>
      <c r="CW1952" s="197"/>
      <c r="CX1952" s="959"/>
      <c r="CY1952" s="959"/>
      <c r="CZ1952" s="959"/>
      <c r="DA1952" s="959"/>
      <c r="DB1952" s="959"/>
      <c r="DC1952" s="891">
        <v>7175</v>
      </c>
      <c r="DD1952" s="891" t="s">
        <v>1210</v>
      </c>
      <c r="DE1952" s="891" t="s">
        <v>428</v>
      </c>
      <c r="DF1952" s="891">
        <v>6</v>
      </c>
      <c r="DG1952" s="959"/>
      <c r="DH1952" s="959"/>
      <c r="ER1952" s="905">
        <v>7400</v>
      </c>
      <c r="ES1952" s="906" t="s">
        <v>3965</v>
      </c>
      <c r="ET1952" s="2686">
        <v>3</v>
      </c>
      <c r="EV1952" s="985"/>
      <c r="EW1952" s="985"/>
      <c r="EX1952" s="387"/>
      <c r="EY1952" s="939"/>
      <c r="EZ1952" s="886"/>
    </row>
    <row r="1953" spans="88:156">
      <c r="CJ1953" s="197"/>
      <c r="CK1953" s="197"/>
      <c r="CL1953" s="197"/>
      <c r="CM1953" s="213"/>
      <c r="CN1953" s="213"/>
      <c r="CO1953" s="197"/>
      <c r="CP1953" s="197"/>
      <c r="CQ1953" s="197"/>
      <c r="CR1953" s="197"/>
      <c r="CS1953" s="197"/>
      <c r="CT1953" s="197"/>
      <c r="CU1953" s="197"/>
      <c r="CV1953" s="197"/>
      <c r="CW1953" s="197"/>
      <c r="CX1953" s="959"/>
      <c r="CY1953" s="959"/>
      <c r="CZ1953" s="959"/>
      <c r="DA1953" s="959"/>
      <c r="DB1953" s="959"/>
      <c r="DC1953" s="891">
        <v>7176</v>
      </c>
      <c r="DD1953" s="891" t="s">
        <v>1211</v>
      </c>
      <c r="DE1953" s="891" t="s">
        <v>406</v>
      </c>
      <c r="DF1953" s="891">
        <v>6</v>
      </c>
      <c r="DG1953" s="959"/>
      <c r="DH1953" s="959"/>
      <c r="ER1953" s="905">
        <v>7400</v>
      </c>
      <c r="ES1953" s="906" t="s">
        <v>546</v>
      </c>
      <c r="ET1953" s="2686">
        <v>3</v>
      </c>
      <c r="EV1953" s="985"/>
      <c r="EW1953" s="985"/>
      <c r="EX1953" s="387"/>
      <c r="EY1953" s="939"/>
      <c r="EZ1953" s="886"/>
    </row>
    <row r="1954" spans="88:156">
      <c r="CJ1954" s="197"/>
      <c r="CK1954" s="197"/>
      <c r="CL1954" s="197"/>
      <c r="CM1954" s="213"/>
      <c r="CN1954" s="213"/>
      <c r="CO1954" s="197"/>
      <c r="CP1954" s="197"/>
      <c r="CQ1954" s="197"/>
      <c r="CR1954" s="197"/>
      <c r="CS1954" s="197"/>
      <c r="CT1954" s="197"/>
      <c r="CU1954" s="197"/>
      <c r="CV1954" s="197"/>
      <c r="CW1954" s="197"/>
      <c r="CX1954" s="959"/>
      <c r="CY1954" s="959"/>
      <c r="CZ1954" s="959"/>
      <c r="DA1954" s="959"/>
      <c r="DB1954" s="959"/>
      <c r="DC1954" s="891">
        <v>7181</v>
      </c>
      <c r="DD1954" s="891" t="s">
        <v>1212</v>
      </c>
      <c r="DE1954" s="891" t="s">
        <v>406</v>
      </c>
      <c r="DF1954" s="891">
        <v>6</v>
      </c>
      <c r="DG1954" s="959"/>
      <c r="DH1954" s="959"/>
      <c r="ER1954" s="905">
        <v>7400</v>
      </c>
      <c r="ES1954" s="906" t="s">
        <v>547</v>
      </c>
      <c r="ET1954" s="2686">
        <v>3</v>
      </c>
      <c r="EV1954" s="985"/>
      <c r="EW1954" s="985"/>
      <c r="EX1954" s="387"/>
      <c r="EY1954" s="939"/>
      <c r="EZ1954" s="886"/>
    </row>
    <row r="1955" spans="88:156">
      <c r="CJ1955" s="197"/>
      <c r="CK1955" s="197"/>
      <c r="CL1955" s="197"/>
      <c r="CM1955" s="213"/>
      <c r="CN1955" s="213"/>
      <c r="CO1955" s="197"/>
      <c r="CP1955" s="197"/>
      <c r="CQ1955" s="197"/>
      <c r="CR1955" s="197"/>
      <c r="CS1955" s="197"/>
      <c r="CT1955" s="197"/>
      <c r="CU1955" s="197"/>
      <c r="CV1955" s="197"/>
      <c r="CW1955" s="197"/>
      <c r="CX1955" s="959"/>
      <c r="CY1955" s="959"/>
      <c r="CZ1955" s="959"/>
      <c r="DA1955" s="959"/>
      <c r="DB1955" s="959"/>
      <c r="DC1955" s="891">
        <v>7182</v>
      </c>
      <c r="DD1955" s="891" t="s">
        <v>1213</v>
      </c>
      <c r="DE1955" s="891" t="s">
        <v>412</v>
      </c>
      <c r="DF1955" s="891">
        <v>6</v>
      </c>
      <c r="DG1955" s="959"/>
      <c r="DH1955" s="959"/>
      <c r="ER1955" s="905">
        <v>7409</v>
      </c>
      <c r="ES1955" s="930" t="s">
        <v>3965</v>
      </c>
      <c r="ET1955" s="2686">
        <v>9</v>
      </c>
      <c r="EV1955" s="985"/>
      <c r="EW1955" s="985"/>
      <c r="EX1955" s="387"/>
      <c r="EY1955" s="939"/>
      <c r="EZ1955" s="886"/>
    </row>
    <row r="1956" spans="88:156">
      <c r="CJ1956" s="197"/>
      <c r="CK1956" s="197"/>
      <c r="CL1956" s="197"/>
      <c r="CM1956" s="213"/>
      <c r="CN1956" s="213"/>
      <c r="CO1956" s="197"/>
      <c r="CP1956" s="197"/>
      <c r="CQ1956" s="197"/>
      <c r="CR1956" s="197"/>
      <c r="CS1956" s="197"/>
      <c r="CT1956" s="197"/>
      <c r="CU1956" s="197"/>
      <c r="CV1956" s="197"/>
      <c r="CW1956" s="197"/>
      <c r="CX1956" s="959"/>
      <c r="CY1956" s="959"/>
      <c r="CZ1956" s="959"/>
      <c r="DA1956" s="959"/>
      <c r="DB1956" s="959"/>
      <c r="DC1956" s="891">
        <v>7183</v>
      </c>
      <c r="DD1956" s="891" t="s">
        <v>1214</v>
      </c>
      <c r="DE1956" s="891" t="s">
        <v>2808</v>
      </c>
      <c r="DF1956" s="891">
        <v>6</v>
      </c>
      <c r="DG1956" s="959"/>
      <c r="DH1956" s="959"/>
      <c r="ER1956" s="905">
        <v>7431</v>
      </c>
      <c r="ES1956" s="906" t="s">
        <v>3966</v>
      </c>
      <c r="ET1956" s="2686">
        <v>4</v>
      </c>
      <c r="EV1956" s="985"/>
      <c r="EW1956" s="985"/>
      <c r="EX1956" s="387"/>
      <c r="EY1956" s="939"/>
      <c r="EZ1956" s="886"/>
    </row>
    <row r="1957" spans="88:156">
      <c r="CJ1957" s="197"/>
      <c r="CK1957" s="197"/>
      <c r="CL1957" s="197"/>
      <c r="CM1957" s="213"/>
      <c r="CN1957" s="213"/>
      <c r="CO1957" s="197"/>
      <c r="CP1957" s="197"/>
      <c r="CQ1957" s="197"/>
      <c r="CR1957" s="197"/>
      <c r="CS1957" s="197"/>
      <c r="CT1957" s="197"/>
      <c r="CU1957" s="197"/>
      <c r="CV1957" s="197"/>
      <c r="CW1957" s="197"/>
      <c r="CX1957" s="959"/>
      <c r="CY1957" s="959"/>
      <c r="CZ1957" s="959"/>
      <c r="DA1957" s="959"/>
      <c r="DB1957" s="959"/>
      <c r="DC1957" s="891">
        <v>7184</v>
      </c>
      <c r="DD1957" s="891" t="s">
        <v>1215</v>
      </c>
      <c r="DE1957" s="891" t="s">
        <v>406</v>
      </c>
      <c r="DF1957" s="891">
        <v>6</v>
      </c>
      <c r="DG1957" s="959"/>
      <c r="DH1957" s="959"/>
      <c r="ER1957" s="905">
        <v>7432</v>
      </c>
      <c r="ES1957" s="906" t="s">
        <v>548</v>
      </c>
      <c r="ET1957" s="2686">
        <v>9</v>
      </c>
      <c r="EV1957" s="985"/>
      <c r="EW1957" s="985"/>
      <c r="EX1957" s="387"/>
      <c r="EY1957" s="939"/>
      <c r="EZ1957" s="886"/>
    </row>
    <row r="1958" spans="88:156">
      <c r="CJ1958" s="197"/>
      <c r="CK1958" s="197"/>
      <c r="CL1958" s="197"/>
      <c r="CM1958" s="213"/>
      <c r="CN1958" s="213"/>
      <c r="CO1958" s="197"/>
      <c r="CP1958" s="197"/>
      <c r="CQ1958" s="197"/>
      <c r="CR1958" s="197"/>
      <c r="CS1958" s="197"/>
      <c r="CT1958" s="197"/>
      <c r="CU1958" s="197"/>
      <c r="CV1958" s="197"/>
      <c r="CW1958" s="197"/>
      <c r="CX1958" s="959"/>
      <c r="CY1958" s="959"/>
      <c r="CZ1958" s="959"/>
      <c r="DA1958" s="959"/>
      <c r="DB1958" s="959"/>
      <c r="DC1958" s="891">
        <v>7185</v>
      </c>
      <c r="DD1958" s="891" t="s">
        <v>1216</v>
      </c>
      <c r="DE1958" s="891" t="s">
        <v>432</v>
      </c>
      <c r="DF1958" s="891">
        <v>6</v>
      </c>
      <c r="DG1958" s="959"/>
      <c r="DH1958" s="959"/>
      <c r="ER1958" s="905">
        <v>7432</v>
      </c>
      <c r="ES1958" s="906" t="s">
        <v>3967</v>
      </c>
      <c r="ET1958" s="2686">
        <v>9</v>
      </c>
      <c r="EV1958" s="985"/>
      <c r="EW1958" s="985"/>
      <c r="EX1958" s="387"/>
      <c r="EY1958" s="939"/>
      <c r="EZ1958" s="886"/>
    </row>
    <row r="1959" spans="88:156">
      <c r="CJ1959" s="197"/>
      <c r="CK1959" s="197"/>
      <c r="CL1959" s="197"/>
      <c r="CM1959" s="213"/>
      <c r="CN1959" s="213"/>
      <c r="CO1959" s="197"/>
      <c r="CP1959" s="197"/>
      <c r="CQ1959" s="197"/>
      <c r="CR1959" s="197"/>
      <c r="CS1959" s="197"/>
      <c r="CT1959" s="197"/>
      <c r="CU1959" s="197"/>
      <c r="CV1959" s="197"/>
      <c r="CW1959" s="197"/>
      <c r="CX1959" s="959"/>
      <c r="CY1959" s="959"/>
      <c r="CZ1959" s="959"/>
      <c r="DA1959" s="959"/>
      <c r="DB1959" s="959"/>
      <c r="DC1959" s="891">
        <v>7186</v>
      </c>
      <c r="DD1959" s="891" t="s">
        <v>1217</v>
      </c>
      <c r="DE1959" s="891" t="s">
        <v>406</v>
      </c>
      <c r="DF1959" s="891">
        <v>6</v>
      </c>
      <c r="DG1959" s="959"/>
      <c r="DH1959" s="959"/>
      <c r="ER1959" s="905">
        <v>7434</v>
      </c>
      <c r="ES1959" s="906" t="s">
        <v>3968</v>
      </c>
      <c r="ET1959" s="2686">
        <v>9</v>
      </c>
      <c r="EV1959" s="985"/>
      <c r="EW1959" s="985"/>
      <c r="EX1959" s="387"/>
      <c r="EY1959" s="939"/>
      <c r="EZ1959" s="886"/>
    </row>
    <row r="1960" spans="88:156">
      <c r="CJ1960" s="197"/>
      <c r="CK1960" s="197"/>
      <c r="CL1960" s="197"/>
      <c r="CM1960" s="213"/>
      <c r="CN1960" s="213"/>
      <c r="CO1960" s="197"/>
      <c r="CP1960" s="197"/>
      <c r="CQ1960" s="197"/>
      <c r="CR1960" s="197"/>
      <c r="CS1960" s="197"/>
      <c r="CT1960" s="197"/>
      <c r="CU1960" s="197"/>
      <c r="CV1960" s="197"/>
      <c r="CW1960" s="197"/>
      <c r="CX1960" s="959"/>
      <c r="CY1960" s="959"/>
      <c r="CZ1960" s="959"/>
      <c r="DA1960" s="959"/>
      <c r="DB1960" s="959"/>
      <c r="DC1960" s="891">
        <v>7187</v>
      </c>
      <c r="DD1960" s="891" t="s">
        <v>1218</v>
      </c>
      <c r="DE1960" s="891" t="s">
        <v>421</v>
      </c>
      <c r="DF1960" s="891">
        <v>5</v>
      </c>
      <c r="DG1960" s="959"/>
      <c r="DH1960" s="959"/>
      <c r="ER1960" s="905">
        <v>7435</v>
      </c>
      <c r="ES1960" s="906" t="s">
        <v>3969</v>
      </c>
      <c r="ET1960" s="2686">
        <v>9</v>
      </c>
      <c r="EV1960" s="985"/>
      <c r="EW1960" s="985"/>
      <c r="EX1960" s="387"/>
      <c r="EY1960" s="939"/>
      <c r="EZ1960" s="886"/>
    </row>
    <row r="1961" spans="88:156">
      <c r="CJ1961" s="197"/>
      <c r="CK1961" s="197"/>
      <c r="CL1961" s="197"/>
      <c r="CM1961" s="213"/>
      <c r="CN1961" s="213"/>
      <c r="CO1961" s="197"/>
      <c r="CP1961" s="197"/>
      <c r="CQ1961" s="197"/>
      <c r="CR1961" s="197"/>
      <c r="CS1961" s="197"/>
      <c r="CT1961" s="197"/>
      <c r="CU1961" s="197"/>
      <c r="CV1961" s="197"/>
      <c r="CW1961" s="197"/>
      <c r="CX1961" s="959"/>
      <c r="CY1961" s="959"/>
      <c r="CZ1961" s="959"/>
      <c r="DA1961" s="959"/>
      <c r="DB1961" s="959"/>
      <c r="DC1961" s="891">
        <v>7188</v>
      </c>
      <c r="DD1961" s="891" t="s">
        <v>1215</v>
      </c>
      <c r="DE1961" s="891" t="s">
        <v>406</v>
      </c>
      <c r="DF1961" s="891">
        <v>6</v>
      </c>
      <c r="DG1961" s="959"/>
      <c r="DH1961" s="959"/>
      <c r="ER1961" s="905">
        <v>7436</v>
      </c>
      <c r="ES1961" s="906" t="s">
        <v>3970</v>
      </c>
      <c r="ET1961" s="2686">
        <v>9</v>
      </c>
      <c r="EV1961" s="985"/>
      <c r="EW1961" s="985"/>
      <c r="EX1961" s="387"/>
      <c r="EY1961" s="939"/>
      <c r="EZ1961" s="886"/>
    </row>
    <row r="1962" spans="88:156">
      <c r="CJ1962" s="197"/>
      <c r="CK1962" s="197"/>
      <c r="CL1962" s="197"/>
      <c r="CM1962" s="213"/>
      <c r="CN1962" s="213"/>
      <c r="CO1962" s="197"/>
      <c r="CP1962" s="197"/>
      <c r="CQ1962" s="197"/>
      <c r="CR1962" s="197"/>
      <c r="CS1962" s="197"/>
      <c r="CT1962" s="197"/>
      <c r="CU1962" s="197"/>
      <c r="CV1962" s="197"/>
      <c r="CW1962" s="197"/>
      <c r="CX1962" s="959"/>
      <c r="CY1962" s="959"/>
      <c r="CZ1962" s="959"/>
      <c r="DA1962" s="959"/>
      <c r="DB1962" s="959"/>
      <c r="DC1962" s="891">
        <v>7191</v>
      </c>
      <c r="DD1962" s="891" t="s">
        <v>1219</v>
      </c>
      <c r="DE1962" s="891" t="s">
        <v>406</v>
      </c>
      <c r="DF1962" s="891">
        <v>6</v>
      </c>
      <c r="DG1962" s="959"/>
      <c r="DH1962" s="959"/>
      <c r="ER1962" s="905">
        <v>7439</v>
      </c>
      <c r="ES1962" s="906" t="s">
        <v>3971</v>
      </c>
      <c r="ET1962" s="2686">
        <v>9</v>
      </c>
      <c r="EV1962" s="985"/>
      <c r="EW1962" s="985"/>
      <c r="EX1962" s="387"/>
      <c r="EY1962" s="939"/>
      <c r="EZ1962" s="886"/>
    </row>
    <row r="1963" spans="88:156">
      <c r="CJ1963" s="197"/>
      <c r="CK1963" s="197"/>
      <c r="CL1963" s="197"/>
      <c r="CM1963" s="213"/>
      <c r="CN1963" s="213"/>
      <c r="CO1963" s="197"/>
      <c r="CP1963" s="197"/>
      <c r="CQ1963" s="197"/>
      <c r="CR1963" s="197"/>
      <c r="CS1963" s="197"/>
      <c r="CT1963" s="197"/>
      <c r="CU1963" s="197"/>
      <c r="CV1963" s="197"/>
      <c r="CW1963" s="197"/>
      <c r="CX1963" s="959"/>
      <c r="CY1963" s="959"/>
      <c r="CZ1963" s="959"/>
      <c r="DA1963" s="959"/>
      <c r="DB1963" s="959"/>
      <c r="DC1963" s="891">
        <v>7192</v>
      </c>
      <c r="DD1963" s="891" t="s">
        <v>1220</v>
      </c>
      <c r="DE1963" s="891" t="s">
        <v>423</v>
      </c>
      <c r="DF1963" s="891">
        <v>6</v>
      </c>
      <c r="DG1963" s="959"/>
      <c r="DH1963" s="959"/>
      <c r="ER1963" s="905">
        <v>7441</v>
      </c>
      <c r="ES1963" s="906" t="s">
        <v>3972</v>
      </c>
      <c r="ET1963" s="2686">
        <v>9</v>
      </c>
      <c r="EV1963" s="985"/>
      <c r="EW1963" s="985"/>
      <c r="EX1963" s="387"/>
      <c r="EY1963" s="939"/>
      <c r="EZ1963" s="886"/>
    </row>
    <row r="1964" spans="88:156">
      <c r="CJ1964" s="197"/>
      <c r="CK1964" s="197"/>
      <c r="CL1964" s="197"/>
      <c r="CM1964" s="213"/>
      <c r="CN1964" s="213"/>
      <c r="CO1964" s="197"/>
      <c r="CP1964" s="197"/>
      <c r="CQ1964" s="197"/>
      <c r="CR1964" s="197"/>
      <c r="CS1964" s="197"/>
      <c r="CT1964" s="197"/>
      <c r="CU1964" s="197"/>
      <c r="CV1964" s="197"/>
      <c r="CW1964" s="197"/>
      <c r="CX1964" s="959"/>
      <c r="CY1964" s="959"/>
      <c r="CZ1964" s="959"/>
      <c r="DA1964" s="959"/>
      <c r="DB1964" s="959"/>
      <c r="DC1964" s="891">
        <v>7193</v>
      </c>
      <c r="DD1964" s="891" t="s">
        <v>1221</v>
      </c>
      <c r="DE1964" s="891" t="s">
        <v>428</v>
      </c>
      <c r="DF1964" s="891">
        <v>6</v>
      </c>
      <c r="DG1964" s="959"/>
      <c r="DH1964" s="959"/>
      <c r="ER1964" s="905">
        <v>7442</v>
      </c>
      <c r="ES1964" s="906" t="s">
        <v>3973</v>
      </c>
      <c r="ET1964" s="2686">
        <v>9</v>
      </c>
      <c r="EV1964" s="985"/>
      <c r="EW1964" s="985"/>
      <c r="EX1964" s="387"/>
      <c r="EY1964" s="939"/>
      <c r="EZ1964" s="886"/>
    </row>
    <row r="1965" spans="88:156">
      <c r="CJ1965" s="197"/>
      <c r="CK1965" s="197"/>
      <c r="CL1965" s="197"/>
      <c r="CM1965" s="213"/>
      <c r="CN1965" s="213"/>
      <c r="CO1965" s="197"/>
      <c r="CP1965" s="197"/>
      <c r="CQ1965" s="197"/>
      <c r="CR1965" s="197"/>
      <c r="CS1965" s="197"/>
      <c r="CT1965" s="197"/>
      <c r="CU1965" s="197"/>
      <c r="CV1965" s="197"/>
      <c r="CW1965" s="197"/>
      <c r="CX1965" s="959"/>
      <c r="CY1965" s="959"/>
      <c r="CZ1965" s="959"/>
      <c r="DA1965" s="959"/>
      <c r="DB1965" s="959"/>
      <c r="DC1965" s="891">
        <v>7194</v>
      </c>
      <c r="DD1965" s="891" t="s">
        <v>1222</v>
      </c>
      <c r="DE1965" s="891" t="s">
        <v>435</v>
      </c>
      <c r="DF1965" s="891">
        <v>6</v>
      </c>
      <c r="DG1965" s="959"/>
      <c r="DH1965" s="959"/>
      <c r="ER1965" s="905">
        <v>7443</v>
      </c>
      <c r="ES1965" s="906" t="s">
        <v>549</v>
      </c>
      <c r="ET1965" s="2686">
        <v>9</v>
      </c>
      <c r="EV1965" s="985"/>
      <c r="EW1965" s="985"/>
      <c r="EX1965" s="387"/>
      <c r="EY1965" s="939"/>
      <c r="EZ1965" s="886"/>
    </row>
    <row r="1966" spans="88:156">
      <c r="CJ1966" s="197"/>
      <c r="CK1966" s="197"/>
      <c r="CL1966" s="197"/>
      <c r="CM1966" s="213"/>
      <c r="CN1966" s="213"/>
      <c r="CO1966" s="197"/>
      <c r="CP1966" s="197"/>
      <c r="CQ1966" s="197"/>
      <c r="CR1966" s="197"/>
      <c r="CS1966" s="197"/>
      <c r="CT1966" s="197"/>
      <c r="CU1966" s="197"/>
      <c r="CV1966" s="197"/>
      <c r="CW1966" s="197"/>
      <c r="CX1966" s="959"/>
      <c r="CY1966" s="959"/>
      <c r="CZ1966" s="959"/>
      <c r="DA1966" s="959"/>
      <c r="DB1966" s="959"/>
      <c r="DC1966" s="891">
        <v>7195</v>
      </c>
      <c r="DD1966" s="891" t="s">
        <v>1223</v>
      </c>
      <c r="DE1966" s="891" t="s">
        <v>406</v>
      </c>
      <c r="DF1966" s="891">
        <v>6</v>
      </c>
      <c r="DG1966" s="959"/>
      <c r="DH1966" s="959"/>
      <c r="ER1966" s="905">
        <v>7443</v>
      </c>
      <c r="ES1966" s="906" t="s">
        <v>550</v>
      </c>
      <c r="ET1966" s="2686">
        <v>9</v>
      </c>
      <c r="EV1966" s="985"/>
      <c r="EW1966" s="985"/>
      <c r="EX1966" s="387"/>
      <c r="EY1966" s="939"/>
      <c r="EZ1966" s="886"/>
    </row>
    <row r="1967" spans="88:156">
      <c r="CJ1967" s="197"/>
      <c r="CK1967" s="197"/>
      <c r="CL1967" s="197"/>
      <c r="CM1967" s="213"/>
      <c r="CN1967" s="213"/>
      <c r="CO1967" s="197"/>
      <c r="CP1967" s="197"/>
      <c r="CQ1967" s="197"/>
      <c r="CR1967" s="197"/>
      <c r="CS1967" s="197"/>
      <c r="CT1967" s="197"/>
      <c r="CU1967" s="197"/>
      <c r="CV1967" s="197"/>
      <c r="CW1967" s="197"/>
      <c r="CX1967" s="959"/>
      <c r="CY1967" s="959"/>
      <c r="CZ1967" s="959"/>
      <c r="DA1967" s="959"/>
      <c r="DB1967" s="959"/>
      <c r="DC1967" s="891">
        <v>7200</v>
      </c>
      <c r="DD1967" s="891" t="s">
        <v>1224</v>
      </c>
      <c r="DE1967" s="891" t="s">
        <v>410</v>
      </c>
      <c r="DF1967" s="891">
        <v>6</v>
      </c>
      <c r="DG1967" s="959"/>
      <c r="DH1967" s="959"/>
      <c r="ER1967" s="905">
        <v>7443</v>
      </c>
      <c r="ES1967" s="906" t="s">
        <v>3974</v>
      </c>
      <c r="ET1967" s="2686">
        <v>9</v>
      </c>
      <c r="EV1967" s="985"/>
      <c r="EW1967" s="985"/>
      <c r="EX1967" s="387"/>
      <c r="EY1967" s="939"/>
      <c r="EZ1967" s="886"/>
    </row>
    <row r="1968" spans="88:156">
      <c r="CJ1968" s="197"/>
      <c r="CK1968" s="197"/>
      <c r="CL1968" s="197"/>
      <c r="CM1968" s="213"/>
      <c r="CN1968" s="213"/>
      <c r="CO1968" s="197"/>
      <c r="CP1968" s="197"/>
      <c r="CQ1968" s="197"/>
      <c r="CR1968" s="197"/>
      <c r="CS1968" s="197"/>
      <c r="CT1968" s="197"/>
      <c r="CU1968" s="197"/>
      <c r="CV1968" s="197"/>
      <c r="CW1968" s="197"/>
      <c r="CX1968" s="959"/>
      <c r="CY1968" s="959"/>
      <c r="CZ1968" s="959"/>
      <c r="DA1968" s="959"/>
      <c r="DB1968" s="959"/>
      <c r="DC1968" s="891">
        <v>7211</v>
      </c>
      <c r="DD1968" s="891" t="s">
        <v>3895</v>
      </c>
      <c r="DE1968" s="891" t="s">
        <v>420</v>
      </c>
      <c r="DF1968" s="891">
        <v>6</v>
      </c>
      <c r="DG1968" s="959"/>
      <c r="DH1968" s="959"/>
      <c r="ER1968" s="905">
        <v>7444</v>
      </c>
      <c r="ES1968" s="906" t="s">
        <v>1866</v>
      </c>
      <c r="ET1968" s="2686">
        <v>9</v>
      </c>
      <c r="EV1968" s="985"/>
      <c r="EW1968" s="985"/>
      <c r="EX1968" s="387"/>
      <c r="EY1968" s="939"/>
      <c r="EZ1968" s="886"/>
    </row>
    <row r="1969" spans="88:156">
      <c r="CJ1969" s="197"/>
      <c r="CK1969" s="197"/>
      <c r="CL1969" s="197"/>
      <c r="CM1969" s="213"/>
      <c r="CN1969" s="213"/>
      <c r="CO1969" s="197"/>
      <c r="CP1969" s="197"/>
      <c r="CQ1969" s="197"/>
      <c r="CR1969" s="197"/>
      <c r="CS1969" s="197"/>
      <c r="CT1969" s="197"/>
      <c r="CU1969" s="197"/>
      <c r="CV1969" s="197"/>
      <c r="CW1969" s="197"/>
      <c r="CX1969" s="959"/>
      <c r="CY1969" s="959"/>
      <c r="CZ1969" s="959"/>
      <c r="DA1969" s="959"/>
      <c r="DB1969" s="959"/>
      <c r="DC1969" s="891">
        <v>7212</v>
      </c>
      <c r="DD1969" s="891" t="s">
        <v>3896</v>
      </c>
      <c r="DE1969" s="891" t="s">
        <v>428</v>
      </c>
      <c r="DF1969" s="891">
        <v>6</v>
      </c>
      <c r="DG1969" s="959"/>
      <c r="DH1969" s="959"/>
      <c r="ER1969" s="905">
        <v>7451</v>
      </c>
      <c r="ES1969" s="930" t="s">
        <v>551</v>
      </c>
      <c r="ET1969" s="2686">
        <v>3</v>
      </c>
      <c r="EV1969" s="985"/>
      <c r="EW1969" s="985"/>
      <c r="EX1969" s="387"/>
      <c r="EY1969" s="939"/>
      <c r="EZ1969" s="886"/>
    </row>
    <row r="1970" spans="88:156">
      <c r="CJ1970" s="197"/>
      <c r="CK1970" s="197"/>
      <c r="CL1970" s="197"/>
      <c r="CM1970" s="213"/>
      <c r="CN1970" s="213"/>
      <c r="CO1970" s="197"/>
      <c r="CP1970" s="197"/>
      <c r="CQ1970" s="197"/>
      <c r="CR1970" s="197"/>
      <c r="CS1970" s="197"/>
      <c r="CT1970" s="197"/>
      <c r="CU1970" s="197"/>
      <c r="CV1970" s="197"/>
      <c r="CW1970" s="197"/>
      <c r="CX1970" s="959"/>
      <c r="CY1970" s="959"/>
      <c r="CZ1970" s="959"/>
      <c r="DA1970" s="959"/>
      <c r="DB1970" s="959"/>
      <c r="DC1970" s="891">
        <v>7213</v>
      </c>
      <c r="DD1970" s="891" t="s">
        <v>3897</v>
      </c>
      <c r="DE1970" s="891" t="s">
        <v>427</v>
      </c>
      <c r="DF1970" s="891">
        <v>6</v>
      </c>
      <c r="DG1970" s="959"/>
      <c r="DH1970" s="959"/>
      <c r="ER1970" s="905">
        <v>7452</v>
      </c>
      <c r="ES1970" s="906" t="s">
        <v>1868</v>
      </c>
      <c r="ET1970" s="2686">
        <v>9</v>
      </c>
      <c r="EV1970" s="985"/>
      <c r="EW1970" s="985"/>
      <c r="EX1970" s="387"/>
      <c r="EY1970" s="939"/>
      <c r="EZ1970" s="886"/>
    </row>
    <row r="1971" spans="88:156">
      <c r="CJ1971" s="197"/>
      <c r="CK1971" s="197"/>
      <c r="CL1971" s="197"/>
      <c r="CM1971" s="213"/>
      <c r="CN1971" s="213"/>
      <c r="CO1971" s="197"/>
      <c r="CP1971" s="197"/>
      <c r="CQ1971" s="197"/>
      <c r="CR1971" s="197"/>
      <c r="CS1971" s="197"/>
      <c r="CT1971" s="197"/>
      <c r="CU1971" s="197"/>
      <c r="CV1971" s="197"/>
      <c r="CW1971" s="197"/>
      <c r="CX1971" s="959"/>
      <c r="CY1971" s="959"/>
      <c r="CZ1971" s="959"/>
      <c r="DA1971" s="959"/>
      <c r="DB1971" s="959"/>
      <c r="DC1971" s="891">
        <v>7214</v>
      </c>
      <c r="DD1971" s="891" t="s">
        <v>3898</v>
      </c>
      <c r="DE1971" s="891" t="s">
        <v>421</v>
      </c>
      <c r="DF1971" s="891">
        <v>6</v>
      </c>
      <c r="DG1971" s="959"/>
      <c r="DH1971" s="959"/>
      <c r="ER1971" s="905">
        <v>7453</v>
      </c>
      <c r="ES1971" s="906" t="s">
        <v>1869</v>
      </c>
      <c r="ET1971" s="2686">
        <v>9</v>
      </c>
      <c r="EV1971" s="985"/>
      <c r="EW1971" s="985"/>
      <c r="EX1971" s="387"/>
      <c r="EY1971" s="939"/>
      <c r="EZ1971" s="886"/>
    </row>
    <row r="1972" spans="88:156">
      <c r="CJ1972" s="197"/>
      <c r="CK1972" s="197"/>
      <c r="CL1972" s="197"/>
      <c r="CM1972" s="213"/>
      <c r="CN1972" s="213"/>
      <c r="CO1972" s="197"/>
      <c r="CP1972" s="197"/>
      <c r="CQ1972" s="197"/>
      <c r="CR1972" s="197"/>
      <c r="CS1972" s="197"/>
      <c r="CT1972" s="197"/>
      <c r="CU1972" s="197"/>
      <c r="CV1972" s="197"/>
      <c r="CW1972" s="197"/>
      <c r="CX1972" s="959"/>
      <c r="CY1972" s="959"/>
      <c r="CZ1972" s="959"/>
      <c r="DA1972" s="959"/>
      <c r="DB1972" s="959"/>
      <c r="DC1972" s="891">
        <v>7215</v>
      </c>
      <c r="DD1972" s="891" t="s">
        <v>3899</v>
      </c>
      <c r="DE1972" s="891" t="s">
        <v>421</v>
      </c>
      <c r="DF1972" s="891">
        <v>6</v>
      </c>
      <c r="DG1972" s="959"/>
      <c r="DH1972" s="959"/>
      <c r="ER1972" s="905">
        <v>7454</v>
      </c>
      <c r="ES1972" s="906" t="s">
        <v>3075</v>
      </c>
      <c r="ET1972" s="2686">
        <v>9</v>
      </c>
      <c r="EV1972" s="985"/>
      <c r="EW1972" s="985"/>
      <c r="EX1972" s="387"/>
      <c r="EY1972" s="939"/>
      <c r="EZ1972" s="886"/>
    </row>
    <row r="1973" spans="88:156">
      <c r="CJ1973" s="197"/>
      <c r="CK1973" s="197"/>
      <c r="CL1973" s="197"/>
      <c r="CM1973" s="213"/>
      <c r="CN1973" s="213"/>
      <c r="CO1973" s="197"/>
      <c r="CP1973" s="197"/>
      <c r="CQ1973" s="197"/>
      <c r="CR1973" s="197"/>
      <c r="CS1973" s="197"/>
      <c r="CT1973" s="197"/>
      <c r="CU1973" s="197"/>
      <c r="CV1973" s="197"/>
      <c r="CW1973" s="197"/>
      <c r="CX1973" s="959"/>
      <c r="CY1973" s="959"/>
      <c r="CZ1973" s="959"/>
      <c r="DA1973" s="959"/>
      <c r="DB1973" s="959"/>
      <c r="DC1973" s="891">
        <v>7224</v>
      </c>
      <c r="DD1973" s="891" t="s">
        <v>3900</v>
      </c>
      <c r="DE1973" s="891" t="s">
        <v>421</v>
      </c>
      <c r="DF1973" s="891">
        <v>6</v>
      </c>
      <c r="DG1973" s="959"/>
      <c r="DH1973" s="959"/>
      <c r="ER1973" s="905">
        <v>7455</v>
      </c>
      <c r="ES1973" s="906" t="s">
        <v>3076</v>
      </c>
      <c r="ET1973" s="2686">
        <v>9</v>
      </c>
      <c r="EV1973" s="985"/>
      <c r="EW1973" s="985"/>
      <c r="EX1973" s="387"/>
      <c r="EY1973" s="939"/>
      <c r="EZ1973" s="886"/>
    </row>
    <row r="1974" spans="88:156">
      <c r="CJ1974" s="197"/>
      <c r="CK1974" s="197"/>
      <c r="CL1974" s="197"/>
      <c r="CM1974" s="213"/>
      <c r="CN1974" s="213"/>
      <c r="CO1974" s="197"/>
      <c r="CP1974" s="197"/>
      <c r="CQ1974" s="197"/>
      <c r="CR1974" s="197"/>
      <c r="CS1974" s="197"/>
      <c r="CT1974" s="197"/>
      <c r="CU1974" s="197"/>
      <c r="CV1974" s="197"/>
      <c r="CW1974" s="197"/>
      <c r="CX1974" s="959"/>
      <c r="CY1974" s="959"/>
      <c r="CZ1974" s="959"/>
      <c r="DA1974" s="959"/>
      <c r="DB1974" s="959"/>
      <c r="DC1974" s="891">
        <v>7225</v>
      </c>
      <c r="DD1974" s="891" t="s">
        <v>3901</v>
      </c>
      <c r="DE1974" s="891" t="s">
        <v>420</v>
      </c>
      <c r="DF1974" s="891">
        <v>6</v>
      </c>
      <c r="DG1974" s="959"/>
      <c r="DH1974" s="959"/>
      <c r="ER1974" s="905">
        <v>7456</v>
      </c>
      <c r="ES1974" s="906" t="s">
        <v>552</v>
      </c>
      <c r="ET1974" s="2686">
        <v>9</v>
      </c>
      <c r="EV1974" s="985"/>
      <c r="EW1974" s="985"/>
      <c r="EX1974" s="387"/>
      <c r="EY1974" s="939"/>
      <c r="EZ1974" s="886"/>
    </row>
    <row r="1975" spans="88:156">
      <c r="CJ1975" s="197"/>
      <c r="CK1975" s="197"/>
      <c r="CL1975" s="197"/>
      <c r="CM1975" s="213"/>
      <c r="CN1975" s="213"/>
      <c r="CO1975" s="197"/>
      <c r="CP1975" s="197"/>
      <c r="CQ1975" s="197"/>
      <c r="CR1975" s="197"/>
      <c r="CS1975" s="197"/>
      <c r="CT1975" s="197"/>
      <c r="CU1975" s="197"/>
      <c r="CV1975" s="197"/>
      <c r="CW1975" s="197"/>
      <c r="CX1975" s="959"/>
      <c r="CY1975" s="959"/>
      <c r="CZ1975" s="959"/>
      <c r="DA1975" s="959"/>
      <c r="DB1975" s="959"/>
      <c r="DC1975" s="891">
        <v>7226</v>
      </c>
      <c r="DD1975" s="891" t="s">
        <v>3902</v>
      </c>
      <c r="DE1975" s="891" t="s">
        <v>412</v>
      </c>
      <c r="DF1975" s="891">
        <v>6</v>
      </c>
      <c r="DG1975" s="959"/>
      <c r="DH1975" s="959"/>
      <c r="ER1975" s="905">
        <v>7457</v>
      </c>
      <c r="ES1975" s="906" t="s">
        <v>3078</v>
      </c>
      <c r="ET1975" s="2686">
        <v>9</v>
      </c>
      <c r="EV1975" s="985"/>
      <c r="EW1975" s="985"/>
      <c r="EX1975" s="387"/>
      <c r="EY1975" s="939"/>
      <c r="EZ1975" s="886"/>
    </row>
    <row r="1976" spans="88:156">
      <c r="CJ1976" s="197"/>
      <c r="CK1976" s="197"/>
      <c r="CL1976" s="197"/>
      <c r="CM1976" s="213"/>
      <c r="CN1976" s="213"/>
      <c r="CO1976" s="197"/>
      <c r="CP1976" s="197"/>
      <c r="CQ1976" s="197"/>
      <c r="CR1976" s="197"/>
      <c r="CS1976" s="197"/>
      <c r="CT1976" s="197"/>
      <c r="CU1976" s="197"/>
      <c r="CV1976" s="197"/>
      <c r="CW1976" s="197"/>
      <c r="CX1976" s="959"/>
      <c r="CY1976" s="959"/>
      <c r="CZ1976" s="959"/>
      <c r="DA1976" s="959"/>
      <c r="DB1976" s="959"/>
      <c r="DC1976" s="891">
        <v>7227</v>
      </c>
      <c r="DD1976" s="891" t="s">
        <v>3903</v>
      </c>
      <c r="DE1976" s="891" t="s">
        <v>423</v>
      </c>
      <c r="DF1976" s="891">
        <v>6</v>
      </c>
      <c r="DG1976" s="959"/>
      <c r="DH1976" s="959"/>
      <c r="ER1976" s="905">
        <v>7458</v>
      </c>
      <c r="ES1976" s="906" t="s">
        <v>3079</v>
      </c>
      <c r="ET1976" s="2686">
        <v>9</v>
      </c>
      <c r="EV1976" s="985"/>
      <c r="EW1976" s="985"/>
      <c r="EX1976" s="387"/>
      <c r="EY1976" s="939"/>
      <c r="EZ1976" s="886"/>
    </row>
    <row r="1977" spans="88:156">
      <c r="CJ1977" s="197"/>
      <c r="CK1977" s="197"/>
      <c r="CL1977" s="197"/>
      <c r="CM1977" s="213"/>
      <c r="CN1977" s="213"/>
      <c r="CO1977" s="197"/>
      <c r="CP1977" s="197"/>
      <c r="CQ1977" s="197"/>
      <c r="CR1977" s="197"/>
      <c r="CS1977" s="197"/>
      <c r="CT1977" s="197"/>
      <c r="CU1977" s="197"/>
      <c r="CV1977" s="197"/>
      <c r="CW1977" s="197"/>
      <c r="CX1977" s="959"/>
      <c r="CY1977" s="959"/>
      <c r="CZ1977" s="959"/>
      <c r="DA1977" s="959"/>
      <c r="DB1977" s="959"/>
      <c r="DC1977" s="891">
        <v>7228</v>
      </c>
      <c r="DD1977" s="891" t="s">
        <v>3904</v>
      </c>
      <c r="DE1977" s="891" t="s">
        <v>433</v>
      </c>
      <c r="DF1977" s="891">
        <v>6</v>
      </c>
      <c r="DG1977" s="959"/>
      <c r="DH1977" s="959"/>
      <c r="ER1977" s="905">
        <v>7461</v>
      </c>
      <c r="ES1977" s="930" t="s">
        <v>553</v>
      </c>
      <c r="ET1977" s="2686">
        <v>3</v>
      </c>
      <c r="EV1977" s="985"/>
      <c r="EW1977" s="985"/>
      <c r="EX1977" s="387"/>
      <c r="EY1977" s="939"/>
      <c r="EZ1977" s="886"/>
    </row>
    <row r="1978" spans="88:156">
      <c r="CJ1978" s="197"/>
      <c r="CK1978" s="197"/>
      <c r="CL1978" s="197"/>
      <c r="CM1978" s="213"/>
      <c r="CN1978" s="213"/>
      <c r="CO1978" s="197"/>
      <c r="CP1978" s="197"/>
      <c r="CQ1978" s="197"/>
      <c r="CR1978" s="197"/>
      <c r="CS1978" s="197"/>
      <c r="CT1978" s="197"/>
      <c r="CU1978" s="197"/>
      <c r="CV1978" s="197"/>
      <c r="CW1978" s="197"/>
      <c r="CX1978" s="959"/>
      <c r="CY1978" s="959"/>
      <c r="CZ1978" s="959"/>
      <c r="DA1978" s="959"/>
      <c r="DB1978" s="959"/>
      <c r="DC1978" s="891">
        <v>7251</v>
      </c>
      <c r="DD1978" s="891" t="s">
        <v>3905</v>
      </c>
      <c r="DE1978" s="891" t="s">
        <v>433</v>
      </c>
      <c r="DF1978" s="891">
        <v>6</v>
      </c>
      <c r="DG1978" s="959"/>
      <c r="DH1978" s="959"/>
      <c r="ER1978" s="905">
        <v>7463</v>
      </c>
      <c r="ES1978" s="906" t="s">
        <v>554</v>
      </c>
      <c r="ET1978" s="2686">
        <v>9</v>
      </c>
      <c r="EV1978" s="985"/>
      <c r="EW1978" s="985"/>
      <c r="EX1978" s="387"/>
      <c r="EY1978" s="939"/>
      <c r="EZ1978" s="886"/>
    </row>
    <row r="1979" spans="88:156">
      <c r="CJ1979" s="197"/>
      <c r="CK1979" s="197"/>
      <c r="CL1979" s="197"/>
      <c r="CM1979" s="213"/>
      <c r="CN1979" s="213"/>
      <c r="CO1979" s="197"/>
      <c r="CP1979" s="197"/>
      <c r="CQ1979" s="197"/>
      <c r="CR1979" s="197"/>
      <c r="CS1979" s="197"/>
      <c r="CT1979" s="197"/>
      <c r="CU1979" s="197"/>
      <c r="CV1979" s="197"/>
      <c r="CW1979" s="197"/>
      <c r="CX1979" s="959"/>
      <c r="CY1979" s="959"/>
      <c r="CZ1979" s="959"/>
      <c r="DA1979" s="959"/>
      <c r="DB1979" s="959"/>
      <c r="DC1979" s="891">
        <v>7252</v>
      </c>
      <c r="DD1979" s="891" t="s">
        <v>3906</v>
      </c>
      <c r="DE1979" s="891" t="s">
        <v>433</v>
      </c>
      <c r="DF1979" s="891">
        <v>5</v>
      </c>
      <c r="DG1979" s="959"/>
      <c r="DH1979" s="959"/>
      <c r="ER1979" s="905">
        <v>7463</v>
      </c>
      <c r="ES1979" s="906" t="s">
        <v>3081</v>
      </c>
      <c r="ET1979" s="2686">
        <v>9</v>
      </c>
      <c r="EV1979" s="985"/>
      <c r="EW1979" s="985"/>
      <c r="EX1979" s="387"/>
      <c r="EY1979" s="939"/>
      <c r="EZ1979" s="886"/>
    </row>
    <row r="1980" spans="88:156">
      <c r="CJ1980" s="197"/>
      <c r="CK1980" s="197"/>
      <c r="CL1980" s="197"/>
      <c r="CM1980" s="213"/>
      <c r="CN1980" s="213"/>
      <c r="CO1980" s="197"/>
      <c r="CP1980" s="197"/>
      <c r="CQ1980" s="197"/>
      <c r="CR1980" s="197"/>
      <c r="CS1980" s="197"/>
      <c r="CT1980" s="197"/>
      <c r="CU1980" s="197"/>
      <c r="CV1980" s="197"/>
      <c r="CW1980" s="197"/>
      <c r="CX1980" s="959"/>
      <c r="CY1980" s="959"/>
      <c r="CZ1980" s="959"/>
      <c r="DA1980" s="959"/>
      <c r="DB1980" s="959"/>
      <c r="DC1980" s="891">
        <v>7253</v>
      </c>
      <c r="DD1980" s="891" t="s">
        <v>3907</v>
      </c>
      <c r="DE1980" s="891" t="s">
        <v>418</v>
      </c>
      <c r="DF1980" s="891">
        <v>6</v>
      </c>
      <c r="DG1980" s="959"/>
      <c r="DH1980" s="959"/>
      <c r="ER1980" s="905">
        <v>7464</v>
      </c>
      <c r="ES1980" s="906" t="s">
        <v>3082</v>
      </c>
      <c r="ET1980" s="2686">
        <v>9</v>
      </c>
      <c r="EV1980" s="985"/>
      <c r="EW1980" s="985"/>
      <c r="EX1980" s="387"/>
      <c r="EY1980" s="939"/>
      <c r="EZ1980" s="886"/>
    </row>
    <row r="1981" spans="88:156">
      <c r="CJ1981" s="197"/>
      <c r="CK1981" s="197"/>
      <c r="CL1981" s="197"/>
      <c r="CM1981" s="213"/>
      <c r="CN1981" s="213"/>
      <c r="CO1981" s="197"/>
      <c r="CP1981" s="197"/>
      <c r="CQ1981" s="197"/>
      <c r="CR1981" s="197"/>
      <c r="CS1981" s="197"/>
      <c r="CT1981" s="197"/>
      <c r="CU1981" s="197"/>
      <c r="CV1981" s="197"/>
      <c r="CW1981" s="197"/>
      <c r="CX1981" s="959"/>
      <c r="CY1981" s="959"/>
      <c r="CZ1981" s="959"/>
      <c r="DA1981" s="959"/>
      <c r="DB1981" s="959"/>
      <c r="DC1981" s="891">
        <v>7255</v>
      </c>
      <c r="DD1981" s="891" t="s">
        <v>3908</v>
      </c>
      <c r="DE1981" s="891" t="s">
        <v>433</v>
      </c>
      <c r="DF1981" s="891">
        <v>5</v>
      </c>
      <c r="DG1981" s="959"/>
      <c r="DH1981" s="959"/>
      <c r="ER1981" s="905">
        <v>7465</v>
      </c>
      <c r="ES1981" s="906" t="s">
        <v>3083</v>
      </c>
      <c r="ET1981" s="2686">
        <v>9</v>
      </c>
      <c r="EV1981" s="985"/>
      <c r="EW1981" s="985"/>
      <c r="EX1981" s="387"/>
      <c r="EY1981" s="939"/>
      <c r="EZ1981" s="886"/>
    </row>
    <row r="1982" spans="88:156">
      <c r="CJ1982" s="197"/>
      <c r="CK1982" s="197"/>
      <c r="CL1982" s="197"/>
      <c r="CM1982" s="213"/>
      <c r="CN1982" s="213"/>
      <c r="CO1982" s="197"/>
      <c r="CP1982" s="197"/>
      <c r="CQ1982" s="197"/>
      <c r="CR1982" s="197"/>
      <c r="CS1982" s="197"/>
      <c r="CT1982" s="197"/>
      <c r="CU1982" s="197"/>
      <c r="CV1982" s="197"/>
      <c r="CW1982" s="197"/>
      <c r="CX1982" s="959"/>
      <c r="CY1982" s="959"/>
      <c r="CZ1982" s="959"/>
      <c r="DA1982" s="959"/>
      <c r="DB1982" s="959"/>
      <c r="DC1982" s="891">
        <v>7256</v>
      </c>
      <c r="DD1982" s="891" t="s">
        <v>3909</v>
      </c>
      <c r="DE1982" s="891" t="s">
        <v>434</v>
      </c>
      <c r="DF1982" s="891">
        <v>5</v>
      </c>
      <c r="DG1982" s="959"/>
      <c r="DH1982" s="959"/>
      <c r="ER1982" s="905">
        <v>7471</v>
      </c>
      <c r="ES1982" s="906" t="s">
        <v>3084</v>
      </c>
      <c r="ET1982" s="2686">
        <v>9</v>
      </c>
      <c r="EV1982" s="985"/>
      <c r="EW1982" s="985"/>
      <c r="EX1982" s="387"/>
      <c r="EY1982" s="939"/>
      <c r="EZ1982" s="886"/>
    </row>
    <row r="1983" spans="88:156">
      <c r="CJ1983" s="197"/>
      <c r="CK1983" s="197"/>
      <c r="CL1983" s="197"/>
      <c r="CM1983" s="213"/>
      <c r="CN1983" s="213"/>
      <c r="CO1983" s="197"/>
      <c r="CP1983" s="197"/>
      <c r="CQ1983" s="197"/>
      <c r="CR1983" s="197"/>
      <c r="CS1983" s="197"/>
      <c r="CT1983" s="197"/>
      <c r="CU1983" s="197"/>
      <c r="CV1983" s="197"/>
      <c r="CW1983" s="197"/>
      <c r="CX1983" s="959"/>
      <c r="CY1983" s="959"/>
      <c r="CZ1983" s="959"/>
      <c r="DA1983" s="959"/>
      <c r="DB1983" s="959"/>
      <c r="DC1983" s="891">
        <v>7257</v>
      </c>
      <c r="DD1983" s="891" t="s">
        <v>3910</v>
      </c>
      <c r="DE1983" s="891" t="s">
        <v>434</v>
      </c>
      <c r="DF1983" s="891">
        <v>5</v>
      </c>
      <c r="DG1983" s="959"/>
      <c r="DH1983" s="959"/>
      <c r="ER1983" s="905">
        <v>7472</v>
      </c>
      <c r="ES1983" s="906" t="s">
        <v>555</v>
      </c>
      <c r="ET1983" s="2686">
        <v>4</v>
      </c>
      <c r="EV1983" s="985"/>
      <c r="EW1983" s="985"/>
      <c r="EX1983" s="387"/>
      <c r="EY1983" s="939"/>
      <c r="EZ1983" s="886"/>
    </row>
    <row r="1984" spans="88:156">
      <c r="CJ1984" s="197"/>
      <c r="CK1984" s="197"/>
      <c r="CL1984" s="197"/>
      <c r="CM1984" s="213"/>
      <c r="CN1984" s="213"/>
      <c r="CO1984" s="197"/>
      <c r="CP1984" s="197"/>
      <c r="CQ1984" s="197"/>
      <c r="CR1984" s="197"/>
      <c r="CS1984" s="197"/>
      <c r="CT1984" s="197"/>
      <c r="CU1984" s="197"/>
      <c r="CV1984" s="197"/>
      <c r="CW1984" s="197"/>
      <c r="CX1984" s="959"/>
      <c r="CY1984" s="959"/>
      <c r="CZ1984" s="959"/>
      <c r="DA1984" s="959"/>
      <c r="DB1984" s="959"/>
      <c r="DC1984" s="891">
        <v>7258</v>
      </c>
      <c r="DD1984" s="891" t="s">
        <v>3911</v>
      </c>
      <c r="DE1984" s="891" t="s">
        <v>402</v>
      </c>
      <c r="DF1984" s="891">
        <v>5</v>
      </c>
      <c r="DG1984" s="959"/>
      <c r="DH1984" s="959"/>
      <c r="ER1984" s="905">
        <v>7472</v>
      </c>
      <c r="ES1984" s="906" t="s">
        <v>3085</v>
      </c>
      <c r="ET1984" s="2686">
        <v>4</v>
      </c>
      <c r="EV1984" s="985"/>
      <c r="EW1984" s="985"/>
      <c r="EX1984" s="387"/>
      <c r="EY1984" s="939"/>
      <c r="EZ1984" s="886"/>
    </row>
    <row r="1985" spans="88:156">
      <c r="CJ1985" s="197"/>
      <c r="CK1985" s="197"/>
      <c r="CL1985" s="197"/>
      <c r="CM1985" s="213"/>
      <c r="CN1985" s="213"/>
      <c r="CO1985" s="197"/>
      <c r="CP1985" s="197"/>
      <c r="CQ1985" s="197"/>
      <c r="CR1985" s="197"/>
      <c r="CS1985" s="197"/>
      <c r="CT1985" s="197"/>
      <c r="CU1985" s="197"/>
      <c r="CV1985" s="197"/>
      <c r="CW1985" s="197"/>
      <c r="CX1985" s="959"/>
      <c r="CY1985" s="959"/>
      <c r="CZ1985" s="959"/>
      <c r="DA1985" s="959"/>
      <c r="DB1985" s="959"/>
      <c r="DC1985" s="891">
        <v>7259</v>
      </c>
      <c r="DD1985" s="891" t="s">
        <v>3912</v>
      </c>
      <c r="DE1985" s="891" t="s">
        <v>421</v>
      </c>
      <c r="DF1985" s="891">
        <v>5</v>
      </c>
      <c r="DG1985" s="959"/>
      <c r="DH1985" s="959"/>
      <c r="ER1985" s="905">
        <v>7473</v>
      </c>
      <c r="ES1985" s="906" t="s">
        <v>556</v>
      </c>
      <c r="ET1985" s="2686">
        <v>9</v>
      </c>
      <c r="EV1985" s="985"/>
      <c r="EW1985" s="985"/>
      <c r="EX1985" s="387"/>
      <c r="EY1985" s="939"/>
      <c r="EZ1985" s="886"/>
    </row>
    <row r="1986" spans="88:156">
      <c r="CJ1986" s="197"/>
      <c r="CK1986" s="197"/>
      <c r="CL1986" s="197"/>
      <c r="CM1986" s="213"/>
      <c r="CN1986" s="213"/>
      <c r="CO1986" s="197"/>
      <c r="CP1986" s="197"/>
      <c r="CQ1986" s="197"/>
      <c r="CR1986" s="197"/>
      <c r="CS1986" s="197"/>
      <c r="CT1986" s="197"/>
      <c r="CU1986" s="197"/>
      <c r="CV1986" s="197"/>
      <c r="CW1986" s="197"/>
      <c r="CX1986" s="959"/>
      <c r="CY1986" s="959"/>
      <c r="CZ1986" s="959"/>
      <c r="DA1986" s="959"/>
      <c r="DB1986" s="959"/>
      <c r="DC1986" s="891">
        <v>7261</v>
      </c>
      <c r="DD1986" s="891" t="s">
        <v>3913</v>
      </c>
      <c r="DE1986" s="891" t="s">
        <v>421</v>
      </c>
      <c r="DF1986" s="891">
        <v>5</v>
      </c>
      <c r="DG1986" s="959"/>
      <c r="DH1986" s="959"/>
      <c r="ER1986" s="905">
        <v>7473</v>
      </c>
      <c r="ES1986" s="906" t="s">
        <v>557</v>
      </c>
      <c r="ET1986" s="2686">
        <v>9</v>
      </c>
      <c r="EV1986" s="985"/>
      <c r="EW1986" s="985"/>
      <c r="EX1986" s="387"/>
      <c r="EY1986" s="939"/>
      <c r="EZ1986" s="886"/>
    </row>
    <row r="1987" spans="88:156">
      <c r="CJ1987" s="197"/>
      <c r="CK1987" s="197"/>
      <c r="CL1987" s="197"/>
      <c r="CM1987" s="213"/>
      <c r="CN1987" s="213"/>
      <c r="CO1987" s="197"/>
      <c r="CP1987" s="197"/>
      <c r="CQ1987" s="197"/>
      <c r="CR1987" s="197"/>
      <c r="CS1987" s="197"/>
      <c r="CT1987" s="197"/>
      <c r="CU1987" s="197"/>
      <c r="CV1987" s="197"/>
      <c r="CW1987" s="197"/>
      <c r="CX1987" s="959"/>
      <c r="CY1987" s="959"/>
      <c r="CZ1987" s="959"/>
      <c r="DA1987" s="959"/>
      <c r="DB1987" s="959"/>
      <c r="DC1987" s="891">
        <v>7271</v>
      </c>
      <c r="DD1987" s="891" t="s">
        <v>3914</v>
      </c>
      <c r="DE1987" s="891" t="s">
        <v>421</v>
      </c>
      <c r="DF1987" s="891">
        <v>5</v>
      </c>
      <c r="DG1987" s="959"/>
      <c r="DH1987" s="959"/>
      <c r="ER1987" s="905">
        <v>7473</v>
      </c>
      <c r="ES1987" s="906" t="s">
        <v>3086</v>
      </c>
      <c r="ET1987" s="2686">
        <v>9</v>
      </c>
      <c r="EV1987" s="985"/>
      <c r="EW1987" s="985"/>
      <c r="EX1987" s="387"/>
      <c r="EY1987" s="939"/>
      <c r="EZ1987" s="886"/>
    </row>
    <row r="1988" spans="88:156">
      <c r="CJ1988" s="197"/>
      <c r="CK1988" s="197"/>
      <c r="CL1988" s="197"/>
      <c r="CM1988" s="213"/>
      <c r="CN1988" s="213"/>
      <c r="CO1988" s="197"/>
      <c r="CP1988" s="197"/>
      <c r="CQ1988" s="197"/>
      <c r="CR1988" s="197"/>
      <c r="CS1988" s="197"/>
      <c r="CT1988" s="197"/>
      <c r="CU1988" s="197"/>
      <c r="CV1988" s="197"/>
      <c r="CW1988" s="197"/>
      <c r="CX1988" s="959"/>
      <c r="CY1988" s="959"/>
      <c r="CZ1988" s="959"/>
      <c r="DA1988" s="959"/>
      <c r="DB1988" s="959"/>
      <c r="DC1988" s="891">
        <v>7272</v>
      </c>
      <c r="DD1988" s="891" t="s">
        <v>3915</v>
      </c>
      <c r="DE1988" s="891" t="s">
        <v>421</v>
      </c>
      <c r="DF1988" s="891">
        <v>5</v>
      </c>
      <c r="DG1988" s="959"/>
      <c r="DH1988" s="959"/>
      <c r="ER1988" s="905">
        <v>7474</v>
      </c>
      <c r="ES1988" s="906" t="s">
        <v>558</v>
      </c>
      <c r="ET1988" s="2686">
        <v>4</v>
      </c>
      <c r="EV1988" s="985"/>
      <c r="EW1988" s="985"/>
      <c r="EX1988" s="387"/>
      <c r="EY1988" s="939"/>
      <c r="EZ1988" s="886"/>
    </row>
    <row r="1989" spans="88:156">
      <c r="CJ1989" s="197"/>
      <c r="CK1989" s="197"/>
      <c r="CL1989" s="197"/>
      <c r="CM1989" s="213"/>
      <c r="CN1989" s="213"/>
      <c r="CO1989" s="197"/>
      <c r="CP1989" s="197"/>
      <c r="CQ1989" s="197"/>
      <c r="CR1989" s="197"/>
      <c r="CS1989" s="197"/>
      <c r="CT1989" s="197"/>
      <c r="CU1989" s="197"/>
      <c r="CV1989" s="197"/>
      <c r="CW1989" s="197"/>
      <c r="CX1989" s="959"/>
      <c r="CY1989" s="959"/>
      <c r="CZ1989" s="959"/>
      <c r="DA1989" s="959"/>
      <c r="DB1989" s="959"/>
      <c r="DC1989" s="891">
        <v>7273</v>
      </c>
      <c r="DD1989" s="891" t="s">
        <v>3916</v>
      </c>
      <c r="DE1989" s="891" t="s">
        <v>421</v>
      </c>
      <c r="DF1989" s="891">
        <v>6</v>
      </c>
      <c r="DG1989" s="959"/>
      <c r="DH1989" s="959"/>
      <c r="ER1989" s="905">
        <v>7474</v>
      </c>
      <c r="ES1989" s="906" t="s">
        <v>3087</v>
      </c>
      <c r="ET1989" s="2686">
        <v>4</v>
      </c>
      <c r="EV1989" s="985"/>
      <c r="EW1989" s="985"/>
      <c r="EX1989" s="387"/>
      <c r="EY1989" s="939"/>
      <c r="EZ1989" s="886"/>
    </row>
    <row r="1990" spans="88:156">
      <c r="CJ1990" s="197"/>
      <c r="CK1990" s="197"/>
      <c r="CL1990" s="197"/>
      <c r="CM1990" s="213"/>
      <c r="CN1990" s="213"/>
      <c r="CO1990" s="197"/>
      <c r="CP1990" s="197"/>
      <c r="CQ1990" s="197"/>
      <c r="CR1990" s="197"/>
      <c r="CS1990" s="197"/>
      <c r="CT1990" s="197"/>
      <c r="CU1990" s="197"/>
      <c r="CV1990" s="197"/>
      <c r="CW1990" s="197"/>
      <c r="CX1990" s="959"/>
      <c r="CY1990" s="959"/>
      <c r="CZ1990" s="959"/>
      <c r="DA1990" s="959"/>
      <c r="DB1990" s="959"/>
      <c r="DC1990" s="891">
        <v>7274</v>
      </c>
      <c r="DD1990" s="891" t="s">
        <v>3917</v>
      </c>
      <c r="DE1990" s="891" t="s">
        <v>421</v>
      </c>
      <c r="DF1990" s="891">
        <v>6</v>
      </c>
      <c r="DG1990" s="959"/>
      <c r="DH1990" s="959"/>
      <c r="ER1990" s="905">
        <v>7475</v>
      </c>
      <c r="ES1990" s="906" t="s">
        <v>3088</v>
      </c>
      <c r="ET1990" s="2686">
        <v>4</v>
      </c>
      <c r="EV1990" s="985"/>
      <c r="EW1990" s="985"/>
      <c r="EX1990" s="387"/>
      <c r="EY1990" s="939"/>
      <c r="EZ1990" s="886"/>
    </row>
    <row r="1991" spans="88:156">
      <c r="CJ1991" s="197"/>
      <c r="CK1991" s="197"/>
      <c r="CL1991" s="197"/>
      <c r="CM1991" s="213"/>
      <c r="CN1991" s="213"/>
      <c r="CO1991" s="197"/>
      <c r="CP1991" s="197"/>
      <c r="CQ1991" s="197"/>
      <c r="CR1991" s="197"/>
      <c r="CS1991" s="197"/>
      <c r="CT1991" s="197"/>
      <c r="CU1991" s="197"/>
      <c r="CV1991" s="197"/>
      <c r="CW1991" s="197"/>
      <c r="CX1991" s="959"/>
      <c r="CY1991" s="959"/>
      <c r="CZ1991" s="959"/>
      <c r="DA1991" s="959"/>
      <c r="DB1991" s="959"/>
      <c r="DC1991" s="891">
        <v>7275</v>
      </c>
      <c r="DD1991" s="891" t="s">
        <v>3918</v>
      </c>
      <c r="DE1991" s="891" t="s">
        <v>423</v>
      </c>
      <c r="DF1991" s="891">
        <v>6</v>
      </c>
      <c r="DG1991" s="959"/>
      <c r="DH1991" s="959"/>
      <c r="ER1991" s="905">
        <v>7476</v>
      </c>
      <c r="ES1991" s="906" t="s">
        <v>3089</v>
      </c>
      <c r="ET1991" s="2686">
        <v>4</v>
      </c>
      <c r="EV1991" s="985"/>
      <c r="EW1991" s="985"/>
      <c r="EX1991" s="387"/>
      <c r="EY1991" s="939"/>
      <c r="EZ1991" s="886"/>
    </row>
    <row r="1992" spans="88:156">
      <c r="CJ1992" s="197"/>
      <c r="CK1992" s="197"/>
      <c r="CL1992" s="197"/>
      <c r="CM1992" s="213"/>
      <c r="CN1992" s="213"/>
      <c r="CO1992" s="197"/>
      <c r="CP1992" s="197"/>
      <c r="CQ1992" s="197"/>
      <c r="CR1992" s="197"/>
      <c r="CS1992" s="197"/>
      <c r="CT1992" s="197"/>
      <c r="CU1992" s="197"/>
      <c r="CV1992" s="197"/>
      <c r="CW1992" s="197"/>
      <c r="CX1992" s="959"/>
      <c r="CY1992" s="959"/>
      <c r="CZ1992" s="959"/>
      <c r="DA1992" s="959"/>
      <c r="DB1992" s="959"/>
      <c r="DC1992" s="891">
        <v>7276</v>
      </c>
      <c r="DD1992" s="891" t="s">
        <v>3919</v>
      </c>
      <c r="DE1992" s="891" t="s">
        <v>433</v>
      </c>
      <c r="DF1992" s="891">
        <v>6</v>
      </c>
      <c r="DG1992" s="959"/>
      <c r="DH1992" s="959"/>
      <c r="ER1992" s="905">
        <v>7477</v>
      </c>
      <c r="ES1992" s="906" t="s">
        <v>559</v>
      </c>
      <c r="ET1992" s="2686">
        <v>9</v>
      </c>
      <c r="EV1992" s="985"/>
      <c r="EW1992" s="985"/>
      <c r="EX1992" s="387"/>
      <c r="EY1992" s="939"/>
      <c r="EZ1992" s="886"/>
    </row>
    <row r="1993" spans="88:156">
      <c r="CJ1993" s="197"/>
      <c r="CK1993" s="197"/>
      <c r="CL1993" s="197"/>
      <c r="CM1993" s="213"/>
      <c r="CN1993" s="213"/>
      <c r="CO1993" s="197"/>
      <c r="CP1993" s="197"/>
      <c r="CQ1993" s="197"/>
      <c r="CR1993" s="197"/>
      <c r="CS1993" s="197"/>
      <c r="CT1993" s="197"/>
      <c r="CU1993" s="197"/>
      <c r="CV1993" s="197"/>
      <c r="CW1993" s="197"/>
      <c r="CX1993" s="959"/>
      <c r="CY1993" s="959"/>
      <c r="CZ1993" s="959"/>
      <c r="DA1993" s="959"/>
      <c r="DB1993" s="959"/>
      <c r="DC1993" s="891">
        <v>7277</v>
      </c>
      <c r="DD1993" s="891" t="s">
        <v>3920</v>
      </c>
      <c r="DE1993" s="891" t="s">
        <v>404</v>
      </c>
      <c r="DF1993" s="891">
        <v>6</v>
      </c>
      <c r="DG1993" s="959"/>
      <c r="DH1993" s="959"/>
      <c r="ER1993" s="905">
        <v>7477</v>
      </c>
      <c r="ES1993" s="906" t="s">
        <v>560</v>
      </c>
      <c r="ET1993" s="2686">
        <v>9</v>
      </c>
      <c r="EV1993" s="985"/>
      <c r="EW1993" s="985"/>
      <c r="EX1993" s="387"/>
      <c r="EY1993" s="939"/>
      <c r="EZ1993" s="886"/>
    </row>
    <row r="1994" spans="88:156">
      <c r="CJ1994" s="197"/>
      <c r="CK1994" s="197"/>
      <c r="CL1994" s="197"/>
      <c r="CM1994" s="213"/>
      <c r="CN1994" s="213"/>
      <c r="CO1994" s="197"/>
      <c r="CP1994" s="197"/>
      <c r="CQ1994" s="197"/>
      <c r="CR1994" s="197"/>
      <c r="CS1994" s="197"/>
      <c r="CT1994" s="197"/>
      <c r="CU1994" s="197"/>
      <c r="CV1994" s="197"/>
      <c r="CW1994" s="197"/>
      <c r="CX1994" s="959"/>
      <c r="CY1994" s="959"/>
      <c r="CZ1994" s="959"/>
      <c r="DA1994" s="959"/>
      <c r="DB1994" s="959"/>
      <c r="DC1994" s="891">
        <v>7279</v>
      </c>
      <c r="DD1994" s="891" t="s">
        <v>3921</v>
      </c>
      <c r="DE1994" s="891" t="s">
        <v>419</v>
      </c>
      <c r="DF1994" s="891">
        <v>5</v>
      </c>
      <c r="DG1994" s="959"/>
      <c r="DH1994" s="959"/>
      <c r="ER1994" s="905">
        <v>7477</v>
      </c>
      <c r="ES1994" s="906" t="s">
        <v>561</v>
      </c>
      <c r="ET1994" s="2686">
        <v>9</v>
      </c>
      <c r="EV1994" s="985"/>
      <c r="EW1994" s="985"/>
      <c r="EX1994" s="387"/>
      <c r="EY1994" s="939"/>
      <c r="EZ1994" s="886"/>
    </row>
    <row r="1995" spans="88:156">
      <c r="CJ1995" s="197"/>
      <c r="CK1995" s="197"/>
      <c r="CL1995" s="197"/>
      <c r="CM1995" s="213"/>
      <c r="CN1995" s="213"/>
      <c r="CO1995" s="197"/>
      <c r="CP1995" s="197"/>
      <c r="CQ1995" s="197"/>
      <c r="CR1995" s="197"/>
      <c r="CS1995" s="197"/>
      <c r="CT1995" s="197"/>
      <c r="CU1995" s="197"/>
      <c r="CV1995" s="197"/>
      <c r="CW1995" s="197"/>
      <c r="CX1995" s="959"/>
      <c r="CY1995" s="959"/>
      <c r="CZ1995" s="959"/>
      <c r="DA1995" s="959"/>
      <c r="DB1995" s="959"/>
      <c r="DC1995" s="891">
        <v>7281</v>
      </c>
      <c r="DD1995" s="891" t="s">
        <v>3922</v>
      </c>
      <c r="DE1995" s="891" t="s">
        <v>406</v>
      </c>
      <c r="DF1995" s="891">
        <v>6</v>
      </c>
      <c r="DG1995" s="959"/>
      <c r="DH1995" s="959"/>
      <c r="ER1995" s="905">
        <v>7477</v>
      </c>
      <c r="ES1995" s="906" t="s">
        <v>3090</v>
      </c>
      <c r="ET1995" s="2686">
        <v>9</v>
      </c>
      <c r="EV1995" s="985"/>
      <c r="EW1995" s="985"/>
      <c r="EX1995" s="387"/>
      <c r="EY1995" s="939"/>
      <c r="EZ1995" s="886"/>
    </row>
    <row r="1996" spans="88:156">
      <c r="CJ1996" s="197"/>
      <c r="CK1996" s="197"/>
      <c r="CL1996" s="197"/>
      <c r="CM1996" s="213"/>
      <c r="CN1996" s="213"/>
      <c r="CO1996" s="197"/>
      <c r="CP1996" s="197"/>
      <c r="CQ1996" s="197"/>
      <c r="CR1996" s="197"/>
      <c r="CS1996" s="197"/>
      <c r="CT1996" s="197"/>
      <c r="CU1996" s="197"/>
      <c r="CV1996" s="197"/>
      <c r="CW1996" s="197"/>
      <c r="CX1996" s="959"/>
      <c r="CY1996" s="959"/>
      <c r="CZ1996" s="959"/>
      <c r="DA1996" s="959"/>
      <c r="DB1996" s="959"/>
      <c r="DC1996" s="891">
        <v>7282</v>
      </c>
      <c r="DD1996" s="891" t="s">
        <v>3923</v>
      </c>
      <c r="DE1996" s="891" t="s">
        <v>406</v>
      </c>
      <c r="DF1996" s="891">
        <v>6</v>
      </c>
      <c r="DG1996" s="959"/>
      <c r="DH1996" s="959"/>
      <c r="ER1996" s="905">
        <v>7478</v>
      </c>
      <c r="ES1996" s="906" t="s">
        <v>3091</v>
      </c>
      <c r="ET1996" s="2686">
        <v>9</v>
      </c>
      <c r="EV1996" s="985"/>
      <c r="EW1996" s="985"/>
      <c r="EX1996" s="387"/>
      <c r="EY1996" s="939"/>
      <c r="EZ1996" s="886"/>
    </row>
    <row r="1997" spans="88:156">
      <c r="CJ1997" s="197"/>
      <c r="CK1997" s="197"/>
      <c r="CL1997" s="197"/>
      <c r="CM1997" s="213"/>
      <c r="CN1997" s="213"/>
      <c r="CO1997" s="197"/>
      <c r="CP1997" s="197"/>
      <c r="CQ1997" s="197"/>
      <c r="CR1997" s="197"/>
      <c r="CS1997" s="197"/>
      <c r="CT1997" s="197"/>
      <c r="CU1997" s="197"/>
      <c r="CV1997" s="197"/>
      <c r="CW1997" s="197"/>
      <c r="CX1997" s="959"/>
      <c r="CY1997" s="959"/>
      <c r="CZ1997" s="959"/>
      <c r="DA1997" s="959"/>
      <c r="DB1997" s="959"/>
      <c r="DC1997" s="891">
        <v>7283</v>
      </c>
      <c r="DD1997" s="891" t="s">
        <v>3924</v>
      </c>
      <c r="DE1997" s="891" t="s">
        <v>431</v>
      </c>
      <c r="DF1997" s="891">
        <v>6</v>
      </c>
      <c r="DG1997" s="959"/>
      <c r="DH1997" s="959"/>
      <c r="ER1997" s="905">
        <v>7479</v>
      </c>
      <c r="ES1997" s="906" t="s">
        <v>3092</v>
      </c>
      <c r="ET1997" s="2686">
        <v>4</v>
      </c>
      <c r="EV1997" s="985"/>
      <c r="EW1997" s="985"/>
      <c r="EX1997" s="387"/>
      <c r="EY1997" s="939"/>
      <c r="EZ1997" s="886"/>
    </row>
    <row r="1998" spans="88:156">
      <c r="CJ1998" s="197"/>
      <c r="CK1998" s="197"/>
      <c r="CL1998" s="197"/>
      <c r="CM1998" s="213"/>
      <c r="CN1998" s="213"/>
      <c r="CO1998" s="197"/>
      <c r="CP1998" s="197"/>
      <c r="CQ1998" s="197"/>
      <c r="CR1998" s="197"/>
      <c r="CS1998" s="197"/>
      <c r="CT1998" s="197"/>
      <c r="CU1998" s="197"/>
      <c r="CV1998" s="197"/>
      <c r="CW1998" s="197"/>
      <c r="CX1998" s="959"/>
      <c r="CY1998" s="959"/>
      <c r="CZ1998" s="959"/>
      <c r="DA1998" s="959"/>
      <c r="DB1998" s="959"/>
      <c r="DC1998" s="891">
        <v>7284</v>
      </c>
      <c r="DD1998" s="891" t="s">
        <v>3925</v>
      </c>
      <c r="DE1998" s="891" t="s">
        <v>419</v>
      </c>
      <c r="DF1998" s="891">
        <v>6</v>
      </c>
      <c r="DG1998" s="959"/>
      <c r="DH1998" s="959"/>
      <c r="ER1998" s="905">
        <v>7500</v>
      </c>
      <c r="ES1998" s="906" t="s">
        <v>3093</v>
      </c>
      <c r="ET1998" s="2686">
        <v>9</v>
      </c>
      <c r="EV1998" s="985"/>
      <c r="EW1998" s="985"/>
      <c r="EX1998" s="387"/>
      <c r="EY1998" s="939"/>
      <c r="EZ1998" s="886"/>
    </row>
    <row r="1999" spans="88:156">
      <c r="CJ1999" s="197"/>
      <c r="CK1999" s="197"/>
      <c r="CL1999" s="197"/>
      <c r="CM1999" s="213"/>
      <c r="CN1999" s="213"/>
      <c r="CO1999" s="197"/>
      <c r="CP1999" s="197"/>
      <c r="CQ1999" s="197"/>
      <c r="CR1999" s="197"/>
      <c r="CS1999" s="197"/>
      <c r="CT1999" s="197"/>
      <c r="CU1999" s="197"/>
      <c r="CV1999" s="197"/>
      <c r="CW1999" s="197"/>
      <c r="CX1999" s="959"/>
      <c r="CY1999" s="959"/>
      <c r="CZ1999" s="959"/>
      <c r="DA1999" s="959"/>
      <c r="DB1999" s="959"/>
      <c r="DC1999" s="891">
        <v>7285</v>
      </c>
      <c r="DD1999" s="891" t="s">
        <v>3926</v>
      </c>
      <c r="DE1999" s="891" t="s">
        <v>412</v>
      </c>
      <c r="DF1999" s="891">
        <v>6</v>
      </c>
      <c r="DG1999" s="959"/>
      <c r="DH1999" s="959"/>
      <c r="ER1999" s="905">
        <v>7511</v>
      </c>
      <c r="ES1999" s="906" t="s">
        <v>3094</v>
      </c>
      <c r="ET1999" s="2686">
        <v>9</v>
      </c>
      <c r="EV1999" s="985"/>
      <c r="EW1999" s="985"/>
      <c r="EX1999" s="387"/>
      <c r="EY1999" s="939"/>
      <c r="EZ1999" s="886"/>
    </row>
    <row r="2000" spans="88:156">
      <c r="CJ2000" s="197"/>
      <c r="CK2000" s="197"/>
      <c r="CL2000" s="197"/>
      <c r="CM2000" s="213"/>
      <c r="CN2000" s="213"/>
      <c r="CO2000" s="197"/>
      <c r="CP2000" s="197"/>
      <c r="CQ2000" s="197"/>
      <c r="CR2000" s="197"/>
      <c r="CS2000" s="197"/>
      <c r="CT2000" s="197"/>
      <c r="CU2000" s="197"/>
      <c r="CV2000" s="197"/>
      <c r="CW2000" s="197"/>
      <c r="CX2000" s="959"/>
      <c r="CY2000" s="959"/>
      <c r="CZ2000" s="959"/>
      <c r="DA2000" s="959"/>
      <c r="DB2000" s="959"/>
      <c r="DC2000" s="891">
        <v>7286</v>
      </c>
      <c r="DD2000" s="891" t="s">
        <v>3927</v>
      </c>
      <c r="DE2000" s="891" t="s">
        <v>402</v>
      </c>
      <c r="DF2000" s="891">
        <v>6</v>
      </c>
      <c r="DG2000" s="959"/>
      <c r="DH2000" s="959"/>
      <c r="ER2000" s="905">
        <v>7512</v>
      </c>
      <c r="ES2000" s="906" t="s">
        <v>3095</v>
      </c>
      <c r="ET2000" s="2686">
        <v>9</v>
      </c>
      <c r="EV2000" s="985"/>
      <c r="EW2000" s="985"/>
      <c r="EX2000" s="387"/>
      <c r="EY2000" s="939"/>
      <c r="EZ2000" s="886"/>
    </row>
    <row r="2001" spans="88:156">
      <c r="CJ2001" s="197"/>
      <c r="CK2001" s="197"/>
      <c r="CL2001" s="197"/>
      <c r="CM2001" s="213"/>
      <c r="CN2001" s="213"/>
      <c r="CO2001" s="197"/>
      <c r="CP2001" s="197"/>
      <c r="CQ2001" s="197"/>
      <c r="CR2001" s="197"/>
      <c r="CS2001" s="197"/>
      <c r="CT2001" s="197"/>
      <c r="CU2001" s="197"/>
      <c r="CV2001" s="197"/>
      <c r="CW2001" s="197"/>
      <c r="CX2001" s="959"/>
      <c r="CY2001" s="959"/>
      <c r="CZ2001" s="959"/>
      <c r="DA2001" s="959"/>
      <c r="DB2001" s="959"/>
      <c r="DC2001" s="891">
        <v>7300</v>
      </c>
      <c r="DD2001" s="891" t="s">
        <v>3928</v>
      </c>
      <c r="DE2001" s="891" t="s">
        <v>427</v>
      </c>
      <c r="DF2001" s="891">
        <v>4</v>
      </c>
      <c r="DG2001" s="959"/>
      <c r="DH2001" s="959"/>
      <c r="ER2001" s="905">
        <v>7513</v>
      </c>
      <c r="ES2001" s="906" t="s">
        <v>3096</v>
      </c>
      <c r="ET2001" s="2686">
        <v>9</v>
      </c>
      <c r="EV2001" s="985"/>
      <c r="EW2001" s="985"/>
      <c r="EX2001" s="387"/>
      <c r="EY2001" s="939"/>
      <c r="EZ2001" s="886"/>
    </row>
    <row r="2002" spans="88:156">
      <c r="CJ2002" s="197"/>
      <c r="CK2002" s="197"/>
      <c r="CL2002" s="197"/>
      <c r="CM2002" s="213"/>
      <c r="CN2002" s="213"/>
      <c r="CO2002" s="197"/>
      <c r="CP2002" s="197"/>
      <c r="CQ2002" s="197"/>
      <c r="CR2002" s="197"/>
      <c r="CS2002" s="197"/>
      <c r="CT2002" s="197"/>
      <c r="CU2002" s="197"/>
      <c r="CV2002" s="197"/>
      <c r="CW2002" s="197"/>
      <c r="CX2002" s="959"/>
      <c r="CY2002" s="959"/>
      <c r="CZ2002" s="959"/>
      <c r="DA2002" s="959"/>
      <c r="DB2002" s="959"/>
      <c r="DC2002" s="891">
        <v>7304</v>
      </c>
      <c r="DD2002" s="891" t="s">
        <v>3929</v>
      </c>
      <c r="DE2002" s="891" t="s">
        <v>433</v>
      </c>
      <c r="DF2002" s="891">
        <v>4</v>
      </c>
      <c r="DG2002" s="959"/>
      <c r="DH2002" s="959"/>
      <c r="ER2002" s="905">
        <v>7514</v>
      </c>
      <c r="ES2002" s="906" t="s">
        <v>3097</v>
      </c>
      <c r="ET2002" s="2686">
        <v>9</v>
      </c>
      <c r="EV2002" s="985"/>
      <c r="EW2002" s="985"/>
      <c r="EX2002" s="387"/>
      <c r="EY2002" s="939"/>
      <c r="EZ2002" s="886"/>
    </row>
    <row r="2003" spans="88:156">
      <c r="CJ2003" s="197"/>
      <c r="CK2003" s="197"/>
      <c r="CL2003" s="197"/>
      <c r="CM2003" s="213"/>
      <c r="CN2003" s="213"/>
      <c r="CO2003" s="197"/>
      <c r="CP2003" s="197"/>
      <c r="CQ2003" s="197"/>
      <c r="CR2003" s="197"/>
      <c r="CS2003" s="197"/>
      <c r="CT2003" s="197"/>
      <c r="CU2003" s="197"/>
      <c r="CV2003" s="197"/>
      <c r="CW2003" s="197"/>
      <c r="CX2003" s="959"/>
      <c r="CY2003" s="959"/>
      <c r="CZ2003" s="959"/>
      <c r="DA2003" s="959"/>
      <c r="DB2003" s="959"/>
      <c r="DC2003" s="891">
        <v>7305</v>
      </c>
      <c r="DD2003" s="891" t="s">
        <v>3930</v>
      </c>
      <c r="DE2003" s="891" t="s">
        <v>427</v>
      </c>
      <c r="DF2003" s="891">
        <v>4</v>
      </c>
      <c r="DG2003" s="959"/>
      <c r="DH2003" s="959"/>
      <c r="ER2003" s="905">
        <v>7515</v>
      </c>
      <c r="ES2003" s="906" t="s">
        <v>3098</v>
      </c>
      <c r="ET2003" s="2686">
        <v>9</v>
      </c>
      <c r="EV2003" s="985"/>
      <c r="EW2003" s="985"/>
      <c r="EX2003" s="387"/>
      <c r="EY2003" s="939"/>
      <c r="EZ2003" s="886"/>
    </row>
    <row r="2004" spans="88:156">
      <c r="CJ2004" s="197"/>
      <c r="CK2004" s="197"/>
      <c r="CL2004" s="197"/>
      <c r="CM2004" s="213"/>
      <c r="CN2004" s="213"/>
      <c r="CO2004" s="197"/>
      <c r="CP2004" s="197"/>
      <c r="CQ2004" s="197"/>
      <c r="CR2004" s="197"/>
      <c r="CS2004" s="197"/>
      <c r="CT2004" s="197"/>
      <c r="CU2004" s="197"/>
      <c r="CV2004" s="197"/>
      <c r="CW2004" s="197"/>
      <c r="CX2004" s="959"/>
      <c r="CY2004" s="959"/>
      <c r="CZ2004" s="959"/>
      <c r="DA2004" s="959"/>
      <c r="DB2004" s="959"/>
      <c r="DC2004" s="891">
        <v>7308</v>
      </c>
      <c r="DD2004" s="891" t="s">
        <v>3931</v>
      </c>
      <c r="DE2004" s="891" t="s">
        <v>427</v>
      </c>
      <c r="DF2004" s="891">
        <v>4</v>
      </c>
      <c r="DG2004" s="959"/>
      <c r="DH2004" s="959"/>
      <c r="ER2004" s="905">
        <v>7516</v>
      </c>
      <c r="ES2004" s="906" t="s">
        <v>333</v>
      </c>
      <c r="ET2004" s="2686">
        <v>9</v>
      </c>
      <c r="EV2004" s="985"/>
      <c r="EW2004" s="985"/>
      <c r="EX2004" s="387"/>
      <c r="EY2004" s="939"/>
      <c r="EZ2004" s="886"/>
    </row>
    <row r="2005" spans="88:156">
      <c r="CJ2005" s="197"/>
      <c r="CK2005" s="197"/>
      <c r="CL2005" s="197"/>
      <c r="CM2005" s="213"/>
      <c r="CN2005" s="213"/>
      <c r="CO2005" s="197"/>
      <c r="CP2005" s="197"/>
      <c r="CQ2005" s="197"/>
      <c r="CR2005" s="197"/>
      <c r="CS2005" s="197"/>
      <c r="CT2005" s="197"/>
      <c r="CU2005" s="197"/>
      <c r="CV2005" s="197"/>
      <c r="CW2005" s="197"/>
      <c r="CX2005" s="959"/>
      <c r="CY2005" s="959"/>
      <c r="CZ2005" s="959"/>
      <c r="DA2005" s="959"/>
      <c r="DB2005" s="959"/>
      <c r="DC2005" s="891">
        <v>7309</v>
      </c>
      <c r="DD2005" s="891" t="s">
        <v>3932</v>
      </c>
      <c r="DE2005" s="891" t="s">
        <v>404</v>
      </c>
      <c r="DF2005" s="891">
        <v>4</v>
      </c>
      <c r="DG2005" s="959"/>
      <c r="DH2005" s="959"/>
      <c r="ER2005" s="905">
        <v>7517</v>
      </c>
      <c r="ES2005" s="906" t="s">
        <v>334</v>
      </c>
      <c r="ET2005" s="2686">
        <v>9</v>
      </c>
      <c r="EV2005" s="985"/>
      <c r="EW2005" s="985"/>
      <c r="EX2005" s="387"/>
      <c r="EY2005" s="939"/>
      <c r="EZ2005" s="886"/>
    </row>
    <row r="2006" spans="88:156">
      <c r="CJ2006" s="197"/>
      <c r="CK2006" s="197"/>
      <c r="CL2006" s="197"/>
      <c r="CM2006" s="213"/>
      <c r="CN2006" s="213"/>
      <c r="CO2006" s="197"/>
      <c r="CP2006" s="197"/>
      <c r="CQ2006" s="197"/>
      <c r="CR2006" s="197"/>
      <c r="CS2006" s="197"/>
      <c r="CT2006" s="197"/>
      <c r="CU2006" s="197"/>
      <c r="CV2006" s="197"/>
      <c r="CW2006" s="197"/>
      <c r="CX2006" s="959"/>
      <c r="CY2006" s="959"/>
      <c r="CZ2006" s="959"/>
      <c r="DA2006" s="959"/>
      <c r="DB2006" s="959"/>
      <c r="DC2006" s="891">
        <v>7331</v>
      </c>
      <c r="DD2006" s="891" t="s">
        <v>3933</v>
      </c>
      <c r="DE2006" s="891" t="s">
        <v>427</v>
      </c>
      <c r="DF2006" s="891">
        <v>5</v>
      </c>
      <c r="DG2006" s="959"/>
      <c r="DH2006" s="959"/>
      <c r="ER2006" s="905">
        <v>7521</v>
      </c>
      <c r="ES2006" s="906" t="s">
        <v>335</v>
      </c>
      <c r="ET2006" s="2686">
        <v>4</v>
      </c>
      <c r="EV2006" s="985"/>
      <c r="EW2006" s="985"/>
      <c r="EX2006" s="387"/>
      <c r="EY2006" s="939"/>
      <c r="EZ2006" s="886"/>
    </row>
    <row r="2007" spans="88:156">
      <c r="CJ2007" s="197"/>
      <c r="CK2007" s="197"/>
      <c r="CL2007" s="197"/>
      <c r="CM2007" s="213"/>
      <c r="CN2007" s="213"/>
      <c r="CO2007" s="197"/>
      <c r="CP2007" s="197"/>
      <c r="CQ2007" s="197"/>
      <c r="CR2007" s="197"/>
      <c r="CS2007" s="197"/>
      <c r="CT2007" s="197"/>
      <c r="CU2007" s="197"/>
      <c r="CV2007" s="197"/>
      <c r="CW2007" s="197"/>
      <c r="CX2007" s="959"/>
      <c r="CY2007" s="959"/>
      <c r="CZ2007" s="959"/>
      <c r="DA2007" s="959"/>
      <c r="DB2007" s="959"/>
      <c r="DC2007" s="891">
        <v>7332</v>
      </c>
      <c r="DD2007" s="891" t="s">
        <v>3934</v>
      </c>
      <c r="DE2007" s="891" t="s">
        <v>404</v>
      </c>
      <c r="DF2007" s="891">
        <v>5</v>
      </c>
      <c r="DG2007" s="959"/>
      <c r="DH2007" s="959"/>
      <c r="ER2007" s="905">
        <v>7522</v>
      </c>
      <c r="ES2007" s="906" t="s">
        <v>336</v>
      </c>
      <c r="ET2007" s="2686">
        <v>4</v>
      </c>
      <c r="EV2007" s="985"/>
      <c r="EW2007" s="985"/>
      <c r="EX2007" s="387"/>
      <c r="EY2007" s="939"/>
      <c r="EZ2007" s="886"/>
    </row>
    <row r="2008" spans="88:156">
      <c r="CJ2008" s="197"/>
      <c r="CK2008" s="197"/>
      <c r="CL2008" s="197"/>
      <c r="CM2008" s="213"/>
      <c r="CN2008" s="213"/>
      <c r="CO2008" s="197"/>
      <c r="CP2008" s="197"/>
      <c r="CQ2008" s="197"/>
      <c r="CR2008" s="197"/>
      <c r="CS2008" s="197"/>
      <c r="CT2008" s="197"/>
      <c r="CU2008" s="197"/>
      <c r="CV2008" s="197"/>
      <c r="CW2008" s="197"/>
      <c r="CX2008" s="959"/>
      <c r="CY2008" s="959"/>
      <c r="CZ2008" s="959"/>
      <c r="DA2008" s="959"/>
      <c r="DB2008" s="959"/>
      <c r="DC2008" s="891">
        <v>7333</v>
      </c>
      <c r="DD2008" s="891" t="s">
        <v>3935</v>
      </c>
      <c r="DE2008" s="891" t="s">
        <v>404</v>
      </c>
      <c r="DF2008" s="891">
        <v>5</v>
      </c>
      <c r="DG2008" s="959"/>
      <c r="DH2008" s="959"/>
      <c r="ER2008" s="905">
        <v>7523</v>
      </c>
      <c r="ES2008" s="906" t="s">
        <v>562</v>
      </c>
      <c r="ET2008" s="2686">
        <v>9</v>
      </c>
      <c r="EV2008" s="985"/>
      <c r="EW2008" s="985"/>
      <c r="EX2008" s="387"/>
      <c r="EY2008" s="939"/>
      <c r="EZ2008" s="886"/>
    </row>
    <row r="2009" spans="88:156">
      <c r="CJ2009" s="197"/>
      <c r="CK2009" s="197"/>
      <c r="CL2009" s="197"/>
      <c r="CM2009" s="213"/>
      <c r="CN2009" s="213"/>
      <c r="CO2009" s="197"/>
      <c r="CP2009" s="197"/>
      <c r="CQ2009" s="197"/>
      <c r="CR2009" s="197"/>
      <c r="CS2009" s="197"/>
      <c r="CT2009" s="197"/>
      <c r="CU2009" s="197"/>
      <c r="CV2009" s="197"/>
      <c r="CW2009" s="197"/>
      <c r="CX2009" s="959"/>
      <c r="CY2009" s="959"/>
      <c r="CZ2009" s="959"/>
      <c r="DA2009" s="959"/>
      <c r="DB2009" s="959"/>
      <c r="DC2009" s="891">
        <v>7334</v>
      </c>
      <c r="DD2009" s="891" t="s">
        <v>3936</v>
      </c>
      <c r="DE2009" s="891" t="s">
        <v>404</v>
      </c>
      <c r="DF2009" s="891">
        <v>5</v>
      </c>
      <c r="DG2009" s="959"/>
      <c r="DH2009" s="959"/>
      <c r="ER2009" s="905">
        <v>7523</v>
      </c>
      <c r="ES2009" s="906" t="s">
        <v>337</v>
      </c>
      <c r="ET2009" s="2686">
        <v>9</v>
      </c>
      <c r="EV2009" s="985"/>
      <c r="EW2009" s="985"/>
      <c r="EX2009" s="387"/>
      <c r="EY2009" s="939"/>
      <c r="EZ2009" s="886"/>
    </row>
    <row r="2010" spans="88:156">
      <c r="CJ2010" s="197"/>
      <c r="CK2010" s="197"/>
      <c r="CL2010" s="197"/>
      <c r="CM2010" s="213"/>
      <c r="CN2010" s="213"/>
      <c r="CO2010" s="197"/>
      <c r="CP2010" s="197"/>
      <c r="CQ2010" s="197"/>
      <c r="CR2010" s="197"/>
      <c r="CS2010" s="197"/>
      <c r="CT2010" s="197"/>
      <c r="CU2010" s="197"/>
      <c r="CV2010" s="197"/>
      <c r="CW2010" s="197"/>
      <c r="CX2010" s="959"/>
      <c r="CY2010" s="959"/>
      <c r="CZ2010" s="959"/>
      <c r="DA2010" s="959"/>
      <c r="DB2010" s="959"/>
      <c r="DC2010" s="891">
        <v>7341</v>
      </c>
      <c r="DD2010" s="891" t="s">
        <v>3937</v>
      </c>
      <c r="DE2010" s="891" t="s">
        <v>427</v>
      </c>
      <c r="DF2010" s="891">
        <v>6</v>
      </c>
      <c r="DG2010" s="959"/>
      <c r="DH2010" s="959"/>
      <c r="ER2010" s="905">
        <v>7524</v>
      </c>
      <c r="ES2010" s="906" t="s">
        <v>338</v>
      </c>
      <c r="ET2010" s="2686">
        <v>9</v>
      </c>
      <c r="EV2010" s="985"/>
      <c r="EW2010" s="985"/>
      <c r="EX2010" s="387"/>
      <c r="EY2010" s="939"/>
      <c r="EZ2010" s="886"/>
    </row>
    <row r="2011" spans="88:156">
      <c r="CJ2011" s="197"/>
      <c r="CK2011" s="197"/>
      <c r="CL2011" s="197"/>
      <c r="CM2011" s="213"/>
      <c r="CN2011" s="213"/>
      <c r="CO2011" s="197"/>
      <c r="CP2011" s="197"/>
      <c r="CQ2011" s="197"/>
      <c r="CR2011" s="197"/>
      <c r="CS2011" s="197"/>
      <c r="CT2011" s="197"/>
      <c r="CU2011" s="197"/>
      <c r="CV2011" s="197"/>
      <c r="CW2011" s="197"/>
      <c r="CX2011" s="959"/>
      <c r="CY2011" s="959"/>
      <c r="CZ2011" s="959"/>
      <c r="DA2011" s="959"/>
      <c r="DB2011" s="959"/>
      <c r="DC2011" s="891">
        <v>7342</v>
      </c>
      <c r="DD2011" s="891" t="s">
        <v>3938</v>
      </c>
      <c r="DE2011" s="891" t="s">
        <v>427</v>
      </c>
      <c r="DF2011" s="891">
        <v>6</v>
      </c>
      <c r="DG2011" s="959"/>
      <c r="DH2011" s="959"/>
      <c r="ER2011" s="905">
        <v>7525</v>
      </c>
      <c r="ES2011" s="906" t="s">
        <v>339</v>
      </c>
      <c r="ET2011" s="2686">
        <v>9</v>
      </c>
      <c r="EV2011" s="985"/>
      <c r="EW2011" s="985"/>
      <c r="EX2011" s="387"/>
      <c r="EY2011" s="939"/>
      <c r="EZ2011" s="886"/>
    </row>
    <row r="2012" spans="88:156">
      <c r="CJ2012" s="197"/>
      <c r="CK2012" s="197"/>
      <c r="CL2012" s="197"/>
      <c r="CM2012" s="213"/>
      <c r="CN2012" s="213"/>
      <c r="CO2012" s="197"/>
      <c r="CP2012" s="197"/>
      <c r="CQ2012" s="197"/>
      <c r="CR2012" s="197"/>
      <c r="CS2012" s="197"/>
      <c r="CT2012" s="197"/>
      <c r="CU2012" s="197"/>
      <c r="CV2012" s="197"/>
      <c r="CW2012" s="197"/>
      <c r="CX2012" s="959"/>
      <c r="CY2012" s="959"/>
      <c r="CZ2012" s="959"/>
      <c r="DA2012" s="959"/>
      <c r="DB2012" s="959"/>
      <c r="DC2012" s="891">
        <v>7343</v>
      </c>
      <c r="DD2012" s="891" t="s">
        <v>3939</v>
      </c>
      <c r="DE2012" s="891" t="s">
        <v>404</v>
      </c>
      <c r="DF2012" s="891">
        <v>6</v>
      </c>
      <c r="DG2012" s="959"/>
      <c r="DH2012" s="959"/>
      <c r="ER2012" s="905">
        <v>7526</v>
      </c>
      <c r="ES2012" s="906" t="s">
        <v>340</v>
      </c>
      <c r="ET2012" s="2686">
        <v>9</v>
      </c>
      <c r="EV2012" s="985"/>
      <c r="EW2012" s="985"/>
      <c r="EX2012" s="387"/>
      <c r="EY2012" s="939"/>
      <c r="EZ2012" s="886"/>
    </row>
    <row r="2013" spans="88:156">
      <c r="CJ2013" s="197"/>
      <c r="CK2013" s="197"/>
      <c r="CL2013" s="197"/>
      <c r="CM2013" s="213"/>
      <c r="CN2013" s="213"/>
      <c r="CO2013" s="197"/>
      <c r="CP2013" s="197"/>
      <c r="CQ2013" s="197"/>
      <c r="CR2013" s="197"/>
      <c r="CS2013" s="197"/>
      <c r="CT2013" s="197"/>
      <c r="CU2013" s="197"/>
      <c r="CV2013" s="197"/>
      <c r="CW2013" s="197"/>
      <c r="CX2013" s="959"/>
      <c r="CY2013" s="959"/>
      <c r="CZ2013" s="959"/>
      <c r="DA2013" s="959"/>
      <c r="DB2013" s="959"/>
      <c r="DC2013" s="891">
        <v>7344</v>
      </c>
      <c r="DD2013" s="891" t="s">
        <v>3940</v>
      </c>
      <c r="DE2013" s="891" t="s">
        <v>404</v>
      </c>
      <c r="DF2013" s="891">
        <v>6</v>
      </c>
      <c r="DG2013" s="959"/>
      <c r="DH2013" s="959"/>
      <c r="ER2013" s="905">
        <v>7527</v>
      </c>
      <c r="ES2013" s="906" t="s">
        <v>563</v>
      </c>
      <c r="ET2013" s="2686">
        <v>9</v>
      </c>
      <c r="EV2013" s="985"/>
      <c r="EW2013" s="985"/>
      <c r="EX2013" s="387"/>
      <c r="EY2013" s="939"/>
      <c r="EZ2013" s="886"/>
    </row>
    <row r="2014" spans="88:156">
      <c r="CJ2014" s="197"/>
      <c r="CK2014" s="197"/>
      <c r="CL2014" s="197"/>
      <c r="CM2014" s="213"/>
      <c r="CN2014" s="213"/>
      <c r="CO2014" s="197"/>
      <c r="CP2014" s="197"/>
      <c r="CQ2014" s="197"/>
      <c r="CR2014" s="197"/>
      <c r="CS2014" s="197"/>
      <c r="CT2014" s="197"/>
      <c r="CU2014" s="197"/>
      <c r="CV2014" s="197"/>
      <c r="CW2014" s="197"/>
      <c r="CX2014" s="959"/>
      <c r="CY2014" s="959"/>
      <c r="CZ2014" s="959"/>
      <c r="DA2014" s="959"/>
      <c r="DB2014" s="959"/>
      <c r="DC2014" s="891">
        <v>7345</v>
      </c>
      <c r="DD2014" s="891" t="s">
        <v>3941</v>
      </c>
      <c r="DE2014" s="891" t="s">
        <v>404</v>
      </c>
      <c r="DF2014" s="891">
        <v>5</v>
      </c>
      <c r="DG2014" s="959"/>
      <c r="DH2014" s="959"/>
      <c r="ER2014" s="905">
        <v>7527</v>
      </c>
      <c r="ES2014" s="906" t="s">
        <v>341</v>
      </c>
      <c r="ET2014" s="2686">
        <v>9</v>
      </c>
      <c r="EV2014" s="985"/>
      <c r="EW2014" s="985"/>
      <c r="EX2014" s="387"/>
      <c r="EY2014" s="939"/>
      <c r="EZ2014" s="886"/>
    </row>
    <row r="2015" spans="88:156">
      <c r="CJ2015" s="197"/>
      <c r="CK2015" s="197"/>
      <c r="CL2015" s="197"/>
      <c r="CM2015" s="213"/>
      <c r="CN2015" s="213"/>
      <c r="CO2015" s="197"/>
      <c r="CP2015" s="197"/>
      <c r="CQ2015" s="197"/>
      <c r="CR2015" s="197"/>
      <c r="CS2015" s="197"/>
      <c r="CT2015" s="197"/>
      <c r="CU2015" s="197"/>
      <c r="CV2015" s="197"/>
      <c r="CW2015" s="197"/>
      <c r="CX2015" s="959"/>
      <c r="CY2015" s="959"/>
      <c r="CZ2015" s="959"/>
      <c r="DA2015" s="959"/>
      <c r="DB2015" s="959"/>
      <c r="DC2015" s="891">
        <v>7346</v>
      </c>
      <c r="DD2015" s="891" t="s">
        <v>3942</v>
      </c>
      <c r="DE2015" s="891" t="s">
        <v>427</v>
      </c>
      <c r="DF2015" s="891">
        <v>5</v>
      </c>
      <c r="DG2015" s="959"/>
      <c r="DH2015" s="959"/>
      <c r="ER2015" s="905">
        <v>7530</v>
      </c>
      <c r="ES2015" s="906" t="s">
        <v>342</v>
      </c>
      <c r="ET2015" s="2686">
        <v>9</v>
      </c>
      <c r="EV2015" s="985"/>
      <c r="EW2015" s="985"/>
      <c r="EX2015" s="387"/>
      <c r="EY2015" s="939"/>
      <c r="EZ2015" s="886"/>
    </row>
    <row r="2016" spans="88:156">
      <c r="CJ2016" s="197"/>
      <c r="CK2016" s="197"/>
      <c r="CL2016" s="197"/>
      <c r="CM2016" s="213"/>
      <c r="CN2016" s="213"/>
      <c r="CO2016" s="197"/>
      <c r="CP2016" s="197"/>
      <c r="CQ2016" s="197"/>
      <c r="CR2016" s="197"/>
      <c r="CS2016" s="197"/>
      <c r="CT2016" s="197"/>
      <c r="CU2016" s="197"/>
      <c r="CV2016" s="197"/>
      <c r="CW2016" s="197"/>
      <c r="CX2016" s="959"/>
      <c r="CY2016" s="959"/>
      <c r="CZ2016" s="959"/>
      <c r="DA2016" s="959"/>
      <c r="DB2016" s="959"/>
      <c r="DC2016" s="891">
        <v>7347</v>
      </c>
      <c r="DD2016" s="891" t="s">
        <v>3943</v>
      </c>
      <c r="DE2016" s="891" t="s">
        <v>427</v>
      </c>
      <c r="DF2016" s="891">
        <v>6</v>
      </c>
      <c r="DG2016" s="959"/>
      <c r="DH2016" s="959"/>
      <c r="ER2016" s="905">
        <v>7530</v>
      </c>
      <c r="ES2016" s="906" t="s">
        <v>343</v>
      </c>
      <c r="ET2016" s="2686">
        <v>9</v>
      </c>
      <c r="EV2016" s="985"/>
      <c r="EW2016" s="985"/>
      <c r="EX2016" s="387"/>
      <c r="EY2016" s="939"/>
      <c r="EZ2016" s="886"/>
    </row>
    <row r="2017" spans="88:156">
      <c r="CJ2017" s="197"/>
      <c r="CK2017" s="197"/>
      <c r="CL2017" s="197"/>
      <c r="CM2017" s="213"/>
      <c r="CN2017" s="213"/>
      <c r="CO2017" s="197"/>
      <c r="CP2017" s="197"/>
      <c r="CQ2017" s="197"/>
      <c r="CR2017" s="197"/>
      <c r="CS2017" s="197"/>
      <c r="CT2017" s="197"/>
      <c r="CU2017" s="197"/>
      <c r="CV2017" s="197"/>
      <c r="CW2017" s="197"/>
      <c r="CX2017" s="959"/>
      <c r="CY2017" s="959"/>
      <c r="CZ2017" s="959"/>
      <c r="DA2017" s="959"/>
      <c r="DB2017" s="959"/>
      <c r="DC2017" s="891">
        <v>7348</v>
      </c>
      <c r="DD2017" s="891" t="s">
        <v>3944</v>
      </c>
      <c r="DE2017" s="891" t="s">
        <v>417</v>
      </c>
      <c r="DF2017" s="891">
        <v>5</v>
      </c>
      <c r="DG2017" s="959"/>
      <c r="DH2017" s="959"/>
      <c r="ER2017" s="905">
        <v>7532</v>
      </c>
      <c r="ES2017" s="906" t="s">
        <v>344</v>
      </c>
      <c r="ET2017" s="2686">
        <v>9</v>
      </c>
      <c r="EV2017" s="985"/>
      <c r="EW2017" s="985"/>
      <c r="EX2017" s="387"/>
      <c r="EY2017" s="939"/>
      <c r="EZ2017" s="886"/>
    </row>
    <row r="2018" spans="88:156">
      <c r="CJ2018" s="197"/>
      <c r="CK2018" s="197"/>
      <c r="CL2018" s="197"/>
      <c r="CM2018" s="213"/>
      <c r="CN2018" s="213"/>
      <c r="CO2018" s="197"/>
      <c r="CP2018" s="197"/>
      <c r="CQ2018" s="197"/>
      <c r="CR2018" s="197"/>
      <c r="CS2018" s="197"/>
      <c r="CT2018" s="197"/>
      <c r="CU2018" s="197"/>
      <c r="CV2018" s="197"/>
      <c r="CW2018" s="197"/>
      <c r="CX2018" s="959"/>
      <c r="CY2018" s="959"/>
      <c r="CZ2018" s="959"/>
      <c r="DA2018" s="959"/>
      <c r="DB2018" s="959"/>
      <c r="DC2018" s="891">
        <v>7349</v>
      </c>
      <c r="DD2018" s="891" t="s">
        <v>3945</v>
      </c>
      <c r="DE2018" s="891" t="s">
        <v>419</v>
      </c>
      <c r="DF2018" s="891">
        <v>5</v>
      </c>
      <c r="DG2018" s="959"/>
      <c r="DH2018" s="959"/>
      <c r="ER2018" s="905">
        <v>7533</v>
      </c>
      <c r="ES2018" s="906" t="s">
        <v>345</v>
      </c>
      <c r="ET2018" s="2686">
        <v>9</v>
      </c>
      <c r="EV2018" s="985"/>
      <c r="EW2018" s="985"/>
      <c r="EX2018" s="387"/>
      <c r="EY2018" s="939"/>
      <c r="EZ2018" s="886"/>
    </row>
    <row r="2019" spans="88:156">
      <c r="CJ2019" s="197"/>
      <c r="CK2019" s="197"/>
      <c r="CL2019" s="197"/>
      <c r="CM2019" s="213"/>
      <c r="CN2019" s="213"/>
      <c r="CO2019" s="197"/>
      <c r="CP2019" s="197"/>
      <c r="CQ2019" s="197"/>
      <c r="CR2019" s="197"/>
      <c r="CS2019" s="197"/>
      <c r="CT2019" s="197"/>
      <c r="CU2019" s="197"/>
      <c r="CV2019" s="197"/>
      <c r="CW2019" s="197"/>
      <c r="CX2019" s="959"/>
      <c r="CY2019" s="959"/>
      <c r="CZ2019" s="959"/>
      <c r="DA2019" s="959"/>
      <c r="DB2019" s="959"/>
      <c r="DC2019" s="891">
        <v>7351</v>
      </c>
      <c r="DD2019" s="891" t="s">
        <v>3946</v>
      </c>
      <c r="DE2019" s="891" t="s">
        <v>412</v>
      </c>
      <c r="DF2019" s="891">
        <v>5</v>
      </c>
      <c r="DG2019" s="959"/>
      <c r="DH2019" s="959"/>
      <c r="ER2019" s="905">
        <v>7533</v>
      </c>
      <c r="ES2019" s="906" t="s">
        <v>346</v>
      </c>
      <c r="ET2019" s="2686">
        <v>9</v>
      </c>
      <c r="EV2019" s="985"/>
      <c r="EW2019" s="985"/>
      <c r="EX2019" s="387"/>
      <c r="EY2019" s="939"/>
      <c r="EZ2019" s="886"/>
    </row>
    <row r="2020" spans="88:156">
      <c r="CJ2020" s="197"/>
      <c r="CK2020" s="197"/>
      <c r="CL2020" s="197"/>
      <c r="CM2020" s="213"/>
      <c r="CN2020" s="213"/>
      <c r="CO2020" s="197"/>
      <c r="CP2020" s="197"/>
      <c r="CQ2020" s="197"/>
      <c r="CR2020" s="197"/>
      <c r="CS2020" s="197"/>
      <c r="CT2020" s="197"/>
      <c r="CU2020" s="197"/>
      <c r="CV2020" s="197"/>
      <c r="CW2020" s="197"/>
      <c r="CX2020" s="959"/>
      <c r="CY2020" s="959"/>
      <c r="CZ2020" s="959"/>
      <c r="DA2020" s="959"/>
      <c r="DB2020" s="959"/>
      <c r="DC2020" s="891">
        <v>7352</v>
      </c>
      <c r="DD2020" s="891" t="s">
        <v>3947</v>
      </c>
      <c r="DE2020" s="891" t="s">
        <v>435</v>
      </c>
      <c r="DF2020" s="891">
        <v>6</v>
      </c>
      <c r="DG2020" s="959"/>
      <c r="DH2020" s="959"/>
      <c r="ER2020" s="905">
        <v>7535</v>
      </c>
      <c r="ES2020" s="906" t="s">
        <v>347</v>
      </c>
      <c r="ET2020" s="2686">
        <v>9</v>
      </c>
      <c r="EV2020" s="985"/>
      <c r="EW2020" s="985"/>
      <c r="EX2020" s="387"/>
      <c r="EY2020" s="939"/>
      <c r="EZ2020" s="886"/>
    </row>
    <row r="2021" spans="88:156">
      <c r="CJ2021" s="197"/>
      <c r="CK2021" s="197"/>
      <c r="CL2021" s="197"/>
      <c r="CM2021" s="213"/>
      <c r="CN2021" s="213"/>
      <c r="CO2021" s="197"/>
      <c r="CP2021" s="197"/>
      <c r="CQ2021" s="197"/>
      <c r="CR2021" s="197"/>
      <c r="CS2021" s="197"/>
      <c r="CT2021" s="197"/>
      <c r="CU2021" s="197"/>
      <c r="CV2021" s="197"/>
      <c r="CW2021" s="197"/>
      <c r="CX2021" s="959"/>
      <c r="CY2021" s="959"/>
      <c r="CZ2021" s="959"/>
      <c r="DA2021" s="959"/>
      <c r="DB2021" s="959"/>
      <c r="DC2021" s="891">
        <v>7353</v>
      </c>
      <c r="DD2021" s="891" t="s">
        <v>3948</v>
      </c>
      <c r="DE2021" s="891" t="s">
        <v>412</v>
      </c>
      <c r="DF2021" s="891">
        <v>6</v>
      </c>
      <c r="DG2021" s="959"/>
      <c r="DH2021" s="959"/>
      <c r="ER2021" s="905">
        <v>7536</v>
      </c>
      <c r="ES2021" s="906" t="s">
        <v>348</v>
      </c>
      <c r="ET2021" s="2686">
        <v>9</v>
      </c>
      <c r="EV2021" s="985"/>
      <c r="EW2021" s="985"/>
      <c r="EX2021" s="387"/>
      <c r="EY2021" s="939"/>
      <c r="EZ2021" s="886"/>
    </row>
    <row r="2022" spans="88:156">
      <c r="CJ2022" s="197"/>
      <c r="CK2022" s="197"/>
      <c r="CL2022" s="197"/>
      <c r="CM2022" s="213"/>
      <c r="CN2022" s="213"/>
      <c r="CO2022" s="197"/>
      <c r="CP2022" s="197"/>
      <c r="CQ2022" s="197"/>
      <c r="CR2022" s="197"/>
      <c r="CS2022" s="197"/>
      <c r="CT2022" s="197"/>
      <c r="CU2022" s="197"/>
      <c r="CV2022" s="197"/>
      <c r="CW2022" s="197"/>
      <c r="CX2022" s="959"/>
      <c r="CY2022" s="959"/>
      <c r="CZ2022" s="959"/>
      <c r="DA2022" s="959"/>
      <c r="DB2022" s="959"/>
      <c r="DC2022" s="891">
        <v>7354</v>
      </c>
      <c r="DD2022" s="891" t="s">
        <v>3949</v>
      </c>
      <c r="DE2022" s="891" t="s">
        <v>432</v>
      </c>
      <c r="DF2022" s="891">
        <v>5</v>
      </c>
      <c r="DG2022" s="959"/>
      <c r="DH2022" s="959"/>
      <c r="ER2022" s="905">
        <v>7537</v>
      </c>
      <c r="ES2022" s="906" t="s">
        <v>349</v>
      </c>
      <c r="ET2022" s="2686">
        <v>9</v>
      </c>
      <c r="EV2022" s="985"/>
      <c r="EW2022" s="985"/>
      <c r="EX2022" s="387"/>
      <c r="EY2022" s="939"/>
      <c r="EZ2022" s="886"/>
    </row>
    <row r="2023" spans="88:156">
      <c r="CJ2023" s="197"/>
      <c r="CK2023" s="197"/>
      <c r="CL2023" s="197"/>
      <c r="CM2023" s="213"/>
      <c r="CN2023" s="213"/>
      <c r="CO2023" s="197"/>
      <c r="CP2023" s="197"/>
      <c r="CQ2023" s="197"/>
      <c r="CR2023" s="197"/>
      <c r="CS2023" s="197"/>
      <c r="CT2023" s="197"/>
      <c r="CU2023" s="197"/>
      <c r="CV2023" s="197"/>
      <c r="CW2023" s="197"/>
      <c r="CX2023" s="959"/>
      <c r="CY2023" s="959"/>
      <c r="CZ2023" s="959"/>
      <c r="DA2023" s="959"/>
      <c r="DB2023" s="959"/>
      <c r="DC2023" s="891">
        <v>7355</v>
      </c>
      <c r="DD2023" s="891" t="s">
        <v>3950</v>
      </c>
      <c r="DE2023" s="891" t="s">
        <v>423</v>
      </c>
      <c r="DF2023" s="891">
        <v>6</v>
      </c>
      <c r="DG2023" s="959"/>
      <c r="DH2023" s="959"/>
      <c r="ER2023" s="905">
        <v>7538</v>
      </c>
      <c r="ES2023" s="906" t="s">
        <v>350</v>
      </c>
      <c r="ET2023" s="2686">
        <v>9</v>
      </c>
      <c r="EV2023" s="985"/>
      <c r="EW2023" s="985"/>
      <c r="EX2023" s="387"/>
      <c r="EY2023" s="939"/>
      <c r="EZ2023" s="886"/>
    </row>
    <row r="2024" spans="88:156">
      <c r="CJ2024" s="197"/>
      <c r="CK2024" s="197"/>
      <c r="CL2024" s="197"/>
      <c r="CM2024" s="213"/>
      <c r="CN2024" s="213"/>
      <c r="CO2024" s="197"/>
      <c r="CP2024" s="197"/>
      <c r="CQ2024" s="197"/>
      <c r="CR2024" s="197"/>
      <c r="CS2024" s="197"/>
      <c r="CT2024" s="197"/>
      <c r="CU2024" s="197"/>
      <c r="CV2024" s="197"/>
      <c r="CW2024" s="197"/>
      <c r="CX2024" s="959"/>
      <c r="CY2024" s="959"/>
      <c r="CZ2024" s="959"/>
      <c r="DA2024" s="959"/>
      <c r="DB2024" s="959"/>
      <c r="DC2024" s="891">
        <v>7356</v>
      </c>
      <c r="DD2024" s="891" t="s">
        <v>3951</v>
      </c>
      <c r="DE2024" s="891" t="s">
        <v>2808</v>
      </c>
      <c r="DF2024" s="891">
        <v>6</v>
      </c>
      <c r="DG2024" s="959"/>
      <c r="DH2024" s="959"/>
      <c r="ER2024" s="905">
        <v>7539</v>
      </c>
      <c r="ES2024" s="906" t="s">
        <v>351</v>
      </c>
      <c r="ET2024" s="2686">
        <v>9</v>
      </c>
      <c r="EV2024" s="985"/>
      <c r="EW2024" s="985"/>
      <c r="EX2024" s="387"/>
      <c r="EY2024" s="939"/>
      <c r="EZ2024" s="886"/>
    </row>
    <row r="2025" spans="88:156">
      <c r="CJ2025" s="197"/>
      <c r="CK2025" s="197"/>
      <c r="CL2025" s="197"/>
      <c r="CM2025" s="213"/>
      <c r="CN2025" s="213"/>
      <c r="CO2025" s="197"/>
      <c r="CP2025" s="197"/>
      <c r="CQ2025" s="197"/>
      <c r="CR2025" s="197"/>
      <c r="CS2025" s="197"/>
      <c r="CT2025" s="197"/>
      <c r="CU2025" s="197"/>
      <c r="CV2025" s="197"/>
      <c r="CW2025" s="197"/>
      <c r="CX2025" s="959"/>
      <c r="CY2025" s="959"/>
      <c r="CZ2025" s="959"/>
      <c r="DA2025" s="959"/>
      <c r="DB2025" s="959"/>
      <c r="DC2025" s="891">
        <v>7357</v>
      </c>
      <c r="DD2025" s="891" t="s">
        <v>3952</v>
      </c>
      <c r="DE2025" s="891" t="s">
        <v>431</v>
      </c>
      <c r="DF2025" s="891">
        <v>6</v>
      </c>
      <c r="DG2025" s="959"/>
      <c r="DH2025" s="959"/>
      <c r="ER2025" s="905">
        <v>7541</v>
      </c>
      <c r="ES2025" s="906" t="s">
        <v>352</v>
      </c>
      <c r="ET2025" s="2686">
        <v>9</v>
      </c>
      <c r="EV2025" s="985"/>
      <c r="EW2025" s="985"/>
      <c r="EX2025" s="387"/>
      <c r="EY2025" s="939"/>
      <c r="EZ2025" s="886"/>
    </row>
    <row r="2026" spans="88:156">
      <c r="CJ2026" s="197"/>
      <c r="CK2026" s="197"/>
      <c r="CL2026" s="197"/>
      <c r="CM2026" s="213"/>
      <c r="CN2026" s="213"/>
      <c r="CO2026" s="197"/>
      <c r="CP2026" s="197"/>
      <c r="CQ2026" s="197"/>
      <c r="CR2026" s="197"/>
      <c r="CS2026" s="197"/>
      <c r="CT2026" s="197"/>
      <c r="CU2026" s="197"/>
      <c r="CV2026" s="197"/>
      <c r="CW2026" s="197"/>
      <c r="CX2026" s="959"/>
      <c r="CY2026" s="959"/>
      <c r="CZ2026" s="959"/>
      <c r="DA2026" s="959"/>
      <c r="DB2026" s="959"/>
      <c r="DC2026" s="891">
        <v>7361</v>
      </c>
      <c r="DD2026" s="891" t="s">
        <v>3953</v>
      </c>
      <c r="DE2026" s="891" t="s">
        <v>432</v>
      </c>
      <c r="DF2026" s="891">
        <v>6</v>
      </c>
      <c r="DG2026" s="959"/>
      <c r="DH2026" s="959"/>
      <c r="ER2026" s="905">
        <v>7542</v>
      </c>
      <c r="ES2026" s="906" t="s">
        <v>353</v>
      </c>
      <c r="ET2026" s="2686">
        <v>9</v>
      </c>
      <c r="EV2026" s="985"/>
      <c r="EW2026" s="985"/>
      <c r="EX2026" s="387"/>
      <c r="EY2026" s="939"/>
      <c r="EZ2026" s="886"/>
    </row>
    <row r="2027" spans="88:156">
      <c r="CJ2027" s="197"/>
      <c r="CK2027" s="197"/>
      <c r="CL2027" s="197"/>
      <c r="CM2027" s="213"/>
      <c r="CN2027" s="213"/>
      <c r="CO2027" s="197"/>
      <c r="CP2027" s="197"/>
      <c r="CQ2027" s="197"/>
      <c r="CR2027" s="197"/>
      <c r="CS2027" s="197"/>
      <c r="CT2027" s="197"/>
      <c r="CU2027" s="197"/>
      <c r="CV2027" s="197"/>
      <c r="CW2027" s="197"/>
      <c r="CX2027" s="959"/>
      <c r="CY2027" s="959"/>
      <c r="CZ2027" s="959"/>
      <c r="DA2027" s="959"/>
      <c r="DB2027" s="959"/>
      <c r="DC2027" s="891">
        <v>7362</v>
      </c>
      <c r="DD2027" s="891" t="s">
        <v>3954</v>
      </c>
      <c r="DE2027" s="891" t="s">
        <v>419</v>
      </c>
      <c r="DF2027" s="891">
        <v>6</v>
      </c>
      <c r="DG2027" s="959"/>
      <c r="DH2027" s="959"/>
      <c r="ER2027" s="905">
        <v>7543</v>
      </c>
      <c r="ES2027" s="906" t="s">
        <v>354</v>
      </c>
      <c r="ET2027" s="2686">
        <v>9</v>
      </c>
      <c r="EV2027" s="985"/>
      <c r="EW2027" s="985"/>
      <c r="EX2027" s="387"/>
      <c r="EY2027" s="939"/>
      <c r="EZ2027" s="886"/>
    </row>
    <row r="2028" spans="88:156">
      <c r="CJ2028" s="197"/>
      <c r="CK2028" s="197"/>
      <c r="CL2028" s="197"/>
      <c r="CM2028" s="213"/>
      <c r="CN2028" s="213"/>
      <c r="CO2028" s="197"/>
      <c r="CP2028" s="197"/>
      <c r="CQ2028" s="197"/>
      <c r="CR2028" s="197"/>
      <c r="CS2028" s="197"/>
      <c r="CT2028" s="197"/>
      <c r="CU2028" s="197"/>
      <c r="CV2028" s="197"/>
      <c r="CW2028" s="197"/>
      <c r="CX2028" s="959"/>
      <c r="CY2028" s="959"/>
      <c r="CZ2028" s="959"/>
      <c r="DA2028" s="959"/>
      <c r="DB2028" s="959"/>
      <c r="DC2028" s="891">
        <v>7370</v>
      </c>
      <c r="DD2028" s="891" t="s">
        <v>3955</v>
      </c>
      <c r="DE2028" s="891" t="s">
        <v>419</v>
      </c>
      <c r="DF2028" s="891">
        <v>5</v>
      </c>
      <c r="DG2028" s="959"/>
      <c r="DH2028" s="959"/>
      <c r="ER2028" s="905">
        <v>7544</v>
      </c>
      <c r="ES2028" s="906" t="s">
        <v>355</v>
      </c>
      <c r="ET2028" s="2686">
        <v>9</v>
      </c>
      <c r="EV2028" s="985"/>
      <c r="EW2028" s="985"/>
      <c r="EX2028" s="387"/>
      <c r="EY2028" s="939"/>
      <c r="EZ2028" s="886"/>
    </row>
    <row r="2029" spans="88:156">
      <c r="CJ2029" s="197"/>
      <c r="CK2029" s="197"/>
      <c r="CL2029" s="197"/>
      <c r="CM2029" s="213"/>
      <c r="CN2029" s="213"/>
      <c r="CO2029" s="197"/>
      <c r="CP2029" s="197"/>
      <c r="CQ2029" s="197"/>
      <c r="CR2029" s="197"/>
      <c r="CS2029" s="197"/>
      <c r="CT2029" s="197"/>
      <c r="CU2029" s="197"/>
      <c r="CV2029" s="197"/>
      <c r="CW2029" s="197"/>
      <c r="CX2029" s="959"/>
      <c r="CY2029" s="959"/>
      <c r="CZ2029" s="959"/>
      <c r="DA2029" s="959"/>
      <c r="DB2029" s="959"/>
      <c r="DC2029" s="891">
        <v>7381</v>
      </c>
      <c r="DD2029" s="891" t="s">
        <v>3956</v>
      </c>
      <c r="DE2029" s="891" t="s">
        <v>420</v>
      </c>
      <c r="DF2029" s="891">
        <v>5</v>
      </c>
      <c r="DG2029" s="959"/>
      <c r="DH2029" s="959"/>
      <c r="ER2029" s="905">
        <v>7545</v>
      </c>
      <c r="ES2029" s="906" t="s">
        <v>356</v>
      </c>
      <c r="ET2029" s="2686">
        <v>9</v>
      </c>
      <c r="EV2029" s="985"/>
      <c r="EW2029" s="985"/>
      <c r="EX2029" s="387"/>
      <c r="EY2029" s="939"/>
      <c r="EZ2029" s="886"/>
    </row>
    <row r="2030" spans="88:156">
      <c r="CJ2030" s="197"/>
      <c r="CK2030" s="197"/>
      <c r="CL2030" s="197"/>
      <c r="CM2030" s="213"/>
      <c r="CN2030" s="213"/>
      <c r="CO2030" s="197"/>
      <c r="CP2030" s="197"/>
      <c r="CQ2030" s="197"/>
      <c r="CR2030" s="197"/>
      <c r="CS2030" s="197"/>
      <c r="CT2030" s="197"/>
      <c r="CU2030" s="197"/>
      <c r="CV2030" s="197"/>
      <c r="CW2030" s="197"/>
      <c r="CX2030" s="959"/>
      <c r="CY2030" s="959"/>
      <c r="CZ2030" s="959"/>
      <c r="DA2030" s="959"/>
      <c r="DB2030" s="959"/>
      <c r="DC2030" s="891">
        <v>7383</v>
      </c>
      <c r="DD2030" s="891" t="s">
        <v>3957</v>
      </c>
      <c r="DE2030" s="891" t="s">
        <v>420</v>
      </c>
      <c r="DF2030" s="891">
        <v>4</v>
      </c>
      <c r="DG2030" s="959"/>
      <c r="DH2030" s="959"/>
      <c r="ER2030" s="905">
        <v>7551</v>
      </c>
      <c r="ES2030" s="906" t="s">
        <v>357</v>
      </c>
      <c r="ET2030" s="2686">
        <v>9</v>
      </c>
      <c r="EV2030" s="985"/>
      <c r="EW2030" s="985"/>
      <c r="EX2030" s="387"/>
      <c r="EY2030" s="939"/>
      <c r="EZ2030" s="886"/>
    </row>
    <row r="2031" spans="88:156">
      <c r="CJ2031" s="197"/>
      <c r="CK2031" s="197"/>
      <c r="CL2031" s="197"/>
      <c r="CM2031" s="213"/>
      <c r="CN2031" s="213"/>
      <c r="CO2031" s="197"/>
      <c r="CP2031" s="197"/>
      <c r="CQ2031" s="197"/>
      <c r="CR2031" s="197"/>
      <c r="CS2031" s="197"/>
      <c r="CT2031" s="197"/>
      <c r="CU2031" s="197"/>
      <c r="CV2031" s="197"/>
      <c r="CW2031" s="197"/>
      <c r="CX2031" s="959"/>
      <c r="CY2031" s="959"/>
      <c r="CZ2031" s="959"/>
      <c r="DA2031" s="959"/>
      <c r="DB2031" s="959"/>
      <c r="DC2031" s="891">
        <v>7384</v>
      </c>
      <c r="DD2031" s="891" t="s">
        <v>3958</v>
      </c>
      <c r="DE2031" s="891" t="s">
        <v>423</v>
      </c>
      <c r="DF2031" s="891">
        <v>5</v>
      </c>
      <c r="DG2031" s="959"/>
      <c r="DH2031" s="959"/>
      <c r="ER2031" s="905">
        <v>7552</v>
      </c>
      <c r="ES2031" s="906" t="s">
        <v>358</v>
      </c>
      <c r="ET2031" s="2686">
        <v>9</v>
      </c>
      <c r="EV2031" s="985"/>
      <c r="EW2031" s="985"/>
      <c r="EX2031" s="387"/>
      <c r="EY2031" s="939"/>
      <c r="EZ2031" s="886"/>
    </row>
    <row r="2032" spans="88:156">
      <c r="CJ2032" s="197"/>
      <c r="CK2032" s="197"/>
      <c r="CL2032" s="197"/>
      <c r="CM2032" s="213"/>
      <c r="CN2032" s="213"/>
      <c r="CO2032" s="197"/>
      <c r="CP2032" s="197"/>
      <c r="CQ2032" s="197"/>
      <c r="CR2032" s="197"/>
      <c r="CS2032" s="197"/>
      <c r="CT2032" s="197"/>
      <c r="CU2032" s="197"/>
      <c r="CV2032" s="197"/>
      <c r="CW2032" s="197"/>
      <c r="CX2032" s="959"/>
      <c r="CY2032" s="959"/>
      <c r="CZ2032" s="959"/>
      <c r="DA2032" s="959"/>
      <c r="DB2032" s="959"/>
      <c r="DC2032" s="891">
        <v>7385</v>
      </c>
      <c r="DD2032" s="891" t="s">
        <v>3959</v>
      </c>
      <c r="DE2032" s="891" t="s">
        <v>412</v>
      </c>
      <c r="DF2032" s="891">
        <v>5</v>
      </c>
      <c r="DG2032" s="959"/>
      <c r="DH2032" s="959"/>
      <c r="ER2032" s="905">
        <v>7553</v>
      </c>
      <c r="ES2032" s="906" t="s">
        <v>359</v>
      </c>
      <c r="ET2032" s="2686">
        <v>9</v>
      </c>
      <c r="EV2032" s="985"/>
      <c r="EW2032" s="985"/>
      <c r="EX2032" s="387"/>
      <c r="EY2032" s="939"/>
      <c r="EZ2032" s="886"/>
    </row>
    <row r="2033" spans="88:156">
      <c r="CJ2033" s="197"/>
      <c r="CK2033" s="197"/>
      <c r="CL2033" s="197"/>
      <c r="CM2033" s="213"/>
      <c r="CN2033" s="213"/>
      <c r="CO2033" s="197"/>
      <c r="CP2033" s="197"/>
      <c r="CQ2033" s="197"/>
      <c r="CR2033" s="197"/>
      <c r="CS2033" s="197"/>
      <c r="CT2033" s="197"/>
      <c r="CU2033" s="197"/>
      <c r="CV2033" s="197"/>
      <c r="CW2033" s="197"/>
      <c r="CX2033" s="959"/>
      <c r="CY2033" s="959"/>
      <c r="CZ2033" s="959"/>
      <c r="DA2033" s="959"/>
      <c r="DB2033" s="959"/>
      <c r="DC2033" s="891">
        <v>7386</v>
      </c>
      <c r="DD2033" s="891" t="s">
        <v>3960</v>
      </c>
      <c r="DE2033" s="891" t="s">
        <v>423</v>
      </c>
      <c r="DF2033" s="891">
        <v>5</v>
      </c>
      <c r="DG2033" s="959"/>
      <c r="DH2033" s="959"/>
      <c r="ER2033" s="905">
        <v>7555</v>
      </c>
      <c r="ES2033" s="906" t="s">
        <v>360</v>
      </c>
      <c r="ET2033" s="2686">
        <v>9</v>
      </c>
      <c r="EV2033" s="985"/>
      <c r="EW2033" s="985"/>
      <c r="EX2033" s="387"/>
      <c r="EY2033" s="939"/>
      <c r="EZ2033" s="886"/>
    </row>
    <row r="2034" spans="88:156">
      <c r="CJ2034" s="197"/>
      <c r="CK2034" s="197"/>
      <c r="CL2034" s="197"/>
      <c r="CM2034" s="213"/>
      <c r="CN2034" s="213"/>
      <c r="CO2034" s="197"/>
      <c r="CP2034" s="197"/>
      <c r="CQ2034" s="197"/>
      <c r="CR2034" s="197"/>
      <c r="CS2034" s="197"/>
      <c r="CT2034" s="197"/>
      <c r="CU2034" s="197"/>
      <c r="CV2034" s="197"/>
      <c r="CW2034" s="197"/>
      <c r="CX2034" s="959"/>
      <c r="CY2034" s="959"/>
      <c r="CZ2034" s="959"/>
      <c r="DA2034" s="959"/>
      <c r="DB2034" s="959"/>
      <c r="DC2034" s="891">
        <v>7391</v>
      </c>
      <c r="DD2034" s="891" t="s">
        <v>3961</v>
      </c>
      <c r="DE2034" s="891" t="s">
        <v>427</v>
      </c>
      <c r="DF2034" s="891">
        <v>5</v>
      </c>
      <c r="DG2034" s="959"/>
      <c r="DH2034" s="959"/>
      <c r="ER2034" s="905">
        <v>7556</v>
      </c>
      <c r="ES2034" s="906" t="s">
        <v>361</v>
      </c>
      <c r="ET2034" s="2686">
        <v>9</v>
      </c>
      <c r="EV2034" s="985"/>
      <c r="EW2034" s="985"/>
      <c r="EX2034" s="387"/>
      <c r="EY2034" s="939"/>
      <c r="EZ2034" s="886"/>
    </row>
    <row r="2035" spans="88:156">
      <c r="CJ2035" s="197"/>
      <c r="CK2035" s="197"/>
      <c r="CL2035" s="197"/>
      <c r="CM2035" s="213"/>
      <c r="CN2035" s="213"/>
      <c r="CO2035" s="197"/>
      <c r="CP2035" s="197"/>
      <c r="CQ2035" s="197"/>
      <c r="CR2035" s="197"/>
      <c r="CS2035" s="197"/>
      <c r="CT2035" s="197"/>
      <c r="CU2035" s="197"/>
      <c r="CV2035" s="197"/>
      <c r="CW2035" s="197"/>
      <c r="CX2035" s="959"/>
      <c r="CY2035" s="959"/>
      <c r="CZ2035" s="959"/>
      <c r="DA2035" s="959"/>
      <c r="DB2035" s="959"/>
      <c r="DC2035" s="891">
        <v>7393</v>
      </c>
      <c r="DD2035" s="891" t="s">
        <v>3962</v>
      </c>
      <c r="DE2035" s="891" t="s">
        <v>412</v>
      </c>
      <c r="DF2035" s="891">
        <v>5</v>
      </c>
      <c r="DG2035" s="959"/>
      <c r="DH2035" s="959"/>
      <c r="ER2035" s="905">
        <v>7557</v>
      </c>
      <c r="ES2035" s="906" t="s">
        <v>564</v>
      </c>
      <c r="ET2035" s="2686">
        <v>9</v>
      </c>
      <c r="EV2035" s="985"/>
      <c r="EW2035" s="985"/>
      <c r="EX2035" s="387"/>
      <c r="EY2035" s="939"/>
      <c r="EZ2035" s="886"/>
    </row>
    <row r="2036" spans="88:156">
      <c r="CJ2036" s="197"/>
      <c r="CK2036" s="197"/>
      <c r="CL2036" s="197"/>
      <c r="CM2036" s="213"/>
      <c r="CN2036" s="213"/>
      <c r="CO2036" s="197"/>
      <c r="CP2036" s="197"/>
      <c r="CQ2036" s="197"/>
      <c r="CR2036" s="197"/>
      <c r="CS2036" s="197"/>
      <c r="CT2036" s="197"/>
      <c r="CU2036" s="197"/>
      <c r="CV2036" s="197"/>
      <c r="CW2036" s="197"/>
      <c r="CX2036" s="959"/>
      <c r="CY2036" s="959"/>
      <c r="CZ2036" s="959"/>
      <c r="DA2036" s="959"/>
      <c r="DB2036" s="959"/>
      <c r="DC2036" s="891">
        <v>7394</v>
      </c>
      <c r="DD2036" s="891" t="s">
        <v>3963</v>
      </c>
      <c r="DE2036" s="891" t="s">
        <v>402</v>
      </c>
      <c r="DF2036" s="891">
        <v>4</v>
      </c>
      <c r="DG2036" s="959"/>
      <c r="DH2036" s="959"/>
      <c r="ER2036" s="905">
        <v>7561</v>
      </c>
      <c r="ES2036" s="906" t="s">
        <v>565</v>
      </c>
      <c r="ET2036" s="2686">
        <v>9</v>
      </c>
      <c r="EV2036" s="985"/>
      <c r="EW2036" s="985"/>
      <c r="EX2036" s="387"/>
      <c r="EY2036" s="939"/>
      <c r="EZ2036" s="886"/>
    </row>
    <row r="2037" spans="88:156">
      <c r="CJ2037" s="197"/>
      <c r="CK2037" s="197"/>
      <c r="CL2037" s="197"/>
      <c r="CM2037" s="213"/>
      <c r="CN2037" s="213"/>
      <c r="CO2037" s="197"/>
      <c r="CP2037" s="197"/>
      <c r="CQ2037" s="197"/>
      <c r="CR2037" s="197"/>
      <c r="CS2037" s="197"/>
      <c r="CT2037" s="197"/>
      <c r="CU2037" s="197"/>
      <c r="CV2037" s="197"/>
      <c r="CW2037" s="197"/>
      <c r="CX2037" s="959"/>
      <c r="CY2037" s="959"/>
      <c r="CZ2037" s="959"/>
      <c r="DA2037" s="959"/>
      <c r="DB2037" s="959"/>
      <c r="DC2037" s="891">
        <v>7396</v>
      </c>
      <c r="DD2037" s="891" t="s">
        <v>3964</v>
      </c>
      <c r="DE2037" s="891" t="s">
        <v>427</v>
      </c>
      <c r="DF2037" s="891">
        <v>4</v>
      </c>
      <c r="DG2037" s="959"/>
      <c r="DH2037" s="959"/>
      <c r="ER2037" s="905">
        <v>7561</v>
      </c>
      <c r="ES2037" s="906" t="s">
        <v>363</v>
      </c>
      <c r="ET2037" s="2686">
        <v>9</v>
      </c>
      <c r="EV2037" s="985"/>
      <c r="EW2037" s="985"/>
      <c r="EX2037" s="387"/>
      <c r="EY2037" s="939"/>
      <c r="EZ2037" s="886"/>
    </row>
    <row r="2038" spans="88:156">
      <c r="CJ2038" s="197"/>
      <c r="CK2038" s="197"/>
      <c r="CL2038" s="197"/>
      <c r="CM2038" s="213"/>
      <c r="CN2038" s="213"/>
      <c r="CO2038" s="197"/>
      <c r="CP2038" s="197"/>
      <c r="CQ2038" s="197"/>
      <c r="CR2038" s="197"/>
      <c r="CS2038" s="197"/>
      <c r="CT2038" s="197"/>
      <c r="CU2038" s="197"/>
      <c r="CV2038" s="197"/>
      <c r="CW2038" s="197"/>
      <c r="CX2038" s="959"/>
      <c r="CY2038" s="959"/>
      <c r="CZ2038" s="959"/>
      <c r="DA2038" s="959"/>
      <c r="DB2038" s="959"/>
      <c r="DC2038" s="891">
        <v>7400</v>
      </c>
      <c r="DD2038" s="891" t="s">
        <v>3965</v>
      </c>
      <c r="DE2038" s="891" t="s">
        <v>412</v>
      </c>
      <c r="DF2038" s="891">
        <v>4</v>
      </c>
      <c r="DG2038" s="959"/>
      <c r="DH2038" s="959"/>
      <c r="ER2038" s="905">
        <v>7562</v>
      </c>
      <c r="ES2038" s="906" t="s">
        <v>364</v>
      </c>
      <c r="ET2038" s="2686">
        <v>9</v>
      </c>
      <c r="EV2038" s="985"/>
      <c r="EW2038" s="985"/>
      <c r="EX2038" s="387"/>
      <c r="EY2038" s="939"/>
      <c r="EZ2038" s="886"/>
    </row>
    <row r="2039" spans="88:156">
      <c r="CJ2039" s="197"/>
      <c r="CK2039" s="197"/>
      <c r="CL2039" s="197"/>
      <c r="CM2039" s="213"/>
      <c r="CN2039" s="213"/>
      <c r="CO2039" s="197"/>
      <c r="CP2039" s="197"/>
      <c r="CQ2039" s="197"/>
      <c r="CR2039" s="197"/>
      <c r="CS2039" s="197"/>
      <c r="CT2039" s="197"/>
      <c r="CU2039" s="197"/>
      <c r="CV2039" s="197"/>
      <c r="CW2039" s="197"/>
      <c r="CX2039" s="959"/>
      <c r="CY2039" s="959"/>
      <c r="CZ2039" s="959"/>
      <c r="DA2039" s="959"/>
      <c r="DB2039" s="959"/>
      <c r="DC2039" s="891">
        <v>7409</v>
      </c>
      <c r="DD2039" s="891" t="s">
        <v>3965</v>
      </c>
      <c r="DE2039" s="891" t="s">
        <v>432</v>
      </c>
      <c r="DF2039" s="891">
        <v>4</v>
      </c>
      <c r="DG2039" s="959"/>
      <c r="DH2039" s="959"/>
      <c r="ER2039" s="905">
        <v>7563</v>
      </c>
      <c r="ES2039" s="906" t="s">
        <v>365</v>
      </c>
      <c r="ET2039" s="2686">
        <v>9</v>
      </c>
      <c r="EV2039" s="985"/>
      <c r="EW2039" s="985"/>
      <c r="EX2039" s="387"/>
      <c r="EY2039" s="939"/>
      <c r="EZ2039" s="886"/>
    </row>
    <row r="2040" spans="88:156">
      <c r="CJ2040" s="197"/>
      <c r="CK2040" s="197"/>
      <c r="CL2040" s="197"/>
      <c r="CM2040" s="213"/>
      <c r="CN2040" s="213"/>
      <c r="CO2040" s="197"/>
      <c r="CP2040" s="197"/>
      <c r="CQ2040" s="197"/>
      <c r="CR2040" s="197"/>
      <c r="CS2040" s="197"/>
      <c r="CT2040" s="197"/>
      <c r="CU2040" s="197"/>
      <c r="CV2040" s="197"/>
      <c r="CW2040" s="197"/>
      <c r="CX2040" s="959"/>
      <c r="CY2040" s="959"/>
      <c r="CZ2040" s="959"/>
      <c r="DA2040" s="959"/>
      <c r="DB2040" s="959"/>
      <c r="DC2040" s="891">
        <v>7431</v>
      </c>
      <c r="DD2040" s="891" t="s">
        <v>3966</v>
      </c>
      <c r="DE2040" s="891" t="s">
        <v>427</v>
      </c>
      <c r="DF2040" s="891">
        <v>4</v>
      </c>
      <c r="DG2040" s="959"/>
      <c r="DH2040" s="959"/>
      <c r="ER2040" s="905">
        <v>7564</v>
      </c>
      <c r="ES2040" s="906" t="s">
        <v>366</v>
      </c>
      <c r="ET2040" s="2686">
        <v>9</v>
      </c>
      <c r="EV2040" s="985"/>
      <c r="EW2040" s="985"/>
      <c r="EX2040" s="387"/>
      <c r="EY2040" s="939"/>
      <c r="EZ2040" s="886"/>
    </row>
    <row r="2041" spans="88:156">
      <c r="CJ2041" s="197"/>
      <c r="CK2041" s="197"/>
      <c r="CL2041" s="197"/>
      <c r="CM2041" s="213"/>
      <c r="CN2041" s="213"/>
      <c r="CO2041" s="197"/>
      <c r="CP2041" s="197"/>
      <c r="CQ2041" s="197"/>
      <c r="CR2041" s="197"/>
      <c r="CS2041" s="197"/>
      <c r="CT2041" s="197"/>
      <c r="CU2041" s="197"/>
      <c r="CV2041" s="197"/>
      <c r="CW2041" s="197"/>
      <c r="CX2041" s="959"/>
      <c r="CY2041" s="959"/>
      <c r="CZ2041" s="959"/>
      <c r="DA2041" s="959"/>
      <c r="DB2041" s="959"/>
      <c r="DC2041" s="891">
        <v>7432</v>
      </c>
      <c r="DD2041" s="891" t="s">
        <v>3967</v>
      </c>
      <c r="DE2041" s="891" t="s">
        <v>423</v>
      </c>
      <c r="DF2041" s="891">
        <v>5</v>
      </c>
      <c r="DG2041" s="959"/>
      <c r="DH2041" s="959"/>
      <c r="ER2041" s="905">
        <v>7570</v>
      </c>
      <c r="ES2041" s="906" t="s">
        <v>362</v>
      </c>
      <c r="ET2041" s="2686">
        <v>9</v>
      </c>
      <c r="EV2041" s="985"/>
      <c r="EW2041" s="985"/>
      <c r="EX2041" s="387"/>
      <c r="EY2041" s="939"/>
      <c r="EZ2041" s="886"/>
    </row>
    <row r="2042" spans="88:156">
      <c r="CJ2042" s="197"/>
      <c r="CK2042" s="197"/>
      <c r="CL2042" s="197"/>
      <c r="CM2042" s="213"/>
      <c r="CN2042" s="213"/>
      <c r="CO2042" s="197"/>
      <c r="CP2042" s="197"/>
      <c r="CQ2042" s="197"/>
      <c r="CR2042" s="197"/>
      <c r="CS2042" s="197"/>
      <c r="CT2042" s="197"/>
      <c r="CU2042" s="197"/>
      <c r="CV2042" s="197"/>
      <c r="CW2042" s="197"/>
      <c r="CX2042" s="959"/>
      <c r="CY2042" s="959"/>
      <c r="CZ2042" s="959"/>
      <c r="DA2042" s="959"/>
      <c r="DB2042" s="959"/>
      <c r="DC2042" s="891">
        <v>7434</v>
      </c>
      <c r="DD2042" s="891" t="s">
        <v>3968</v>
      </c>
      <c r="DE2042" s="891" t="s">
        <v>421</v>
      </c>
      <c r="DF2042" s="891">
        <v>5</v>
      </c>
      <c r="DG2042" s="959"/>
      <c r="DH2042" s="959"/>
      <c r="ER2042" s="905">
        <v>7582</v>
      </c>
      <c r="ES2042" s="906" t="s">
        <v>566</v>
      </c>
      <c r="ET2042" s="2686">
        <v>9</v>
      </c>
      <c r="EV2042" s="985"/>
      <c r="EW2042" s="985"/>
      <c r="EX2042" s="387"/>
      <c r="EY2042" s="939"/>
      <c r="EZ2042" s="886"/>
    </row>
    <row r="2043" spans="88:156">
      <c r="CJ2043" s="197"/>
      <c r="CK2043" s="197"/>
      <c r="CL2043" s="197"/>
      <c r="CM2043" s="213"/>
      <c r="CN2043" s="213"/>
      <c r="CO2043" s="197"/>
      <c r="CP2043" s="197"/>
      <c r="CQ2043" s="197"/>
      <c r="CR2043" s="197"/>
      <c r="CS2043" s="197"/>
      <c r="CT2043" s="197"/>
      <c r="CU2043" s="197"/>
      <c r="CV2043" s="197"/>
      <c r="CW2043" s="197"/>
      <c r="CX2043" s="959"/>
      <c r="CY2043" s="959"/>
      <c r="CZ2043" s="959"/>
      <c r="DA2043" s="959"/>
      <c r="DB2043" s="959"/>
      <c r="DC2043" s="891">
        <v>7435</v>
      </c>
      <c r="DD2043" s="891" t="s">
        <v>3969</v>
      </c>
      <c r="DE2043" s="891" t="s">
        <v>406</v>
      </c>
      <c r="DF2043" s="891">
        <v>5</v>
      </c>
      <c r="DG2043" s="959"/>
      <c r="DH2043" s="959"/>
      <c r="ER2043" s="905">
        <v>7582</v>
      </c>
      <c r="ES2043" s="906" t="s">
        <v>369</v>
      </c>
      <c r="ET2043" s="2686">
        <v>9</v>
      </c>
      <c r="EV2043" s="985"/>
      <c r="EW2043" s="985"/>
      <c r="EX2043" s="387"/>
      <c r="EY2043" s="939"/>
      <c r="EZ2043" s="886"/>
    </row>
    <row r="2044" spans="88:156">
      <c r="CJ2044" s="197"/>
      <c r="CK2044" s="197"/>
      <c r="CL2044" s="197"/>
      <c r="CM2044" s="213"/>
      <c r="CN2044" s="213"/>
      <c r="CO2044" s="197"/>
      <c r="CP2044" s="197"/>
      <c r="CQ2044" s="197"/>
      <c r="CR2044" s="197"/>
      <c r="CS2044" s="197"/>
      <c r="CT2044" s="197"/>
      <c r="CU2044" s="197"/>
      <c r="CV2044" s="197"/>
      <c r="CW2044" s="197"/>
      <c r="CX2044" s="959"/>
      <c r="CY2044" s="959"/>
      <c r="CZ2044" s="959"/>
      <c r="DA2044" s="959"/>
      <c r="DB2044" s="959"/>
      <c r="DC2044" s="891">
        <v>7436</v>
      </c>
      <c r="DD2044" s="891" t="s">
        <v>3970</v>
      </c>
      <c r="DE2044" s="891" t="s">
        <v>435</v>
      </c>
      <c r="DF2044" s="891">
        <v>6</v>
      </c>
      <c r="DG2044" s="959"/>
      <c r="DH2044" s="959"/>
      <c r="ER2044" s="905">
        <v>7584</v>
      </c>
      <c r="ES2044" s="906" t="s">
        <v>567</v>
      </c>
      <c r="ET2044" s="2686">
        <v>9</v>
      </c>
      <c r="EV2044" s="985"/>
      <c r="EW2044" s="985"/>
      <c r="EX2044" s="387"/>
      <c r="EY2044" s="939"/>
      <c r="EZ2044" s="886"/>
    </row>
    <row r="2045" spans="88:156">
      <c r="CJ2045" s="197"/>
      <c r="CK2045" s="197"/>
      <c r="CL2045" s="197"/>
      <c r="CM2045" s="213"/>
      <c r="CN2045" s="213"/>
      <c r="CO2045" s="197"/>
      <c r="CP2045" s="197"/>
      <c r="CQ2045" s="197"/>
      <c r="CR2045" s="197"/>
      <c r="CS2045" s="197"/>
      <c r="CT2045" s="197"/>
      <c r="CU2045" s="197"/>
      <c r="CV2045" s="197"/>
      <c r="CW2045" s="197"/>
      <c r="CX2045" s="959"/>
      <c r="CY2045" s="959"/>
      <c r="CZ2045" s="959"/>
      <c r="DA2045" s="959"/>
      <c r="DB2045" s="959"/>
      <c r="DC2045" s="891">
        <v>7439</v>
      </c>
      <c r="DD2045" s="891" t="s">
        <v>3971</v>
      </c>
      <c r="DE2045" s="891" t="s">
        <v>406</v>
      </c>
      <c r="DF2045" s="891">
        <v>5</v>
      </c>
      <c r="DG2045" s="959"/>
      <c r="DH2045" s="959"/>
      <c r="ER2045" s="905">
        <v>7584</v>
      </c>
      <c r="ES2045" s="906" t="s">
        <v>568</v>
      </c>
      <c r="ET2045" s="2686">
        <v>9</v>
      </c>
      <c r="EV2045" s="985"/>
      <c r="EW2045" s="985"/>
      <c r="EX2045" s="387"/>
      <c r="EY2045" s="939"/>
      <c r="EZ2045" s="886"/>
    </row>
    <row r="2046" spans="88:156">
      <c r="CJ2046" s="197"/>
      <c r="CK2046" s="197"/>
      <c r="CL2046" s="197"/>
      <c r="CM2046" s="213"/>
      <c r="CN2046" s="213"/>
      <c r="CO2046" s="197"/>
      <c r="CP2046" s="197"/>
      <c r="CQ2046" s="197"/>
      <c r="CR2046" s="197"/>
      <c r="CS2046" s="197"/>
      <c r="CT2046" s="197"/>
      <c r="CU2046" s="197"/>
      <c r="CV2046" s="197"/>
      <c r="CW2046" s="197"/>
      <c r="CX2046" s="959"/>
      <c r="CY2046" s="959"/>
      <c r="CZ2046" s="959"/>
      <c r="DA2046" s="959"/>
      <c r="DB2046" s="959"/>
      <c r="DC2046" s="891">
        <v>7441</v>
      </c>
      <c r="DD2046" s="891" t="s">
        <v>3972</v>
      </c>
      <c r="DE2046" s="891" t="s">
        <v>428</v>
      </c>
      <c r="DF2046" s="891">
        <v>4</v>
      </c>
      <c r="DG2046" s="959"/>
      <c r="DH2046" s="959"/>
      <c r="ER2046" s="905">
        <v>7584</v>
      </c>
      <c r="ES2046" s="906" t="s">
        <v>370</v>
      </c>
      <c r="ET2046" s="2686">
        <v>9</v>
      </c>
      <c r="EV2046" s="985"/>
      <c r="EW2046" s="985"/>
      <c r="EX2046" s="387"/>
      <c r="EY2046" s="939"/>
      <c r="EZ2046" s="886"/>
    </row>
    <row r="2047" spans="88:156">
      <c r="CJ2047" s="197"/>
      <c r="CK2047" s="197"/>
      <c r="CL2047" s="197"/>
      <c r="CM2047" s="213"/>
      <c r="CN2047" s="213"/>
      <c r="CO2047" s="197"/>
      <c r="CP2047" s="197"/>
      <c r="CQ2047" s="197"/>
      <c r="CR2047" s="197"/>
      <c r="CS2047" s="197"/>
      <c r="CT2047" s="197"/>
      <c r="CU2047" s="197"/>
      <c r="CV2047" s="197"/>
      <c r="CW2047" s="197"/>
      <c r="CX2047" s="959"/>
      <c r="CY2047" s="959"/>
      <c r="CZ2047" s="959"/>
      <c r="DA2047" s="959"/>
      <c r="DB2047" s="959"/>
      <c r="DC2047" s="891">
        <v>7442</v>
      </c>
      <c r="DD2047" s="891" t="s">
        <v>3973</v>
      </c>
      <c r="DE2047" s="891" t="s">
        <v>432</v>
      </c>
      <c r="DF2047" s="891">
        <v>5</v>
      </c>
      <c r="DG2047" s="959"/>
      <c r="DH2047" s="959"/>
      <c r="ER2047" s="905">
        <v>7585</v>
      </c>
      <c r="ES2047" s="906" t="s">
        <v>569</v>
      </c>
      <c r="ET2047" s="2686">
        <v>9</v>
      </c>
      <c r="EV2047" s="985"/>
      <c r="EW2047" s="985"/>
      <c r="EX2047" s="387"/>
      <c r="EY2047" s="939"/>
      <c r="EZ2047" s="886"/>
    </row>
    <row r="2048" spans="88:156">
      <c r="CJ2048" s="197"/>
      <c r="CK2048" s="197"/>
      <c r="CL2048" s="197"/>
      <c r="CM2048" s="213"/>
      <c r="CN2048" s="213"/>
      <c r="CO2048" s="197"/>
      <c r="CP2048" s="197"/>
      <c r="CQ2048" s="197"/>
      <c r="CR2048" s="197"/>
      <c r="CS2048" s="197"/>
      <c r="CT2048" s="197"/>
      <c r="CU2048" s="197"/>
      <c r="CV2048" s="197"/>
      <c r="CW2048" s="197"/>
      <c r="CX2048" s="959"/>
      <c r="CY2048" s="959"/>
      <c r="CZ2048" s="959"/>
      <c r="DA2048" s="959"/>
      <c r="DB2048" s="959"/>
      <c r="DC2048" s="891">
        <v>7443</v>
      </c>
      <c r="DD2048" s="891" t="s">
        <v>3974</v>
      </c>
      <c r="DE2048" s="891" t="s">
        <v>423</v>
      </c>
      <c r="DF2048" s="891">
        <v>5</v>
      </c>
      <c r="DG2048" s="959"/>
      <c r="DH2048" s="959"/>
      <c r="ER2048" s="905">
        <v>7585</v>
      </c>
      <c r="ES2048" s="906" t="s">
        <v>371</v>
      </c>
      <c r="ET2048" s="2686">
        <v>9</v>
      </c>
      <c r="EV2048" s="985"/>
      <c r="EW2048" s="985"/>
      <c r="EX2048" s="387"/>
      <c r="EY2048" s="939"/>
      <c r="EZ2048" s="886"/>
    </row>
    <row r="2049" spans="88:156">
      <c r="CJ2049" s="197"/>
      <c r="CK2049" s="197"/>
      <c r="CL2049" s="197"/>
      <c r="CM2049" s="213"/>
      <c r="CN2049" s="213"/>
      <c r="CO2049" s="197"/>
      <c r="CP2049" s="197"/>
      <c r="CQ2049" s="197"/>
      <c r="CR2049" s="197"/>
      <c r="CS2049" s="197"/>
      <c r="CT2049" s="197"/>
      <c r="CU2049" s="197"/>
      <c r="CV2049" s="197"/>
      <c r="CW2049" s="197"/>
      <c r="CX2049" s="959"/>
      <c r="CY2049" s="959"/>
      <c r="CZ2049" s="959"/>
      <c r="DA2049" s="959"/>
      <c r="DB2049" s="959"/>
      <c r="DC2049" s="891">
        <v>7444</v>
      </c>
      <c r="DD2049" s="891" t="s">
        <v>1866</v>
      </c>
      <c r="DE2049" s="891" t="s">
        <v>417</v>
      </c>
      <c r="DF2049" s="891">
        <v>6</v>
      </c>
      <c r="DG2049" s="959"/>
      <c r="DH2049" s="959"/>
      <c r="ER2049" s="905">
        <v>7586</v>
      </c>
      <c r="ES2049" s="906" t="s">
        <v>372</v>
      </c>
      <c r="ET2049" s="2686">
        <v>9</v>
      </c>
      <c r="EV2049" s="985"/>
      <c r="EW2049" s="985"/>
      <c r="EX2049" s="387"/>
      <c r="EY2049" s="939"/>
      <c r="EZ2049" s="886"/>
    </row>
    <row r="2050" spans="88:156">
      <c r="CJ2050" s="197"/>
      <c r="CK2050" s="197"/>
      <c r="CL2050" s="197"/>
      <c r="CM2050" s="213"/>
      <c r="CN2050" s="213"/>
      <c r="CO2050" s="197"/>
      <c r="CP2050" s="197"/>
      <c r="CQ2050" s="197"/>
      <c r="CR2050" s="197"/>
      <c r="CS2050" s="197"/>
      <c r="CT2050" s="197"/>
      <c r="CU2050" s="197"/>
      <c r="CV2050" s="197"/>
      <c r="CW2050" s="197"/>
      <c r="CX2050" s="959"/>
      <c r="CY2050" s="959"/>
      <c r="CZ2050" s="959"/>
      <c r="DA2050" s="959"/>
      <c r="DB2050" s="959"/>
      <c r="DC2050" s="891">
        <v>7451</v>
      </c>
      <c r="DD2050" s="891" t="s">
        <v>1867</v>
      </c>
      <c r="DE2050" s="891" t="s">
        <v>2807</v>
      </c>
      <c r="DF2050" s="891">
        <v>6</v>
      </c>
      <c r="DG2050" s="959"/>
      <c r="DH2050" s="959"/>
      <c r="ER2050" s="905">
        <v>7587</v>
      </c>
      <c r="ES2050" s="906" t="s">
        <v>373</v>
      </c>
      <c r="ET2050" s="2686">
        <v>9</v>
      </c>
      <c r="EV2050" s="985"/>
      <c r="EW2050" s="985"/>
      <c r="EX2050" s="387"/>
      <c r="EY2050" s="939"/>
      <c r="EZ2050" s="886"/>
    </row>
    <row r="2051" spans="88:156">
      <c r="CJ2051" s="197"/>
      <c r="CK2051" s="197"/>
      <c r="CL2051" s="197"/>
      <c r="CM2051" s="213"/>
      <c r="CN2051" s="213"/>
      <c r="CO2051" s="197"/>
      <c r="CP2051" s="197"/>
      <c r="CQ2051" s="197"/>
      <c r="CR2051" s="197"/>
      <c r="CS2051" s="197"/>
      <c r="CT2051" s="197"/>
      <c r="CU2051" s="197"/>
      <c r="CV2051" s="197"/>
      <c r="CW2051" s="197"/>
      <c r="CX2051" s="959"/>
      <c r="CY2051" s="959"/>
      <c r="CZ2051" s="959"/>
      <c r="DA2051" s="959"/>
      <c r="DB2051" s="959"/>
      <c r="DC2051" s="891">
        <v>7452</v>
      </c>
      <c r="DD2051" s="891" t="s">
        <v>1868</v>
      </c>
      <c r="DE2051" s="891" t="s">
        <v>420</v>
      </c>
      <c r="DF2051" s="891">
        <v>4</v>
      </c>
      <c r="DG2051" s="959"/>
      <c r="DH2051" s="959"/>
      <c r="ER2051" s="905">
        <v>7588</v>
      </c>
      <c r="ES2051" s="906" t="s">
        <v>374</v>
      </c>
      <c r="ET2051" s="2686">
        <v>9</v>
      </c>
      <c r="EV2051" s="985"/>
      <c r="EW2051" s="985"/>
      <c r="EX2051" s="387"/>
      <c r="EY2051" s="939"/>
      <c r="EZ2051" s="886"/>
    </row>
    <row r="2052" spans="88:156">
      <c r="CJ2052" s="197"/>
      <c r="CK2052" s="197"/>
      <c r="CL2052" s="197"/>
      <c r="CM2052" s="213"/>
      <c r="CN2052" s="213"/>
      <c r="CO2052" s="197"/>
      <c r="CP2052" s="197"/>
      <c r="CQ2052" s="197"/>
      <c r="CR2052" s="197"/>
      <c r="CS2052" s="197"/>
      <c r="CT2052" s="197"/>
      <c r="CU2052" s="197"/>
      <c r="CV2052" s="197"/>
      <c r="CW2052" s="197"/>
      <c r="CX2052" s="959"/>
      <c r="CY2052" s="959"/>
      <c r="CZ2052" s="959"/>
      <c r="DA2052" s="959"/>
      <c r="DB2052" s="959"/>
      <c r="DC2052" s="891">
        <v>7453</v>
      </c>
      <c r="DD2052" s="891" t="s">
        <v>1869</v>
      </c>
      <c r="DE2052" s="891" t="s">
        <v>417</v>
      </c>
      <c r="DF2052" s="891">
        <v>6</v>
      </c>
      <c r="DG2052" s="959"/>
      <c r="DH2052" s="959"/>
      <c r="ER2052" s="905">
        <v>7589</v>
      </c>
      <c r="ES2052" s="906" t="s">
        <v>375</v>
      </c>
      <c r="ET2052" s="2686">
        <v>9</v>
      </c>
      <c r="EV2052" s="985"/>
      <c r="EW2052" s="985"/>
      <c r="EX2052" s="387"/>
      <c r="EY2052" s="939"/>
      <c r="EZ2052" s="886"/>
    </row>
    <row r="2053" spans="88:156">
      <c r="CJ2053" s="197"/>
      <c r="CK2053" s="197"/>
      <c r="CL2053" s="197"/>
      <c r="CM2053" s="213"/>
      <c r="CN2053" s="213"/>
      <c r="CO2053" s="197"/>
      <c r="CP2053" s="197"/>
      <c r="CQ2053" s="197"/>
      <c r="CR2053" s="197"/>
      <c r="CS2053" s="197"/>
      <c r="CT2053" s="197"/>
      <c r="CU2053" s="197"/>
      <c r="CV2053" s="197"/>
      <c r="CW2053" s="197"/>
      <c r="CX2053" s="959"/>
      <c r="CY2053" s="959"/>
      <c r="CZ2053" s="959"/>
      <c r="DA2053" s="959"/>
      <c r="DB2053" s="959"/>
      <c r="DC2053" s="891">
        <v>7454</v>
      </c>
      <c r="DD2053" s="891" t="s">
        <v>3075</v>
      </c>
      <c r="DE2053" s="891" t="s">
        <v>2808</v>
      </c>
      <c r="DF2053" s="891">
        <v>5</v>
      </c>
      <c r="DG2053" s="959"/>
      <c r="DH2053" s="959"/>
      <c r="ER2053" s="905">
        <v>7600</v>
      </c>
      <c r="ES2053" s="906" t="s">
        <v>377</v>
      </c>
      <c r="ET2053" s="2686">
        <v>3</v>
      </c>
      <c r="EV2053" s="985"/>
      <c r="EW2053" s="985"/>
      <c r="EX2053" s="387"/>
      <c r="EY2053" s="939"/>
      <c r="EZ2053" s="886"/>
    </row>
    <row r="2054" spans="88:156">
      <c r="CJ2054" s="197"/>
      <c r="CK2054" s="197"/>
      <c r="CL2054" s="197"/>
      <c r="CM2054" s="213"/>
      <c r="CN2054" s="213"/>
      <c r="CO2054" s="197"/>
      <c r="CP2054" s="197"/>
      <c r="CQ2054" s="197"/>
      <c r="CR2054" s="197"/>
      <c r="CS2054" s="197"/>
      <c r="CT2054" s="197"/>
      <c r="CU2054" s="197"/>
      <c r="CV2054" s="197"/>
      <c r="CW2054" s="197"/>
      <c r="CX2054" s="959"/>
      <c r="CY2054" s="959"/>
      <c r="CZ2054" s="959"/>
      <c r="DA2054" s="959"/>
      <c r="DB2054" s="959"/>
      <c r="DC2054" s="891">
        <v>7455</v>
      </c>
      <c r="DD2054" s="891" t="s">
        <v>3076</v>
      </c>
      <c r="DE2054" s="891" t="s">
        <v>412</v>
      </c>
      <c r="DF2054" s="891">
        <v>6</v>
      </c>
      <c r="DG2054" s="959"/>
      <c r="DH2054" s="959"/>
      <c r="ER2054" s="905">
        <v>7621</v>
      </c>
      <c r="ES2054" s="906" t="s">
        <v>377</v>
      </c>
      <c r="ET2054" s="2686">
        <v>3</v>
      </c>
      <c r="EV2054" s="985"/>
      <c r="EW2054" s="985"/>
      <c r="EX2054" s="387"/>
      <c r="EY2054" s="939"/>
      <c r="EZ2054" s="886"/>
    </row>
    <row r="2055" spans="88:156">
      <c r="CJ2055" s="197"/>
      <c r="CK2055" s="197"/>
      <c r="CL2055" s="197"/>
      <c r="CM2055" s="213"/>
      <c r="CN2055" s="213"/>
      <c r="CO2055" s="197"/>
      <c r="CP2055" s="197"/>
      <c r="CQ2055" s="197"/>
      <c r="CR2055" s="197"/>
      <c r="CS2055" s="197"/>
      <c r="CT2055" s="197"/>
      <c r="CU2055" s="197"/>
      <c r="CV2055" s="197"/>
      <c r="CW2055" s="197"/>
      <c r="CX2055" s="959"/>
      <c r="CY2055" s="959"/>
      <c r="CZ2055" s="959"/>
      <c r="DA2055" s="959"/>
      <c r="DB2055" s="959"/>
      <c r="DC2055" s="891">
        <v>7456</v>
      </c>
      <c r="DD2055" s="891" t="s">
        <v>3077</v>
      </c>
      <c r="DE2055" s="891" t="s">
        <v>412</v>
      </c>
      <c r="DF2055" s="891">
        <v>6</v>
      </c>
      <c r="DG2055" s="959"/>
      <c r="DH2055" s="959"/>
      <c r="ER2055" s="905">
        <v>7622</v>
      </c>
      <c r="ES2055" s="906" t="s">
        <v>377</v>
      </c>
      <c r="ET2055" s="2686">
        <v>3</v>
      </c>
      <c r="EV2055" s="985"/>
      <c r="EW2055" s="985"/>
      <c r="EX2055" s="387"/>
      <c r="EY2055" s="939"/>
      <c r="EZ2055" s="886"/>
    </row>
    <row r="2056" spans="88:156">
      <c r="CJ2056" s="197"/>
      <c r="CK2056" s="197"/>
      <c r="CL2056" s="197"/>
      <c r="CM2056" s="213"/>
      <c r="CN2056" s="213"/>
      <c r="CO2056" s="197"/>
      <c r="CP2056" s="197"/>
      <c r="CQ2056" s="197"/>
      <c r="CR2056" s="197"/>
      <c r="CS2056" s="197"/>
      <c r="CT2056" s="197"/>
      <c r="CU2056" s="197"/>
      <c r="CV2056" s="197"/>
      <c r="CW2056" s="197"/>
      <c r="CX2056" s="959"/>
      <c r="CY2056" s="959"/>
      <c r="CZ2056" s="959"/>
      <c r="DA2056" s="959"/>
      <c r="DB2056" s="959"/>
      <c r="DC2056" s="891">
        <v>7457</v>
      </c>
      <c r="DD2056" s="891" t="s">
        <v>3078</v>
      </c>
      <c r="DE2056" s="891" t="s">
        <v>412</v>
      </c>
      <c r="DF2056" s="891">
        <v>6</v>
      </c>
      <c r="DG2056" s="959"/>
      <c r="DH2056" s="959"/>
      <c r="ER2056" s="905">
        <v>7623</v>
      </c>
      <c r="ES2056" s="906" t="s">
        <v>377</v>
      </c>
      <c r="ET2056" s="2686">
        <v>3</v>
      </c>
      <c r="EV2056" s="985"/>
      <c r="EW2056" s="985"/>
      <c r="EX2056" s="387"/>
      <c r="EY2056" s="939"/>
      <c r="EZ2056" s="886"/>
    </row>
    <row r="2057" spans="88:156">
      <c r="CJ2057" s="197"/>
      <c r="CK2057" s="197"/>
      <c r="CL2057" s="197"/>
      <c r="CM2057" s="213"/>
      <c r="CN2057" s="213"/>
      <c r="CO2057" s="197"/>
      <c r="CP2057" s="197"/>
      <c r="CQ2057" s="197"/>
      <c r="CR2057" s="197"/>
      <c r="CS2057" s="197"/>
      <c r="CT2057" s="197"/>
      <c r="CU2057" s="197"/>
      <c r="CV2057" s="197"/>
      <c r="CW2057" s="197"/>
      <c r="CX2057" s="959"/>
      <c r="CY2057" s="959"/>
      <c r="CZ2057" s="959"/>
      <c r="DA2057" s="959"/>
      <c r="DB2057" s="959"/>
      <c r="DC2057" s="891">
        <v>7458</v>
      </c>
      <c r="DD2057" s="891" t="s">
        <v>3079</v>
      </c>
      <c r="DE2057" s="891" t="s">
        <v>432</v>
      </c>
      <c r="DF2057" s="891">
        <v>6</v>
      </c>
      <c r="DG2057" s="959"/>
      <c r="DH2057" s="959"/>
      <c r="ER2057" s="905">
        <v>7624</v>
      </c>
      <c r="ES2057" s="906" t="s">
        <v>377</v>
      </c>
      <c r="ET2057" s="2686">
        <v>3</v>
      </c>
      <c r="EV2057" s="985"/>
      <c r="EW2057" s="985"/>
      <c r="EX2057" s="387"/>
      <c r="EY2057" s="939"/>
      <c r="EZ2057" s="886"/>
    </row>
    <row r="2058" spans="88:156">
      <c r="CJ2058" s="197"/>
      <c r="CK2058" s="197"/>
      <c r="CL2058" s="197"/>
      <c r="CM2058" s="213"/>
      <c r="CN2058" s="213"/>
      <c r="CO2058" s="197"/>
      <c r="CP2058" s="197"/>
      <c r="CQ2058" s="197"/>
      <c r="CR2058" s="197"/>
      <c r="CS2058" s="197"/>
      <c r="CT2058" s="197"/>
      <c r="CU2058" s="197"/>
      <c r="CV2058" s="197"/>
      <c r="CW2058" s="197"/>
      <c r="CX2058" s="959"/>
      <c r="CY2058" s="959"/>
      <c r="CZ2058" s="959"/>
      <c r="DA2058" s="959"/>
      <c r="DB2058" s="959"/>
      <c r="DC2058" s="891">
        <v>7461</v>
      </c>
      <c r="DD2058" s="891" t="s">
        <v>3080</v>
      </c>
      <c r="DE2058" s="891" t="s">
        <v>432</v>
      </c>
      <c r="DF2058" s="891">
        <v>6</v>
      </c>
      <c r="DG2058" s="959"/>
      <c r="DH2058" s="959"/>
      <c r="ER2058" s="905">
        <v>7625</v>
      </c>
      <c r="ES2058" s="906" t="s">
        <v>377</v>
      </c>
      <c r="ET2058" s="2686">
        <v>3</v>
      </c>
      <c r="EV2058" s="985"/>
      <c r="EW2058" s="985"/>
      <c r="EX2058" s="387"/>
      <c r="EY2058" s="939"/>
      <c r="EZ2058" s="886"/>
    </row>
    <row r="2059" spans="88:156">
      <c r="CJ2059" s="197"/>
      <c r="CK2059" s="197"/>
      <c r="CL2059" s="197"/>
      <c r="CM2059" s="213"/>
      <c r="CN2059" s="213"/>
      <c r="CO2059" s="197"/>
      <c r="CP2059" s="197"/>
      <c r="CQ2059" s="197"/>
      <c r="CR2059" s="197"/>
      <c r="CS2059" s="197"/>
      <c r="CT2059" s="197"/>
      <c r="CU2059" s="197"/>
      <c r="CV2059" s="197"/>
      <c r="CW2059" s="197"/>
      <c r="CX2059" s="959"/>
      <c r="CY2059" s="959"/>
      <c r="CZ2059" s="959"/>
      <c r="DA2059" s="959"/>
      <c r="DB2059" s="959"/>
      <c r="DC2059" s="891">
        <v>7463</v>
      </c>
      <c r="DD2059" s="891" t="s">
        <v>3081</v>
      </c>
      <c r="DE2059" s="891" t="s">
        <v>406</v>
      </c>
      <c r="DF2059" s="891">
        <v>5</v>
      </c>
      <c r="DG2059" s="959"/>
      <c r="DH2059" s="959"/>
      <c r="ER2059" s="905">
        <v>7626</v>
      </c>
      <c r="ES2059" s="906" t="s">
        <v>377</v>
      </c>
      <c r="ET2059" s="2686">
        <v>3</v>
      </c>
      <c r="EV2059" s="985"/>
      <c r="EW2059" s="985"/>
      <c r="EX2059" s="387"/>
      <c r="EY2059" s="939"/>
      <c r="EZ2059" s="886"/>
    </row>
    <row r="2060" spans="88:156">
      <c r="CJ2060" s="197"/>
      <c r="CK2060" s="197"/>
      <c r="CL2060" s="197"/>
      <c r="CM2060" s="213"/>
      <c r="CN2060" s="213"/>
      <c r="CO2060" s="197"/>
      <c r="CP2060" s="197"/>
      <c r="CQ2060" s="197"/>
      <c r="CR2060" s="197"/>
      <c r="CS2060" s="197"/>
      <c r="CT2060" s="197"/>
      <c r="CU2060" s="197"/>
      <c r="CV2060" s="197"/>
      <c r="CW2060" s="197"/>
      <c r="CX2060" s="959"/>
      <c r="CY2060" s="959"/>
      <c r="CZ2060" s="959"/>
      <c r="DA2060" s="959"/>
      <c r="DB2060" s="959"/>
      <c r="DC2060" s="891">
        <v>7464</v>
      </c>
      <c r="DD2060" s="891" t="s">
        <v>3082</v>
      </c>
      <c r="DE2060" s="891" t="s">
        <v>423</v>
      </c>
      <c r="DF2060" s="891">
        <v>6</v>
      </c>
      <c r="DG2060" s="959"/>
      <c r="DH2060" s="959"/>
      <c r="ER2060" s="905">
        <v>7627</v>
      </c>
      <c r="ES2060" s="906" t="s">
        <v>377</v>
      </c>
      <c r="ET2060" s="2686">
        <v>3</v>
      </c>
      <c r="EV2060" s="985"/>
      <c r="EW2060" s="985"/>
      <c r="EX2060" s="387"/>
      <c r="EY2060" s="939"/>
      <c r="EZ2060" s="886"/>
    </row>
    <row r="2061" spans="88:156">
      <c r="CJ2061" s="197"/>
      <c r="CK2061" s="197"/>
      <c r="CL2061" s="197"/>
      <c r="CM2061" s="213"/>
      <c r="CN2061" s="213"/>
      <c r="CO2061" s="197"/>
      <c r="CP2061" s="197"/>
      <c r="CQ2061" s="197"/>
      <c r="CR2061" s="197"/>
      <c r="CS2061" s="197"/>
      <c r="CT2061" s="197"/>
      <c r="CU2061" s="197"/>
      <c r="CV2061" s="197"/>
      <c r="CW2061" s="197"/>
      <c r="CX2061" s="959"/>
      <c r="CY2061" s="959"/>
      <c r="CZ2061" s="959"/>
      <c r="DA2061" s="959"/>
      <c r="DB2061" s="959"/>
      <c r="DC2061" s="891">
        <v>7465</v>
      </c>
      <c r="DD2061" s="891" t="s">
        <v>3083</v>
      </c>
      <c r="DE2061" s="891" t="s">
        <v>432</v>
      </c>
      <c r="DF2061" s="891">
        <v>6</v>
      </c>
      <c r="DG2061" s="959"/>
      <c r="DH2061" s="959"/>
      <c r="ER2061" s="905">
        <v>7628</v>
      </c>
      <c r="ES2061" s="906" t="s">
        <v>377</v>
      </c>
      <c r="ET2061" s="2686">
        <v>3</v>
      </c>
      <c r="EV2061" s="985"/>
      <c r="EW2061" s="985"/>
      <c r="EX2061" s="387"/>
      <c r="EY2061" s="939"/>
      <c r="EZ2061" s="886"/>
    </row>
    <row r="2062" spans="88:156">
      <c r="CJ2062" s="197"/>
      <c r="CK2062" s="197"/>
      <c r="CL2062" s="197"/>
      <c r="CM2062" s="213"/>
      <c r="CN2062" s="213"/>
      <c r="CO2062" s="197"/>
      <c r="CP2062" s="197"/>
      <c r="CQ2062" s="197"/>
      <c r="CR2062" s="197"/>
      <c r="CS2062" s="197"/>
      <c r="CT2062" s="197"/>
      <c r="CU2062" s="197"/>
      <c r="CV2062" s="197"/>
      <c r="CW2062" s="197"/>
      <c r="CX2062" s="959"/>
      <c r="CY2062" s="959"/>
      <c r="CZ2062" s="959"/>
      <c r="DA2062" s="959"/>
      <c r="DB2062" s="959"/>
      <c r="DC2062" s="891">
        <v>7471</v>
      </c>
      <c r="DD2062" s="891" t="s">
        <v>3084</v>
      </c>
      <c r="DE2062" s="891" t="s">
        <v>432</v>
      </c>
      <c r="DF2062" s="891">
        <v>5</v>
      </c>
      <c r="DG2062" s="959"/>
      <c r="DH2062" s="959"/>
      <c r="ER2062" s="905">
        <v>7629</v>
      </c>
      <c r="ES2062" s="906" t="s">
        <v>377</v>
      </c>
      <c r="ET2062" s="2686">
        <v>3</v>
      </c>
      <c r="EV2062" s="985"/>
      <c r="EW2062" s="985"/>
      <c r="EX2062" s="387"/>
      <c r="EY2062" s="939"/>
      <c r="EZ2062" s="886"/>
    </row>
    <row r="2063" spans="88:156">
      <c r="CJ2063" s="197"/>
      <c r="CK2063" s="197"/>
      <c r="CL2063" s="197"/>
      <c r="CM2063" s="213"/>
      <c r="CN2063" s="213"/>
      <c r="CO2063" s="197"/>
      <c r="CP2063" s="197"/>
      <c r="CQ2063" s="197"/>
      <c r="CR2063" s="197"/>
      <c r="CS2063" s="197"/>
      <c r="CT2063" s="197"/>
      <c r="CU2063" s="197"/>
      <c r="CV2063" s="197"/>
      <c r="CW2063" s="197"/>
      <c r="CX2063" s="959"/>
      <c r="CY2063" s="959"/>
      <c r="CZ2063" s="959"/>
      <c r="DA2063" s="959"/>
      <c r="DB2063" s="959"/>
      <c r="DC2063" s="891">
        <v>7472</v>
      </c>
      <c r="DD2063" s="891" t="s">
        <v>3085</v>
      </c>
      <c r="DE2063" s="891" t="s">
        <v>432</v>
      </c>
      <c r="DF2063" s="891">
        <v>5</v>
      </c>
      <c r="DG2063" s="959"/>
      <c r="DH2063" s="959"/>
      <c r="ER2063" s="905">
        <v>7630</v>
      </c>
      <c r="ES2063" s="906" t="s">
        <v>377</v>
      </c>
      <c r="ET2063" s="2686">
        <v>3</v>
      </c>
      <c r="EV2063" s="985"/>
      <c r="EW2063" s="985"/>
      <c r="EX2063" s="387"/>
      <c r="EY2063" s="939"/>
      <c r="EZ2063" s="886"/>
    </row>
    <row r="2064" spans="88:156">
      <c r="CJ2064" s="197"/>
      <c r="CK2064" s="197"/>
      <c r="CL2064" s="197"/>
      <c r="CM2064" s="213"/>
      <c r="CN2064" s="213"/>
      <c r="CO2064" s="197"/>
      <c r="CP2064" s="197"/>
      <c r="CQ2064" s="197"/>
      <c r="CR2064" s="197"/>
      <c r="CS2064" s="197"/>
      <c r="CT2064" s="197"/>
      <c r="CU2064" s="197"/>
      <c r="CV2064" s="197"/>
      <c r="CW2064" s="197"/>
      <c r="CX2064" s="959"/>
      <c r="CY2064" s="959"/>
      <c r="CZ2064" s="959"/>
      <c r="DA2064" s="959"/>
      <c r="DB2064" s="959"/>
      <c r="DC2064" s="891">
        <v>7473</v>
      </c>
      <c r="DD2064" s="891" t="s">
        <v>3086</v>
      </c>
      <c r="DE2064" s="891" t="s">
        <v>402</v>
      </c>
      <c r="DF2064" s="891">
        <v>4</v>
      </c>
      <c r="DG2064" s="959"/>
      <c r="DH2064" s="959"/>
      <c r="ER2064" s="905">
        <v>7631</v>
      </c>
      <c r="ES2064" s="906" t="s">
        <v>377</v>
      </c>
      <c r="ET2064" s="2686">
        <v>3</v>
      </c>
      <c r="EV2064" s="985"/>
      <c r="EW2064" s="985"/>
      <c r="EX2064" s="387"/>
      <c r="EY2064" s="939"/>
      <c r="EZ2064" s="886"/>
    </row>
    <row r="2065" spans="88:156">
      <c r="CJ2065" s="197"/>
      <c r="CK2065" s="197"/>
      <c r="CL2065" s="197"/>
      <c r="CM2065" s="213"/>
      <c r="CN2065" s="213"/>
      <c r="CO2065" s="197"/>
      <c r="CP2065" s="197"/>
      <c r="CQ2065" s="197"/>
      <c r="CR2065" s="197"/>
      <c r="CS2065" s="197"/>
      <c r="CT2065" s="197"/>
      <c r="CU2065" s="197"/>
      <c r="CV2065" s="197"/>
      <c r="CW2065" s="197"/>
      <c r="CX2065" s="959"/>
      <c r="CY2065" s="959"/>
      <c r="CZ2065" s="959"/>
      <c r="DA2065" s="959"/>
      <c r="DB2065" s="959"/>
      <c r="DC2065" s="891">
        <v>7474</v>
      </c>
      <c r="DD2065" s="891" t="s">
        <v>3087</v>
      </c>
      <c r="DE2065" s="891" t="s">
        <v>419</v>
      </c>
      <c r="DF2065" s="891">
        <v>5</v>
      </c>
      <c r="DG2065" s="959"/>
      <c r="DH2065" s="959"/>
      <c r="ER2065" s="905">
        <v>7632</v>
      </c>
      <c r="ES2065" s="906" t="s">
        <v>377</v>
      </c>
      <c r="ET2065" s="2686">
        <v>3</v>
      </c>
      <c r="EV2065" s="985"/>
      <c r="EW2065" s="985"/>
      <c r="EX2065" s="387"/>
      <c r="EY2065" s="939"/>
      <c r="EZ2065" s="886"/>
    </row>
    <row r="2066" spans="88:156">
      <c r="CJ2066" s="197"/>
      <c r="CK2066" s="197"/>
      <c r="CL2066" s="197"/>
      <c r="CM2066" s="213"/>
      <c r="CN2066" s="213"/>
      <c r="CO2066" s="197"/>
      <c r="CP2066" s="197"/>
      <c r="CQ2066" s="197"/>
      <c r="CR2066" s="197"/>
      <c r="CS2066" s="197"/>
      <c r="CT2066" s="197"/>
      <c r="CU2066" s="197"/>
      <c r="CV2066" s="197"/>
      <c r="CW2066" s="197"/>
      <c r="CX2066" s="959"/>
      <c r="CY2066" s="959"/>
      <c r="CZ2066" s="959"/>
      <c r="DA2066" s="959"/>
      <c r="DB2066" s="959"/>
      <c r="DC2066" s="891">
        <v>7475</v>
      </c>
      <c r="DD2066" s="891" t="s">
        <v>3088</v>
      </c>
      <c r="DE2066" s="891" t="s">
        <v>419</v>
      </c>
      <c r="DF2066" s="891">
        <v>4</v>
      </c>
      <c r="DG2066" s="959"/>
      <c r="DH2066" s="959"/>
      <c r="ER2066" s="905">
        <v>7633</v>
      </c>
      <c r="ES2066" s="906" t="s">
        <v>377</v>
      </c>
      <c r="ET2066" s="2686">
        <v>3</v>
      </c>
      <c r="EV2066" s="985"/>
      <c r="EW2066" s="985"/>
      <c r="EX2066" s="387"/>
      <c r="EY2066" s="939"/>
      <c r="EZ2066" s="886"/>
    </row>
    <row r="2067" spans="88:156">
      <c r="CJ2067" s="197"/>
      <c r="CK2067" s="197"/>
      <c r="CL2067" s="197"/>
      <c r="CM2067" s="213"/>
      <c r="CN2067" s="213"/>
      <c r="CO2067" s="197"/>
      <c r="CP2067" s="197"/>
      <c r="CQ2067" s="197"/>
      <c r="CR2067" s="197"/>
      <c r="CS2067" s="197"/>
      <c r="CT2067" s="197"/>
      <c r="CU2067" s="197"/>
      <c r="CV2067" s="197"/>
      <c r="CW2067" s="197"/>
      <c r="CX2067" s="959"/>
      <c r="CY2067" s="959"/>
      <c r="CZ2067" s="959"/>
      <c r="DA2067" s="959"/>
      <c r="DB2067" s="959"/>
      <c r="DC2067" s="891">
        <v>7476</v>
      </c>
      <c r="DD2067" s="891" t="s">
        <v>3089</v>
      </c>
      <c r="DE2067" s="891" t="s">
        <v>419</v>
      </c>
      <c r="DF2067" s="891">
        <v>4</v>
      </c>
      <c r="DG2067" s="959"/>
      <c r="DH2067" s="959"/>
      <c r="ER2067" s="972">
        <v>7634</v>
      </c>
      <c r="ES2067" s="906" t="s">
        <v>377</v>
      </c>
      <c r="ET2067" s="2686">
        <v>3</v>
      </c>
      <c r="EV2067" s="985"/>
      <c r="EW2067" s="985"/>
      <c r="EX2067" s="387"/>
      <c r="EY2067" s="939"/>
      <c r="EZ2067" s="886"/>
    </row>
    <row r="2068" spans="88:156">
      <c r="CJ2068" s="197"/>
      <c r="CK2068" s="197"/>
      <c r="CL2068" s="197"/>
      <c r="CM2068" s="213"/>
      <c r="CN2068" s="213"/>
      <c r="CO2068" s="197"/>
      <c r="CP2068" s="197"/>
      <c r="CQ2068" s="197"/>
      <c r="CR2068" s="197"/>
      <c r="CS2068" s="197"/>
      <c r="CT2068" s="197"/>
      <c r="CU2068" s="197"/>
      <c r="CV2068" s="197"/>
      <c r="CW2068" s="197"/>
      <c r="CX2068" s="959"/>
      <c r="CY2068" s="959"/>
      <c r="CZ2068" s="959"/>
      <c r="DA2068" s="959"/>
      <c r="DB2068" s="959"/>
      <c r="DC2068" s="891">
        <v>7477</v>
      </c>
      <c r="DD2068" s="891" t="s">
        <v>3090</v>
      </c>
      <c r="DE2068" s="891" t="s">
        <v>434</v>
      </c>
      <c r="DF2068" s="891">
        <v>4</v>
      </c>
      <c r="DG2068" s="959"/>
      <c r="DH2068" s="959"/>
      <c r="ER2068" s="905">
        <v>7635</v>
      </c>
      <c r="ES2068" s="906" t="s">
        <v>377</v>
      </c>
      <c r="ET2068" s="2686">
        <v>3</v>
      </c>
      <c r="EV2068" s="985"/>
      <c r="EW2068" s="985"/>
      <c r="EX2068" s="387"/>
      <c r="EY2068" s="939"/>
      <c r="EZ2068" s="886"/>
    </row>
    <row r="2069" spans="88:156">
      <c r="CJ2069" s="197"/>
      <c r="CK2069" s="197"/>
      <c r="CL2069" s="197"/>
      <c r="CM2069" s="213"/>
      <c r="CN2069" s="213"/>
      <c r="CO2069" s="197"/>
      <c r="CP2069" s="197"/>
      <c r="CQ2069" s="197"/>
      <c r="CR2069" s="197"/>
      <c r="CS2069" s="197"/>
      <c r="CT2069" s="197"/>
      <c r="CU2069" s="197"/>
      <c r="CV2069" s="197"/>
      <c r="CW2069" s="197"/>
      <c r="CX2069" s="959"/>
      <c r="CY2069" s="959"/>
      <c r="CZ2069" s="959"/>
      <c r="DA2069" s="959"/>
      <c r="DB2069" s="959"/>
      <c r="DC2069" s="891">
        <v>7478</v>
      </c>
      <c r="DD2069" s="891" t="s">
        <v>3091</v>
      </c>
      <c r="DE2069" s="891" t="s">
        <v>434</v>
      </c>
      <c r="DF2069" s="891">
        <v>4</v>
      </c>
      <c r="DG2069" s="959"/>
      <c r="DH2069" s="959"/>
      <c r="ER2069" s="972">
        <v>7636</v>
      </c>
      <c r="ES2069" s="906" t="s">
        <v>377</v>
      </c>
      <c r="ET2069" s="2686">
        <v>3</v>
      </c>
      <c r="EV2069" s="985"/>
      <c r="EW2069" s="985"/>
      <c r="EX2069" s="387"/>
      <c r="EY2069" s="939"/>
      <c r="EZ2069" s="886"/>
    </row>
    <row r="2070" spans="88:156">
      <c r="CJ2070" s="197"/>
      <c r="CK2070" s="197"/>
      <c r="CL2070" s="197"/>
      <c r="CM2070" s="213"/>
      <c r="CN2070" s="213"/>
      <c r="CO2070" s="197"/>
      <c r="CP2070" s="197"/>
      <c r="CQ2070" s="197"/>
      <c r="CR2070" s="197"/>
      <c r="CS2070" s="197"/>
      <c r="CT2070" s="197"/>
      <c r="CU2070" s="197"/>
      <c r="CV2070" s="197"/>
      <c r="CW2070" s="197"/>
      <c r="CX2070" s="959"/>
      <c r="CY2070" s="959"/>
      <c r="CZ2070" s="959"/>
      <c r="DA2070" s="959"/>
      <c r="DB2070" s="959"/>
      <c r="DC2070" s="891">
        <v>7479</v>
      </c>
      <c r="DD2070" s="891" t="s">
        <v>3092</v>
      </c>
      <c r="DE2070" s="891" t="s">
        <v>432</v>
      </c>
      <c r="DF2070" s="891">
        <v>5</v>
      </c>
      <c r="DG2070" s="959"/>
      <c r="DH2070" s="959"/>
      <c r="ER2070" s="905">
        <v>7639</v>
      </c>
      <c r="ES2070" s="906" t="s">
        <v>378</v>
      </c>
      <c r="ET2070" s="2686">
        <v>4</v>
      </c>
      <c r="EV2070" s="985"/>
      <c r="EW2070" s="985"/>
      <c r="EX2070" s="387"/>
      <c r="EY2070" s="939"/>
      <c r="EZ2070" s="886"/>
    </row>
    <row r="2071" spans="88:156">
      <c r="CJ2071" s="197"/>
      <c r="CK2071" s="197"/>
      <c r="CL2071" s="197"/>
      <c r="CM2071" s="213"/>
      <c r="CN2071" s="213"/>
      <c r="CO2071" s="197"/>
      <c r="CP2071" s="197"/>
      <c r="CQ2071" s="197"/>
      <c r="CR2071" s="197"/>
      <c r="CS2071" s="197"/>
      <c r="CT2071" s="197"/>
      <c r="CU2071" s="197"/>
      <c r="CV2071" s="197"/>
      <c r="CW2071" s="197"/>
      <c r="CX2071" s="959"/>
      <c r="CY2071" s="959"/>
      <c r="CZ2071" s="959"/>
      <c r="DA2071" s="959"/>
      <c r="DB2071" s="959"/>
      <c r="DC2071" s="891">
        <v>7500</v>
      </c>
      <c r="DD2071" s="891" t="s">
        <v>3093</v>
      </c>
      <c r="DE2071" s="891" t="s">
        <v>418</v>
      </c>
      <c r="DF2071" s="891">
        <v>6</v>
      </c>
      <c r="DG2071" s="959"/>
      <c r="DH2071" s="959"/>
      <c r="ER2071" s="972">
        <v>7639</v>
      </c>
      <c r="ES2071" s="906" t="s">
        <v>377</v>
      </c>
      <c r="ET2071" s="2686">
        <v>3</v>
      </c>
      <c r="EV2071" s="985"/>
      <c r="EW2071" s="985"/>
      <c r="EX2071" s="387"/>
      <c r="EY2071" s="939"/>
      <c r="EZ2071" s="886"/>
    </row>
    <row r="2072" spans="88:156">
      <c r="CJ2072" s="197"/>
      <c r="CK2072" s="197"/>
      <c r="CL2072" s="197"/>
      <c r="CM2072" s="213"/>
      <c r="CN2072" s="213"/>
      <c r="CO2072" s="197"/>
      <c r="CP2072" s="197"/>
      <c r="CQ2072" s="197"/>
      <c r="CR2072" s="197"/>
      <c r="CS2072" s="197"/>
      <c r="CT2072" s="197"/>
      <c r="CU2072" s="197"/>
      <c r="CV2072" s="197"/>
      <c r="CW2072" s="197"/>
      <c r="CX2072" s="959"/>
      <c r="CY2072" s="959"/>
      <c r="CZ2072" s="959"/>
      <c r="DA2072" s="959"/>
      <c r="DB2072" s="959"/>
      <c r="DC2072" s="891">
        <v>7511</v>
      </c>
      <c r="DD2072" s="891" t="s">
        <v>3094</v>
      </c>
      <c r="DE2072" s="891" t="s">
        <v>417</v>
      </c>
      <c r="DF2072" s="891">
        <v>6</v>
      </c>
      <c r="DG2072" s="959"/>
      <c r="DH2072" s="959"/>
      <c r="ER2072" s="905">
        <v>7661</v>
      </c>
      <c r="ES2072" s="906" t="s">
        <v>570</v>
      </c>
      <c r="ET2072" s="2686">
        <v>9</v>
      </c>
      <c r="EV2072" s="985"/>
      <c r="EW2072" s="985"/>
      <c r="EX2072" s="387"/>
      <c r="EY2072" s="939"/>
      <c r="EZ2072" s="886"/>
    </row>
    <row r="2073" spans="88:156">
      <c r="CJ2073" s="197"/>
      <c r="CK2073" s="197"/>
      <c r="CL2073" s="197"/>
      <c r="CM2073" s="213"/>
      <c r="CN2073" s="213"/>
      <c r="CO2073" s="197"/>
      <c r="CP2073" s="197"/>
      <c r="CQ2073" s="197"/>
      <c r="CR2073" s="197"/>
      <c r="CS2073" s="197"/>
      <c r="CT2073" s="197"/>
      <c r="CU2073" s="197"/>
      <c r="CV2073" s="197"/>
      <c r="CW2073" s="197"/>
      <c r="CX2073" s="959"/>
      <c r="CY2073" s="959"/>
      <c r="CZ2073" s="959"/>
      <c r="DA2073" s="959"/>
      <c r="DB2073" s="959"/>
      <c r="DC2073" s="891">
        <v>7512</v>
      </c>
      <c r="DD2073" s="891" t="s">
        <v>3095</v>
      </c>
      <c r="DE2073" s="891" t="s">
        <v>428</v>
      </c>
      <c r="DF2073" s="891">
        <v>5</v>
      </c>
      <c r="DG2073" s="959"/>
      <c r="DH2073" s="959"/>
      <c r="ER2073" s="905">
        <v>7661</v>
      </c>
      <c r="ES2073" s="906" t="s">
        <v>571</v>
      </c>
      <c r="ET2073" s="2686">
        <v>9</v>
      </c>
      <c r="EV2073" s="985"/>
      <c r="EW2073" s="985"/>
      <c r="EX2073" s="387"/>
      <c r="EY2073" s="939"/>
      <c r="EZ2073" s="886"/>
    </row>
    <row r="2074" spans="88:156">
      <c r="CJ2074" s="197"/>
      <c r="CK2074" s="197"/>
      <c r="CL2074" s="197"/>
      <c r="CM2074" s="213"/>
      <c r="CN2074" s="213"/>
      <c r="CO2074" s="197"/>
      <c r="CP2074" s="197"/>
      <c r="CQ2074" s="197"/>
      <c r="CR2074" s="197"/>
      <c r="CS2074" s="197"/>
      <c r="CT2074" s="197"/>
      <c r="CU2074" s="197"/>
      <c r="CV2074" s="197"/>
      <c r="CW2074" s="197"/>
      <c r="CX2074" s="959"/>
      <c r="CY2074" s="959"/>
      <c r="CZ2074" s="959"/>
      <c r="DA2074" s="959"/>
      <c r="DB2074" s="959"/>
      <c r="DC2074" s="891">
        <v>7513</v>
      </c>
      <c r="DD2074" s="891" t="s">
        <v>3096</v>
      </c>
      <c r="DE2074" s="891" t="s">
        <v>423</v>
      </c>
      <c r="DF2074" s="891">
        <v>6</v>
      </c>
      <c r="DG2074" s="959"/>
      <c r="DH2074" s="959"/>
      <c r="ER2074" s="905">
        <v>7661</v>
      </c>
      <c r="ES2074" s="906" t="s">
        <v>572</v>
      </c>
      <c r="ET2074" s="2686">
        <v>9</v>
      </c>
      <c r="EV2074" s="985"/>
      <c r="EW2074" s="985"/>
      <c r="EX2074" s="387"/>
      <c r="EY2074" s="939"/>
      <c r="EZ2074" s="886"/>
    </row>
    <row r="2075" spans="88:156">
      <c r="CJ2075" s="197"/>
      <c r="CK2075" s="197"/>
      <c r="CL2075" s="197"/>
      <c r="CM2075" s="213"/>
      <c r="CN2075" s="213"/>
      <c r="CO2075" s="197"/>
      <c r="CP2075" s="197"/>
      <c r="CQ2075" s="197"/>
      <c r="CR2075" s="197"/>
      <c r="CS2075" s="197"/>
      <c r="CT2075" s="197"/>
      <c r="CU2075" s="197"/>
      <c r="CV2075" s="197"/>
      <c r="CW2075" s="197"/>
      <c r="CX2075" s="959"/>
      <c r="CY2075" s="959"/>
      <c r="CZ2075" s="959"/>
      <c r="DA2075" s="959"/>
      <c r="DB2075" s="959"/>
      <c r="DC2075" s="891">
        <v>7514</v>
      </c>
      <c r="DD2075" s="891" t="s">
        <v>3097</v>
      </c>
      <c r="DE2075" s="891" t="s">
        <v>432</v>
      </c>
      <c r="DF2075" s="891">
        <v>6</v>
      </c>
      <c r="DG2075" s="959"/>
      <c r="DH2075" s="959"/>
      <c r="ER2075" s="905">
        <v>7661</v>
      </c>
      <c r="ES2075" s="906" t="s">
        <v>379</v>
      </c>
      <c r="ET2075" s="2686">
        <v>9</v>
      </c>
      <c r="EV2075" s="985"/>
      <c r="EW2075" s="985"/>
      <c r="EX2075" s="387"/>
      <c r="EY2075" s="939"/>
      <c r="EZ2075" s="886"/>
    </row>
    <row r="2076" spans="88:156">
      <c r="CJ2076" s="197"/>
      <c r="CK2076" s="197"/>
      <c r="CL2076" s="197"/>
      <c r="CM2076" s="213"/>
      <c r="CN2076" s="213"/>
      <c r="CO2076" s="197"/>
      <c r="CP2076" s="197"/>
      <c r="CQ2076" s="197"/>
      <c r="CR2076" s="197"/>
      <c r="CS2076" s="197"/>
      <c r="CT2076" s="197"/>
      <c r="CU2076" s="197"/>
      <c r="CV2076" s="197"/>
      <c r="CW2076" s="197"/>
      <c r="CX2076" s="959"/>
      <c r="CY2076" s="959"/>
      <c r="CZ2076" s="959"/>
      <c r="DA2076" s="959"/>
      <c r="DB2076" s="959"/>
      <c r="DC2076" s="891">
        <v>7515</v>
      </c>
      <c r="DD2076" s="891" t="s">
        <v>3098</v>
      </c>
      <c r="DE2076" s="891" t="s">
        <v>406</v>
      </c>
      <c r="DF2076" s="891">
        <v>6</v>
      </c>
      <c r="DG2076" s="959"/>
      <c r="DH2076" s="959"/>
      <c r="ER2076" s="905">
        <v>7663</v>
      </c>
      <c r="ES2076" s="906" t="s">
        <v>380</v>
      </c>
      <c r="ET2076" s="2686">
        <v>9</v>
      </c>
      <c r="EV2076" s="985"/>
      <c r="EW2076" s="985"/>
      <c r="EX2076" s="387"/>
      <c r="EY2076" s="939"/>
      <c r="EZ2076" s="886"/>
    </row>
    <row r="2077" spans="88:156">
      <c r="CJ2077" s="197"/>
      <c r="CK2077" s="197"/>
      <c r="CL2077" s="197"/>
      <c r="CM2077" s="213"/>
      <c r="CN2077" s="213"/>
      <c r="CO2077" s="197"/>
      <c r="CP2077" s="197"/>
      <c r="CQ2077" s="197"/>
      <c r="CR2077" s="197"/>
      <c r="CS2077" s="197"/>
      <c r="CT2077" s="197"/>
      <c r="CU2077" s="197"/>
      <c r="CV2077" s="197"/>
      <c r="CW2077" s="197"/>
      <c r="CX2077" s="959"/>
      <c r="CY2077" s="959"/>
      <c r="CZ2077" s="959"/>
      <c r="DA2077" s="959"/>
      <c r="DB2077" s="959"/>
      <c r="DC2077" s="891">
        <v>7516</v>
      </c>
      <c r="DD2077" s="891" t="s">
        <v>333</v>
      </c>
      <c r="DE2077" s="891" t="s">
        <v>432</v>
      </c>
      <c r="DF2077" s="891">
        <v>6</v>
      </c>
      <c r="DG2077" s="959"/>
      <c r="DH2077" s="959"/>
      <c r="ER2077" s="905">
        <v>7664</v>
      </c>
      <c r="ES2077" s="906" t="s">
        <v>573</v>
      </c>
      <c r="ET2077" s="2686">
        <v>4</v>
      </c>
      <c r="EV2077" s="985"/>
      <c r="EW2077" s="985"/>
      <c r="EX2077" s="387"/>
      <c r="EY2077" s="939"/>
      <c r="EZ2077" s="886"/>
    </row>
    <row r="2078" spans="88:156">
      <c r="CJ2078" s="197"/>
      <c r="CK2078" s="197"/>
      <c r="CL2078" s="197"/>
      <c r="CM2078" s="213"/>
      <c r="CN2078" s="213"/>
      <c r="CO2078" s="197"/>
      <c r="CP2078" s="197"/>
      <c r="CQ2078" s="197"/>
      <c r="CR2078" s="197"/>
      <c r="CS2078" s="197"/>
      <c r="CT2078" s="197"/>
      <c r="CU2078" s="197"/>
      <c r="CV2078" s="197"/>
      <c r="CW2078" s="197"/>
      <c r="CX2078" s="959"/>
      <c r="CY2078" s="959"/>
      <c r="CZ2078" s="959"/>
      <c r="DA2078" s="959"/>
      <c r="DB2078" s="959"/>
      <c r="DC2078" s="891">
        <v>7517</v>
      </c>
      <c r="DD2078" s="891" t="s">
        <v>334</v>
      </c>
      <c r="DE2078" s="891" t="s">
        <v>417</v>
      </c>
      <c r="DF2078" s="891">
        <v>6</v>
      </c>
      <c r="DG2078" s="959"/>
      <c r="DH2078" s="959"/>
      <c r="ER2078" s="905">
        <v>7664</v>
      </c>
      <c r="ES2078" s="906" t="s">
        <v>381</v>
      </c>
      <c r="ET2078" s="2686">
        <v>4</v>
      </c>
      <c r="EV2078" s="985"/>
      <c r="EW2078" s="985"/>
      <c r="EX2078" s="387"/>
      <c r="EY2078" s="939"/>
      <c r="EZ2078" s="886"/>
    </row>
    <row r="2079" spans="88:156">
      <c r="CJ2079" s="197"/>
      <c r="CK2079" s="197"/>
      <c r="CL2079" s="197"/>
      <c r="CM2079" s="213"/>
      <c r="CN2079" s="213"/>
      <c r="CO2079" s="197"/>
      <c r="CP2079" s="197"/>
      <c r="CQ2079" s="197"/>
      <c r="CR2079" s="197"/>
      <c r="CS2079" s="197"/>
      <c r="CT2079" s="197"/>
      <c r="CU2079" s="197"/>
      <c r="CV2079" s="197"/>
      <c r="CW2079" s="197"/>
      <c r="CX2079" s="959"/>
      <c r="CY2079" s="959"/>
      <c r="CZ2079" s="959"/>
      <c r="DA2079" s="959"/>
      <c r="DB2079" s="959"/>
      <c r="DC2079" s="891">
        <v>7521</v>
      </c>
      <c r="DD2079" s="891" t="s">
        <v>335</v>
      </c>
      <c r="DE2079" s="891" t="s">
        <v>406</v>
      </c>
      <c r="DF2079" s="891">
        <v>4</v>
      </c>
      <c r="DG2079" s="959"/>
      <c r="DH2079" s="959"/>
      <c r="ER2079" s="905">
        <v>7664</v>
      </c>
      <c r="ES2079" s="906" t="s">
        <v>574</v>
      </c>
      <c r="ET2079" s="2686">
        <v>9</v>
      </c>
      <c r="EV2079" s="985"/>
      <c r="EW2079" s="985"/>
      <c r="EX2079" s="387"/>
      <c r="EY2079" s="939"/>
      <c r="EZ2079" s="886"/>
    </row>
    <row r="2080" spans="88:156">
      <c r="CJ2080" s="197"/>
      <c r="CK2080" s="197"/>
      <c r="CL2080" s="197"/>
      <c r="CM2080" s="213"/>
      <c r="CN2080" s="213"/>
      <c r="CO2080" s="197"/>
      <c r="CP2080" s="197"/>
      <c r="CQ2080" s="197"/>
      <c r="CR2080" s="197"/>
      <c r="CS2080" s="197"/>
      <c r="CT2080" s="197"/>
      <c r="CU2080" s="197"/>
      <c r="CV2080" s="197"/>
      <c r="CW2080" s="197"/>
      <c r="CX2080" s="959"/>
      <c r="CY2080" s="959"/>
      <c r="CZ2080" s="959"/>
      <c r="DA2080" s="959"/>
      <c r="DB2080" s="959"/>
      <c r="DC2080" s="891">
        <v>7522</v>
      </c>
      <c r="DD2080" s="891" t="s">
        <v>336</v>
      </c>
      <c r="DE2080" s="891" t="s">
        <v>406</v>
      </c>
      <c r="DF2080" s="891">
        <v>4</v>
      </c>
      <c r="DG2080" s="959"/>
      <c r="DH2080" s="959"/>
      <c r="ER2080" s="905">
        <v>7666</v>
      </c>
      <c r="ES2080" s="906" t="s">
        <v>575</v>
      </c>
      <c r="ET2080" s="2686">
        <v>4</v>
      </c>
      <c r="EV2080" s="985"/>
      <c r="EW2080" s="985"/>
      <c r="EX2080" s="387"/>
      <c r="EY2080" s="939"/>
      <c r="EZ2080" s="886"/>
    </row>
    <row r="2081" spans="88:156">
      <c r="CJ2081" s="197"/>
      <c r="CK2081" s="197"/>
      <c r="CL2081" s="197"/>
      <c r="CM2081" s="213"/>
      <c r="CN2081" s="213"/>
      <c r="CO2081" s="197"/>
      <c r="CP2081" s="197"/>
      <c r="CQ2081" s="197"/>
      <c r="CR2081" s="197"/>
      <c r="CS2081" s="197"/>
      <c r="CT2081" s="197"/>
      <c r="CU2081" s="197"/>
      <c r="CV2081" s="197"/>
      <c r="CW2081" s="197"/>
      <c r="CX2081" s="959"/>
      <c r="CY2081" s="959"/>
      <c r="CZ2081" s="959"/>
      <c r="DA2081" s="959"/>
      <c r="DB2081" s="959"/>
      <c r="DC2081" s="891">
        <v>7523</v>
      </c>
      <c r="DD2081" s="891" t="s">
        <v>337</v>
      </c>
      <c r="DE2081" s="891" t="s">
        <v>432</v>
      </c>
      <c r="DF2081" s="891">
        <v>4</v>
      </c>
      <c r="DG2081" s="959"/>
      <c r="DH2081" s="959"/>
      <c r="ER2081" s="905">
        <v>7668</v>
      </c>
      <c r="ES2081" s="906" t="s">
        <v>576</v>
      </c>
      <c r="ET2081" s="2686">
        <v>4</v>
      </c>
      <c r="EV2081" s="985"/>
      <c r="EW2081" s="985"/>
      <c r="EX2081" s="387"/>
      <c r="EY2081" s="939"/>
      <c r="EZ2081" s="886"/>
    </row>
    <row r="2082" spans="88:156">
      <c r="CJ2082" s="197"/>
      <c r="CK2082" s="197"/>
      <c r="CL2082" s="197"/>
      <c r="CM2082" s="213"/>
      <c r="CN2082" s="213"/>
      <c r="CO2082" s="197"/>
      <c r="CP2082" s="197"/>
      <c r="CQ2082" s="197"/>
      <c r="CR2082" s="197"/>
      <c r="CS2082" s="197"/>
      <c r="CT2082" s="197"/>
      <c r="CU2082" s="197"/>
      <c r="CV2082" s="197"/>
      <c r="CW2082" s="197"/>
      <c r="CX2082" s="959"/>
      <c r="CY2082" s="959"/>
      <c r="CZ2082" s="959"/>
      <c r="DA2082" s="959"/>
      <c r="DB2082" s="959"/>
      <c r="DC2082" s="891">
        <v>7524</v>
      </c>
      <c r="DD2082" s="891" t="s">
        <v>338</v>
      </c>
      <c r="DE2082" s="891" t="s">
        <v>432</v>
      </c>
      <c r="DF2082" s="891">
        <v>5</v>
      </c>
      <c r="DG2082" s="959"/>
      <c r="DH2082" s="959"/>
      <c r="ER2082" s="905">
        <v>7668</v>
      </c>
      <c r="ES2082" s="906" t="s">
        <v>4508</v>
      </c>
      <c r="ET2082" s="2686">
        <v>4</v>
      </c>
      <c r="EV2082" s="985"/>
      <c r="EW2082" s="985"/>
      <c r="EX2082" s="387"/>
      <c r="EY2082" s="939"/>
      <c r="EZ2082" s="886"/>
    </row>
    <row r="2083" spans="88:156">
      <c r="CJ2083" s="197"/>
      <c r="CK2083" s="197"/>
      <c r="CL2083" s="197"/>
      <c r="CM2083" s="213"/>
      <c r="CN2083" s="213"/>
      <c r="CO2083" s="197"/>
      <c r="CP2083" s="197"/>
      <c r="CQ2083" s="197"/>
      <c r="CR2083" s="197"/>
      <c r="CS2083" s="197"/>
      <c r="CT2083" s="197"/>
      <c r="CU2083" s="197"/>
      <c r="CV2083" s="197"/>
      <c r="CW2083" s="197"/>
      <c r="CX2083" s="959"/>
      <c r="CY2083" s="959"/>
      <c r="CZ2083" s="959"/>
      <c r="DA2083" s="959"/>
      <c r="DB2083" s="959"/>
      <c r="DC2083" s="891">
        <v>7525</v>
      </c>
      <c r="DD2083" s="891" t="s">
        <v>339</v>
      </c>
      <c r="DE2083" s="891" t="s">
        <v>419</v>
      </c>
      <c r="DF2083" s="891">
        <v>6</v>
      </c>
      <c r="DG2083" s="959"/>
      <c r="DH2083" s="959"/>
      <c r="ER2083" s="905">
        <v>7671</v>
      </c>
      <c r="ES2083" s="906" t="s">
        <v>577</v>
      </c>
      <c r="ET2083" s="2686">
        <v>9</v>
      </c>
      <c r="EV2083" s="985"/>
      <c r="EW2083" s="985"/>
      <c r="EX2083" s="387"/>
      <c r="EY2083" s="939"/>
      <c r="EZ2083" s="886"/>
    </row>
    <row r="2084" spans="88:156">
      <c r="CJ2084" s="197"/>
      <c r="CK2084" s="197"/>
      <c r="CL2084" s="197"/>
      <c r="CM2084" s="213"/>
      <c r="CN2084" s="213"/>
      <c r="CO2084" s="197"/>
      <c r="CP2084" s="197"/>
      <c r="CQ2084" s="197"/>
      <c r="CR2084" s="197"/>
      <c r="CS2084" s="197"/>
      <c r="CT2084" s="197"/>
      <c r="CU2084" s="197"/>
      <c r="CV2084" s="197"/>
      <c r="CW2084" s="197"/>
      <c r="CX2084" s="959"/>
      <c r="CY2084" s="959"/>
      <c r="CZ2084" s="959"/>
      <c r="DA2084" s="959"/>
      <c r="DB2084" s="959"/>
      <c r="DC2084" s="891">
        <v>7526</v>
      </c>
      <c r="DD2084" s="891" t="s">
        <v>340</v>
      </c>
      <c r="DE2084" s="891" t="s">
        <v>412</v>
      </c>
      <c r="DF2084" s="891">
        <v>6</v>
      </c>
      <c r="DG2084" s="959"/>
      <c r="DH2084" s="959"/>
      <c r="ER2084" s="905">
        <v>7671</v>
      </c>
      <c r="ES2084" s="906" t="s">
        <v>4509</v>
      </c>
      <c r="ET2084" s="2686">
        <v>9</v>
      </c>
      <c r="EV2084" s="985"/>
      <c r="EW2084" s="985"/>
      <c r="EX2084" s="387"/>
      <c r="EY2084" s="939"/>
      <c r="EZ2084" s="886"/>
    </row>
    <row r="2085" spans="88:156">
      <c r="CJ2085" s="197"/>
      <c r="CK2085" s="197"/>
      <c r="CL2085" s="197"/>
      <c r="CM2085" s="213"/>
      <c r="CN2085" s="213"/>
      <c r="CO2085" s="197"/>
      <c r="CP2085" s="197"/>
      <c r="CQ2085" s="197"/>
      <c r="CR2085" s="197"/>
      <c r="CS2085" s="197"/>
      <c r="CT2085" s="197"/>
      <c r="CU2085" s="197"/>
      <c r="CV2085" s="197"/>
      <c r="CW2085" s="197"/>
      <c r="CX2085" s="959"/>
      <c r="CY2085" s="959"/>
      <c r="CZ2085" s="959"/>
      <c r="DA2085" s="959"/>
      <c r="DB2085" s="959"/>
      <c r="DC2085" s="891">
        <v>7527</v>
      </c>
      <c r="DD2085" s="891" t="s">
        <v>341</v>
      </c>
      <c r="DE2085" s="891" t="s">
        <v>2808</v>
      </c>
      <c r="DF2085" s="891">
        <v>5</v>
      </c>
      <c r="DG2085" s="959"/>
      <c r="DH2085" s="959"/>
      <c r="ER2085" s="905">
        <v>7671</v>
      </c>
      <c r="ES2085" s="906" t="s">
        <v>578</v>
      </c>
      <c r="ET2085" s="2686">
        <v>9</v>
      </c>
      <c r="EV2085" s="985"/>
      <c r="EW2085" s="985"/>
      <c r="EX2085" s="387"/>
      <c r="EY2085" s="939"/>
      <c r="EZ2085" s="886"/>
    </row>
    <row r="2086" spans="88:156">
      <c r="CJ2086" s="197"/>
      <c r="CK2086" s="197"/>
      <c r="CL2086" s="197"/>
      <c r="CM2086" s="213"/>
      <c r="CN2086" s="213"/>
      <c r="CO2086" s="197"/>
      <c r="CP2086" s="197"/>
      <c r="CQ2086" s="197"/>
      <c r="CR2086" s="197"/>
      <c r="CS2086" s="197"/>
      <c r="CT2086" s="197"/>
      <c r="CU2086" s="197"/>
      <c r="CV2086" s="197"/>
      <c r="CW2086" s="197"/>
      <c r="CX2086" s="959"/>
      <c r="CY2086" s="959"/>
      <c r="CZ2086" s="959"/>
      <c r="DA2086" s="959"/>
      <c r="DB2086" s="959"/>
      <c r="DC2086" s="891">
        <v>7530</v>
      </c>
      <c r="DD2086" s="891" t="s">
        <v>342</v>
      </c>
      <c r="DE2086" s="891" t="s">
        <v>421</v>
      </c>
      <c r="DF2086" s="891">
        <v>5</v>
      </c>
      <c r="DG2086" s="959"/>
      <c r="DH2086" s="959"/>
      <c r="ER2086" s="905">
        <v>7672</v>
      </c>
      <c r="ES2086" s="906" t="s">
        <v>4510</v>
      </c>
      <c r="ET2086" s="2686">
        <v>9</v>
      </c>
      <c r="EV2086" s="985"/>
      <c r="EW2086" s="985"/>
      <c r="EX2086" s="387"/>
      <c r="EY2086" s="939"/>
      <c r="EZ2086" s="886"/>
    </row>
    <row r="2087" spans="88:156">
      <c r="CJ2087" s="197"/>
      <c r="CK2087" s="197"/>
      <c r="CL2087" s="197"/>
      <c r="CM2087" s="213"/>
      <c r="CN2087" s="213"/>
      <c r="CO2087" s="197"/>
      <c r="CP2087" s="197"/>
      <c r="CQ2087" s="197"/>
      <c r="CR2087" s="197"/>
      <c r="CS2087" s="197"/>
      <c r="CT2087" s="197"/>
      <c r="CU2087" s="197"/>
      <c r="CV2087" s="197"/>
      <c r="CW2087" s="197"/>
      <c r="CX2087" s="959"/>
      <c r="CY2087" s="959"/>
      <c r="CZ2087" s="959"/>
      <c r="DA2087" s="959"/>
      <c r="DB2087" s="959"/>
      <c r="DC2087" s="891">
        <v>7531</v>
      </c>
      <c r="DD2087" s="891" t="s">
        <v>343</v>
      </c>
      <c r="DE2087" s="891" t="s">
        <v>419</v>
      </c>
      <c r="DF2087" s="891">
        <v>5</v>
      </c>
      <c r="DG2087" s="959"/>
      <c r="DH2087" s="959"/>
      <c r="ER2087" s="905">
        <v>7673</v>
      </c>
      <c r="ES2087" s="906" t="s">
        <v>579</v>
      </c>
      <c r="ET2087" s="2686">
        <v>4</v>
      </c>
      <c r="EV2087" s="985"/>
      <c r="EW2087" s="985"/>
      <c r="EX2087" s="387"/>
      <c r="EY2087" s="939"/>
      <c r="EZ2087" s="886"/>
    </row>
    <row r="2088" spans="88:156">
      <c r="CJ2088" s="197"/>
      <c r="CK2088" s="197"/>
      <c r="CL2088" s="197"/>
      <c r="CM2088" s="213"/>
      <c r="CN2088" s="213"/>
      <c r="CO2088" s="197"/>
      <c r="CP2088" s="197"/>
      <c r="CQ2088" s="197"/>
      <c r="CR2088" s="197"/>
      <c r="CS2088" s="197"/>
      <c r="CT2088" s="197"/>
      <c r="CU2088" s="197"/>
      <c r="CV2088" s="197"/>
      <c r="CW2088" s="197"/>
      <c r="CX2088" s="959"/>
      <c r="CY2088" s="959"/>
      <c r="CZ2088" s="959"/>
      <c r="DA2088" s="959"/>
      <c r="DB2088" s="959"/>
      <c r="DC2088" s="891">
        <v>7532</v>
      </c>
      <c r="DD2088" s="891" t="s">
        <v>344</v>
      </c>
      <c r="DE2088" s="891" t="s">
        <v>428</v>
      </c>
      <c r="DF2088" s="891">
        <v>4</v>
      </c>
      <c r="DG2088" s="959"/>
      <c r="DH2088" s="959"/>
      <c r="ER2088" s="905">
        <v>7673</v>
      </c>
      <c r="ES2088" s="906" t="s">
        <v>4511</v>
      </c>
      <c r="ET2088" s="2686">
        <v>4</v>
      </c>
      <c r="EV2088" s="985"/>
      <c r="EW2088" s="985"/>
      <c r="EX2088" s="387"/>
      <c r="EY2088" s="939"/>
      <c r="EZ2088" s="886"/>
    </row>
    <row r="2089" spans="88:156">
      <c r="CJ2089" s="197"/>
      <c r="CK2089" s="197"/>
      <c r="CL2089" s="197"/>
      <c r="CM2089" s="213"/>
      <c r="CN2089" s="213"/>
      <c r="CO2089" s="197"/>
      <c r="CP2089" s="197"/>
      <c r="CQ2089" s="197"/>
      <c r="CR2089" s="197"/>
      <c r="CS2089" s="197"/>
      <c r="CT2089" s="197"/>
      <c r="CU2089" s="197"/>
      <c r="CV2089" s="197"/>
      <c r="CW2089" s="197"/>
      <c r="CX2089" s="959"/>
      <c r="CY2089" s="959"/>
      <c r="CZ2089" s="959"/>
      <c r="DA2089" s="959"/>
      <c r="DB2089" s="959"/>
      <c r="DC2089" s="891">
        <v>7533</v>
      </c>
      <c r="DD2089" s="891" t="s">
        <v>345</v>
      </c>
      <c r="DE2089" s="891" t="s">
        <v>418</v>
      </c>
      <c r="DF2089" s="891">
        <v>4</v>
      </c>
      <c r="DG2089" s="959"/>
      <c r="DH2089" s="959"/>
      <c r="ER2089" s="905">
        <v>7675</v>
      </c>
      <c r="ES2089" s="906" t="s">
        <v>580</v>
      </c>
      <c r="ET2089" s="2686">
        <v>4</v>
      </c>
      <c r="EV2089" s="985"/>
      <c r="EW2089" s="985"/>
      <c r="EX2089" s="387"/>
      <c r="EY2089" s="939"/>
      <c r="EZ2089" s="886"/>
    </row>
    <row r="2090" spans="88:156">
      <c r="CJ2090" s="197"/>
      <c r="CK2090" s="197"/>
      <c r="CL2090" s="197"/>
      <c r="CM2090" s="213"/>
      <c r="CN2090" s="213"/>
      <c r="CO2090" s="197"/>
      <c r="CP2090" s="197"/>
      <c r="CQ2090" s="197"/>
      <c r="CR2090" s="197"/>
      <c r="CS2090" s="197"/>
      <c r="CT2090" s="197"/>
      <c r="CU2090" s="197"/>
      <c r="CV2090" s="197"/>
      <c r="CW2090" s="197"/>
      <c r="CX2090" s="959"/>
      <c r="CY2090" s="959"/>
      <c r="CZ2090" s="959"/>
      <c r="DA2090" s="959"/>
      <c r="DB2090" s="959"/>
      <c r="DC2090" s="891">
        <v>7534</v>
      </c>
      <c r="DD2090" s="891" t="s">
        <v>346</v>
      </c>
      <c r="DE2090" s="891" t="s">
        <v>406</v>
      </c>
      <c r="DF2090" s="891">
        <v>4</v>
      </c>
      <c r="DG2090" s="959"/>
      <c r="DH2090" s="959"/>
      <c r="ER2090" s="905">
        <v>7675</v>
      </c>
      <c r="ES2090" s="906" t="s">
        <v>581</v>
      </c>
      <c r="ET2090" s="2686">
        <v>4</v>
      </c>
      <c r="EV2090" s="985"/>
      <c r="EW2090" s="985"/>
      <c r="EX2090" s="387"/>
      <c r="EY2090" s="939"/>
      <c r="EZ2090" s="886"/>
    </row>
    <row r="2091" spans="88:156">
      <c r="CJ2091" s="197"/>
      <c r="CK2091" s="197"/>
      <c r="CL2091" s="197"/>
      <c r="CM2091" s="213"/>
      <c r="CN2091" s="213"/>
      <c r="CO2091" s="197"/>
      <c r="CP2091" s="197"/>
      <c r="CQ2091" s="197"/>
      <c r="CR2091" s="197"/>
      <c r="CS2091" s="197"/>
      <c r="CT2091" s="197"/>
      <c r="CU2091" s="197"/>
      <c r="CV2091" s="197"/>
      <c r="CW2091" s="197"/>
      <c r="CX2091" s="959"/>
      <c r="CY2091" s="959"/>
      <c r="CZ2091" s="959"/>
      <c r="DA2091" s="959"/>
      <c r="DB2091" s="959"/>
      <c r="DC2091" s="891">
        <v>7535</v>
      </c>
      <c r="DD2091" s="891" t="s">
        <v>347</v>
      </c>
      <c r="DE2091" s="891" t="s">
        <v>419</v>
      </c>
      <c r="DF2091" s="891">
        <v>5</v>
      </c>
      <c r="DG2091" s="959"/>
      <c r="DH2091" s="959"/>
      <c r="ER2091" s="905">
        <v>7677</v>
      </c>
      <c r="ES2091" s="906" t="s">
        <v>582</v>
      </c>
      <c r="ET2091" s="2686">
        <v>4</v>
      </c>
      <c r="EV2091" s="985"/>
      <c r="EW2091" s="985"/>
      <c r="EX2091" s="387"/>
      <c r="EY2091" s="939"/>
      <c r="EZ2091" s="886"/>
    </row>
    <row r="2092" spans="88:156">
      <c r="CJ2092" s="197"/>
      <c r="CK2092" s="197"/>
      <c r="CL2092" s="197"/>
      <c r="CM2092" s="213"/>
      <c r="CN2092" s="213"/>
      <c r="CO2092" s="197"/>
      <c r="CP2092" s="197"/>
      <c r="CQ2092" s="197"/>
      <c r="CR2092" s="197"/>
      <c r="CS2092" s="197"/>
      <c r="CT2092" s="197"/>
      <c r="CU2092" s="197"/>
      <c r="CV2092" s="197"/>
      <c r="CW2092" s="197"/>
      <c r="CX2092" s="959"/>
      <c r="CY2092" s="959"/>
      <c r="CZ2092" s="959"/>
      <c r="DA2092" s="959"/>
      <c r="DB2092" s="959"/>
      <c r="DC2092" s="891">
        <v>7536</v>
      </c>
      <c r="DD2092" s="891" t="s">
        <v>348</v>
      </c>
      <c r="DE2092" s="891" t="s">
        <v>402</v>
      </c>
      <c r="DF2092" s="891">
        <v>5</v>
      </c>
      <c r="DG2092" s="959"/>
      <c r="DH2092" s="959"/>
      <c r="ER2092" s="905">
        <v>7678</v>
      </c>
      <c r="ES2092" s="906" t="s">
        <v>583</v>
      </c>
      <c r="ET2092" s="2686">
        <v>9</v>
      </c>
      <c r="EV2092" s="985"/>
      <c r="EW2092" s="985"/>
      <c r="EX2092" s="387"/>
      <c r="EY2092" s="939"/>
      <c r="EZ2092" s="886"/>
    </row>
    <row r="2093" spans="88:156">
      <c r="CJ2093" s="197"/>
      <c r="CK2093" s="197"/>
      <c r="CL2093" s="197"/>
      <c r="CM2093" s="213"/>
      <c r="CN2093" s="213"/>
      <c r="CO2093" s="197"/>
      <c r="CP2093" s="197"/>
      <c r="CQ2093" s="197"/>
      <c r="CR2093" s="197"/>
      <c r="CS2093" s="197"/>
      <c r="CT2093" s="197"/>
      <c r="CU2093" s="197"/>
      <c r="CV2093" s="197"/>
      <c r="CW2093" s="197"/>
      <c r="CX2093" s="959"/>
      <c r="CY2093" s="959"/>
      <c r="CZ2093" s="959"/>
      <c r="DA2093" s="959"/>
      <c r="DB2093" s="959"/>
      <c r="DC2093" s="891">
        <v>7537</v>
      </c>
      <c r="DD2093" s="891" t="s">
        <v>349</v>
      </c>
      <c r="DE2093" s="891" t="s">
        <v>406</v>
      </c>
      <c r="DF2093" s="891">
        <v>6</v>
      </c>
      <c r="DG2093" s="959"/>
      <c r="DH2093" s="959"/>
      <c r="ER2093" s="905">
        <v>7678</v>
      </c>
      <c r="ES2093" s="906" t="s">
        <v>584</v>
      </c>
      <c r="ET2093" s="2686">
        <v>9</v>
      </c>
      <c r="EV2093" s="985"/>
      <c r="EW2093" s="985"/>
      <c r="EX2093" s="387"/>
      <c r="EY2093" s="939"/>
      <c r="EZ2093" s="886"/>
    </row>
    <row r="2094" spans="88:156">
      <c r="CJ2094" s="197"/>
      <c r="CK2094" s="197"/>
      <c r="CL2094" s="197"/>
      <c r="CM2094" s="213"/>
      <c r="CN2094" s="213"/>
      <c r="CO2094" s="197"/>
      <c r="CP2094" s="197"/>
      <c r="CQ2094" s="197"/>
      <c r="CR2094" s="197"/>
      <c r="CS2094" s="197"/>
      <c r="CT2094" s="197"/>
      <c r="CU2094" s="197"/>
      <c r="CV2094" s="197"/>
      <c r="CW2094" s="197"/>
      <c r="CX2094" s="959"/>
      <c r="CY2094" s="959"/>
      <c r="CZ2094" s="959"/>
      <c r="DA2094" s="959"/>
      <c r="DB2094" s="959"/>
      <c r="DC2094" s="891">
        <v>7538</v>
      </c>
      <c r="DD2094" s="891" t="s">
        <v>350</v>
      </c>
      <c r="DE2094" s="891" t="s">
        <v>432</v>
      </c>
      <c r="DF2094" s="891">
        <v>6</v>
      </c>
      <c r="DG2094" s="959"/>
      <c r="DH2094" s="959"/>
      <c r="ER2094" s="905">
        <v>7678</v>
      </c>
      <c r="ES2094" s="906" t="s">
        <v>1227</v>
      </c>
      <c r="ET2094" s="2686">
        <v>9</v>
      </c>
      <c r="EV2094" s="985"/>
      <c r="EW2094" s="985"/>
      <c r="EX2094" s="387"/>
      <c r="EY2094" s="939"/>
      <c r="EZ2094" s="886"/>
    </row>
    <row r="2095" spans="88:156">
      <c r="CJ2095" s="197"/>
      <c r="CK2095" s="197"/>
      <c r="CL2095" s="197"/>
      <c r="CM2095" s="213"/>
      <c r="CN2095" s="213"/>
      <c r="CO2095" s="197"/>
      <c r="CP2095" s="197"/>
      <c r="CQ2095" s="197"/>
      <c r="CR2095" s="197"/>
      <c r="CS2095" s="197"/>
      <c r="CT2095" s="197"/>
      <c r="CU2095" s="197"/>
      <c r="CV2095" s="197"/>
      <c r="CW2095" s="197"/>
      <c r="CX2095" s="959"/>
      <c r="CY2095" s="959"/>
      <c r="CZ2095" s="959"/>
      <c r="DA2095" s="959"/>
      <c r="DB2095" s="959"/>
      <c r="DC2095" s="891">
        <v>7539</v>
      </c>
      <c r="DD2095" s="891" t="s">
        <v>351</v>
      </c>
      <c r="DE2095" s="891" t="s">
        <v>419</v>
      </c>
      <c r="DF2095" s="891">
        <v>6</v>
      </c>
      <c r="DG2095" s="959"/>
      <c r="DH2095" s="959"/>
      <c r="ER2095" s="905">
        <v>7681</v>
      </c>
      <c r="ES2095" s="906" t="s">
        <v>585</v>
      </c>
      <c r="ET2095" s="2686">
        <v>9</v>
      </c>
      <c r="EV2095" s="985"/>
      <c r="EW2095" s="985"/>
      <c r="EX2095" s="387"/>
      <c r="EY2095" s="939"/>
      <c r="EZ2095" s="886"/>
    </row>
    <row r="2096" spans="88:156">
      <c r="CJ2096" s="197"/>
      <c r="CK2096" s="197"/>
      <c r="CL2096" s="197"/>
      <c r="CM2096" s="213"/>
      <c r="CN2096" s="213"/>
      <c r="CO2096" s="197"/>
      <c r="CP2096" s="197"/>
      <c r="CQ2096" s="197"/>
      <c r="CR2096" s="197"/>
      <c r="CS2096" s="197"/>
      <c r="CT2096" s="197"/>
      <c r="CU2096" s="197"/>
      <c r="CV2096" s="197"/>
      <c r="CW2096" s="197"/>
      <c r="CX2096" s="959"/>
      <c r="CY2096" s="959"/>
      <c r="CZ2096" s="959"/>
      <c r="DA2096" s="959"/>
      <c r="DB2096" s="959"/>
      <c r="DC2096" s="891">
        <v>7541</v>
      </c>
      <c r="DD2096" s="891" t="s">
        <v>352</v>
      </c>
      <c r="DE2096" s="891" t="s">
        <v>433</v>
      </c>
      <c r="DF2096" s="891">
        <v>6</v>
      </c>
      <c r="DG2096" s="959"/>
      <c r="DH2096" s="959"/>
      <c r="ER2096" s="905">
        <v>7681</v>
      </c>
      <c r="ES2096" s="906" t="s">
        <v>586</v>
      </c>
      <c r="ET2096" s="2686">
        <v>9</v>
      </c>
      <c r="EV2096" s="985"/>
      <c r="EW2096" s="985"/>
      <c r="EX2096" s="387"/>
      <c r="EY2096" s="939"/>
      <c r="EZ2096" s="886"/>
    </row>
    <row r="2097" spans="88:156">
      <c r="CJ2097" s="197"/>
      <c r="CK2097" s="197"/>
      <c r="CL2097" s="197"/>
      <c r="CM2097" s="213"/>
      <c r="CN2097" s="213"/>
      <c r="CO2097" s="197"/>
      <c r="CP2097" s="197"/>
      <c r="CQ2097" s="197"/>
      <c r="CR2097" s="197"/>
      <c r="CS2097" s="197"/>
      <c r="CT2097" s="197"/>
      <c r="CU2097" s="197"/>
      <c r="CV2097" s="197"/>
      <c r="CW2097" s="197"/>
      <c r="CX2097" s="959"/>
      <c r="CY2097" s="959"/>
      <c r="CZ2097" s="959"/>
      <c r="DA2097" s="959"/>
      <c r="DB2097" s="959"/>
      <c r="DC2097" s="891">
        <v>7542</v>
      </c>
      <c r="DD2097" s="891" t="s">
        <v>353</v>
      </c>
      <c r="DE2097" s="891" t="s">
        <v>410</v>
      </c>
      <c r="DF2097" s="891">
        <v>6</v>
      </c>
      <c r="DG2097" s="959"/>
      <c r="DH2097" s="959"/>
      <c r="ER2097" s="905">
        <v>7681</v>
      </c>
      <c r="ES2097" s="906" t="s">
        <v>1228</v>
      </c>
      <c r="ET2097" s="2686">
        <v>9</v>
      </c>
      <c r="EV2097" s="985"/>
      <c r="EW2097" s="985"/>
      <c r="EX2097" s="387"/>
      <c r="EY2097" s="939"/>
      <c r="EZ2097" s="886"/>
    </row>
    <row r="2098" spans="88:156">
      <c r="CJ2098" s="197"/>
      <c r="CK2098" s="197"/>
      <c r="CL2098" s="197"/>
      <c r="CM2098" s="213"/>
      <c r="CN2098" s="213"/>
      <c r="CO2098" s="197"/>
      <c r="CP2098" s="197"/>
      <c r="CQ2098" s="197"/>
      <c r="CR2098" s="197"/>
      <c r="CS2098" s="197"/>
      <c r="CT2098" s="197"/>
      <c r="CU2098" s="197"/>
      <c r="CV2098" s="197"/>
      <c r="CW2098" s="197"/>
      <c r="CX2098" s="959"/>
      <c r="CY2098" s="959"/>
      <c r="CZ2098" s="959"/>
      <c r="DA2098" s="959"/>
      <c r="DB2098" s="959"/>
      <c r="DC2098" s="891">
        <v>7543</v>
      </c>
      <c r="DD2098" s="891" t="s">
        <v>354</v>
      </c>
      <c r="DE2098" s="891" t="s">
        <v>410</v>
      </c>
      <c r="DF2098" s="891">
        <v>6</v>
      </c>
      <c r="DG2098" s="959"/>
      <c r="DH2098" s="959"/>
      <c r="ER2098" s="905">
        <v>7682</v>
      </c>
      <c r="ES2098" s="906" t="s">
        <v>1229</v>
      </c>
      <c r="ET2098" s="2686">
        <v>9</v>
      </c>
      <c r="EV2098" s="985"/>
      <c r="EW2098" s="985"/>
      <c r="EX2098" s="387"/>
      <c r="EY2098" s="939"/>
      <c r="EZ2098" s="886"/>
    </row>
    <row r="2099" spans="88:156">
      <c r="CJ2099" s="197"/>
      <c r="CK2099" s="197"/>
      <c r="CL2099" s="197"/>
      <c r="CM2099" s="213"/>
      <c r="CN2099" s="213"/>
      <c r="CO2099" s="197"/>
      <c r="CP2099" s="197"/>
      <c r="CQ2099" s="197"/>
      <c r="CR2099" s="197"/>
      <c r="CS2099" s="197"/>
      <c r="CT2099" s="197"/>
      <c r="CU2099" s="197"/>
      <c r="CV2099" s="197"/>
      <c r="CW2099" s="197"/>
      <c r="CX2099" s="959"/>
      <c r="CY2099" s="959"/>
      <c r="CZ2099" s="959"/>
      <c r="DA2099" s="959"/>
      <c r="DB2099" s="959"/>
      <c r="DC2099" s="891">
        <v>7544</v>
      </c>
      <c r="DD2099" s="891" t="s">
        <v>355</v>
      </c>
      <c r="DE2099" s="891" t="s">
        <v>417</v>
      </c>
      <c r="DF2099" s="891">
        <v>6</v>
      </c>
      <c r="DG2099" s="959"/>
      <c r="DH2099" s="959"/>
      <c r="ER2099" s="905">
        <v>7683</v>
      </c>
      <c r="ES2099" s="906" t="s">
        <v>587</v>
      </c>
      <c r="ET2099" s="2686">
        <v>9</v>
      </c>
      <c r="EV2099" s="985"/>
      <c r="EW2099" s="985"/>
      <c r="EX2099" s="387"/>
      <c r="EY2099" s="939"/>
      <c r="EZ2099" s="886"/>
    </row>
    <row r="2100" spans="88:156">
      <c r="CJ2100" s="197"/>
      <c r="CK2100" s="197"/>
      <c r="CL2100" s="197"/>
      <c r="CM2100" s="213"/>
      <c r="CN2100" s="213"/>
      <c r="CO2100" s="197"/>
      <c r="CP2100" s="197"/>
      <c r="CQ2100" s="197"/>
      <c r="CR2100" s="197"/>
      <c r="CS2100" s="197"/>
      <c r="CT2100" s="197"/>
      <c r="CU2100" s="197"/>
      <c r="CV2100" s="197"/>
      <c r="CW2100" s="197"/>
      <c r="CX2100" s="959"/>
      <c r="CY2100" s="959"/>
      <c r="CZ2100" s="959"/>
      <c r="DA2100" s="959"/>
      <c r="DB2100" s="959"/>
      <c r="DC2100" s="891">
        <v>7545</v>
      </c>
      <c r="DD2100" s="891" t="s">
        <v>356</v>
      </c>
      <c r="DE2100" s="891" t="s">
        <v>428</v>
      </c>
      <c r="DF2100" s="891">
        <v>6</v>
      </c>
      <c r="DG2100" s="959"/>
      <c r="DH2100" s="959"/>
      <c r="ER2100" s="905">
        <v>7683</v>
      </c>
      <c r="ES2100" s="906" t="s">
        <v>588</v>
      </c>
      <c r="ET2100" s="2686">
        <v>9</v>
      </c>
      <c r="EV2100" s="985"/>
      <c r="EW2100" s="985"/>
      <c r="EX2100" s="387"/>
      <c r="EY2100" s="939"/>
      <c r="EZ2100" s="886"/>
    </row>
    <row r="2101" spans="88:156">
      <c r="CJ2101" s="197"/>
      <c r="CK2101" s="197"/>
      <c r="CL2101" s="197"/>
      <c r="CM2101" s="213"/>
      <c r="CN2101" s="213"/>
      <c r="CO2101" s="197"/>
      <c r="CP2101" s="197"/>
      <c r="CQ2101" s="197"/>
      <c r="CR2101" s="197"/>
      <c r="CS2101" s="197"/>
      <c r="CT2101" s="197"/>
      <c r="CU2101" s="197"/>
      <c r="CV2101" s="197"/>
      <c r="CW2101" s="197"/>
      <c r="CX2101" s="959"/>
      <c r="CY2101" s="959"/>
      <c r="CZ2101" s="959"/>
      <c r="DA2101" s="959"/>
      <c r="DB2101" s="959"/>
      <c r="DC2101" s="891">
        <v>7551</v>
      </c>
      <c r="DD2101" s="891" t="s">
        <v>357</v>
      </c>
      <c r="DE2101" s="891" t="s">
        <v>2808</v>
      </c>
      <c r="DF2101" s="891">
        <v>6</v>
      </c>
      <c r="DG2101" s="959"/>
      <c r="DH2101" s="959"/>
      <c r="ER2101" s="905">
        <v>7683</v>
      </c>
      <c r="ES2101" s="906" t="s">
        <v>1230</v>
      </c>
      <c r="ET2101" s="2686">
        <v>9</v>
      </c>
      <c r="EV2101" s="985"/>
      <c r="EW2101" s="985"/>
      <c r="EX2101" s="387"/>
      <c r="EY2101" s="939"/>
      <c r="EZ2101" s="886"/>
    </row>
    <row r="2102" spans="88:156">
      <c r="CJ2102" s="197"/>
      <c r="CK2102" s="197"/>
      <c r="CL2102" s="197"/>
      <c r="CM2102" s="213"/>
      <c r="CN2102" s="213"/>
      <c r="CO2102" s="197"/>
      <c r="CP2102" s="197"/>
      <c r="CQ2102" s="197"/>
      <c r="CR2102" s="197"/>
      <c r="CS2102" s="197"/>
      <c r="CT2102" s="197"/>
      <c r="CU2102" s="197"/>
      <c r="CV2102" s="197"/>
      <c r="CW2102" s="197"/>
      <c r="CX2102" s="959"/>
      <c r="CY2102" s="959"/>
      <c r="CZ2102" s="959"/>
      <c r="DA2102" s="959"/>
      <c r="DB2102" s="959"/>
      <c r="DC2102" s="891">
        <v>7552</v>
      </c>
      <c r="DD2102" s="891" t="s">
        <v>358</v>
      </c>
      <c r="DE2102" s="891" t="s">
        <v>2808</v>
      </c>
      <c r="DF2102" s="891">
        <v>6</v>
      </c>
      <c r="DG2102" s="959"/>
      <c r="DH2102" s="959"/>
      <c r="ER2102" s="905">
        <v>7691</v>
      </c>
      <c r="ES2102" s="906" t="s">
        <v>1231</v>
      </c>
      <c r="ET2102" s="2686">
        <v>3</v>
      </c>
      <c r="EV2102" s="985"/>
      <c r="EW2102" s="985"/>
      <c r="EX2102" s="387"/>
      <c r="EY2102" s="939"/>
      <c r="EZ2102" s="886"/>
    </row>
    <row r="2103" spans="88:156">
      <c r="CJ2103" s="197"/>
      <c r="CK2103" s="197"/>
      <c r="CL2103" s="197"/>
      <c r="CM2103" s="213"/>
      <c r="CN2103" s="213"/>
      <c r="CO2103" s="197"/>
      <c r="CP2103" s="197"/>
      <c r="CQ2103" s="197"/>
      <c r="CR2103" s="197"/>
      <c r="CS2103" s="197"/>
      <c r="CT2103" s="197"/>
      <c r="CU2103" s="197"/>
      <c r="CV2103" s="197"/>
      <c r="CW2103" s="197"/>
      <c r="CX2103" s="959"/>
      <c r="CY2103" s="959"/>
      <c r="CZ2103" s="959"/>
      <c r="DA2103" s="959"/>
      <c r="DB2103" s="959"/>
      <c r="DC2103" s="891">
        <v>7553</v>
      </c>
      <c r="DD2103" s="891" t="s">
        <v>359</v>
      </c>
      <c r="DE2103" s="891" t="s">
        <v>410</v>
      </c>
      <c r="DF2103" s="891">
        <v>6</v>
      </c>
      <c r="DG2103" s="959"/>
      <c r="DH2103" s="959"/>
      <c r="ER2103" s="905">
        <v>7691</v>
      </c>
      <c r="ES2103" s="906" t="s">
        <v>377</v>
      </c>
      <c r="ET2103" s="2686">
        <v>3</v>
      </c>
      <c r="EV2103" s="985"/>
      <c r="EW2103" s="985"/>
      <c r="EX2103" s="387"/>
      <c r="EY2103" s="939"/>
      <c r="EZ2103" s="886"/>
    </row>
    <row r="2104" spans="88:156">
      <c r="CJ2104" s="197"/>
      <c r="CK2104" s="197"/>
      <c r="CL2104" s="197"/>
      <c r="CM2104" s="213"/>
      <c r="CN2104" s="213"/>
      <c r="CO2104" s="197"/>
      <c r="CP2104" s="197"/>
      <c r="CQ2104" s="197"/>
      <c r="CR2104" s="197"/>
      <c r="CS2104" s="197"/>
      <c r="CT2104" s="197"/>
      <c r="CU2104" s="197"/>
      <c r="CV2104" s="197"/>
      <c r="CW2104" s="197"/>
      <c r="CX2104" s="959"/>
      <c r="CY2104" s="959"/>
      <c r="CZ2104" s="959"/>
      <c r="DA2104" s="959"/>
      <c r="DB2104" s="959"/>
      <c r="DC2104" s="891">
        <v>7555</v>
      </c>
      <c r="DD2104" s="891" t="s">
        <v>360</v>
      </c>
      <c r="DE2104" s="891" t="s">
        <v>421</v>
      </c>
      <c r="DF2104" s="891">
        <v>6</v>
      </c>
      <c r="DG2104" s="959"/>
      <c r="DH2104" s="959"/>
      <c r="ER2104" s="905">
        <v>7693</v>
      </c>
      <c r="ES2104" s="906" t="s">
        <v>1232</v>
      </c>
      <c r="ET2104" s="2686">
        <v>3</v>
      </c>
      <c r="EV2104" s="985"/>
      <c r="EW2104" s="985"/>
      <c r="EX2104" s="387"/>
      <c r="EY2104" s="939"/>
      <c r="EZ2104" s="886"/>
    </row>
    <row r="2105" spans="88:156">
      <c r="CJ2105" s="197"/>
      <c r="CK2105" s="197"/>
      <c r="CL2105" s="197"/>
      <c r="CM2105" s="213"/>
      <c r="CN2105" s="213"/>
      <c r="CO2105" s="197"/>
      <c r="CP2105" s="197"/>
      <c r="CQ2105" s="197"/>
      <c r="CR2105" s="197"/>
      <c r="CS2105" s="197"/>
      <c r="CT2105" s="197"/>
      <c r="CU2105" s="197"/>
      <c r="CV2105" s="197"/>
      <c r="CW2105" s="197"/>
      <c r="CX2105" s="959"/>
      <c r="CY2105" s="959"/>
      <c r="CZ2105" s="959"/>
      <c r="DA2105" s="959"/>
      <c r="DB2105" s="959"/>
      <c r="DC2105" s="891">
        <v>7556</v>
      </c>
      <c r="DD2105" s="891" t="s">
        <v>361</v>
      </c>
      <c r="DE2105" s="891" t="s">
        <v>423</v>
      </c>
      <c r="DF2105" s="891">
        <v>6</v>
      </c>
      <c r="DG2105" s="959"/>
      <c r="DH2105" s="959"/>
      <c r="ER2105" s="905">
        <v>7693</v>
      </c>
      <c r="ES2105" s="906" t="s">
        <v>377</v>
      </c>
      <c r="ET2105" s="2686">
        <v>3</v>
      </c>
      <c r="EV2105" s="985"/>
      <c r="EW2105" s="985"/>
      <c r="EX2105" s="387"/>
      <c r="EY2105" s="939"/>
      <c r="EZ2105" s="886"/>
    </row>
    <row r="2106" spans="88:156">
      <c r="CJ2106" s="197"/>
      <c r="CK2106" s="197"/>
      <c r="CL2106" s="197"/>
      <c r="CM2106" s="213"/>
      <c r="CN2106" s="213"/>
      <c r="CO2106" s="197"/>
      <c r="CP2106" s="197"/>
      <c r="CQ2106" s="197"/>
      <c r="CR2106" s="197"/>
      <c r="CS2106" s="197"/>
      <c r="CT2106" s="197"/>
      <c r="CU2106" s="197"/>
      <c r="CV2106" s="197"/>
      <c r="CW2106" s="197"/>
      <c r="CX2106" s="959"/>
      <c r="CY2106" s="959"/>
      <c r="CZ2106" s="959"/>
      <c r="DA2106" s="959"/>
      <c r="DB2106" s="959"/>
      <c r="DC2106" s="891">
        <v>7557</v>
      </c>
      <c r="DD2106" s="891" t="s">
        <v>362</v>
      </c>
      <c r="DE2106" s="891" t="s">
        <v>406</v>
      </c>
      <c r="DF2106" s="891">
        <v>6</v>
      </c>
      <c r="DG2106" s="959"/>
      <c r="DH2106" s="959"/>
      <c r="ER2106" s="905">
        <v>7694</v>
      </c>
      <c r="ES2106" s="906" t="s">
        <v>589</v>
      </c>
      <c r="ET2106" s="2686">
        <v>4</v>
      </c>
      <c r="EV2106" s="985"/>
      <c r="EW2106" s="985"/>
      <c r="EX2106" s="387"/>
      <c r="EY2106" s="939"/>
      <c r="EZ2106" s="886"/>
    </row>
    <row r="2107" spans="88:156">
      <c r="CJ2107" s="197"/>
      <c r="CK2107" s="197"/>
      <c r="CL2107" s="197"/>
      <c r="CM2107" s="213"/>
      <c r="CN2107" s="213"/>
      <c r="CO2107" s="197"/>
      <c r="CP2107" s="197"/>
      <c r="CQ2107" s="197"/>
      <c r="CR2107" s="197"/>
      <c r="CS2107" s="197"/>
      <c r="CT2107" s="197"/>
      <c r="CU2107" s="197"/>
      <c r="CV2107" s="197"/>
      <c r="CW2107" s="197"/>
      <c r="CX2107" s="959"/>
      <c r="CY2107" s="959"/>
      <c r="CZ2107" s="959"/>
      <c r="DA2107" s="959"/>
      <c r="DB2107" s="959"/>
      <c r="DC2107" s="891">
        <v>7561</v>
      </c>
      <c r="DD2107" s="891" t="s">
        <v>363</v>
      </c>
      <c r="DE2107" s="891" t="s">
        <v>412</v>
      </c>
      <c r="DF2107" s="891">
        <v>6</v>
      </c>
      <c r="DG2107" s="959"/>
      <c r="DH2107" s="959"/>
      <c r="ER2107" s="905">
        <v>7695</v>
      </c>
      <c r="ES2107" s="906" t="s">
        <v>590</v>
      </c>
      <c r="ET2107" s="2686">
        <v>9</v>
      </c>
      <c r="EV2107" s="985"/>
      <c r="EW2107" s="985"/>
      <c r="EX2107" s="387"/>
      <c r="EY2107" s="939"/>
      <c r="EZ2107" s="886"/>
    </row>
    <row r="2108" spans="88:156">
      <c r="CJ2108" s="197"/>
      <c r="CK2108" s="197"/>
      <c r="CL2108" s="197"/>
      <c r="CM2108" s="213"/>
      <c r="CN2108" s="213"/>
      <c r="CO2108" s="197"/>
      <c r="CP2108" s="197"/>
      <c r="CQ2108" s="197"/>
      <c r="CR2108" s="197"/>
      <c r="CS2108" s="197"/>
      <c r="CT2108" s="197"/>
      <c r="CU2108" s="197"/>
      <c r="CV2108" s="197"/>
      <c r="CW2108" s="197"/>
      <c r="CX2108" s="959"/>
      <c r="CY2108" s="959"/>
      <c r="CZ2108" s="959"/>
      <c r="DA2108" s="959"/>
      <c r="DB2108" s="959"/>
      <c r="DC2108" s="891">
        <v>7562</v>
      </c>
      <c r="DD2108" s="891" t="s">
        <v>364</v>
      </c>
      <c r="DE2108" s="891" t="s">
        <v>427</v>
      </c>
      <c r="DF2108" s="891">
        <v>6</v>
      </c>
      <c r="DG2108" s="959"/>
      <c r="DH2108" s="959"/>
      <c r="ER2108" s="905">
        <v>7695</v>
      </c>
      <c r="ES2108" s="906" t="s">
        <v>1871</v>
      </c>
      <c r="ET2108" s="2686">
        <v>9</v>
      </c>
      <c r="EV2108" s="985"/>
      <c r="EW2108" s="985"/>
      <c r="EX2108" s="387"/>
      <c r="EY2108" s="939"/>
      <c r="EZ2108" s="886"/>
    </row>
    <row r="2109" spans="88:156">
      <c r="CJ2109" s="197"/>
      <c r="CK2109" s="197"/>
      <c r="CL2109" s="197"/>
      <c r="CM2109" s="213"/>
      <c r="CN2109" s="213"/>
      <c r="CO2109" s="197"/>
      <c r="CP2109" s="197"/>
      <c r="CQ2109" s="197"/>
      <c r="CR2109" s="197"/>
      <c r="CS2109" s="197"/>
      <c r="CT2109" s="197"/>
      <c r="CU2109" s="197"/>
      <c r="CV2109" s="197"/>
      <c r="CW2109" s="197"/>
      <c r="CX2109" s="959"/>
      <c r="CY2109" s="959"/>
      <c r="CZ2109" s="959"/>
      <c r="DA2109" s="959"/>
      <c r="DB2109" s="959"/>
      <c r="DC2109" s="891">
        <v>7563</v>
      </c>
      <c r="DD2109" s="891" t="s">
        <v>365</v>
      </c>
      <c r="DE2109" s="891" t="s">
        <v>435</v>
      </c>
      <c r="DF2109" s="891">
        <v>6</v>
      </c>
      <c r="DG2109" s="959"/>
      <c r="DH2109" s="959"/>
      <c r="ER2109" s="905">
        <v>7695</v>
      </c>
      <c r="ES2109" s="906" t="s">
        <v>1872</v>
      </c>
      <c r="ET2109" s="2686">
        <v>9</v>
      </c>
      <c r="EV2109" s="985"/>
      <c r="EW2109" s="985"/>
      <c r="EX2109" s="387"/>
      <c r="EY2109" s="939"/>
      <c r="EZ2109" s="886"/>
    </row>
    <row r="2110" spans="88:156">
      <c r="CJ2110" s="197"/>
      <c r="CK2110" s="197"/>
      <c r="CL2110" s="197"/>
      <c r="CM2110" s="213"/>
      <c r="CN2110" s="213"/>
      <c r="CO2110" s="197"/>
      <c r="CP2110" s="197"/>
      <c r="CQ2110" s="197"/>
      <c r="CR2110" s="197"/>
      <c r="CS2110" s="197"/>
      <c r="CT2110" s="197"/>
      <c r="CU2110" s="197"/>
      <c r="CV2110" s="197"/>
      <c r="CW2110" s="197"/>
      <c r="CX2110" s="959"/>
      <c r="CY2110" s="959"/>
      <c r="CZ2110" s="959"/>
      <c r="DA2110" s="959"/>
      <c r="DB2110" s="959"/>
      <c r="DC2110" s="891">
        <v>7564</v>
      </c>
      <c r="DD2110" s="891" t="s">
        <v>366</v>
      </c>
      <c r="DE2110" s="891" t="s">
        <v>417</v>
      </c>
      <c r="DF2110" s="891">
        <v>6</v>
      </c>
      <c r="DG2110" s="959"/>
      <c r="DH2110" s="959"/>
      <c r="ER2110" s="905">
        <v>7696</v>
      </c>
      <c r="ES2110" s="906" t="s">
        <v>591</v>
      </c>
      <c r="ET2110" s="2686">
        <v>9</v>
      </c>
      <c r="EV2110" s="985"/>
      <c r="EW2110" s="985"/>
      <c r="EX2110" s="387"/>
      <c r="EY2110" s="939"/>
      <c r="EZ2110" s="886"/>
    </row>
    <row r="2111" spans="88:156">
      <c r="CJ2111" s="197"/>
      <c r="CK2111" s="197"/>
      <c r="CL2111" s="197"/>
      <c r="CM2111" s="213"/>
      <c r="CN2111" s="213"/>
      <c r="CO2111" s="197"/>
      <c r="CP2111" s="197"/>
      <c r="CQ2111" s="197"/>
      <c r="CR2111" s="197"/>
      <c r="CS2111" s="197"/>
      <c r="CT2111" s="197"/>
      <c r="CU2111" s="197"/>
      <c r="CV2111" s="197"/>
      <c r="CW2111" s="197"/>
      <c r="CX2111" s="959"/>
      <c r="CY2111" s="959"/>
      <c r="CZ2111" s="959"/>
      <c r="DA2111" s="959"/>
      <c r="DB2111" s="959"/>
      <c r="DC2111" s="891">
        <v>7570</v>
      </c>
      <c r="DD2111" s="891" t="s">
        <v>367</v>
      </c>
      <c r="DE2111" s="891" t="s">
        <v>2807</v>
      </c>
      <c r="DF2111" s="891">
        <v>2</v>
      </c>
      <c r="DG2111" s="959"/>
      <c r="DH2111" s="959"/>
      <c r="ER2111" s="905">
        <v>7700</v>
      </c>
      <c r="ES2111" s="906" t="s">
        <v>1873</v>
      </c>
      <c r="ET2111" s="2686">
        <v>9</v>
      </c>
      <c r="EV2111" s="985"/>
      <c r="EW2111" s="985"/>
      <c r="EX2111" s="387"/>
      <c r="EY2111" s="939"/>
      <c r="EZ2111" s="886"/>
    </row>
    <row r="2112" spans="88:156">
      <c r="CJ2112" s="197"/>
      <c r="CK2112" s="197"/>
      <c r="CL2112" s="197"/>
      <c r="CM2112" s="213"/>
      <c r="CN2112" s="213"/>
      <c r="CO2112" s="197"/>
      <c r="CP2112" s="197"/>
      <c r="CQ2112" s="197"/>
      <c r="CR2112" s="197"/>
      <c r="CS2112" s="197"/>
      <c r="CT2112" s="197"/>
      <c r="CU2112" s="197"/>
      <c r="CV2112" s="197"/>
      <c r="CW2112" s="197"/>
      <c r="CX2112" s="959"/>
      <c r="CY2112" s="959"/>
      <c r="CZ2112" s="959"/>
      <c r="DA2112" s="959"/>
      <c r="DB2112" s="959"/>
      <c r="DC2112" s="891">
        <v>7581</v>
      </c>
      <c r="DD2112" s="891" t="s">
        <v>368</v>
      </c>
      <c r="DE2112" s="891" t="s">
        <v>406</v>
      </c>
      <c r="DF2112" s="891">
        <v>2</v>
      </c>
      <c r="DG2112" s="959"/>
      <c r="DH2112" s="959"/>
      <c r="ER2112" s="905">
        <v>7711</v>
      </c>
      <c r="ES2112" s="906" t="s">
        <v>1874</v>
      </c>
      <c r="ET2112" s="2686">
        <v>9</v>
      </c>
      <c r="EV2112" s="985"/>
      <c r="EW2112" s="985"/>
      <c r="EX2112" s="387"/>
      <c r="EY2112" s="939"/>
      <c r="EZ2112" s="886"/>
    </row>
    <row r="2113" spans="88:156">
      <c r="CJ2113" s="197"/>
      <c r="CK2113" s="197"/>
      <c r="CL2113" s="197"/>
      <c r="CM2113" s="213"/>
      <c r="CN2113" s="213"/>
      <c r="CO2113" s="197"/>
      <c r="CP2113" s="197"/>
      <c r="CQ2113" s="197"/>
      <c r="CR2113" s="197"/>
      <c r="CS2113" s="197"/>
      <c r="CT2113" s="197"/>
      <c r="CU2113" s="197"/>
      <c r="CV2113" s="197"/>
      <c r="CW2113" s="197"/>
      <c r="CX2113" s="959"/>
      <c r="CY2113" s="959"/>
      <c r="CZ2113" s="959"/>
      <c r="DA2113" s="959"/>
      <c r="DB2113" s="959"/>
      <c r="DC2113" s="891">
        <v>7582</v>
      </c>
      <c r="DD2113" s="891" t="s">
        <v>369</v>
      </c>
      <c r="DE2113" s="891" t="s">
        <v>428</v>
      </c>
      <c r="DF2113" s="891">
        <v>6</v>
      </c>
      <c r="DG2113" s="959"/>
      <c r="DH2113" s="959"/>
      <c r="ER2113" s="905">
        <v>7712</v>
      </c>
      <c r="ES2113" s="906" t="s">
        <v>1875</v>
      </c>
      <c r="ET2113" s="2686">
        <v>9</v>
      </c>
      <c r="EV2113" s="985"/>
      <c r="EW2113" s="985"/>
      <c r="EX2113" s="387"/>
      <c r="EY2113" s="939"/>
      <c r="EZ2113" s="886"/>
    </row>
    <row r="2114" spans="88:156">
      <c r="CJ2114" s="197"/>
      <c r="CK2114" s="197"/>
      <c r="CL2114" s="197"/>
      <c r="CM2114" s="213"/>
      <c r="CN2114" s="213"/>
      <c r="CO2114" s="197"/>
      <c r="CP2114" s="197"/>
      <c r="CQ2114" s="197"/>
      <c r="CR2114" s="197"/>
      <c r="CS2114" s="197"/>
      <c r="CT2114" s="197"/>
      <c r="CU2114" s="197"/>
      <c r="CV2114" s="197"/>
      <c r="CW2114" s="197"/>
      <c r="CX2114" s="959"/>
      <c r="CY2114" s="959"/>
      <c r="CZ2114" s="959"/>
      <c r="DA2114" s="959"/>
      <c r="DB2114" s="959"/>
      <c r="DC2114" s="891">
        <v>7584</v>
      </c>
      <c r="DD2114" s="891" t="s">
        <v>370</v>
      </c>
      <c r="DE2114" s="891" t="s">
        <v>428</v>
      </c>
      <c r="DF2114" s="891">
        <v>6</v>
      </c>
      <c r="DG2114" s="959"/>
      <c r="DH2114" s="959"/>
      <c r="ER2114" s="905">
        <v>7714</v>
      </c>
      <c r="ES2114" s="905" t="s">
        <v>592</v>
      </c>
      <c r="ET2114" s="2686">
        <v>9</v>
      </c>
      <c r="EV2114" s="985"/>
      <c r="EW2114" s="985"/>
      <c r="EX2114" s="387"/>
      <c r="EY2114" s="939"/>
      <c r="EZ2114" s="886"/>
    </row>
    <row r="2115" spans="88:156">
      <c r="CJ2115" s="197"/>
      <c r="CK2115" s="197"/>
      <c r="CL2115" s="197"/>
      <c r="CM2115" s="213"/>
      <c r="CN2115" s="213"/>
      <c r="CO2115" s="197"/>
      <c r="CP2115" s="197"/>
      <c r="CQ2115" s="197"/>
      <c r="CR2115" s="197"/>
      <c r="CS2115" s="197"/>
      <c r="CT2115" s="197"/>
      <c r="CU2115" s="197"/>
      <c r="CV2115" s="197"/>
      <c r="CW2115" s="197"/>
      <c r="CX2115" s="959"/>
      <c r="CY2115" s="959"/>
      <c r="CZ2115" s="959"/>
      <c r="DA2115" s="959"/>
      <c r="DB2115" s="959"/>
      <c r="DC2115" s="891">
        <v>7585</v>
      </c>
      <c r="DD2115" s="891" t="s">
        <v>371</v>
      </c>
      <c r="DE2115" s="891" t="s">
        <v>402</v>
      </c>
      <c r="DF2115" s="891">
        <v>6</v>
      </c>
      <c r="DG2115" s="959"/>
      <c r="DH2115" s="959"/>
      <c r="ER2115" s="905">
        <v>7715</v>
      </c>
      <c r="ES2115" s="905" t="s">
        <v>593</v>
      </c>
      <c r="ET2115" s="2686">
        <v>9</v>
      </c>
      <c r="EV2115" s="985"/>
      <c r="EW2115" s="985"/>
      <c r="EX2115" s="387"/>
      <c r="EY2115" s="939"/>
      <c r="EZ2115" s="886"/>
    </row>
    <row r="2116" spans="88:156">
      <c r="CJ2116" s="197"/>
      <c r="CK2116" s="197"/>
      <c r="CL2116" s="197"/>
      <c r="CM2116" s="213"/>
      <c r="CN2116" s="213"/>
      <c r="CO2116" s="197"/>
      <c r="CP2116" s="197"/>
      <c r="CQ2116" s="197"/>
      <c r="CR2116" s="197"/>
      <c r="CS2116" s="197"/>
      <c r="CT2116" s="197"/>
      <c r="CU2116" s="197"/>
      <c r="CV2116" s="197"/>
      <c r="CW2116" s="197"/>
      <c r="CX2116" s="959"/>
      <c r="CY2116" s="959"/>
      <c r="CZ2116" s="959"/>
      <c r="DA2116" s="959"/>
      <c r="DB2116" s="959"/>
      <c r="DC2116" s="891">
        <v>7586</v>
      </c>
      <c r="DD2116" s="891" t="s">
        <v>372</v>
      </c>
      <c r="DE2116" s="891" t="s">
        <v>423</v>
      </c>
      <c r="DF2116" s="891">
        <v>6</v>
      </c>
      <c r="DG2116" s="959"/>
      <c r="DH2116" s="959"/>
      <c r="ER2116" s="905">
        <v>7716</v>
      </c>
      <c r="ES2116" s="906" t="s">
        <v>1878</v>
      </c>
      <c r="ET2116" s="2686">
        <v>9</v>
      </c>
      <c r="EV2116" s="985"/>
      <c r="EW2116" s="985"/>
      <c r="EX2116" s="387"/>
      <c r="EY2116" s="939"/>
      <c r="EZ2116" s="886"/>
    </row>
    <row r="2117" spans="88:156">
      <c r="CJ2117" s="197"/>
      <c r="CK2117" s="197"/>
      <c r="CL2117" s="197"/>
      <c r="CM2117" s="213"/>
      <c r="CN2117" s="213"/>
      <c r="CO2117" s="197"/>
      <c r="CP2117" s="197"/>
      <c r="CQ2117" s="197"/>
      <c r="CR2117" s="197"/>
      <c r="CS2117" s="197"/>
      <c r="CT2117" s="197"/>
      <c r="CU2117" s="197"/>
      <c r="CV2117" s="197"/>
      <c r="CW2117" s="197"/>
      <c r="CX2117" s="959"/>
      <c r="CY2117" s="959"/>
      <c r="CZ2117" s="959"/>
      <c r="DA2117" s="959"/>
      <c r="DB2117" s="959"/>
      <c r="DC2117" s="891">
        <v>7587</v>
      </c>
      <c r="DD2117" s="891" t="s">
        <v>373</v>
      </c>
      <c r="DE2117" s="891" t="s">
        <v>433</v>
      </c>
      <c r="DF2117" s="891">
        <v>6</v>
      </c>
      <c r="DG2117" s="959"/>
      <c r="DH2117" s="959"/>
      <c r="ER2117" s="905">
        <v>7717</v>
      </c>
      <c r="ES2117" s="906" t="s">
        <v>1879</v>
      </c>
      <c r="ET2117" s="2686">
        <v>9</v>
      </c>
      <c r="EV2117" s="985"/>
      <c r="EW2117" s="985"/>
      <c r="EX2117" s="387"/>
      <c r="EY2117" s="939"/>
      <c r="EZ2117" s="886"/>
    </row>
    <row r="2118" spans="88:156">
      <c r="CJ2118" s="197"/>
      <c r="CK2118" s="197"/>
      <c r="CL2118" s="197"/>
      <c r="CM2118" s="213"/>
      <c r="CN2118" s="213"/>
      <c r="CO2118" s="197"/>
      <c r="CP2118" s="197"/>
      <c r="CQ2118" s="197"/>
      <c r="CR2118" s="197"/>
      <c r="CS2118" s="197"/>
      <c r="CT2118" s="197"/>
      <c r="CU2118" s="197"/>
      <c r="CV2118" s="197"/>
      <c r="CW2118" s="197"/>
      <c r="CX2118" s="959"/>
      <c r="CY2118" s="959"/>
      <c r="CZ2118" s="959"/>
      <c r="DA2118" s="959"/>
      <c r="DB2118" s="959"/>
      <c r="DC2118" s="891">
        <v>7588</v>
      </c>
      <c r="DD2118" s="891" t="s">
        <v>374</v>
      </c>
      <c r="DE2118" s="891" t="s">
        <v>406</v>
      </c>
      <c r="DF2118" s="891">
        <v>6</v>
      </c>
      <c r="DG2118" s="959"/>
      <c r="DH2118" s="959"/>
      <c r="ER2118" s="905">
        <v>7718</v>
      </c>
      <c r="ES2118" s="906" t="s">
        <v>1880</v>
      </c>
      <c r="ET2118" s="2686">
        <v>9</v>
      </c>
      <c r="EV2118" s="985"/>
      <c r="EW2118" s="985"/>
      <c r="EX2118" s="387"/>
      <c r="EY2118" s="939"/>
      <c r="EZ2118" s="886"/>
    </row>
    <row r="2119" spans="88:156">
      <c r="CJ2119" s="197"/>
      <c r="CK2119" s="197"/>
      <c r="CL2119" s="197"/>
      <c r="CM2119" s="213"/>
      <c r="CN2119" s="213"/>
      <c r="CO2119" s="197"/>
      <c r="CP2119" s="197"/>
      <c r="CQ2119" s="197"/>
      <c r="CR2119" s="197"/>
      <c r="CS2119" s="197"/>
      <c r="CT2119" s="197"/>
      <c r="CU2119" s="197"/>
      <c r="CV2119" s="197"/>
      <c r="CW2119" s="197"/>
      <c r="CX2119" s="959"/>
      <c r="CY2119" s="959"/>
      <c r="CZ2119" s="959"/>
      <c r="DA2119" s="959"/>
      <c r="DB2119" s="959"/>
      <c r="DC2119" s="891">
        <v>7589</v>
      </c>
      <c r="DD2119" s="891" t="s">
        <v>375</v>
      </c>
      <c r="DE2119" s="891" t="s">
        <v>431</v>
      </c>
      <c r="DF2119" s="891">
        <v>6</v>
      </c>
      <c r="DG2119" s="959"/>
      <c r="DH2119" s="959"/>
      <c r="ER2119" s="905">
        <v>7720</v>
      </c>
      <c r="ES2119" s="906" t="s">
        <v>594</v>
      </c>
      <c r="ET2119" s="2686">
        <v>4</v>
      </c>
      <c r="EV2119" s="985"/>
      <c r="EW2119" s="985"/>
      <c r="EX2119" s="387"/>
      <c r="EY2119" s="939"/>
      <c r="EZ2119" s="886"/>
    </row>
    <row r="2120" spans="88:156">
      <c r="CJ2120" s="197"/>
      <c r="CK2120" s="197"/>
      <c r="CL2120" s="197"/>
      <c r="CM2120" s="213"/>
      <c r="CN2120" s="213"/>
      <c r="CO2120" s="197"/>
      <c r="CP2120" s="197"/>
      <c r="CQ2120" s="197"/>
      <c r="CR2120" s="197"/>
      <c r="CS2120" s="197"/>
      <c r="CT2120" s="197"/>
      <c r="CU2120" s="197"/>
      <c r="CV2120" s="197"/>
      <c r="CW2120" s="197"/>
      <c r="CX2120" s="959"/>
      <c r="CY2120" s="959"/>
      <c r="CZ2120" s="959"/>
      <c r="DA2120" s="959"/>
      <c r="DB2120" s="959"/>
      <c r="DC2120" s="891">
        <v>7600</v>
      </c>
      <c r="DD2120" s="891" t="s">
        <v>376</v>
      </c>
      <c r="DE2120" s="891" t="s">
        <v>433</v>
      </c>
      <c r="DF2120" s="891">
        <v>4</v>
      </c>
      <c r="DG2120" s="959"/>
      <c r="DH2120" s="959"/>
      <c r="ER2120" s="905">
        <v>7720</v>
      </c>
      <c r="ES2120" s="906" t="s">
        <v>595</v>
      </c>
      <c r="ET2120" s="2686">
        <v>4</v>
      </c>
      <c r="EV2120" s="985"/>
      <c r="EW2120" s="985"/>
      <c r="EX2120" s="387"/>
      <c r="EY2120" s="939"/>
      <c r="EZ2120" s="886"/>
    </row>
    <row r="2121" spans="88:156">
      <c r="CJ2121" s="197"/>
      <c r="CK2121" s="197"/>
      <c r="CL2121" s="197"/>
      <c r="CM2121" s="213"/>
      <c r="CN2121" s="213"/>
      <c r="CO2121" s="197"/>
      <c r="CP2121" s="197"/>
      <c r="CQ2121" s="197"/>
      <c r="CR2121" s="197"/>
      <c r="CS2121" s="197"/>
      <c r="CT2121" s="197"/>
      <c r="CU2121" s="197"/>
      <c r="CV2121" s="197"/>
      <c r="CW2121" s="197"/>
      <c r="CX2121" s="959"/>
      <c r="CY2121" s="959"/>
      <c r="CZ2121" s="959"/>
      <c r="DA2121" s="959"/>
      <c r="DB2121" s="959"/>
      <c r="DC2121" s="891">
        <v>7621</v>
      </c>
      <c r="DD2121" s="891" t="s">
        <v>377</v>
      </c>
      <c r="DE2121" s="891" t="s">
        <v>406</v>
      </c>
      <c r="DF2121" s="891">
        <v>2</v>
      </c>
      <c r="DG2121" s="959"/>
      <c r="DH2121" s="959"/>
      <c r="ER2121" s="905">
        <v>7720</v>
      </c>
      <c r="ES2121" s="906" t="s">
        <v>596</v>
      </c>
      <c r="ET2121" s="2686">
        <v>4</v>
      </c>
      <c r="EV2121" s="985"/>
      <c r="EW2121" s="985"/>
      <c r="EX2121" s="387"/>
      <c r="EY2121" s="939"/>
      <c r="EZ2121" s="886"/>
    </row>
    <row r="2122" spans="88:156">
      <c r="CJ2122" s="197"/>
      <c r="CK2122" s="197"/>
      <c r="CL2122" s="197"/>
      <c r="CM2122" s="213"/>
      <c r="CN2122" s="213"/>
      <c r="CO2122" s="197"/>
      <c r="CP2122" s="197"/>
      <c r="CQ2122" s="197"/>
      <c r="CR2122" s="197"/>
      <c r="CS2122" s="197"/>
      <c r="CT2122" s="197"/>
      <c r="CU2122" s="197"/>
      <c r="CV2122" s="197"/>
      <c r="CW2122" s="197"/>
      <c r="CX2122" s="959"/>
      <c r="CY2122" s="959"/>
      <c r="CZ2122" s="959"/>
      <c r="DA2122" s="959"/>
      <c r="DB2122" s="959"/>
      <c r="DC2122" s="891">
        <v>7622</v>
      </c>
      <c r="DD2122" s="891" t="s">
        <v>377</v>
      </c>
      <c r="DE2122" s="891" t="s">
        <v>423</v>
      </c>
      <c r="DF2122" s="891">
        <v>4</v>
      </c>
      <c r="DG2122" s="959"/>
      <c r="DH2122" s="959"/>
      <c r="ER2122" s="905">
        <v>7720</v>
      </c>
      <c r="ES2122" s="906" t="s">
        <v>597</v>
      </c>
      <c r="ET2122" s="2686">
        <v>4</v>
      </c>
      <c r="EV2122" s="985"/>
      <c r="EW2122" s="985"/>
      <c r="EX2122" s="387"/>
      <c r="EY2122" s="939"/>
      <c r="EZ2122" s="886"/>
    </row>
    <row r="2123" spans="88:156">
      <c r="CJ2123" s="197"/>
      <c r="CK2123" s="197"/>
      <c r="CL2123" s="197"/>
      <c r="CM2123" s="213"/>
      <c r="CN2123" s="213"/>
      <c r="CO2123" s="197"/>
      <c r="CP2123" s="197"/>
      <c r="CQ2123" s="197"/>
      <c r="CR2123" s="197"/>
      <c r="CS2123" s="197"/>
      <c r="CT2123" s="197"/>
      <c r="CU2123" s="197"/>
      <c r="CV2123" s="197"/>
      <c r="CW2123" s="197"/>
      <c r="CX2123" s="959"/>
      <c r="CY2123" s="959"/>
      <c r="CZ2123" s="959"/>
      <c r="DA2123" s="959"/>
      <c r="DB2123" s="959"/>
      <c r="DC2123" s="891">
        <v>7623</v>
      </c>
      <c r="DD2123" s="891" t="s">
        <v>377</v>
      </c>
      <c r="DE2123" s="891" t="s">
        <v>432</v>
      </c>
      <c r="DF2123" s="891">
        <v>2</v>
      </c>
      <c r="DG2123" s="959"/>
      <c r="DH2123" s="959"/>
      <c r="ER2123" s="905">
        <v>7720</v>
      </c>
      <c r="ES2123" s="906" t="s">
        <v>1882</v>
      </c>
      <c r="ET2123" s="2686">
        <v>4</v>
      </c>
      <c r="EV2123" s="985"/>
      <c r="EW2123" s="985"/>
      <c r="EX2123" s="387"/>
      <c r="EY2123" s="939"/>
      <c r="EZ2123" s="886"/>
    </row>
    <row r="2124" spans="88:156">
      <c r="CJ2124" s="197"/>
      <c r="CK2124" s="197"/>
      <c r="CL2124" s="197"/>
      <c r="CM2124" s="213"/>
      <c r="CN2124" s="213"/>
      <c r="CO2124" s="197"/>
      <c r="CP2124" s="197"/>
      <c r="CQ2124" s="197"/>
      <c r="CR2124" s="197"/>
      <c r="CS2124" s="197"/>
      <c r="CT2124" s="197"/>
      <c r="CU2124" s="197"/>
      <c r="CV2124" s="197"/>
      <c r="CW2124" s="197"/>
      <c r="CX2124" s="959"/>
      <c r="CY2124" s="959"/>
      <c r="CZ2124" s="959"/>
      <c r="DA2124" s="959"/>
      <c r="DB2124" s="959"/>
      <c r="DC2124" s="891">
        <v>7624</v>
      </c>
      <c r="DD2124" s="891" t="s">
        <v>377</v>
      </c>
      <c r="DE2124" s="891" t="s">
        <v>2808</v>
      </c>
      <c r="DF2124" s="891">
        <v>2</v>
      </c>
      <c r="DG2124" s="959"/>
      <c r="DH2124" s="959"/>
      <c r="ER2124" s="905">
        <v>7723</v>
      </c>
      <c r="ES2124" s="906" t="s">
        <v>1883</v>
      </c>
      <c r="ET2124" s="2686">
        <v>9</v>
      </c>
      <c r="EV2124" s="985"/>
      <c r="EW2124" s="985"/>
      <c r="EX2124" s="387"/>
      <c r="EY2124" s="939"/>
      <c r="EZ2124" s="886"/>
    </row>
    <row r="2125" spans="88:156">
      <c r="CJ2125" s="197"/>
      <c r="CK2125" s="197"/>
      <c r="CL2125" s="197"/>
      <c r="CM2125" s="213"/>
      <c r="CN2125" s="213"/>
      <c r="CO2125" s="197"/>
      <c r="CP2125" s="197"/>
      <c r="CQ2125" s="197"/>
      <c r="CR2125" s="197"/>
      <c r="CS2125" s="197"/>
      <c r="CT2125" s="197"/>
      <c r="CU2125" s="197"/>
      <c r="CV2125" s="197"/>
      <c r="CW2125" s="197"/>
      <c r="CX2125" s="959"/>
      <c r="CY2125" s="959"/>
      <c r="CZ2125" s="959"/>
      <c r="DA2125" s="959"/>
      <c r="DB2125" s="959"/>
      <c r="DC2125" s="891">
        <v>7625</v>
      </c>
      <c r="DD2125" s="891" t="s">
        <v>377</v>
      </c>
      <c r="DE2125" s="891" t="s">
        <v>419</v>
      </c>
      <c r="DF2125" s="891">
        <v>1</v>
      </c>
      <c r="DG2125" s="959"/>
      <c r="DH2125" s="959"/>
      <c r="ER2125" s="905">
        <v>7724</v>
      </c>
      <c r="ES2125" s="906" t="s">
        <v>1884</v>
      </c>
      <c r="ET2125" s="2686">
        <v>9</v>
      </c>
      <c r="EV2125" s="985"/>
      <c r="EW2125" s="985"/>
      <c r="EX2125" s="387"/>
      <c r="EY2125" s="939"/>
      <c r="EZ2125" s="886"/>
    </row>
    <row r="2126" spans="88:156">
      <c r="CJ2126" s="197"/>
      <c r="CK2126" s="197"/>
      <c r="CL2126" s="197"/>
      <c r="CM2126" s="213"/>
      <c r="CN2126" s="213"/>
      <c r="CO2126" s="197"/>
      <c r="CP2126" s="197"/>
      <c r="CQ2126" s="197"/>
      <c r="CR2126" s="197"/>
      <c r="CS2126" s="197"/>
      <c r="CT2126" s="197"/>
      <c r="CU2126" s="197"/>
      <c r="CV2126" s="197"/>
      <c r="CW2126" s="197"/>
      <c r="CX2126" s="959"/>
      <c r="CY2126" s="959"/>
      <c r="CZ2126" s="959"/>
      <c r="DA2126" s="959"/>
      <c r="DB2126" s="959"/>
      <c r="DC2126" s="891">
        <v>7626</v>
      </c>
      <c r="DD2126" s="891" t="s">
        <v>377</v>
      </c>
      <c r="DE2126" s="891" t="s">
        <v>406</v>
      </c>
      <c r="DF2126" s="891">
        <v>2</v>
      </c>
      <c r="DG2126" s="959"/>
      <c r="DH2126" s="959"/>
      <c r="ER2126" s="905">
        <v>7725</v>
      </c>
      <c r="ES2126" s="906" t="s">
        <v>1885</v>
      </c>
      <c r="ET2126" s="2686">
        <v>9</v>
      </c>
      <c r="EV2126" s="985"/>
      <c r="EW2126" s="985"/>
      <c r="EX2126" s="387"/>
      <c r="EY2126" s="939"/>
      <c r="EZ2126" s="886"/>
    </row>
    <row r="2127" spans="88:156">
      <c r="CJ2127" s="197"/>
      <c r="CK2127" s="197"/>
      <c r="CL2127" s="197"/>
      <c r="CM2127" s="213"/>
      <c r="CN2127" s="213"/>
      <c r="CO2127" s="197"/>
      <c r="CP2127" s="197"/>
      <c r="CQ2127" s="197"/>
      <c r="CR2127" s="197"/>
      <c r="CS2127" s="197"/>
      <c r="CT2127" s="197"/>
      <c r="CU2127" s="197"/>
      <c r="CV2127" s="197"/>
      <c r="CW2127" s="197"/>
      <c r="CX2127" s="959"/>
      <c r="CY2127" s="959"/>
      <c r="CZ2127" s="959"/>
      <c r="DA2127" s="959"/>
      <c r="DB2127" s="959"/>
      <c r="DC2127" s="891">
        <v>7627</v>
      </c>
      <c r="DD2127" s="891" t="s">
        <v>377</v>
      </c>
      <c r="DE2127" s="891" t="s">
        <v>434</v>
      </c>
      <c r="DF2127" s="891">
        <v>4</v>
      </c>
      <c r="DG2127" s="959"/>
      <c r="DH2127" s="959"/>
      <c r="ER2127" s="905">
        <v>7726</v>
      </c>
      <c r="ES2127" s="906" t="s">
        <v>1886</v>
      </c>
      <c r="ET2127" s="2686">
        <v>9</v>
      </c>
      <c r="EV2127" s="985"/>
      <c r="EW2127" s="985"/>
      <c r="EX2127" s="387"/>
      <c r="EY2127" s="939"/>
      <c r="EZ2127" s="886"/>
    </row>
    <row r="2128" spans="88:156">
      <c r="CJ2128" s="197"/>
      <c r="CK2128" s="197"/>
      <c r="CL2128" s="197"/>
      <c r="CM2128" s="213"/>
      <c r="CN2128" s="213"/>
      <c r="CO2128" s="197"/>
      <c r="CP2128" s="197"/>
      <c r="CQ2128" s="197"/>
      <c r="CR2128" s="197"/>
      <c r="CS2128" s="197"/>
      <c r="CT2128" s="197"/>
      <c r="CU2128" s="197"/>
      <c r="CV2128" s="197"/>
      <c r="CW2128" s="197"/>
      <c r="CX2128" s="959"/>
      <c r="CY2128" s="959"/>
      <c r="CZ2128" s="959"/>
      <c r="DA2128" s="959"/>
      <c r="DB2128" s="959"/>
      <c r="DC2128" s="891">
        <v>7628</v>
      </c>
      <c r="DD2128" s="891" t="s">
        <v>377</v>
      </c>
      <c r="DE2128" s="891" t="s">
        <v>417</v>
      </c>
      <c r="DF2128" s="891">
        <v>4</v>
      </c>
      <c r="DG2128" s="959"/>
      <c r="DH2128" s="959"/>
      <c r="ER2128" s="905">
        <v>7727</v>
      </c>
      <c r="ES2128" s="906" t="s">
        <v>1887</v>
      </c>
      <c r="ET2128" s="2686">
        <v>9</v>
      </c>
      <c r="EV2128" s="985"/>
      <c r="EW2128" s="985"/>
      <c r="EX2128" s="387"/>
      <c r="EY2128" s="939"/>
      <c r="EZ2128" s="886"/>
    </row>
    <row r="2129" spans="88:156">
      <c r="CJ2129" s="197"/>
      <c r="CK2129" s="197"/>
      <c r="CL2129" s="197"/>
      <c r="CM2129" s="213"/>
      <c r="CN2129" s="213"/>
      <c r="CO2129" s="197"/>
      <c r="CP2129" s="197"/>
      <c r="CQ2129" s="197"/>
      <c r="CR2129" s="197"/>
      <c r="CS2129" s="197"/>
      <c r="CT2129" s="197"/>
      <c r="CU2129" s="197"/>
      <c r="CV2129" s="197"/>
      <c r="CW2129" s="197"/>
      <c r="CX2129" s="959"/>
      <c r="CY2129" s="959"/>
      <c r="CZ2129" s="959"/>
      <c r="DA2129" s="959"/>
      <c r="DB2129" s="959"/>
      <c r="DC2129" s="891">
        <v>7629</v>
      </c>
      <c r="DD2129" s="891" t="s">
        <v>377</v>
      </c>
      <c r="DE2129" s="891" t="s">
        <v>435</v>
      </c>
      <c r="DF2129" s="891">
        <v>4</v>
      </c>
      <c r="DG2129" s="959"/>
      <c r="DH2129" s="959"/>
      <c r="ER2129" s="905">
        <v>7728</v>
      </c>
      <c r="ES2129" s="906" t="s">
        <v>1889</v>
      </c>
      <c r="ET2129" s="2686">
        <v>9</v>
      </c>
      <c r="EV2129" s="985"/>
      <c r="EW2129" s="985"/>
      <c r="EX2129" s="387"/>
      <c r="EY2129" s="939"/>
      <c r="EZ2129" s="886"/>
    </row>
    <row r="2130" spans="88:156">
      <c r="CJ2130" s="197"/>
      <c r="CK2130" s="197"/>
      <c r="CL2130" s="197"/>
      <c r="CM2130" s="213"/>
      <c r="CN2130" s="213"/>
      <c r="CO2130" s="197"/>
      <c r="CP2130" s="197"/>
      <c r="CQ2130" s="197"/>
      <c r="CR2130" s="197"/>
      <c r="CS2130" s="197"/>
      <c r="CT2130" s="197"/>
      <c r="CU2130" s="197"/>
      <c r="CV2130" s="197"/>
      <c r="CW2130" s="197"/>
      <c r="CX2130" s="959"/>
      <c r="CY2130" s="959"/>
      <c r="CZ2130" s="959"/>
      <c r="DA2130" s="959"/>
      <c r="DB2130" s="959"/>
      <c r="DC2130" s="891">
        <v>7630</v>
      </c>
      <c r="DD2130" s="891" t="s">
        <v>377</v>
      </c>
      <c r="DE2130" s="891" t="s">
        <v>421</v>
      </c>
      <c r="DF2130" s="891">
        <v>4</v>
      </c>
      <c r="DG2130" s="959"/>
      <c r="DH2130" s="959"/>
      <c r="ER2130" s="905">
        <v>7728</v>
      </c>
      <c r="ES2130" s="906" t="s">
        <v>1888</v>
      </c>
      <c r="ET2130" s="2686">
        <v>9</v>
      </c>
      <c r="EV2130" s="985"/>
      <c r="EW2130" s="985"/>
      <c r="EX2130" s="387"/>
      <c r="EY2130" s="939"/>
      <c r="EZ2130" s="886"/>
    </row>
    <row r="2131" spans="88:156">
      <c r="CJ2131" s="197"/>
      <c r="CK2131" s="197"/>
      <c r="CL2131" s="197"/>
      <c r="CM2131" s="213"/>
      <c r="CN2131" s="213"/>
      <c r="CO2131" s="197"/>
      <c r="CP2131" s="197"/>
      <c r="CQ2131" s="197"/>
      <c r="CR2131" s="197"/>
      <c r="CS2131" s="197"/>
      <c r="CT2131" s="197"/>
      <c r="CU2131" s="197"/>
      <c r="CV2131" s="197"/>
      <c r="CW2131" s="197"/>
      <c r="CX2131" s="959"/>
      <c r="CY2131" s="959"/>
      <c r="CZ2131" s="959"/>
      <c r="DA2131" s="959"/>
      <c r="DB2131" s="959"/>
      <c r="DC2131" s="891">
        <v>7631</v>
      </c>
      <c r="DD2131" s="891" t="s">
        <v>377</v>
      </c>
      <c r="DE2131" s="891" t="s">
        <v>406</v>
      </c>
      <c r="DF2131" s="891">
        <v>4</v>
      </c>
      <c r="DG2131" s="959"/>
      <c r="DH2131" s="959"/>
      <c r="ER2131" s="905">
        <v>7731</v>
      </c>
      <c r="ES2131" s="906" t="s">
        <v>1890</v>
      </c>
      <c r="ET2131" s="2686">
        <v>9</v>
      </c>
      <c r="EV2131" s="985"/>
      <c r="EW2131" s="985"/>
      <c r="EX2131" s="387"/>
      <c r="EY2131" s="939"/>
      <c r="EZ2131" s="886"/>
    </row>
    <row r="2132" spans="88:156">
      <c r="CJ2132" s="197"/>
      <c r="CK2132" s="197"/>
      <c r="CL2132" s="197"/>
      <c r="CM2132" s="213"/>
      <c r="CN2132" s="213"/>
      <c r="CO2132" s="197"/>
      <c r="CP2132" s="197"/>
      <c r="CQ2132" s="197"/>
      <c r="CR2132" s="197"/>
      <c r="CS2132" s="197"/>
      <c r="CT2132" s="197"/>
      <c r="CU2132" s="197"/>
      <c r="CV2132" s="197"/>
      <c r="CW2132" s="197"/>
      <c r="CX2132" s="959"/>
      <c r="CY2132" s="959"/>
      <c r="CZ2132" s="959"/>
      <c r="DA2132" s="959"/>
      <c r="DB2132" s="959"/>
      <c r="DC2132" s="891">
        <v>7632</v>
      </c>
      <c r="DD2132" s="891" t="s">
        <v>377</v>
      </c>
      <c r="DE2132" s="891" t="s">
        <v>406</v>
      </c>
      <c r="DF2132" s="891">
        <v>2</v>
      </c>
      <c r="DG2132" s="959"/>
      <c r="DH2132" s="959"/>
      <c r="ER2132" s="905">
        <v>7732</v>
      </c>
      <c r="ES2132" s="906" t="s">
        <v>1891</v>
      </c>
      <c r="ET2132" s="2686">
        <v>9</v>
      </c>
      <c r="EV2132" s="985"/>
      <c r="EW2132" s="985"/>
      <c r="EX2132" s="387"/>
      <c r="EY2132" s="939"/>
      <c r="EZ2132" s="886"/>
    </row>
    <row r="2133" spans="88:156">
      <c r="CJ2133" s="197"/>
      <c r="CK2133" s="197"/>
      <c r="CL2133" s="197"/>
      <c r="CM2133" s="213"/>
      <c r="CN2133" s="213"/>
      <c r="CO2133" s="197"/>
      <c r="CP2133" s="197"/>
      <c r="CQ2133" s="197"/>
      <c r="CR2133" s="197"/>
      <c r="CS2133" s="197"/>
      <c r="CT2133" s="197"/>
      <c r="CU2133" s="197"/>
      <c r="CV2133" s="197"/>
      <c r="CW2133" s="197"/>
      <c r="CX2133" s="959"/>
      <c r="CY2133" s="959"/>
      <c r="CZ2133" s="959"/>
      <c r="DA2133" s="959"/>
      <c r="DB2133" s="959"/>
      <c r="DC2133" s="891">
        <v>7633</v>
      </c>
      <c r="DD2133" s="891" t="s">
        <v>377</v>
      </c>
      <c r="DE2133" s="891" t="s">
        <v>421</v>
      </c>
      <c r="DF2133" s="891">
        <v>4</v>
      </c>
      <c r="DG2133" s="959"/>
      <c r="DH2133" s="959"/>
      <c r="ER2133" s="905">
        <v>7733</v>
      </c>
      <c r="ES2133" s="906" t="s">
        <v>598</v>
      </c>
      <c r="ET2133" s="2686">
        <v>9</v>
      </c>
      <c r="EV2133" s="985"/>
      <c r="EW2133" s="985"/>
      <c r="EX2133" s="387"/>
      <c r="EY2133" s="939"/>
      <c r="EZ2133" s="886"/>
    </row>
    <row r="2134" spans="88:156">
      <c r="CJ2134" s="197"/>
      <c r="CK2134" s="197"/>
      <c r="CL2134" s="197"/>
      <c r="CM2134" s="213"/>
      <c r="CN2134" s="213"/>
      <c r="CO2134" s="197"/>
      <c r="CP2134" s="197"/>
      <c r="CQ2134" s="197"/>
      <c r="CR2134" s="197"/>
      <c r="CS2134" s="197"/>
      <c r="CT2134" s="197"/>
      <c r="CU2134" s="197"/>
      <c r="CV2134" s="197"/>
      <c r="CW2134" s="197"/>
      <c r="CX2134" s="959"/>
      <c r="CY2134" s="959"/>
      <c r="CZ2134" s="959"/>
      <c r="DA2134" s="959"/>
      <c r="DB2134" s="959"/>
      <c r="DC2134" s="891">
        <v>7634</v>
      </c>
      <c r="DD2134" s="891" t="s">
        <v>377</v>
      </c>
      <c r="DE2134" s="891" t="s">
        <v>2808</v>
      </c>
      <c r="DF2134" s="891">
        <v>4</v>
      </c>
      <c r="DG2134" s="959"/>
      <c r="DH2134" s="959"/>
      <c r="ER2134" s="905">
        <v>7733</v>
      </c>
      <c r="ES2134" s="906" t="s">
        <v>1892</v>
      </c>
      <c r="ET2134" s="2686">
        <v>9</v>
      </c>
      <c r="EV2134" s="985"/>
      <c r="EW2134" s="985"/>
      <c r="EX2134" s="387"/>
      <c r="EY2134" s="939"/>
      <c r="EZ2134" s="886"/>
    </row>
    <row r="2135" spans="88:156">
      <c r="CJ2135" s="197"/>
      <c r="CK2135" s="197"/>
      <c r="CL2135" s="197"/>
      <c r="CM2135" s="213"/>
      <c r="CN2135" s="213"/>
      <c r="CO2135" s="197"/>
      <c r="CP2135" s="197"/>
      <c r="CQ2135" s="197"/>
      <c r="CR2135" s="197"/>
      <c r="CS2135" s="197"/>
      <c r="CT2135" s="197"/>
      <c r="CU2135" s="197"/>
      <c r="CV2135" s="197"/>
      <c r="CW2135" s="197"/>
      <c r="CX2135" s="959"/>
      <c r="CY2135" s="959"/>
      <c r="CZ2135" s="959"/>
      <c r="DA2135" s="959"/>
      <c r="DB2135" s="959"/>
      <c r="DC2135" s="891">
        <v>7635</v>
      </c>
      <c r="DD2135" s="891" t="s">
        <v>377</v>
      </c>
      <c r="DE2135" s="891" t="s">
        <v>419</v>
      </c>
      <c r="DF2135" s="891">
        <v>1</v>
      </c>
      <c r="DG2135" s="959"/>
      <c r="DH2135" s="959"/>
      <c r="ER2135" s="905">
        <v>7735</v>
      </c>
      <c r="ES2135" s="906" t="s">
        <v>599</v>
      </c>
      <c r="ET2135" s="2686">
        <v>9</v>
      </c>
      <c r="EV2135" s="985"/>
      <c r="EW2135" s="985"/>
      <c r="EX2135" s="387"/>
      <c r="EY2135" s="939"/>
      <c r="EZ2135" s="886"/>
    </row>
    <row r="2136" spans="88:156">
      <c r="CJ2136" s="197"/>
      <c r="CK2136" s="197"/>
      <c r="CL2136" s="197"/>
      <c r="CM2136" s="213"/>
      <c r="CN2136" s="213"/>
      <c r="CO2136" s="197"/>
      <c r="CP2136" s="197"/>
      <c r="CQ2136" s="197"/>
      <c r="CR2136" s="197"/>
      <c r="CS2136" s="197"/>
      <c r="CT2136" s="197"/>
      <c r="CU2136" s="197"/>
      <c r="CV2136" s="197"/>
      <c r="CW2136" s="197"/>
      <c r="CX2136" s="959"/>
      <c r="CY2136" s="959"/>
      <c r="CZ2136" s="959"/>
      <c r="DA2136" s="959"/>
      <c r="DB2136" s="959"/>
      <c r="DC2136" s="891">
        <v>7636</v>
      </c>
      <c r="DD2136" s="891" t="s">
        <v>377</v>
      </c>
      <c r="DE2136" s="891" t="s">
        <v>406</v>
      </c>
      <c r="DF2136" s="891">
        <v>2</v>
      </c>
      <c r="DG2136" s="959"/>
      <c r="DH2136" s="959"/>
      <c r="ER2136" s="905">
        <v>7735</v>
      </c>
      <c r="ES2136" s="906" t="s">
        <v>600</v>
      </c>
      <c r="ET2136" s="2686">
        <v>9</v>
      </c>
      <c r="EV2136" s="985"/>
      <c r="EW2136" s="985"/>
      <c r="EX2136" s="387"/>
      <c r="EY2136" s="939"/>
      <c r="EZ2136" s="886"/>
    </row>
    <row r="2137" spans="88:156">
      <c r="CJ2137" s="197"/>
      <c r="CK2137" s="197"/>
      <c r="CL2137" s="197"/>
      <c r="CM2137" s="213"/>
      <c r="CN2137" s="213"/>
      <c r="CO2137" s="197"/>
      <c r="CP2137" s="197"/>
      <c r="CQ2137" s="197"/>
      <c r="CR2137" s="197"/>
      <c r="CS2137" s="197"/>
      <c r="CT2137" s="197"/>
      <c r="CU2137" s="197"/>
      <c r="CV2137" s="197"/>
      <c r="CW2137" s="197"/>
      <c r="CX2137" s="959"/>
      <c r="CY2137" s="959"/>
      <c r="CZ2137" s="959"/>
      <c r="DA2137" s="959"/>
      <c r="DB2137" s="959"/>
      <c r="DC2137" s="891">
        <v>7639</v>
      </c>
      <c r="DD2137" s="891" t="s">
        <v>378</v>
      </c>
      <c r="DE2137" s="891" t="s">
        <v>421</v>
      </c>
      <c r="DF2137" s="891">
        <v>2</v>
      </c>
      <c r="DG2137" s="959"/>
      <c r="DH2137" s="959"/>
      <c r="ER2137" s="905">
        <v>7735</v>
      </c>
      <c r="ES2137" s="906" t="s">
        <v>1893</v>
      </c>
      <c r="ET2137" s="2686">
        <v>9</v>
      </c>
      <c r="EV2137" s="985"/>
      <c r="EW2137" s="985"/>
      <c r="EX2137" s="387"/>
      <c r="EY2137" s="939"/>
      <c r="EZ2137" s="886"/>
    </row>
    <row r="2138" spans="88:156">
      <c r="CJ2138" s="197"/>
      <c r="CK2138" s="197"/>
      <c r="CL2138" s="197"/>
      <c r="CM2138" s="213"/>
      <c r="CN2138" s="213"/>
      <c r="CO2138" s="197"/>
      <c r="CP2138" s="197"/>
      <c r="CQ2138" s="197"/>
      <c r="CR2138" s="197"/>
      <c r="CS2138" s="197"/>
      <c r="CT2138" s="197"/>
      <c r="CU2138" s="197"/>
      <c r="CV2138" s="197"/>
      <c r="CW2138" s="197"/>
      <c r="CX2138" s="959"/>
      <c r="CY2138" s="959"/>
      <c r="CZ2138" s="959"/>
      <c r="DA2138" s="959"/>
      <c r="DB2138" s="959"/>
      <c r="DC2138" s="891">
        <v>7661</v>
      </c>
      <c r="DD2138" s="891" t="s">
        <v>379</v>
      </c>
      <c r="DE2138" s="891" t="s">
        <v>406</v>
      </c>
      <c r="DF2138" s="891">
        <v>5</v>
      </c>
      <c r="DG2138" s="959"/>
      <c r="DH2138" s="959"/>
      <c r="ER2138" s="905">
        <v>7737</v>
      </c>
      <c r="ES2138" s="906" t="s">
        <v>1894</v>
      </c>
      <c r="ET2138" s="2686">
        <v>9</v>
      </c>
      <c r="EV2138" s="985"/>
      <c r="EW2138" s="985"/>
      <c r="EX2138" s="387"/>
      <c r="EY2138" s="939"/>
      <c r="EZ2138" s="886"/>
    </row>
    <row r="2139" spans="88:156">
      <c r="CJ2139" s="197"/>
      <c r="CK2139" s="197"/>
      <c r="CL2139" s="197"/>
      <c r="CM2139" s="213"/>
      <c r="CN2139" s="213"/>
      <c r="CO2139" s="197"/>
      <c r="CP2139" s="197"/>
      <c r="CQ2139" s="197"/>
      <c r="CR2139" s="197"/>
      <c r="CS2139" s="197"/>
      <c r="CT2139" s="197"/>
      <c r="CU2139" s="197"/>
      <c r="CV2139" s="197"/>
      <c r="CW2139" s="197"/>
      <c r="CX2139" s="959"/>
      <c r="CY2139" s="959"/>
      <c r="CZ2139" s="959"/>
      <c r="DA2139" s="959"/>
      <c r="DB2139" s="959"/>
      <c r="DC2139" s="891">
        <v>7663</v>
      </c>
      <c r="DD2139" s="891" t="s">
        <v>380</v>
      </c>
      <c r="DE2139" s="891" t="s">
        <v>432</v>
      </c>
      <c r="DF2139" s="891">
        <v>4</v>
      </c>
      <c r="DG2139" s="959"/>
      <c r="DH2139" s="959"/>
      <c r="ER2139" s="905">
        <v>7741</v>
      </c>
      <c r="ES2139" s="906" t="s">
        <v>601</v>
      </c>
      <c r="ET2139" s="2686">
        <v>4</v>
      </c>
      <c r="EV2139" s="985"/>
      <c r="EW2139" s="985"/>
      <c r="EX2139" s="387"/>
      <c r="EY2139" s="939"/>
      <c r="EZ2139" s="886"/>
    </row>
    <row r="2140" spans="88:156">
      <c r="CJ2140" s="197"/>
      <c r="CK2140" s="197"/>
      <c r="CL2140" s="197"/>
      <c r="CM2140" s="213"/>
      <c r="CN2140" s="213"/>
      <c r="CO2140" s="197"/>
      <c r="CP2140" s="197"/>
      <c r="CQ2140" s="197"/>
      <c r="CR2140" s="197"/>
      <c r="CS2140" s="197"/>
      <c r="CT2140" s="197"/>
      <c r="CU2140" s="197"/>
      <c r="CV2140" s="197"/>
      <c r="CW2140" s="197"/>
      <c r="CX2140" s="959"/>
      <c r="CY2140" s="959"/>
      <c r="CZ2140" s="959"/>
      <c r="DA2140" s="959"/>
      <c r="DB2140" s="959"/>
      <c r="DC2140" s="891">
        <v>7664</v>
      </c>
      <c r="DD2140" s="891" t="s">
        <v>381</v>
      </c>
      <c r="DE2140" s="891" t="s">
        <v>432</v>
      </c>
      <c r="DF2140" s="891">
        <v>4</v>
      </c>
      <c r="DG2140" s="959"/>
      <c r="DH2140" s="959"/>
      <c r="ER2140" s="905">
        <v>7742</v>
      </c>
      <c r="ES2140" s="906" t="s">
        <v>1896</v>
      </c>
      <c r="ET2140" s="2686">
        <v>4</v>
      </c>
      <c r="EV2140" s="985"/>
      <c r="EW2140" s="985"/>
      <c r="EX2140" s="387"/>
      <c r="EY2140" s="939"/>
      <c r="EZ2140" s="886"/>
    </row>
    <row r="2141" spans="88:156">
      <c r="CJ2141" s="197"/>
      <c r="CK2141" s="197"/>
      <c r="CL2141" s="197"/>
      <c r="CM2141" s="213"/>
      <c r="CN2141" s="213"/>
      <c r="CO2141" s="197"/>
      <c r="CP2141" s="197"/>
      <c r="CQ2141" s="197"/>
      <c r="CR2141" s="197"/>
      <c r="CS2141" s="197"/>
      <c r="CT2141" s="197"/>
      <c r="CU2141" s="197"/>
      <c r="CV2141" s="197"/>
      <c r="CW2141" s="197"/>
      <c r="CX2141" s="959"/>
      <c r="CY2141" s="959"/>
      <c r="CZ2141" s="959"/>
      <c r="DA2141" s="959"/>
      <c r="DB2141" s="959"/>
      <c r="DC2141" s="891">
        <v>7666</v>
      </c>
      <c r="DD2141" s="891" t="s">
        <v>378</v>
      </c>
      <c r="DE2141" s="891" t="s">
        <v>421</v>
      </c>
      <c r="DF2141" s="891">
        <v>4</v>
      </c>
      <c r="DG2141" s="959"/>
      <c r="DH2141" s="959"/>
      <c r="ER2141" s="905">
        <v>7743</v>
      </c>
      <c r="ES2141" s="906" t="s">
        <v>1897</v>
      </c>
      <c r="ET2141" s="2686">
        <v>4</v>
      </c>
      <c r="EV2141" s="985"/>
      <c r="EW2141" s="985"/>
      <c r="EX2141" s="387"/>
      <c r="EY2141" s="939"/>
      <c r="EZ2141" s="886"/>
    </row>
    <row r="2142" spans="88:156">
      <c r="CJ2142" s="197"/>
      <c r="CK2142" s="197"/>
      <c r="CL2142" s="197"/>
      <c r="CM2142" s="213"/>
      <c r="CN2142" s="213"/>
      <c r="CO2142" s="197"/>
      <c r="CP2142" s="197"/>
      <c r="CQ2142" s="197"/>
      <c r="CR2142" s="197"/>
      <c r="CS2142" s="197"/>
      <c r="CT2142" s="197"/>
      <c r="CU2142" s="197"/>
      <c r="CV2142" s="197"/>
      <c r="CW2142" s="197"/>
      <c r="CX2142" s="959"/>
      <c r="CY2142" s="959"/>
      <c r="CZ2142" s="959"/>
      <c r="DA2142" s="959"/>
      <c r="DB2142" s="959"/>
      <c r="DC2142" s="891">
        <v>7668</v>
      </c>
      <c r="DD2142" s="891" t="s">
        <v>4508</v>
      </c>
      <c r="DE2142" s="891" t="s">
        <v>406</v>
      </c>
      <c r="DF2142" s="891">
        <v>2</v>
      </c>
      <c r="DG2142" s="959"/>
      <c r="DH2142" s="959"/>
      <c r="ER2142" s="905">
        <v>7744</v>
      </c>
      <c r="ES2142" s="906" t="s">
        <v>1898</v>
      </c>
      <c r="ET2142" s="2686">
        <v>9</v>
      </c>
      <c r="EV2142" s="985"/>
      <c r="EW2142" s="985"/>
      <c r="EX2142" s="387"/>
      <c r="EY2142" s="939"/>
      <c r="EZ2142" s="886"/>
    </row>
    <row r="2143" spans="88:156">
      <c r="CJ2143" s="197"/>
      <c r="CK2143" s="197"/>
      <c r="CL2143" s="197"/>
      <c r="CM2143" s="213"/>
      <c r="CN2143" s="213"/>
      <c r="CO2143" s="197"/>
      <c r="CP2143" s="197"/>
      <c r="CQ2143" s="197"/>
      <c r="CR2143" s="197"/>
      <c r="CS2143" s="197"/>
      <c r="CT2143" s="197"/>
      <c r="CU2143" s="197"/>
      <c r="CV2143" s="197"/>
      <c r="CW2143" s="197"/>
      <c r="CX2143" s="959"/>
      <c r="CY2143" s="959"/>
      <c r="CZ2143" s="959"/>
      <c r="DA2143" s="959"/>
      <c r="DB2143" s="959"/>
      <c r="DC2143" s="891">
        <v>7671</v>
      </c>
      <c r="DD2143" s="891" t="s">
        <v>4509</v>
      </c>
      <c r="DE2143" s="891" t="s">
        <v>418</v>
      </c>
      <c r="DF2143" s="891">
        <v>4</v>
      </c>
      <c r="DG2143" s="959"/>
      <c r="DH2143" s="959"/>
      <c r="ER2143" s="905">
        <v>7745</v>
      </c>
      <c r="ES2143" s="906" t="s">
        <v>602</v>
      </c>
      <c r="ET2143" s="2686">
        <v>9</v>
      </c>
      <c r="EV2143" s="985"/>
      <c r="EW2143" s="985"/>
      <c r="EX2143" s="387"/>
      <c r="EY2143" s="939"/>
      <c r="EZ2143" s="886"/>
    </row>
    <row r="2144" spans="88:156">
      <c r="CJ2144" s="197"/>
      <c r="CK2144" s="197"/>
      <c r="CL2144" s="197"/>
      <c r="CM2144" s="213"/>
      <c r="CN2144" s="213"/>
      <c r="CO2144" s="197"/>
      <c r="CP2144" s="197"/>
      <c r="CQ2144" s="197"/>
      <c r="CR2144" s="197"/>
      <c r="CS2144" s="197"/>
      <c r="CT2144" s="197"/>
      <c r="CU2144" s="197"/>
      <c r="CV2144" s="197"/>
      <c r="CW2144" s="197"/>
      <c r="CX2144" s="959"/>
      <c r="CY2144" s="959"/>
      <c r="CZ2144" s="959"/>
      <c r="DA2144" s="959"/>
      <c r="DB2144" s="959"/>
      <c r="DC2144" s="891">
        <v>7672</v>
      </c>
      <c r="DD2144" s="891" t="s">
        <v>4510</v>
      </c>
      <c r="DE2144" s="891" t="s">
        <v>406</v>
      </c>
      <c r="DF2144" s="891">
        <v>5</v>
      </c>
      <c r="DG2144" s="959"/>
      <c r="DH2144" s="959"/>
      <c r="ER2144" s="905">
        <v>7745</v>
      </c>
      <c r="ES2144" s="906" t="s">
        <v>1899</v>
      </c>
      <c r="ET2144" s="2686">
        <v>9</v>
      </c>
      <c r="EV2144" s="985"/>
      <c r="EW2144" s="985"/>
      <c r="EX2144" s="387"/>
      <c r="EY2144" s="939"/>
      <c r="EZ2144" s="886"/>
    </row>
    <row r="2145" spans="88:156">
      <c r="CJ2145" s="197"/>
      <c r="CK2145" s="197"/>
      <c r="CL2145" s="197"/>
      <c r="CM2145" s="213"/>
      <c r="CN2145" s="213"/>
      <c r="CO2145" s="197"/>
      <c r="CP2145" s="197"/>
      <c r="CQ2145" s="197"/>
      <c r="CR2145" s="197"/>
      <c r="CS2145" s="197"/>
      <c r="CT2145" s="197"/>
      <c r="CU2145" s="197"/>
      <c r="CV2145" s="197"/>
      <c r="CW2145" s="197"/>
      <c r="CX2145" s="959"/>
      <c r="CY2145" s="959"/>
      <c r="CZ2145" s="959"/>
      <c r="DA2145" s="959"/>
      <c r="DB2145" s="959"/>
      <c r="DC2145" s="891">
        <v>7673</v>
      </c>
      <c r="DD2145" s="891" t="s">
        <v>4511</v>
      </c>
      <c r="DE2145" s="891" t="s">
        <v>418</v>
      </c>
      <c r="DF2145" s="891">
        <v>4</v>
      </c>
      <c r="DG2145" s="959"/>
      <c r="DH2145" s="959"/>
      <c r="ER2145" s="905">
        <v>7747</v>
      </c>
      <c r="ES2145" s="906" t="s">
        <v>603</v>
      </c>
      <c r="ET2145" s="2686">
        <v>9</v>
      </c>
      <c r="EV2145" s="985"/>
      <c r="EW2145" s="985"/>
      <c r="EX2145" s="387"/>
      <c r="EY2145" s="939"/>
      <c r="EZ2145" s="886"/>
    </row>
    <row r="2146" spans="88:156">
      <c r="CJ2146" s="197"/>
      <c r="CK2146" s="197"/>
      <c r="CL2146" s="197"/>
      <c r="CM2146" s="213"/>
      <c r="CN2146" s="213"/>
      <c r="CO2146" s="197"/>
      <c r="CP2146" s="197"/>
      <c r="CQ2146" s="197"/>
      <c r="CR2146" s="197"/>
      <c r="CS2146" s="197"/>
      <c r="CT2146" s="197"/>
      <c r="CU2146" s="197"/>
      <c r="CV2146" s="197"/>
      <c r="CW2146" s="197"/>
      <c r="CX2146" s="959"/>
      <c r="CY2146" s="959"/>
      <c r="CZ2146" s="959"/>
      <c r="DA2146" s="959"/>
      <c r="DB2146" s="959"/>
      <c r="DC2146" s="891">
        <v>7675</v>
      </c>
      <c r="DD2146" s="891" t="s">
        <v>1225</v>
      </c>
      <c r="DE2146" s="891" t="s">
        <v>412</v>
      </c>
      <c r="DF2146" s="891">
        <v>4</v>
      </c>
      <c r="DG2146" s="959"/>
      <c r="DH2146" s="959"/>
      <c r="ER2146" s="905">
        <v>7747</v>
      </c>
      <c r="ES2146" s="906" t="s">
        <v>1900</v>
      </c>
      <c r="ET2146" s="2686">
        <v>9</v>
      </c>
      <c r="EV2146" s="985"/>
      <c r="EW2146" s="985"/>
      <c r="EX2146" s="387"/>
      <c r="EY2146" s="939"/>
      <c r="EZ2146" s="886"/>
    </row>
    <row r="2147" spans="88:156">
      <c r="CJ2147" s="197"/>
      <c r="CK2147" s="197"/>
      <c r="CL2147" s="197"/>
      <c r="CM2147" s="213"/>
      <c r="CN2147" s="213"/>
      <c r="CO2147" s="197"/>
      <c r="CP2147" s="197"/>
      <c r="CQ2147" s="197"/>
      <c r="CR2147" s="197"/>
      <c r="CS2147" s="197"/>
      <c r="CT2147" s="197"/>
      <c r="CU2147" s="197"/>
      <c r="CV2147" s="197"/>
      <c r="CW2147" s="197"/>
      <c r="CX2147" s="959"/>
      <c r="CY2147" s="959"/>
      <c r="CZ2147" s="959"/>
      <c r="DA2147" s="959"/>
      <c r="DB2147" s="959"/>
      <c r="DC2147" s="891">
        <v>7677</v>
      </c>
      <c r="DD2147" s="891" t="s">
        <v>1226</v>
      </c>
      <c r="DE2147" s="891" t="s">
        <v>410</v>
      </c>
      <c r="DF2147" s="891">
        <v>4</v>
      </c>
      <c r="DG2147" s="959"/>
      <c r="DH2147" s="959"/>
      <c r="ER2147" s="905">
        <v>7751</v>
      </c>
      <c r="ES2147" s="906" t="s">
        <v>604</v>
      </c>
      <c r="ET2147" s="2686">
        <v>9</v>
      </c>
      <c r="EV2147" s="985"/>
      <c r="EW2147" s="985"/>
      <c r="EX2147" s="387"/>
      <c r="EY2147" s="939"/>
      <c r="EZ2147" s="886"/>
    </row>
    <row r="2148" spans="88:156">
      <c r="CJ2148" s="197"/>
      <c r="CK2148" s="197"/>
      <c r="CL2148" s="197"/>
      <c r="CM2148" s="213"/>
      <c r="CN2148" s="213"/>
      <c r="CO2148" s="197"/>
      <c r="CP2148" s="197"/>
      <c r="CQ2148" s="197"/>
      <c r="CR2148" s="197"/>
      <c r="CS2148" s="197"/>
      <c r="CT2148" s="197"/>
      <c r="CU2148" s="197"/>
      <c r="CV2148" s="197"/>
      <c r="CW2148" s="197"/>
      <c r="CX2148" s="959"/>
      <c r="CY2148" s="959"/>
      <c r="CZ2148" s="959"/>
      <c r="DA2148" s="959"/>
      <c r="DB2148" s="959"/>
      <c r="DC2148" s="891">
        <v>7678</v>
      </c>
      <c r="DD2148" s="891" t="s">
        <v>1227</v>
      </c>
      <c r="DE2148" s="891" t="s">
        <v>431</v>
      </c>
      <c r="DF2148" s="891">
        <v>4</v>
      </c>
      <c r="DG2148" s="959"/>
      <c r="DH2148" s="959"/>
      <c r="ER2148" s="905">
        <v>7751</v>
      </c>
      <c r="ES2148" s="906" t="s">
        <v>1901</v>
      </c>
      <c r="ET2148" s="2686">
        <v>9</v>
      </c>
      <c r="EV2148" s="985"/>
      <c r="EW2148" s="985"/>
      <c r="EX2148" s="387"/>
      <c r="EY2148" s="939"/>
      <c r="EZ2148" s="886"/>
    </row>
    <row r="2149" spans="88:156">
      <c r="CJ2149" s="197"/>
      <c r="CK2149" s="197"/>
      <c r="CL2149" s="197"/>
      <c r="CM2149" s="213"/>
      <c r="CN2149" s="213"/>
      <c r="CO2149" s="197"/>
      <c r="CP2149" s="197"/>
      <c r="CQ2149" s="197"/>
      <c r="CR2149" s="197"/>
      <c r="CS2149" s="197"/>
      <c r="CT2149" s="197"/>
      <c r="CU2149" s="197"/>
      <c r="CV2149" s="197"/>
      <c r="CW2149" s="197"/>
      <c r="CX2149" s="959"/>
      <c r="CY2149" s="959"/>
      <c r="CZ2149" s="959"/>
      <c r="DA2149" s="959"/>
      <c r="DB2149" s="959"/>
      <c r="DC2149" s="891">
        <v>7681</v>
      </c>
      <c r="DD2149" s="891" t="s">
        <v>1228</v>
      </c>
      <c r="DE2149" s="891" t="s">
        <v>431</v>
      </c>
      <c r="DF2149" s="891">
        <v>4</v>
      </c>
      <c r="DG2149" s="959"/>
      <c r="DH2149" s="959"/>
      <c r="ER2149" s="905">
        <v>7752</v>
      </c>
      <c r="ES2149" s="906" t="s">
        <v>1902</v>
      </c>
      <c r="ET2149" s="2686">
        <v>9</v>
      </c>
      <c r="EV2149" s="985"/>
      <c r="EW2149" s="985"/>
      <c r="EX2149" s="387"/>
      <c r="EY2149" s="939"/>
      <c r="EZ2149" s="886"/>
    </row>
    <row r="2150" spans="88:156">
      <c r="CJ2150" s="197"/>
      <c r="CK2150" s="197"/>
      <c r="CL2150" s="197"/>
      <c r="CM2150" s="213"/>
      <c r="CN2150" s="213"/>
      <c r="CO2150" s="197"/>
      <c r="CP2150" s="197"/>
      <c r="CQ2150" s="197"/>
      <c r="CR2150" s="197"/>
      <c r="CS2150" s="197"/>
      <c r="CT2150" s="197"/>
      <c r="CU2150" s="197"/>
      <c r="CV2150" s="197"/>
      <c r="CW2150" s="197"/>
      <c r="CX2150" s="959"/>
      <c r="CY2150" s="959"/>
      <c r="CZ2150" s="959"/>
      <c r="DA2150" s="959"/>
      <c r="DB2150" s="959"/>
      <c r="DC2150" s="891">
        <v>7682</v>
      </c>
      <c r="DD2150" s="891" t="s">
        <v>1229</v>
      </c>
      <c r="DE2150" s="891" t="s">
        <v>431</v>
      </c>
      <c r="DF2150" s="891">
        <v>4</v>
      </c>
      <c r="DG2150" s="959"/>
      <c r="DH2150" s="959"/>
      <c r="ER2150" s="905">
        <v>7753</v>
      </c>
      <c r="ES2150" s="906" t="s">
        <v>1903</v>
      </c>
      <c r="ET2150" s="2686">
        <v>9</v>
      </c>
      <c r="EV2150" s="985"/>
      <c r="EW2150" s="985"/>
      <c r="EX2150" s="387"/>
      <c r="EY2150" s="939"/>
      <c r="EZ2150" s="886"/>
    </row>
    <row r="2151" spans="88:156">
      <c r="CJ2151" s="197"/>
      <c r="CK2151" s="197"/>
      <c r="CL2151" s="197"/>
      <c r="CM2151" s="213"/>
      <c r="CN2151" s="213"/>
      <c r="CO2151" s="197"/>
      <c r="CP2151" s="197"/>
      <c r="CQ2151" s="197"/>
      <c r="CR2151" s="197"/>
      <c r="CS2151" s="197"/>
      <c r="CT2151" s="197"/>
      <c r="CU2151" s="197"/>
      <c r="CV2151" s="197"/>
      <c r="CW2151" s="197"/>
      <c r="CX2151" s="959"/>
      <c r="CY2151" s="959"/>
      <c r="CZ2151" s="959"/>
      <c r="DA2151" s="959"/>
      <c r="DB2151" s="959"/>
      <c r="DC2151" s="891">
        <v>7683</v>
      </c>
      <c r="DD2151" s="891" t="s">
        <v>1230</v>
      </c>
      <c r="DE2151" s="891" t="s">
        <v>419</v>
      </c>
      <c r="DF2151" s="891">
        <v>5</v>
      </c>
      <c r="DG2151" s="959"/>
      <c r="DH2151" s="959"/>
      <c r="ER2151" s="905">
        <v>7754</v>
      </c>
      <c r="ES2151" s="906" t="s">
        <v>1904</v>
      </c>
      <c r="ET2151" s="2686">
        <v>9</v>
      </c>
      <c r="EV2151" s="985"/>
      <c r="EW2151" s="985"/>
      <c r="EX2151" s="387"/>
      <c r="EY2151" s="939"/>
      <c r="EZ2151" s="886"/>
    </row>
    <row r="2152" spans="88:156">
      <c r="CJ2152" s="197"/>
      <c r="CK2152" s="197"/>
      <c r="CL2152" s="197"/>
      <c r="CM2152" s="213"/>
      <c r="CN2152" s="213"/>
      <c r="CO2152" s="197"/>
      <c r="CP2152" s="197"/>
      <c r="CQ2152" s="197"/>
      <c r="CR2152" s="197"/>
      <c r="CS2152" s="197"/>
      <c r="CT2152" s="197"/>
      <c r="CU2152" s="197"/>
      <c r="CV2152" s="197"/>
      <c r="CW2152" s="197"/>
      <c r="CX2152" s="959"/>
      <c r="CY2152" s="959"/>
      <c r="CZ2152" s="959"/>
      <c r="DA2152" s="959"/>
      <c r="DB2152" s="959"/>
      <c r="DC2152" s="891">
        <v>7691</v>
      </c>
      <c r="DD2152" s="891" t="s">
        <v>1231</v>
      </c>
      <c r="DE2152" s="891" t="s">
        <v>412</v>
      </c>
      <c r="DF2152" s="891">
        <v>4</v>
      </c>
      <c r="DG2152" s="959"/>
      <c r="DH2152" s="959"/>
      <c r="ER2152" s="905">
        <v>7755</v>
      </c>
      <c r="ES2152" s="906" t="s">
        <v>1905</v>
      </c>
      <c r="ET2152" s="2686">
        <v>9</v>
      </c>
      <c r="EV2152" s="985"/>
      <c r="EW2152" s="985"/>
      <c r="EX2152" s="387"/>
      <c r="EY2152" s="939"/>
      <c r="EZ2152" s="886"/>
    </row>
    <row r="2153" spans="88:156">
      <c r="CJ2153" s="197"/>
      <c r="CK2153" s="197"/>
      <c r="CL2153" s="197"/>
      <c r="CM2153" s="213"/>
      <c r="CN2153" s="213"/>
      <c r="CO2153" s="197"/>
      <c r="CP2153" s="197"/>
      <c r="CQ2153" s="197"/>
      <c r="CR2153" s="197"/>
      <c r="CS2153" s="197"/>
      <c r="CT2153" s="197"/>
      <c r="CU2153" s="197"/>
      <c r="CV2153" s="197"/>
      <c r="CW2153" s="197"/>
      <c r="CX2153" s="959"/>
      <c r="CY2153" s="959"/>
      <c r="CZ2153" s="959"/>
      <c r="DA2153" s="959"/>
      <c r="DB2153" s="959"/>
      <c r="DC2153" s="891">
        <v>7693</v>
      </c>
      <c r="DD2153" s="891" t="s">
        <v>1232</v>
      </c>
      <c r="DE2153" s="891" t="s">
        <v>412</v>
      </c>
      <c r="DF2153" s="891">
        <v>4</v>
      </c>
      <c r="DG2153" s="959"/>
      <c r="DH2153" s="959"/>
      <c r="ER2153" s="905">
        <v>7756</v>
      </c>
      <c r="ES2153" s="906" t="s">
        <v>605</v>
      </c>
      <c r="ET2153" s="2686">
        <v>9</v>
      </c>
      <c r="EV2153" s="985"/>
      <c r="EW2153" s="985"/>
      <c r="EX2153" s="387"/>
      <c r="EY2153" s="939"/>
      <c r="EZ2153" s="886"/>
    </row>
    <row r="2154" spans="88:156">
      <c r="CJ2154" s="197"/>
      <c r="CK2154" s="197"/>
      <c r="CL2154" s="197"/>
      <c r="CM2154" s="213"/>
      <c r="CN2154" s="213"/>
      <c r="CO2154" s="197"/>
      <c r="CP2154" s="197"/>
      <c r="CQ2154" s="197"/>
      <c r="CR2154" s="197"/>
      <c r="CS2154" s="197"/>
      <c r="CT2154" s="197"/>
      <c r="CU2154" s="197"/>
      <c r="CV2154" s="197"/>
      <c r="CW2154" s="197"/>
      <c r="CX2154" s="959"/>
      <c r="CY2154" s="959"/>
      <c r="CZ2154" s="959"/>
      <c r="DA2154" s="959"/>
      <c r="DB2154" s="959"/>
      <c r="DC2154" s="891">
        <v>7694</v>
      </c>
      <c r="DD2154" s="891" t="s">
        <v>1233</v>
      </c>
      <c r="DE2154" s="891" t="s">
        <v>428</v>
      </c>
      <c r="DF2154" s="891">
        <v>5</v>
      </c>
      <c r="DG2154" s="959"/>
      <c r="DH2154" s="959"/>
      <c r="ER2154" s="905">
        <v>7756</v>
      </c>
      <c r="ES2154" s="906" t="s">
        <v>606</v>
      </c>
      <c r="ET2154" s="2686">
        <v>9</v>
      </c>
      <c r="EV2154" s="985"/>
      <c r="EW2154" s="985"/>
      <c r="EX2154" s="387"/>
      <c r="EY2154" s="939"/>
      <c r="EZ2154" s="886"/>
    </row>
    <row r="2155" spans="88:156">
      <c r="CJ2155" s="197"/>
      <c r="CK2155" s="197"/>
      <c r="CL2155" s="197"/>
      <c r="CM2155" s="213"/>
      <c r="CN2155" s="213"/>
      <c r="CO2155" s="197"/>
      <c r="CP2155" s="197"/>
      <c r="CQ2155" s="197"/>
      <c r="CR2155" s="197"/>
      <c r="CS2155" s="197"/>
      <c r="CT2155" s="197"/>
      <c r="CU2155" s="197"/>
      <c r="CV2155" s="197"/>
      <c r="CW2155" s="197"/>
      <c r="CX2155" s="959"/>
      <c r="CY2155" s="959"/>
      <c r="CZ2155" s="959"/>
      <c r="DA2155" s="959"/>
      <c r="DB2155" s="959"/>
      <c r="DC2155" s="891">
        <v>7695</v>
      </c>
      <c r="DD2155" s="891" t="s">
        <v>1871</v>
      </c>
      <c r="DE2155" s="891" t="s">
        <v>428</v>
      </c>
      <c r="DF2155" s="891">
        <v>5</v>
      </c>
      <c r="DG2155" s="959"/>
      <c r="DH2155" s="959"/>
      <c r="ER2155" s="905">
        <v>7756</v>
      </c>
      <c r="ES2155" s="906" t="s">
        <v>607</v>
      </c>
      <c r="ET2155" s="2686">
        <v>9</v>
      </c>
      <c r="EV2155" s="985"/>
      <c r="EW2155" s="985"/>
      <c r="EX2155" s="387"/>
      <c r="EY2155" s="939"/>
      <c r="EZ2155" s="886"/>
    </row>
    <row r="2156" spans="88:156">
      <c r="CJ2156" s="197"/>
      <c r="CK2156" s="197"/>
      <c r="CL2156" s="197"/>
      <c r="CM2156" s="213"/>
      <c r="CN2156" s="213"/>
      <c r="CO2156" s="197"/>
      <c r="CP2156" s="197"/>
      <c r="CQ2156" s="197"/>
      <c r="CR2156" s="197"/>
      <c r="CS2156" s="197"/>
      <c r="CT2156" s="197"/>
      <c r="CU2156" s="197"/>
      <c r="CV2156" s="197"/>
      <c r="CW2156" s="197"/>
      <c r="CX2156" s="959"/>
      <c r="CY2156" s="959"/>
      <c r="CZ2156" s="959"/>
      <c r="DA2156" s="959"/>
      <c r="DB2156" s="959"/>
      <c r="DC2156" s="891">
        <v>7696</v>
      </c>
      <c r="DD2156" s="891" t="s">
        <v>1872</v>
      </c>
      <c r="DE2156" s="891" t="s">
        <v>406</v>
      </c>
      <c r="DF2156" s="891">
        <v>5</v>
      </c>
      <c r="DG2156" s="959"/>
      <c r="DH2156" s="959"/>
      <c r="ER2156" s="905">
        <v>7756</v>
      </c>
      <c r="ES2156" s="906" t="s">
        <v>608</v>
      </c>
      <c r="ET2156" s="2686">
        <v>9</v>
      </c>
      <c r="EV2156" s="985"/>
      <c r="EW2156" s="985"/>
      <c r="EX2156" s="387"/>
      <c r="EY2156" s="939"/>
      <c r="EZ2156" s="886"/>
    </row>
    <row r="2157" spans="88:156">
      <c r="CJ2157" s="197"/>
      <c r="CK2157" s="197"/>
      <c r="CL2157" s="197"/>
      <c r="CM2157" s="213"/>
      <c r="CN2157" s="213"/>
      <c r="CO2157" s="197"/>
      <c r="CP2157" s="197"/>
      <c r="CQ2157" s="197"/>
      <c r="CR2157" s="197"/>
      <c r="CS2157" s="197"/>
      <c r="CT2157" s="197"/>
      <c r="CU2157" s="197"/>
      <c r="CV2157" s="197"/>
      <c r="CW2157" s="197"/>
      <c r="CX2157" s="959"/>
      <c r="CY2157" s="959"/>
      <c r="CZ2157" s="959"/>
      <c r="DA2157" s="959"/>
      <c r="DB2157" s="959"/>
      <c r="DC2157" s="891">
        <v>7700</v>
      </c>
      <c r="DD2157" s="891" t="s">
        <v>1873</v>
      </c>
      <c r="DE2157" s="891" t="s">
        <v>402</v>
      </c>
      <c r="DF2157" s="891">
        <v>6</v>
      </c>
      <c r="DG2157" s="959"/>
      <c r="DH2157" s="959"/>
      <c r="ER2157" s="905">
        <v>7757</v>
      </c>
      <c r="ES2157" s="906" t="s">
        <v>1907</v>
      </c>
      <c r="ET2157" s="2686">
        <v>9</v>
      </c>
      <c r="EV2157" s="985"/>
      <c r="EW2157" s="985"/>
      <c r="EX2157" s="387"/>
      <c r="EY2157" s="939"/>
      <c r="EZ2157" s="886"/>
    </row>
    <row r="2158" spans="88:156">
      <c r="CJ2158" s="197"/>
      <c r="CK2158" s="197"/>
      <c r="CL2158" s="197"/>
      <c r="CM2158" s="213"/>
      <c r="CN2158" s="213"/>
      <c r="CO2158" s="197"/>
      <c r="CP2158" s="197"/>
      <c r="CQ2158" s="197"/>
      <c r="CR2158" s="197"/>
      <c r="CS2158" s="197"/>
      <c r="CT2158" s="197"/>
      <c r="CU2158" s="197"/>
      <c r="CV2158" s="197"/>
      <c r="CW2158" s="197"/>
      <c r="CX2158" s="959"/>
      <c r="CY2158" s="959"/>
      <c r="CZ2158" s="959"/>
      <c r="DA2158" s="959"/>
      <c r="DB2158" s="959"/>
      <c r="DC2158" s="891">
        <v>7711</v>
      </c>
      <c r="DD2158" s="891" t="s">
        <v>1874</v>
      </c>
      <c r="DE2158" s="891" t="s">
        <v>406</v>
      </c>
      <c r="DF2158" s="891">
        <v>6</v>
      </c>
      <c r="DG2158" s="959"/>
      <c r="DH2158" s="959"/>
      <c r="ER2158" s="905">
        <v>7757</v>
      </c>
      <c r="ES2158" s="906" t="s">
        <v>1908</v>
      </c>
      <c r="ET2158" s="2686">
        <v>9</v>
      </c>
      <c r="EV2158" s="985"/>
      <c r="EW2158" s="985"/>
      <c r="EX2158" s="387"/>
      <c r="EY2158" s="939"/>
      <c r="EZ2158" s="886"/>
    </row>
    <row r="2159" spans="88:156">
      <c r="CJ2159" s="197"/>
      <c r="CK2159" s="197"/>
      <c r="CL2159" s="197"/>
      <c r="CM2159" s="213"/>
      <c r="CN2159" s="213"/>
      <c r="CO2159" s="197"/>
      <c r="CP2159" s="197"/>
      <c r="CQ2159" s="197"/>
      <c r="CR2159" s="197"/>
      <c r="CS2159" s="197"/>
      <c r="CT2159" s="197"/>
      <c r="CU2159" s="197"/>
      <c r="CV2159" s="197"/>
      <c r="CW2159" s="197"/>
      <c r="CX2159" s="959"/>
      <c r="CY2159" s="959"/>
      <c r="CZ2159" s="959"/>
      <c r="DA2159" s="959"/>
      <c r="DB2159" s="959"/>
      <c r="DC2159" s="891">
        <v>7712</v>
      </c>
      <c r="DD2159" s="891" t="s">
        <v>1875</v>
      </c>
      <c r="DE2159" s="891" t="s">
        <v>419</v>
      </c>
      <c r="DF2159" s="891">
        <v>5</v>
      </c>
      <c r="DG2159" s="959"/>
      <c r="DH2159" s="959"/>
      <c r="ER2159" s="905">
        <v>7759</v>
      </c>
      <c r="ES2159" s="906" t="s">
        <v>609</v>
      </c>
      <c r="ET2159" s="2686">
        <v>9</v>
      </c>
      <c r="EV2159" s="985"/>
      <c r="EW2159" s="985"/>
      <c r="EX2159" s="387"/>
      <c r="EY2159" s="939"/>
      <c r="EZ2159" s="886"/>
    </row>
    <row r="2160" spans="88:156">
      <c r="CJ2160" s="197"/>
      <c r="CK2160" s="197"/>
      <c r="CL2160" s="197"/>
      <c r="CM2160" s="213"/>
      <c r="CN2160" s="213"/>
      <c r="CO2160" s="197"/>
      <c r="CP2160" s="197"/>
      <c r="CQ2160" s="197"/>
      <c r="CR2160" s="197"/>
      <c r="CS2160" s="197"/>
      <c r="CT2160" s="197"/>
      <c r="CU2160" s="197"/>
      <c r="CV2160" s="197"/>
      <c r="CW2160" s="197"/>
      <c r="CX2160" s="959"/>
      <c r="CY2160" s="959"/>
      <c r="CZ2160" s="959"/>
      <c r="DA2160" s="959"/>
      <c r="DB2160" s="959"/>
      <c r="DC2160" s="891">
        <v>7714</v>
      </c>
      <c r="DD2160" s="891" t="s">
        <v>1876</v>
      </c>
      <c r="DE2160" s="891" t="s">
        <v>423</v>
      </c>
      <c r="DF2160" s="891">
        <v>6</v>
      </c>
      <c r="DG2160" s="959"/>
      <c r="DH2160" s="959"/>
      <c r="ER2160" s="905">
        <v>7759</v>
      </c>
      <c r="ES2160" s="906" t="s">
        <v>1909</v>
      </c>
      <c r="ET2160" s="2686">
        <v>9</v>
      </c>
      <c r="EV2160" s="985"/>
      <c r="EW2160" s="985"/>
      <c r="EX2160" s="387"/>
      <c r="EY2160" s="939"/>
      <c r="EZ2160" s="886"/>
    </row>
    <row r="2161" spans="88:156">
      <c r="CJ2161" s="197"/>
      <c r="CK2161" s="197"/>
      <c r="CL2161" s="197"/>
      <c r="CM2161" s="213"/>
      <c r="CN2161" s="213"/>
      <c r="CO2161" s="197"/>
      <c r="CP2161" s="197"/>
      <c r="CQ2161" s="197"/>
      <c r="CR2161" s="197"/>
      <c r="CS2161" s="197"/>
      <c r="CT2161" s="197"/>
      <c r="CU2161" s="197"/>
      <c r="CV2161" s="197"/>
      <c r="CW2161" s="197"/>
      <c r="CX2161" s="959"/>
      <c r="CY2161" s="959"/>
      <c r="CZ2161" s="959"/>
      <c r="DA2161" s="959"/>
      <c r="DB2161" s="959"/>
      <c r="DC2161" s="891">
        <v>7715</v>
      </c>
      <c r="DD2161" s="891" t="s">
        <v>1877</v>
      </c>
      <c r="DE2161" s="891" t="s">
        <v>423</v>
      </c>
      <c r="DF2161" s="891">
        <v>6</v>
      </c>
      <c r="DG2161" s="959"/>
      <c r="DH2161" s="959"/>
      <c r="ER2161" s="905">
        <v>7761</v>
      </c>
      <c r="ES2161" s="906" t="s">
        <v>1592</v>
      </c>
      <c r="ET2161" s="2686">
        <v>4</v>
      </c>
      <c r="EV2161" s="985"/>
      <c r="EW2161" s="985"/>
      <c r="EX2161" s="387"/>
      <c r="EY2161" s="939"/>
      <c r="EZ2161" s="886"/>
    </row>
    <row r="2162" spans="88:156">
      <c r="CJ2162" s="197"/>
      <c r="CK2162" s="197"/>
      <c r="CL2162" s="197"/>
      <c r="CM2162" s="213"/>
      <c r="CN2162" s="213"/>
      <c r="CO2162" s="197"/>
      <c r="CP2162" s="197"/>
      <c r="CQ2162" s="197"/>
      <c r="CR2162" s="197"/>
      <c r="CS2162" s="197"/>
      <c r="CT2162" s="197"/>
      <c r="CU2162" s="197"/>
      <c r="CV2162" s="197"/>
      <c r="CW2162" s="197"/>
      <c r="CX2162" s="959"/>
      <c r="CY2162" s="959"/>
      <c r="CZ2162" s="959"/>
      <c r="DA2162" s="959"/>
      <c r="DB2162" s="959"/>
      <c r="DC2162" s="891">
        <v>7716</v>
      </c>
      <c r="DD2162" s="891" t="s">
        <v>1878</v>
      </c>
      <c r="DE2162" s="891" t="s">
        <v>423</v>
      </c>
      <c r="DF2162" s="891">
        <v>6</v>
      </c>
      <c r="DG2162" s="959"/>
      <c r="DH2162" s="959"/>
      <c r="ER2162" s="905">
        <v>7761</v>
      </c>
      <c r="ES2162" s="906" t="s">
        <v>1593</v>
      </c>
      <c r="ET2162" s="2686">
        <v>4</v>
      </c>
      <c r="EV2162" s="985"/>
      <c r="EW2162" s="985"/>
      <c r="EX2162" s="387"/>
      <c r="EY2162" s="939"/>
      <c r="EZ2162" s="886"/>
    </row>
    <row r="2163" spans="88:156">
      <c r="CJ2163" s="197"/>
      <c r="CK2163" s="197"/>
      <c r="CL2163" s="197"/>
      <c r="CM2163" s="213"/>
      <c r="CN2163" s="213"/>
      <c r="CO2163" s="197"/>
      <c r="CP2163" s="197"/>
      <c r="CQ2163" s="197"/>
      <c r="CR2163" s="197"/>
      <c r="CS2163" s="197"/>
      <c r="CT2163" s="197"/>
      <c r="CU2163" s="197"/>
      <c r="CV2163" s="197"/>
      <c r="CW2163" s="197"/>
      <c r="CX2163" s="959"/>
      <c r="CY2163" s="959"/>
      <c r="CZ2163" s="959"/>
      <c r="DA2163" s="959"/>
      <c r="DB2163" s="959"/>
      <c r="DC2163" s="891">
        <v>7717</v>
      </c>
      <c r="DD2163" s="891" t="s">
        <v>1879</v>
      </c>
      <c r="DE2163" s="891" t="s">
        <v>423</v>
      </c>
      <c r="DF2163" s="891">
        <v>6</v>
      </c>
      <c r="DG2163" s="959"/>
      <c r="DH2163" s="959"/>
      <c r="ER2163" s="905">
        <v>7761</v>
      </c>
      <c r="ES2163" s="906" t="s">
        <v>1594</v>
      </c>
      <c r="ET2163" s="2686">
        <v>4</v>
      </c>
      <c r="EV2163" s="985"/>
      <c r="EW2163" s="985"/>
      <c r="EX2163" s="387"/>
      <c r="EY2163" s="939"/>
      <c r="EZ2163" s="886"/>
    </row>
    <row r="2164" spans="88:156">
      <c r="CJ2164" s="197"/>
      <c r="CK2164" s="197"/>
      <c r="CL2164" s="197"/>
      <c r="CM2164" s="213"/>
      <c r="CN2164" s="213"/>
      <c r="CO2164" s="197"/>
      <c r="CP2164" s="197"/>
      <c r="CQ2164" s="197"/>
      <c r="CR2164" s="197"/>
      <c r="CS2164" s="197"/>
      <c r="CT2164" s="197"/>
      <c r="CU2164" s="197"/>
      <c r="CV2164" s="197"/>
      <c r="CW2164" s="197"/>
      <c r="CX2164" s="959"/>
      <c r="CY2164" s="959"/>
      <c r="CZ2164" s="959"/>
      <c r="DA2164" s="959"/>
      <c r="DB2164" s="959"/>
      <c r="DC2164" s="891">
        <v>7718</v>
      </c>
      <c r="DD2164" s="891" t="s">
        <v>1880</v>
      </c>
      <c r="DE2164" s="891" t="s">
        <v>419</v>
      </c>
      <c r="DF2164" s="891">
        <v>6</v>
      </c>
      <c r="DG2164" s="959"/>
      <c r="DH2164" s="959"/>
      <c r="ER2164" s="905">
        <v>7762</v>
      </c>
      <c r="ES2164" s="906" t="s">
        <v>1911</v>
      </c>
      <c r="ET2164" s="2686">
        <v>4</v>
      </c>
      <c r="EV2164" s="985"/>
      <c r="EW2164" s="985"/>
      <c r="EX2164" s="387"/>
      <c r="EY2164" s="939"/>
      <c r="EZ2164" s="886"/>
    </row>
    <row r="2165" spans="88:156">
      <c r="CJ2165" s="197"/>
      <c r="CK2165" s="197"/>
      <c r="CL2165" s="197"/>
      <c r="CM2165" s="213"/>
      <c r="CN2165" s="213"/>
      <c r="CO2165" s="197"/>
      <c r="CP2165" s="197"/>
      <c r="CQ2165" s="197"/>
      <c r="CR2165" s="197"/>
      <c r="CS2165" s="197"/>
      <c r="CT2165" s="197"/>
      <c r="CU2165" s="197"/>
      <c r="CV2165" s="197"/>
      <c r="CW2165" s="197"/>
      <c r="CX2165" s="959"/>
      <c r="CY2165" s="959"/>
      <c r="CZ2165" s="959"/>
      <c r="DA2165" s="959"/>
      <c r="DB2165" s="959"/>
      <c r="DC2165" s="891">
        <v>7720</v>
      </c>
      <c r="DD2165" s="891" t="s">
        <v>1881</v>
      </c>
      <c r="DE2165" s="891" t="s">
        <v>419</v>
      </c>
      <c r="DF2165" s="891">
        <v>5</v>
      </c>
      <c r="DG2165" s="959"/>
      <c r="DH2165" s="959"/>
      <c r="ER2165" s="905">
        <v>7763</v>
      </c>
      <c r="ES2165" s="906" t="s">
        <v>1912</v>
      </c>
      <c r="ET2165" s="2686">
        <v>4</v>
      </c>
      <c r="EV2165" s="985"/>
      <c r="EW2165" s="985"/>
      <c r="EX2165" s="387"/>
      <c r="EY2165" s="939"/>
      <c r="EZ2165" s="886"/>
    </row>
    <row r="2166" spans="88:156">
      <c r="CJ2166" s="197"/>
      <c r="CK2166" s="197"/>
      <c r="CL2166" s="197"/>
      <c r="CM2166" s="213"/>
      <c r="CN2166" s="213"/>
      <c r="CO2166" s="197"/>
      <c r="CP2166" s="197"/>
      <c r="CQ2166" s="197"/>
      <c r="CR2166" s="197"/>
      <c r="CS2166" s="197"/>
      <c r="CT2166" s="197"/>
      <c r="CU2166" s="197"/>
      <c r="CV2166" s="197"/>
      <c r="CW2166" s="197"/>
      <c r="CX2166" s="959"/>
      <c r="CY2166" s="959"/>
      <c r="CZ2166" s="959"/>
      <c r="DA2166" s="959"/>
      <c r="DB2166" s="959"/>
      <c r="DC2166" s="891">
        <v>7722</v>
      </c>
      <c r="DD2166" s="891" t="s">
        <v>1882</v>
      </c>
      <c r="DE2166" s="891" t="s">
        <v>406</v>
      </c>
      <c r="DF2166" s="891">
        <v>5</v>
      </c>
      <c r="DG2166" s="959"/>
      <c r="DH2166" s="959"/>
      <c r="ER2166" s="905">
        <v>7763</v>
      </c>
      <c r="ES2166" s="906" t="s">
        <v>1595</v>
      </c>
      <c r="ET2166" s="2686">
        <v>4</v>
      </c>
      <c r="EV2166" s="985"/>
      <c r="EW2166" s="985"/>
      <c r="EX2166" s="387"/>
      <c r="EY2166" s="939"/>
      <c r="EZ2166" s="886"/>
    </row>
    <row r="2167" spans="88:156">
      <c r="CJ2167" s="197"/>
      <c r="CK2167" s="197"/>
      <c r="CL2167" s="197"/>
      <c r="CM2167" s="213"/>
      <c r="CN2167" s="213"/>
      <c r="CO2167" s="197"/>
      <c r="CP2167" s="197"/>
      <c r="CQ2167" s="197"/>
      <c r="CR2167" s="197"/>
      <c r="CS2167" s="197"/>
      <c r="CT2167" s="197"/>
      <c r="CU2167" s="197"/>
      <c r="CV2167" s="197"/>
      <c r="CW2167" s="197"/>
      <c r="CX2167" s="959"/>
      <c r="CY2167" s="959"/>
      <c r="CZ2167" s="959"/>
      <c r="DA2167" s="959"/>
      <c r="DB2167" s="959"/>
      <c r="DC2167" s="891">
        <v>7723</v>
      </c>
      <c r="DD2167" s="891" t="s">
        <v>1883</v>
      </c>
      <c r="DE2167" s="891" t="s">
        <v>420</v>
      </c>
      <c r="DF2167" s="891">
        <v>5</v>
      </c>
      <c r="DG2167" s="959"/>
      <c r="DH2167" s="959"/>
      <c r="ER2167" s="905">
        <v>7763</v>
      </c>
      <c r="ES2167" s="906" t="s">
        <v>1606</v>
      </c>
      <c r="ET2167" s="2686">
        <v>4</v>
      </c>
      <c r="EV2167" s="985"/>
      <c r="EW2167" s="985"/>
      <c r="EX2167" s="387"/>
      <c r="EY2167" s="939"/>
      <c r="EZ2167" s="886"/>
    </row>
    <row r="2168" spans="88:156">
      <c r="CJ2168" s="197"/>
      <c r="CK2168" s="197"/>
      <c r="CL2168" s="197"/>
      <c r="CM2168" s="213"/>
      <c r="CN2168" s="213"/>
      <c r="CO2168" s="197"/>
      <c r="CP2168" s="197"/>
      <c r="CQ2168" s="197"/>
      <c r="CR2168" s="197"/>
      <c r="CS2168" s="197"/>
      <c r="CT2168" s="197"/>
      <c r="CU2168" s="197"/>
      <c r="CV2168" s="197"/>
      <c r="CW2168" s="197"/>
      <c r="CX2168" s="959"/>
      <c r="CY2168" s="959"/>
      <c r="CZ2168" s="959"/>
      <c r="DA2168" s="959"/>
      <c r="DB2168" s="959"/>
      <c r="DC2168" s="891">
        <v>7724</v>
      </c>
      <c r="DD2168" s="891" t="s">
        <v>1884</v>
      </c>
      <c r="DE2168" s="891" t="s">
        <v>417</v>
      </c>
      <c r="DF2168" s="891">
        <v>5</v>
      </c>
      <c r="DG2168" s="959"/>
      <c r="DH2168" s="959"/>
      <c r="ER2168" s="905">
        <v>7763</v>
      </c>
      <c r="ES2168" s="906" t="s">
        <v>1895</v>
      </c>
      <c r="ET2168" s="2686">
        <v>4</v>
      </c>
      <c r="EV2168" s="985"/>
      <c r="EW2168" s="985"/>
      <c r="EX2168" s="387"/>
      <c r="EY2168" s="939"/>
      <c r="EZ2168" s="886"/>
    </row>
    <row r="2169" spans="88:156">
      <c r="CJ2169" s="197"/>
      <c r="CK2169" s="197"/>
      <c r="CL2169" s="197"/>
      <c r="CM2169" s="213"/>
      <c r="CN2169" s="213"/>
      <c r="CO2169" s="197"/>
      <c r="CP2169" s="197"/>
      <c r="CQ2169" s="197"/>
      <c r="CR2169" s="197"/>
      <c r="CS2169" s="197"/>
      <c r="CT2169" s="197"/>
      <c r="CU2169" s="197"/>
      <c r="CV2169" s="197"/>
      <c r="CW2169" s="197"/>
      <c r="CX2169" s="959"/>
      <c r="CY2169" s="959"/>
      <c r="CZ2169" s="959"/>
      <c r="DA2169" s="959"/>
      <c r="DB2169" s="959"/>
      <c r="DC2169" s="891">
        <v>7725</v>
      </c>
      <c r="DD2169" s="891" t="s">
        <v>1885</v>
      </c>
      <c r="DE2169" s="891" t="s">
        <v>406</v>
      </c>
      <c r="DF2169" s="891">
        <v>5</v>
      </c>
      <c r="DG2169" s="959"/>
      <c r="DH2169" s="959"/>
      <c r="ER2169" s="905">
        <v>7763</v>
      </c>
      <c r="ES2169" s="906" t="s">
        <v>1607</v>
      </c>
      <c r="ET2169" s="2686">
        <v>4</v>
      </c>
      <c r="EV2169" s="985"/>
      <c r="EW2169" s="985"/>
      <c r="EX2169" s="387"/>
      <c r="EY2169" s="939"/>
      <c r="EZ2169" s="886"/>
    </row>
    <row r="2170" spans="88:156">
      <c r="CJ2170" s="197"/>
      <c r="CK2170" s="197"/>
      <c r="CL2170" s="197"/>
      <c r="CM2170" s="213"/>
      <c r="CN2170" s="213"/>
      <c r="CO2170" s="197"/>
      <c r="CP2170" s="197"/>
      <c r="CQ2170" s="197"/>
      <c r="CR2170" s="197"/>
      <c r="CS2170" s="197"/>
      <c r="CT2170" s="197"/>
      <c r="CU2170" s="197"/>
      <c r="CV2170" s="197"/>
      <c r="CW2170" s="197"/>
      <c r="CX2170" s="959"/>
      <c r="CY2170" s="959"/>
      <c r="CZ2170" s="959"/>
      <c r="DA2170" s="959"/>
      <c r="DB2170" s="959"/>
      <c r="DC2170" s="891">
        <v>7726</v>
      </c>
      <c r="DD2170" s="891" t="s">
        <v>1886</v>
      </c>
      <c r="DE2170" s="891" t="s">
        <v>418</v>
      </c>
      <c r="DF2170" s="891">
        <v>6</v>
      </c>
      <c r="DG2170" s="959"/>
      <c r="DH2170" s="959"/>
      <c r="ER2170" s="905">
        <v>7766</v>
      </c>
      <c r="ES2170" s="906" t="s">
        <v>1914</v>
      </c>
      <c r="ET2170" s="2686">
        <v>9</v>
      </c>
      <c r="EV2170" s="985"/>
      <c r="EW2170" s="985"/>
      <c r="EX2170" s="387"/>
      <c r="EY2170" s="939"/>
      <c r="EZ2170" s="886"/>
    </row>
    <row r="2171" spans="88:156">
      <c r="CJ2171" s="197"/>
      <c r="CK2171" s="197"/>
      <c r="CL2171" s="197"/>
      <c r="CM2171" s="213"/>
      <c r="CN2171" s="213"/>
      <c r="CO2171" s="197"/>
      <c r="CP2171" s="197"/>
      <c r="CQ2171" s="197"/>
      <c r="CR2171" s="197"/>
      <c r="CS2171" s="197"/>
      <c r="CT2171" s="197"/>
      <c r="CU2171" s="197"/>
      <c r="CV2171" s="197"/>
      <c r="CW2171" s="197"/>
      <c r="CX2171" s="959"/>
      <c r="CY2171" s="959"/>
      <c r="CZ2171" s="959"/>
      <c r="DA2171" s="959"/>
      <c r="DB2171" s="959"/>
      <c r="DC2171" s="891">
        <v>7727</v>
      </c>
      <c r="DD2171" s="891" t="s">
        <v>1887</v>
      </c>
      <c r="DE2171" s="891" t="s">
        <v>428</v>
      </c>
      <c r="DF2171" s="891">
        <v>5</v>
      </c>
      <c r="DG2171" s="959"/>
      <c r="DH2171" s="959"/>
      <c r="ER2171" s="905">
        <v>7766</v>
      </c>
      <c r="ES2171" s="906" t="s">
        <v>1608</v>
      </c>
      <c r="ET2171" s="2686">
        <v>9</v>
      </c>
      <c r="EV2171" s="985"/>
      <c r="EW2171" s="985"/>
      <c r="EX2171" s="387"/>
      <c r="EY2171" s="939"/>
      <c r="EZ2171" s="886"/>
    </row>
    <row r="2172" spans="88:156">
      <c r="CJ2172" s="197"/>
      <c r="CK2172" s="197"/>
      <c r="CL2172" s="197"/>
      <c r="CM2172" s="213"/>
      <c r="CN2172" s="213"/>
      <c r="CO2172" s="197"/>
      <c r="CP2172" s="197"/>
      <c r="CQ2172" s="197"/>
      <c r="CR2172" s="197"/>
      <c r="CS2172" s="197"/>
      <c r="CT2172" s="197"/>
      <c r="CU2172" s="197"/>
      <c r="CV2172" s="197"/>
      <c r="CW2172" s="197"/>
      <c r="CX2172" s="959"/>
      <c r="CY2172" s="959"/>
      <c r="CZ2172" s="959"/>
      <c r="DA2172" s="959"/>
      <c r="DB2172" s="959"/>
      <c r="DC2172" s="891">
        <v>7728</v>
      </c>
      <c r="DD2172" s="891" t="s">
        <v>1888</v>
      </c>
      <c r="DE2172" s="891" t="s">
        <v>410</v>
      </c>
      <c r="DF2172" s="891">
        <v>6</v>
      </c>
      <c r="DG2172" s="959"/>
      <c r="DH2172" s="959"/>
      <c r="ER2172" s="905">
        <v>7766</v>
      </c>
      <c r="ES2172" s="906" t="s">
        <v>1609</v>
      </c>
      <c r="ET2172" s="2686">
        <v>9</v>
      </c>
      <c r="EV2172" s="985"/>
      <c r="EW2172" s="985"/>
      <c r="EX2172" s="387"/>
      <c r="EY2172" s="939"/>
      <c r="EZ2172" s="886"/>
    </row>
    <row r="2173" spans="88:156">
      <c r="CJ2173" s="197"/>
      <c r="CK2173" s="197"/>
      <c r="CL2173" s="197"/>
      <c r="CM2173" s="213"/>
      <c r="CN2173" s="213"/>
      <c r="CO2173" s="197"/>
      <c r="CP2173" s="197"/>
      <c r="CQ2173" s="197"/>
      <c r="CR2173" s="197"/>
      <c r="CS2173" s="197"/>
      <c r="CT2173" s="197"/>
      <c r="CU2173" s="197"/>
      <c r="CV2173" s="197"/>
      <c r="CW2173" s="197"/>
      <c r="CX2173" s="959"/>
      <c r="CY2173" s="959"/>
      <c r="CZ2173" s="959"/>
      <c r="DA2173" s="959"/>
      <c r="DB2173" s="959"/>
      <c r="DC2173" s="891">
        <v>7729</v>
      </c>
      <c r="DD2173" s="891" t="s">
        <v>1889</v>
      </c>
      <c r="DE2173" s="891" t="s">
        <v>2808</v>
      </c>
      <c r="DF2173" s="891">
        <v>6</v>
      </c>
      <c r="DG2173" s="959"/>
      <c r="DH2173" s="959"/>
      <c r="ER2173" s="905">
        <v>7766</v>
      </c>
      <c r="ES2173" s="906" t="s">
        <v>1913</v>
      </c>
      <c r="ET2173" s="2686">
        <v>9</v>
      </c>
      <c r="EV2173" s="985"/>
      <c r="EW2173" s="985"/>
      <c r="EX2173" s="387"/>
      <c r="EY2173" s="939"/>
      <c r="EZ2173" s="886"/>
    </row>
    <row r="2174" spans="88:156">
      <c r="CJ2174" s="197"/>
      <c r="CK2174" s="197"/>
      <c r="CL2174" s="197"/>
      <c r="CM2174" s="213"/>
      <c r="CN2174" s="213"/>
      <c r="CO2174" s="197"/>
      <c r="CP2174" s="197"/>
      <c r="CQ2174" s="197"/>
      <c r="CR2174" s="197"/>
      <c r="CS2174" s="197"/>
      <c r="CT2174" s="197"/>
      <c r="CU2174" s="197"/>
      <c r="CV2174" s="197"/>
      <c r="CW2174" s="197"/>
      <c r="CX2174" s="959"/>
      <c r="CY2174" s="959"/>
      <c r="CZ2174" s="959"/>
      <c r="DA2174" s="959"/>
      <c r="DB2174" s="959"/>
      <c r="DC2174" s="891">
        <v>7731</v>
      </c>
      <c r="DD2174" s="891" t="s">
        <v>1890</v>
      </c>
      <c r="DE2174" s="891" t="s">
        <v>419</v>
      </c>
      <c r="DF2174" s="891">
        <v>5</v>
      </c>
      <c r="DG2174" s="959"/>
      <c r="DH2174" s="959"/>
      <c r="ER2174" s="905">
        <v>7768</v>
      </c>
      <c r="ES2174" s="906" t="s">
        <v>1610</v>
      </c>
      <c r="ET2174" s="2686">
        <v>9</v>
      </c>
      <c r="EV2174" s="985"/>
      <c r="EW2174" s="985"/>
      <c r="EX2174" s="387"/>
      <c r="EY2174" s="939"/>
      <c r="EZ2174" s="886"/>
    </row>
    <row r="2175" spans="88:156">
      <c r="CJ2175" s="197"/>
      <c r="CK2175" s="197"/>
      <c r="CL2175" s="197"/>
      <c r="CM2175" s="213"/>
      <c r="CN2175" s="213"/>
      <c r="CO2175" s="197"/>
      <c r="CP2175" s="197"/>
      <c r="CQ2175" s="197"/>
      <c r="CR2175" s="197"/>
      <c r="CS2175" s="197"/>
      <c r="CT2175" s="197"/>
      <c r="CU2175" s="197"/>
      <c r="CV2175" s="197"/>
      <c r="CW2175" s="197"/>
      <c r="CX2175" s="959"/>
      <c r="CY2175" s="959"/>
      <c r="CZ2175" s="959"/>
      <c r="DA2175" s="959"/>
      <c r="DB2175" s="959"/>
      <c r="DC2175" s="891">
        <v>7732</v>
      </c>
      <c r="DD2175" s="891" t="s">
        <v>1891</v>
      </c>
      <c r="DE2175" s="891" t="s">
        <v>406</v>
      </c>
      <c r="DF2175" s="891">
        <v>5</v>
      </c>
      <c r="DG2175" s="959"/>
      <c r="DH2175" s="959"/>
      <c r="ER2175" s="905">
        <v>7768</v>
      </c>
      <c r="ES2175" s="906" t="s">
        <v>1915</v>
      </c>
      <c r="ET2175" s="2686">
        <v>9</v>
      </c>
      <c r="EV2175" s="985"/>
      <c r="EW2175" s="985"/>
      <c r="EX2175" s="387"/>
      <c r="EY2175" s="939"/>
      <c r="EZ2175" s="886"/>
    </row>
    <row r="2176" spans="88:156">
      <c r="CJ2176" s="197"/>
      <c r="CK2176" s="197"/>
      <c r="CL2176" s="197"/>
      <c r="CM2176" s="213"/>
      <c r="CN2176" s="213"/>
      <c r="CO2176" s="197"/>
      <c r="CP2176" s="197"/>
      <c r="CQ2176" s="197"/>
      <c r="CR2176" s="197"/>
      <c r="CS2176" s="197"/>
      <c r="CT2176" s="197"/>
      <c r="CU2176" s="197"/>
      <c r="CV2176" s="197"/>
      <c r="CW2176" s="197"/>
      <c r="CX2176" s="959"/>
      <c r="CY2176" s="959"/>
      <c r="CZ2176" s="959"/>
      <c r="DA2176" s="959"/>
      <c r="DB2176" s="959"/>
      <c r="DC2176" s="891">
        <v>7733</v>
      </c>
      <c r="DD2176" s="891" t="s">
        <v>1892</v>
      </c>
      <c r="DE2176" s="891" t="s">
        <v>417</v>
      </c>
      <c r="DF2176" s="891">
        <v>5</v>
      </c>
      <c r="DG2176" s="959"/>
      <c r="DH2176" s="959"/>
      <c r="ER2176" s="905">
        <v>7771</v>
      </c>
      <c r="ES2176" s="906" t="s">
        <v>1916</v>
      </c>
      <c r="ET2176" s="2686">
        <v>9</v>
      </c>
      <c r="EV2176" s="985"/>
      <c r="EW2176" s="985"/>
      <c r="EX2176" s="387"/>
      <c r="EY2176" s="939"/>
      <c r="EZ2176" s="886"/>
    </row>
    <row r="2177" spans="88:156">
      <c r="CJ2177" s="197"/>
      <c r="CK2177" s="197"/>
      <c r="CL2177" s="197"/>
      <c r="CM2177" s="213"/>
      <c r="CN2177" s="213"/>
      <c r="CO2177" s="197"/>
      <c r="CP2177" s="197"/>
      <c r="CQ2177" s="197"/>
      <c r="CR2177" s="197"/>
      <c r="CS2177" s="197"/>
      <c r="CT2177" s="197"/>
      <c r="CU2177" s="197"/>
      <c r="CV2177" s="197"/>
      <c r="CW2177" s="197"/>
      <c r="CX2177" s="959"/>
      <c r="CY2177" s="959"/>
      <c r="CZ2177" s="959"/>
      <c r="DA2177" s="959"/>
      <c r="DB2177" s="959"/>
      <c r="DC2177" s="891">
        <v>7735</v>
      </c>
      <c r="DD2177" s="891" t="s">
        <v>1893</v>
      </c>
      <c r="DE2177" s="891" t="s">
        <v>432</v>
      </c>
      <c r="DF2177" s="891">
        <v>5</v>
      </c>
      <c r="DG2177" s="959"/>
      <c r="DH2177" s="959"/>
      <c r="ER2177" s="905">
        <v>7772</v>
      </c>
      <c r="ES2177" s="906" t="s">
        <v>1611</v>
      </c>
      <c r="ET2177" s="2686">
        <v>9</v>
      </c>
      <c r="EV2177" s="985"/>
      <c r="EW2177" s="985"/>
      <c r="EX2177" s="387"/>
      <c r="EY2177" s="939"/>
      <c r="EZ2177" s="886"/>
    </row>
    <row r="2178" spans="88:156">
      <c r="CJ2178" s="197"/>
      <c r="CK2178" s="197"/>
      <c r="CL2178" s="197"/>
      <c r="CM2178" s="213"/>
      <c r="CN2178" s="213"/>
      <c r="CO2178" s="197"/>
      <c r="CP2178" s="197"/>
      <c r="CQ2178" s="197"/>
      <c r="CR2178" s="197"/>
      <c r="CS2178" s="197"/>
      <c r="CT2178" s="197"/>
      <c r="CU2178" s="197"/>
      <c r="CV2178" s="197"/>
      <c r="CW2178" s="197"/>
      <c r="CX2178" s="959"/>
      <c r="CY2178" s="959"/>
      <c r="CZ2178" s="959"/>
      <c r="DA2178" s="959"/>
      <c r="DB2178" s="959"/>
      <c r="DC2178" s="891">
        <v>7737</v>
      </c>
      <c r="DD2178" s="891" t="s">
        <v>1894</v>
      </c>
      <c r="DE2178" s="891" t="s">
        <v>406</v>
      </c>
      <c r="DF2178" s="891">
        <v>5</v>
      </c>
      <c r="DG2178" s="959"/>
      <c r="DH2178" s="959"/>
      <c r="ER2178" s="905">
        <v>7772</v>
      </c>
      <c r="ES2178" s="906" t="s">
        <v>1917</v>
      </c>
      <c r="ET2178" s="2686">
        <v>9</v>
      </c>
      <c r="EV2178" s="985"/>
      <c r="EW2178" s="985"/>
      <c r="EX2178" s="387"/>
      <c r="EY2178" s="939"/>
      <c r="EZ2178" s="886"/>
    </row>
    <row r="2179" spans="88:156">
      <c r="CJ2179" s="197"/>
      <c r="CK2179" s="197"/>
      <c r="CL2179" s="197"/>
      <c r="CM2179" s="213"/>
      <c r="CN2179" s="213"/>
      <c r="CO2179" s="197"/>
      <c r="CP2179" s="197"/>
      <c r="CQ2179" s="197"/>
      <c r="CR2179" s="197"/>
      <c r="CS2179" s="197"/>
      <c r="CT2179" s="197"/>
      <c r="CU2179" s="197"/>
      <c r="CV2179" s="197"/>
      <c r="CW2179" s="197"/>
      <c r="CX2179" s="959"/>
      <c r="CY2179" s="959"/>
      <c r="CZ2179" s="959"/>
      <c r="DA2179" s="959"/>
      <c r="DB2179" s="959"/>
      <c r="DC2179" s="891">
        <v>7741</v>
      </c>
      <c r="DD2179" s="891" t="s">
        <v>1895</v>
      </c>
      <c r="DE2179" s="891" t="s">
        <v>406</v>
      </c>
      <c r="DF2179" s="891">
        <v>4</v>
      </c>
      <c r="DG2179" s="959"/>
      <c r="DH2179" s="959"/>
      <c r="ER2179" s="905">
        <v>7773</v>
      </c>
      <c r="ES2179" s="906" t="s">
        <v>1612</v>
      </c>
      <c r="ET2179" s="2686">
        <v>9</v>
      </c>
      <c r="EV2179" s="985"/>
      <c r="EW2179" s="985"/>
      <c r="EX2179" s="387"/>
      <c r="EY2179" s="939"/>
      <c r="EZ2179" s="886"/>
    </row>
    <row r="2180" spans="88:156">
      <c r="CJ2180" s="197"/>
      <c r="CK2180" s="197"/>
      <c r="CL2180" s="197"/>
      <c r="CM2180" s="213"/>
      <c r="CN2180" s="213"/>
      <c r="CO2180" s="197"/>
      <c r="CP2180" s="197"/>
      <c r="CQ2180" s="197"/>
      <c r="CR2180" s="197"/>
      <c r="CS2180" s="197"/>
      <c r="CT2180" s="197"/>
      <c r="CU2180" s="197"/>
      <c r="CV2180" s="197"/>
      <c r="CW2180" s="197"/>
      <c r="CX2180" s="959"/>
      <c r="CY2180" s="959"/>
      <c r="CZ2180" s="959"/>
      <c r="DA2180" s="959"/>
      <c r="DB2180" s="959"/>
      <c r="DC2180" s="891">
        <v>7742</v>
      </c>
      <c r="DD2180" s="891" t="s">
        <v>1896</v>
      </c>
      <c r="DE2180" s="891" t="s">
        <v>432</v>
      </c>
      <c r="DF2180" s="891">
        <v>4</v>
      </c>
      <c r="DG2180" s="959"/>
      <c r="DH2180" s="959"/>
      <c r="ER2180" s="905">
        <v>7773</v>
      </c>
      <c r="ES2180" s="906" t="s">
        <v>1918</v>
      </c>
      <c r="ET2180" s="2686">
        <v>9</v>
      </c>
      <c r="EV2180" s="985"/>
      <c r="EW2180" s="985"/>
      <c r="EX2180" s="387"/>
      <c r="EY2180" s="939"/>
      <c r="EZ2180" s="886"/>
    </row>
    <row r="2181" spans="88:156">
      <c r="CJ2181" s="197"/>
      <c r="CK2181" s="197"/>
      <c r="CL2181" s="197"/>
      <c r="CM2181" s="213"/>
      <c r="CN2181" s="213"/>
      <c r="CO2181" s="197"/>
      <c r="CP2181" s="197"/>
      <c r="CQ2181" s="197"/>
      <c r="CR2181" s="197"/>
      <c r="CS2181" s="197"/>
      <c r="CT2181" s="197"/>
      <c r="CU2181" s="197"/>
      <c r="CV2181" s="197"/>
      <c r="CW2181" s="197"/>
      <c r="CX2181" s="959"/>
      <c r="CY2181" s="959"/>
      <c r="CZ2181" s="959"/>
      <c r="DA2181" s="959"/>
      <c r="DB2181" s="959"/>
      <c r="DC2181" s="891">
        <v>7743</v>
      </c>
      <c r="DD2181" s="891" t="s">
        <v>1897</v>
      </c>
      <c r="DE2181" s="891" t="s">
        <v>428</v>
      </c>
      <c r="DF2181" s="891">
        <v>4</v>
      </c>
      <c r="DG2181" s="959"/>
      <c r="DH2181" s="959"/>
      <c r="ER2181" s="905">
        <v>7774</v>
      </c>
      <c r="ES2181" s="906" t="s">
        <v>1919</v>
      </c>
      <c r="ET2181" s="2686">
        <v>9</v>
      </c>
      <c r="EV2181" s="985"/>
      <c r="EW2181" s="985"/>
      <c r="EX2181" s="387"/>
      <c r="EY2181" s="939"/>
      <c r="EZ2181" s="886"/>
    </row>
    <row r="2182" spans="88:156">
      <c r="CJ2182" s="197"/>
      <c r="CK2182" s="197"/>
      <c r="CL2182" s="197"/>
      <c r="CM2182" s="213"/>
      <c r="CN2182" s="213"/>
      <c r="CO2182" s="197"/>
      <c r="CP2182" s="197"/>
      <c r="CQ2182" s="197"/>
      <c r="CR2182" s="197"/>
      <c r="CS2182" s="197"/>
      <c r="CT2182" s="197"/>
      <c r="CU2182" s="197"/>
      <c r="CV2182" s="197"/>
      <c r="CW2182" s="197"/>
      <c r="CX2182" s="959"/>
      <c r="CY2182" s="959"/>
      <c r="CZ2182" s="959"/>
      <c r="DA2182" s="959"/>
      <c r="DB2182" s="959"/>
      <c r="DC2182" s="891">
        <v>7744</v>
      </c>
      <c r="DD2182" s="891" t="s">
        <v>1898</v>
      </c>
      <c r="DE2182" s="891" t="s">
        <v>431</v>
      </c>
      <c r="DF2182" s="891">
        <v>4</v>
      </c>
      <c r="DG2182" s="959"/>
      <c r="DH2182" s="959"/>
      <c r="ER2182" s="905">
        <v>7775</v>
      </c>
      <c r="ES2182" s="906" t="s">
        <v>1613</v>
      </c>
      <c r="ET2182" s="2686">
        <v>9</v>
      </c>
      <c r="EV2182" s="985"/>
      <c r="EW2182" s="985"/>
      <c r="EX2182" s="387"/>
      <c r="EY2182" s="939"/>
      <c r="EZ2182" s="886"/>
    </row>
    <row r="2183" spans="88:156">
      <c r="CJ2183" s="197"/>
      <c r="CK2183" s="197"/>
      <c r="CL2183" s="197"/>
      <c r="CM2183" s="213"/>
      <c r="CN2183" s="213"/>
      <c r="CO2183" s="197"/>
      <c r="CP2183" s="197"/>
      <c r="CQ2183" s="197"/>
      <c r="CR2183" s="197"/>
      <c r="CS2183" s="197"/>
      <c r="CT2183" s="197"/>
      <c r="CU2183" s="197"/>
      <c r="CV2183" s="197"/>
      <c r="CW2183" s="197"/>
      <c r="CX2183" s="959"/>
      <c r="CY2183" s="959"/>
      <c r="CZ2183" s="959"/>
      <c r="DA2183" s="959"/>
      <c r="DB2183" s="959"/>
      <c r="DC2183" s="891">
        <v>7745</v>
      </c>
      <c r="DD2183" s="891" t="s">
        <v>1899</v>
      </c>
      <c r="DE2183" s="891" t="s">
        <v>431</v>
      </c>
      <c r="DF2183" s="891">
        <v>4</v>
      </c>
      <c r="DG2183" s="959"/>
      <c r="DH2183" s="959"/>
      <c r="ER2183" s="905">
        <v>7775</v>
      </c>
      <c r="ES2183" s="906" t="s">
        <v>1614</v>
      </c>
      <c r="ET2183" s="2686">
        <v>9</v>
      </c>
      <c r="EV2183" s="985"/>
      <c r="EW2183" s="985"/>
      <c r="EX2183" s="387"/>
      <c r="EY2183" s="939"/>
      <c r="EZ2183" s="886"/>
    </row>
    <row r="2184" spans="88:156">
      <c r="CJ2184" s="197"/>
      <c r="CK2184" s="197"/>
      <c r="CL2184" s="197"/>
      <c r="CM2184" s="213"/>
      <c r="CN2184" s="213"/>
      <c r="CO2184" s="197"/>
      <c r="CP2184" s="197"/>
      <c r="CQ2184" s="197"/>
      <c r="CR2184" s="197"/>
      <c r="CS2184" s="197"/>
      <c r="CT2184" s="197"/>
      <c r="CU2184" s="197"/>
      <c r="CV2184" s="197"/>
      <c r="CW2184" s="197"/>
      <c r="CX2184" s="959"/>
      <c r="CY2184" s="959"/>
      <c r="CZ2184" s="959"/>
      <c r="DA2184" s="959"/>
      <c r="DB2184" s="959"/>
      <c r="DC2184" s="891">
        <v>7747</v>
      </c>
      <c r="DD2184" s="891" t="s">
        <v>1900</v>
      </c>
      <c r="DE2184" s="891" t="s">
        <v>404</v>
      </c>
      <c r="DF2184" s="891">
        <v>4</v>
      </c>
      <c r="DG2184" s="959"/>
      <c r="DH2184" s="959"/>
      <c r="ER2184" s="905">
        <v>7775</v>
      </c>
      <c r="ES2184" s="906" t="s">
        <v>1615</v>
      </c>
      <c r="ET2184" s="2686">
        <v>9</v>
      </c>
      <c r="EV2184" s="985"/>
      <c r="EW2184" s="985"/>
      <c r="EX2184" s="387"/>
      <c r="EY2184" s="939"/>
      <c r="EZ2184" s="886"/>
    </row>
    <row r="2185" spans="88:156">
      <c r="CJ2185" s="197"/>
      <c r="CK2185" s="197"/>
      <c r="CL2185" s="197"/>
      <c r="CM2185" s="213"/>
      <c r="CN2185" s="213"/>
      <c r="CO2185" s="197"/>
      <c r="CP2185" s="197"/>
      <c r="CQ2185" s="197"/>
      <c r="CR2185" s="197"/>
      <c r="CS2185" s="197"/>
      <c r="CT2185" s="197"/>
      <c r="CU2185" s="197"/>
      <c r="CV2185" s="197"/>
      <c r="CW2185" s="197"/>
      <c r="CX2185" s="959"/>
      <c r="CY2185" s="959"/>
      <c r="CZ2185" s="959"/>
      <c r="DA2185" s="959"/>
      <c r="DB2185" s="959"/>
      <c r="DC2185" s="891">
        <v>7751</v>
      </c>
      <c r="DD2185" s="891" t="s">
        <v>1901</v>
      </c>
      <c r="DE2185" s="891" t="s">
        <v>406</v>
      </c>
      <c r="DF2185" s="891">
        <v>4</v>
      </c>
      <c r="DG2185" s="959"/>
      <c r="DH2185" s="959"/>
      <c r="ER2185" s="905">
        <v>7775</v>
      </c>
      <c r="ES2185" s="906" t="s">
        <v>1920</v>
      </c>
      <c r="ET2185" s="2686">
        <v>9</v>
      </c>
      <c r="EV2185" s="985"/>
      <c r="EW2185" s="985"/>
      <c r="EX2185" s="387"/>
      <c r="EY2185" s="939"/>
      <c r="EZ2185" s="886"/>
    </row>
    <row r="2186" spans="88:156">
      <c r="CJ2186" s="197"/>
      <c r="CK2186" s="197"/>
      <c r="CL2186" s="197"/>
      <c r="CM2186" s="213"/>
      <c r="CN2186" s="213"/>
      <c r="CO2186" s="197"/>
      <c r="CP2186" s="197"/>
      <c r="CQ2186" s="197"/>
      <c r="CR2186" s="197"/>
      <c r="CS2186" s="197"/>
      <c r="CT2186" s="197"/>
      <c r="CU2186" s="197"/>
      <c r="CV2186" s="197"/>
      <c r="CW2186" s="197"/>
      <c r="CX2186" s="959"/>
      <c r="CY2186" s="959"/>
      <c r="CZ2186" s="959"/>
      <c r="DA2186" s="959"/>
      <c r="DB2186" s="959"/>
      <c r="DC2186" s="891">
        <v>7752</v>
      </c>
      <c r="DD2186" s="891" t="s">
        <v>1902</v>
      </c>
      <c r="DE2186" s="891" t="s">
        <v>402</v>
      </c>
      <c r="DF2186" s="891">
        <v>4</v>
      </c>
      <c r="DG2186" s="959"/>
      <c r="DH2186" s="959"/>
      <c r="ER2186" s="905">
        <v>7781</v>
      </c>
      <c r="ES2186" s="906" t="s">
        <v>1616</v>
      </c>
      <c r="ET2186" s="2686">
        <v>9</v>
      </c>
      <c r="EV2186" s="985"/>
      <c r="EW2186" s="985"/>
      <c r="EX2186" s="387"/>
      <c r="EY2186" s="939"/>
      <c r="EZ2186" s="886"/>
    </row>
    <row r="2187" spans="88:156">
      <c r="CJ2187" s="197"/>
      <c r="CK2187" s="197"/>
      <c r="CL2187" s="197"/>
      <c r="CM2187" s="213"/>
      <c r="CN2187" s="213"/>
      <c r="CO2187" s="197"/>
      <c r="CP2187" s="197"/>
      <c r="CQ2187" s="197"/>
      <c r="CR2187" s="197"/>
      <c r="CS2187" s="197"/>
      <c r="CT2187" s="197"/>
      <c r="CU2187" s="197"/>
      <c r="CV2187" s="197"/>
      <c r="CW2187" s="197"/>
      <c r="CX2187" s="959"/>
      <c r="CY2187" s="959"/>
      <c r="CZ2187" s="959"/>
      <c r="DA2187" s="959"/>
      <c r="DB2187" s="959"/>
      <c r="DC2187" s="891">
        <v>7753</v>
      </c>
      <c r="DD2187" s="891" t="s">
        <v>1903</v>
      </c>
      <c r="DE2187" s="891" t="s">
        <v>412</v>
      </c>
      <c r="DF2187" s="891">
        <v>5</v>
      </c>
      <c r="DG2187" s="959"/>
      <c r="DH2187" s="959"/>
      <c r="ER2187" s="905">
        <v>7781</v>
      </c>
      <c r="ES2187" s="906" t="s">
        <v>1921</v>
      </c>
      <c r="ET2187" s="2686">
        <v>9</v>
      </c>
      <c r="EV2187" s="985"/>
      <c r="EW2187" s="985"/>
      <c r="EX2187" s="387"/>
      <c r="EY2187" s="939"/>
      <c r="EZ2187" s="886"/>
    </row>
    <row r="2188" spans="88:156">
      <c r="CJ2188" s="197"/>
      <c r="CK2188" s="197"/>
      <c r="CL2188" s="197"/>
      <c r="CM2188" s="213"/>
      <c r="CN2188" s="213"/>
      <c r="CO2188" s="197"/>
      <c r="CP2188" s="197"/>
      <c r="CQ2188" s="197"/>
      <c r="CR2188" s="197"/>
      <c r="CS2188" s="197"/>
      <c r="CT2188" s="197"/>
      <c r="CU2188" s="197"/>
      <c r="CV2188" s="197"/>
      <c r="CW2188" s="197"/>
      <c r="CX2188" s="959"/>
      <c r="CY2188" s="959"/>
      <c r="CZ2188" s="959"/>
      <c r="DA2188" s="959"/>
      <c r="DB2188" s="959"/>
      <c r="DC2188" s="891">
        <v>7754</v>
      </c>
      <c r="DD2188" s="891" t="s">
        <v>1904</v>
      </c>
      <c r="DE2188" s="891" t="s">
        <v>428</v>
      </c>
      <c r="DF2188" s="891">
        <v>5</v>
      </c>
      <c r="DG2188" s="959"/>
      <c r="DH2188" s="959"/>
      <c r="ER2188" s="905">
        <v>7781</v>
      </c>
      <c r="ES2188" s="906" t="s">
        <v>1922</v>
      </c>
      <c r="ET2188" s="2686">
        <v>9</v>
      </c>
      <c r="EV2188" s="985"/>
      <c r="EW2188" s="985"/>
      <c r="EX2188" s="387"/>
      <c r="EY2188" s="939"/>
      <c r="EZ2188" s="886"/>
    </row>
    <row r="2189" spans="88:156">
      <c r="CJ2189" s="197"/>
      <c r="CK2189" s="197"/>
      <c r="CL2189" s="197"/>
      <c r="CM2189" s="213"/>
      <c r="CN2189" s="213"/>
      <c r="CO2189" s="197"/>
      <c r="CP2189" s="197"/>
      <c r="CQ2189" s="197"/>
      <c r="CR2189" s="197"/>
      <c r="CS2189" s="197"/>
      <c r="CT2189" s="197"/>
      <c r="CU2189" s="197"/>
      <c r="CV2189" s="197"/>
      <c r="CW2189" s="197"/>
      <c r="CX2189" s="959"/>
      <c r="CY2189" s="959"/>
      <c r="CZ2189" s="959"/>
      <c r="DA2189" s="959"/>
      <c r="DB2189" s="959"/>
      <c r="DC2189" s="891">
        <v>7755</v>
      </c>
      <c r="DD2189" s="891" t="s">
        <v>1905</v>
      </c>
      <c r="DE2189" s="891" t="s">
        <v>428</v>
      </c>
      <c r="DF2189" s="891">
        <v>5</v>
      </c>
      <c r="DG2189" s="959"/>
      <c r="DH2189" s="959"/>
      <c r="ER2189" s="905">
        <v>7782</v>
      </c>
      <c r="ES2189" s="906" t="s">
        <v>1617</v>
      </c>
      <c r="ET2189" s="2686">
        <v>9</v>
      </c>
      <c r="EV2189" s="985"/>
      <c r="EW2189" s="985"/>
      <c r="EX2189" s="387"/>
      <c r="EY2189" s="939"/>
      <c r="EZ2189" s="886"/>
    </row>
    <row r="2190" spans="88:156">
      <c r="CJ2190" s="197"/>
      <c r="CK2190" s="197"/>
      <c r="CL2190" s="197"/>
      <c r="CM2190" s="213"/>
      <c r="CN2190" s="213"/>
      <c r="CO2190" s="197"/>
      <c r="CP2190" s="197"/>
      <c r="CQ2190" s="197"/>
      <c r="CR2190" s="197"/>
      <c r="CS2190" s="197"/>
      <c r="CT2190" s="197"/>
      <c r="CU2190" s="197"/>
      <c r="CV2190" s="197"/>
      <c r="CW2190" s="197"/>
      <c r="CX2190" s="959"/>
      <c r="CY2190" s="959"/>
      <c r="CZ2190" s="959"/>
      <c r="DA2190" s="959"/>
      <c r="DB2190" s="959"/>
      <c r="DC2190" s="891">
        <v>7756</v>
      </c>
      <c r="DD2190" s="891" t="s">
        <v>1906</v>
      </c>
      <c r="DE2190" s="891" t="s">
        <v>428</v>
      </c>
      <c r="DF2190" s="891">
        <v>4</v>
      </c>
      <c r="DG2190" s="959"/>
      <c r="DH2190" s="959"/>
      <c r="ER2190" s="905">
        <v>7783</v>
      </c>
      <c r="ES2190" s="906" t="s">
        <v>1923</v>
      </c>
      <c r="ET2190" s="2686">
        <v>9</v>
      </c>
      <c r="EV2190" s="985"/>
      <c r="EW2190" s="985"/>
      <c r="EX2190" s="387"/>
      <c r="EY2190" s="939"/>
      <c r="EZ2190" s="886"/>
    </row>
    <row r="2191" spans="88:156">
      <c r="CJ2191" s="197"/>
      <c r="CK2191" s="197"/>
      <c r="CL2191" s="197"/>
      <c r="CM2191" s="213"/>
      <c r="CN2191" s="213"/>
      <c r="CO2191" s="197"/>
      <c r="CP2191" s="197"/>
      <c r="CQ2191" s="197"/>
      <c r="CR2191" s="197"/>
      <c r="CS2191" s="197"/>
      <c r="CT2191" s="197"/>
      <c r="CU2191" s="197"/>
      <c r="CV2191" s="197"/>
      <c r="CW2191" s="197"/>
      <c r="CX2191" s="959"/>
      <c r="CY2191" s="959"/>
      <c r="CZ2191" s="959"/>
      <c r="DA2191" s="959"/>
      <c r="DB2191" s="959"/>
      <c r="DC2191" s="891">
        <v>7757</v>
      </c>
      <c r="DD2191" s="891" t="s">
        <v>1907</v>
      </c>
      <c r="DE2191" s="891" t="s">
        <v>427</v>
      </c>
      <c r="DF2191" s="891">
        <v>5</v>
      </c>
      <c r="DG2191" s="959"/>
      <c r="DH2191" s="959"/>
      <c r="ER2191" s="905">
        <v>7784</v>
      </c>
      <c r="ES2191" s="906" t="s">
        <v>1924</v>
      </c>
      <c r="ET2191" s="2686">
        <v>9</v>
      </c>
      <c r="EV2191" s="985"/>
      <c r="EW2191" s="985"/>
      <c r="EX2191" s="387"/>
      <c r="EY2191" s="939"/>
      <c r="EZ2191" s="886"/>
    </row>
    <row r="2192" spans="88:156">
      <c r="CJ2192" s="197"/>
      <c r="CK2192" s="197"/>
      <c r="CL2192" s="197"/>
      <c r="CM2192" s="213"/>
      <c r="CN2192" s="213"/>
      <c r="CO2192" s="197"/>
      <c r="CP2192" s="197"/>
      <c r="CQ2192" s="197"/>
      <c r="CR2192" s="197"/>
      <c r="CS2192" s="197"/>
      <c r="CT2192" s="197"/>
      <c r="CU2192" s="197"/>
      <c r="CV2192" s="197"/>
      <c r="CW2192" s="197"/>
      <c r="CX2192" s="959"/>
      <c r="CY2192" s="959"/>
      <c r="CZ2192" s="959"/>
      <c r="DA2192" s="959"/>
      <c r="DB2192" s="959"/>
      <c r="DC2192" s="891">
        <v>7758</v>
      </c>
      <c r="DD2192" s="891" t="s">
        <v>1908</v>
      </c>
      <c r="DE2192" s="891" t="s">
        <v>410</v>
      </c>
      <c r="DF2192" s="891">
        <v>5</v>
      </c>
      <c r="DG2192" s="959"/>
      <c r="DH2192" s="959"/>
      <c r="ER2192" s="905">
        <v>7785</v>
      </c>
      <c r="ES2192" s="906" t="s">
        <v>1925</v>
      </c>
      <c r="ET2192" s="2686">
        <v>9</v>
      </c>
      <c r="EV2192" s="985"/>
      <c r="EW2192" s="985"/>
      <c r="EX2192" s="387"/>
      <c r="EY2192" s="939"/>
      <c r="EZ2192" s="886"/>
    </row>
    <row r="2193" spans="88:156">
      <c r="CJ2193" s="197"/>
      <c r="CK2193" s="197"/>
      <c r="CL2193" s="197"/>
      <c r="CM2193" s="213"/>
      <c r="CN2193" s="213"/>
      <c r="CO2193" s="197"/>
      <c r="CP2193" s="197"/>
      <c r="CQ2193" s="197"/>
      <c r="CR2193" s="197"/>
      <c r="CS2193" s="197"/>
      <c r="CT2193" s="197"/>
      <c r="CU2193" s="197"/>
      <c r="CV2193" s="197"/>
      <c r="CW2193" s="197"/>
      <c r="CX2193" s="959"/>
      <c r="CY2193" s="959"/>
      <c r="CZ2193" s="959"/>
      <c r="DA2193" s="959"/>
      <c r="DB2193" s="959"/>
      <c r="DC2193" s="891">
        <v>7759</v>
      </c>
      <c r="DD2193" s="891" t="s">
        <v>1909</v>
      </c>
      <c r="DE2193" s="891" t="s">
        <v>410</v>
      </c>
      <c r="DF2193" s="891">
        <v>5</v>
      </c>
      <c r="DG2193" s="959"/>
      <c r="DH2193" s="959"/>
      <c r="ER2193" s="905">
        <v>7800</v>
      </c>
      <c r="ES2193" s="906" t="s">
        <v>1934</v>
      </c>
      <c r="ET2193" s="2686">
        <v>9</v>
      </c>
      <c r="EV2193" s="985"/>
      <c r="EW2193" s="985"/>
      <c r="EX2193" s="387"/>
      <c r="EY2193" s="939"/>
      <c r="EZ2193" s="886"/>
    </row>
    <row r="2194" spans="88:156">
      <c r="CJ2194" s="197"/>
      <c r="CK2194" s="197"/>
      <c r="CL2194" s="197"/>
      <c r="CM2194" s="213"/>
      <c r="CN2194" s="213"/>
      <c r="CO2194" s="197"/>
      <c r="CP2194" s="197"/>
      <c r="CQ2194" s="197"/>
      <c r="CR2194" s="197"/>
      <c r="CS2194" s="197"/>
      <c r="CT2194" s="197"/>
      <c r="CU2194" s="197"/>
      <c r="CV2194" s="197"/>
      <c r="CW2194" s="197"/>
      <c r="CX2194" s="959"/>
      <c r="CY2194" s="959"/>
      <c r="CZ2194" s="959"/>
      <c r="DA2194" s="959"/>
      <c r="DB2194" s="959"/>
      <c r="DC2194" s="891">
        <v>7761</v>
      </c>
      <c r="DD2194" s="891" t="s">
        <v>1910</v>
      </c>
      <c r="DE2194" s="891" t="s">
        <v>2808</v>
      </c>
      <c r="DF2194" s="891">
        <v>4</v>
      </c>
      <c r="DG2194" s="959"/>
      <c r="DH2194" s="959"/>
      <c r="ER2194" s="905">
        <v>7800</v>
      </c>
      <c r="ES2194" s="906" t="s">
        <v>1618</v>
      </c>
      <c r="ET2194" s="2686">
        <v>9</v>
      </c>
      <c r="EV2194" s="985"/>
      <c r="EW2194" s="985"/>
      <c r="EX2194" s="387"/>
      <c r="EY2194" s="939"/>
      <c r="EZ2194" s="886"/>
    </row>
    <row r="2195" spans="88:156">
      <c r="CJ2195" s="197"/>
      <c r="CK2195" s="197"/>
      <c r="CL2195" s="197"/>
      <c r="CM2195" s="213"/>
      <c r="CN2195" s="213"/>
      <c r="CO2195" s="197"/>
      <c r="CP2195" s="197"/>
      <c r="CQ2195" s="197"/>
      <c r="CR2195" s="197"/>
      <c r="CS2195" s="197"/>
      <c r="CT2195" s="197"/>
      <c r="CU2195" s="197"/>
      <c r="CV2195" s="197"/>
      <c r="CW2195" s="197"/>
      <c r="CX2195" s="959"/>
      <c r="CY2195" s="959"/>
      <c r="CZ2195" s="959"/>
      <c r="DA2195" s="959"/>
      <c r="DB2195" s="959"/>
      <c r="DC2195" s="891">
        <v>7762</v>
      </c>
      <c r="DD2195" s="891" t="s">
        <v>1911</v>
      </c>
      <c r="DE2195" s="891" t="s">
        <v>2808</v>
      </c>
      <c r="DF2195" s="891">
        <v>4</v>
      </c>
      <c r="DG2195" s="959"/>
      <c r="DH2195" s="959"/>
      <c r="ER2195" s="905">
        <v>7800</v>
      </c>
      <c r="ES2195" s="906" t="s">
        <v>1926</v>
      </c>
      <c r="ET2195" s="2686">
        <v>9</v>
      </c>
      <c r="EV2195" s="985"/>
      <c r="EW2195" s="985"/>
      <c r="EX2195" s="387"/>
      <c r="EY2195" s="939"/>
      <c r="EZ2195" s="886"/>
    </row>
    <row r="2196" spans="88:156">
      <c r="CJ2196" s="197"/>
      <c r="CK2196" s="197"/>
      <c r="CL2196" s="197"/>
      <c r="CM2196" s="213"/>
      <c r="CN2196" s="213"/>
      <c r="CO2196" s="197"/>
      <c r="CP2196" s="197"/>
      <c r="CQ2196" s="197"/>
      <c r="CR2196" s="197"/>
      <c r="CS2196" s="197"/>
      <c r="CT2196" s="197"/>
      <c r="CU2196" s="197"/>
      <c r="CV2196" s="197"/>
      <c r="CW2196" s="197"/>
      <c r="CX2196" s="959"/>
      <c r="CY2196" s="959"/>
      <c r="CZ2196" s="959"/>
      <c r="DA2196" s="959"/>
      <c r="DB2196" s="959"/>
      <c r="DC2196" s="891">
        <v>7763</v>
      </c>
      <c r="DD2196" s="891" t="s">
        <v>1912</v>
      </c>
      <c r="DE2196" s="891" t="s">
        <v>2808</v>
      </c>
      <c r="DF2196" s="891">
        <v>4</v>
      </c>
      <c r="DG2196" s="959"/>
      <c r="DH2196" s="959"/>
      <c r="ER2196" s="905">
        <v>7811</v>
      </c>
      <c r="ES2196" s="906" t="s">
        <v>1619</v>
      </c>
      <c r="ET2196" s="2686">
        <v>9</v>
      </c>
      <c r="EV2196" s="985"/>
      <c r="EW2196" s="985"/>
      <c r="EX2196" s="387"/>
      <c r="EY2196" s="939"/>
      <c r="EZ2196" s="886"/>
    </row>
    <row r="2197" spans="88:156">
      <c r="CJ2197" s="197"/>
      <c r="CK2197" s="197"/>
      <c r="CL2197" s="197"/>
      <c r="CM2197" s="213"/>
      <c r="CN2197" s="213"/>
      <c r="CO2197" s="197"/>
      <c r="CP2197" s="197"/>
      <c r="CQ2197" s="197"/>
      <c r="CR2197" s="197"/>
      <c r="CS2197" s="197"/>
      <c r="CT2197" s="197"/>
      <c r="CU2197" s="197"/>
      <c r="CV2197" s="197"/>
      <c r="CW2197" s="197"/>
      <c r="CX2197" s="959"/>
      <c r="CY2197" s="959"/>
      <c r="CZ2197" s="959"/>
      <c r="DA2197" s="959"/>
      <c r="DB2197" s="959"/>
      <c r="DC2197" s="891">
        <v>7766</v>
      </c>
      <c r="DD2197" s="891" t="s">
        <v>1913</v>
      </c>
      <c r="DE2197" s="891" t="s">
        <v>2808</v>
      </c>
      <c r="DF2197" s="891">
        <v>4</v>
      </c>
      <c r="DG2197" s="959"/>
      <c r="DH2197" s="959"/>
      <c r="ER2197" s="905">
        <v>7811</v>
      </c>
      <c r="ES2197" s="906" t="s">
        <v>1620</v>
      </c>
      <c r="ET2197" s="2686">
        <v>9</v>
      </c>
      <c r="EV2197" s="985"/>
      <c r="EW2197" s="985"/>
      <c r="EX2197" s="387"/>
      <c r="EY2197" s="939"/>
      <c r="EZ2197" s="886"/>
    </row>
    <row r="2198" spans="88:156">
      <c r="CJ2198" s="197"/>
      <c r="CK2198" s="197"/>
      <c r="CL2198" s="197"/>
      <c r="CM2198" s="213"/>
      <c r="CN2198" s="213"/>
      <c r="CO2198" s="197"/>
      <c r="CP2198" s="197"/>
      <c r="CQ2198" s="197"/>
      <c r="CR2198" s="197"/>
      <c r="CS2198" s="197"/>
      <c r="CT2198" s="197"/>
      <c r="CU2198" s="197"/>
      <c r="CV2198" s="197"/>
      <c r="CW2198" s="197"/>
      <c r="CX2198" s="959"/>
      <c r="CY2198" s="959"/>
      <c r="CZ2198" s="959"/>
      <c r="DA2198" s="959"/>
      <c r="DB2198" s="959"/>
      <c r="DC2198" s="891">
        <v>7767</v>
      </c>
      <c r="DD2198" s="891" t="s">
        <v>1914</v>
      </c>
      <c r="DE2198" s="891" t="s">
        <v>410</v>
      </c>
      <c r="DF2198" s="891">
        <v>4</v>
      </c>
      <c r="DG2198" s="959"/>
      <c r="DH2198" s="959"/>
      <c r="ER2198" s="905">
        <v>7811</v>
      </c>
      <c r="ES2198" s="906" t="s">
        <v>1621</v>
      </c>
      <c r="ET2198" s="2686">
        <v>9</v>
      </c>
      <c r="EV2198" s="985"/>
      <c r="EW2198" s="985"/>
      <c r="EX2198" s="387"/>
      <c r="EY2198" s="939"/>
      <c r="EZ2198" s="886"/>
    </row>
    <row r="2199" spans="88:156">
      <c r="CJ2199" s="197"/>
      <c r="CK2199" s="197"/>
      <c r="CL2199" s="197"/>
      <c r="CM2199" s="213"/>
      <c r="CN2199" s="213"/>
      <c r="CO2199" s="197"/>
      <c r="CP2199" s="197"/>
      <c r="CQ2199" s="197"/>
      <c r="CR2199" s="197"/>
      <c r="CS2199" s="197"/>
      <c r="CT2199" s="197"/>
      <c r="CU2199" s="197"/>
      <c r="CV2199" s="197"/>
      <c r="CW2199" s="197"/>
      <c r="CX2199" s="959"/>
      <c r="CY2199" s="959"/>
      <c r="CZ2199" s="959"/>
      <c r="DA2199" s="959"/>
      <c r="DB2199" s="959"/>
      <c r="DC2199" s="891">
        <v>7768</v>
      </c>
      <c r="DD2199" s="891" t="s">
        <v>1915</v>
      </c>
      <c r="DE2199" s="891" t="s">
        <v>410</v>
      </c>
      <c r="DF2199" s="891">
        <v>4</v>
      </c>
      <c r="DG2199" s="959"/>
      <c r="DH2199" s="959"/>
      <c r="ER2199" s="905">
        <v>7811</v>
      </c>
      <c r="ES2199" s="906" t="s">
        <v>1622</v>
      </c>
      <c r="ET2199" s="2686">
        <v>9</v>
      </c>
      <c r="EV2199" s="985"/>
      <c r="EW2199" s="985"/>
      <c r="EX2199" s="387"/>
      <c r="EY2199" s="939"/>
      <c r="EZ2199" s="886"/>
    </row>
    <row r="2200" spans="88:156">
      <c r="CJ2200" s="197"/>
      <c r="CK2200" s="197"/>
      <c r="CL2200" s="197"/>
      <c r="CM2200" s="213"/>
      <c r="CN2200" s="213"/>
      <c r="CO2200" s="197"/>
      <c r="CP2200" s="197"/>
      <c r="CQ2200" s="197"/>
      <c r="CR2200" s="197"/>
      <c r="CS2200" s="197"/>
      <c r="CT2200" s="197"/>
      <c r="CU2200" s="197"/>
      <c r="CV2200" s="197"/>
      <c r="CW2200" s="197"/>
      <c r="CX2200" s="959"/>
      <c r="CY2200" s="959"/>
      <c r="CZ2200" s="959"/>
      <c r="DA2200" s="959"/>
      <c r="DB2200" s="959"/>
      <c r="DC2200" s="891">
        <v>7771</v>
      </c>
      <c r="DD2200" s="891" t="s">
        <v>1916</v>
      </c>
      <c r="DE2200" s="891" t="s">
        <v>2808</v>
      </c>
      <c r="DF2200" s="891">
        <v>5</v>
      </c>
      <c r="DG2200" s="959"/>
      <c r="DH2200" s="959"/>
      <c r="ER2200" s="905">
        <v>7811</v>
      </c>
      <c r="ES2200" s="906" t="s">
        <v>1623</v>
      </c>
      <c r="ET2200" s="2686">
        <v>9</v>
      </c>
      <c r="EV2200" s="985"/>
      <c r="EW2200" s="985"/>
      <c r="EX2200" s="387"/>
      <c r="EY2200" s="939"/>
      <c r="EZ2200" s="886"/>
    </row>
    <row r="2201" spans="88:156">
      <c r="CJ2201" s="197"/>
      <c r="CK2201" s="197"/>
      <c r="CL2201" s="197"/>
      <c r="CM2201" s="213"/>
      <c r="CN2201" s="213"/>
      <c r="CO2201" s="197"/>
      <c r="CP2201" s="197"/>
      <c r="CQ2201" s="197"/>
      <c r="CR2201" s="197"/>
      <c r="CS2201" s="197"/>
      <c r="CT2201" s="197"/>
      <c r="CU2201" s="197"/>
      <c r="CV2201" s="197"/>
      <c r="CW2201" s="197"/>
      <c r="CX2201" s="959"/>
      <c r="CY2201" s="959"/>
      <c r="CZ2201" s="959"/>
      <c r="DA2201" s="959"/>
      <c r="DB2201" s="959"/>
      <c r="DC2201" s="891">
        <v>7772</v>
      </c>
      <c r="DD2201" s="891" t="s">
        <v>1917</v>
      </c>
      <c r="DE2201" s="891" t="s">
        <v>2808</v>
      </c>
      <c r="DF2201" s="891">
        <v>5</v>
      </c>
      <c r="DG2201" s="959"/>
      <c r="DH2201" s="959"/>
      <c r="ER2201" s="905">
        <v>7811</v>
      </c>
      <c r="ES2201" s="906" t="s">
        <v>1927</v>
      </c>
      <c r="ET2201" s="2686">
        <v>9</v>
      </c>
      <c r="EV2201" s="985"/>
      <c r="EW2201" s="985"/>
      <c r="EX2201" s="387"/>
      <c r="EY2201" s="939"/>
      <c r="EZ2201" s="886"/>
    </row>
    <row r="2202" spans="88:156">
      <c r="CJ2202" s="197"/>
      <c r="CK2202" s="197"/>
      <c r="CL2202" s="197"/>
      <c r="CM2202" s="213"/>
      <c r="CN2202" s="213"/>
      <c r="CO2202" s="197"/>
      <c r="CP2202" s="197"/>
      <c r="CQ2202" s="197"/>
      <c r="CR2202" s="197"/>
      <c r="CS2202" s="197"/>
      <c r="CT2202" s="197"/>
      <c r="CU2202" s="197"/>
      <c r="CV2202" s="197"/>
      <c r="CW2202" s="197"/>
      <c r="CX2202" s="959"/>
      <c r="CY2202" s="959"/>
      <c r="CZ2202" s="959"/>
      <c r="DA2202" s="959"/>
      <c r="DB2202" s="959"/>
      <c r="DC2202" s="891">
        <v>7773</v>
      </c>
      <c r="DD2202" s="891" t="s">
        <v>1918</v>
      </c>
      <c r="DE2202" s="891" t="s">
        <v>2808</v>
      </c>
      <c r="DF2202" s="891">
        <v>5</v>
      </c>
      <c r="DG2202" s="959"/>
      <c r="DH2202" s="959"/>
      <c r="ER2202" s="905">
        <v>7812</v>
      </c>
      <c r="ES2202" s="906" t="s">
        <v>1928</v>
      </c>
      <c r="ET2202" s="2686">
        <v>9</v>
      </c>
      <c r="EV2202" s="985"/>
      <c r="EW2202" s="985"/>
      <c r="EX2202" s="387"/>
      <c r="EY2202" s="939"/>
      <c r="EZ2202" s="886"/>
    </row>
    <row r="2203" spans="88:156">
      <c r="CJ2203" s="197"/>
      <c r="CK2203" s="197"/>
      <c r="CL2203" s="197"/>
      <c r="CM2203" s="213"/>
      <c r="CN2203" s="213"/>
      <c r="CO2203" s="197"/>
      <c r="CP2203" s="197"/>
      <c r="CQ2203" s="197"/>
      <c r="CR2203" s="197"/>
      <c r="CS2203" s="197"/>
      <c r="CT2203" s="197"/>
      <c r="CU2203" s="197"/>
      <c r="CV2203" s="197"/>
      <c r="CW2203" s="197"/>
      <c r="CX2203" s="959"/>
      <c r="CY2203" s="959"/>
      <c r="CZ2203" s="959"/>
      <c r="DA2203" s="959"/>
      <c r="DB2203" s="959"/>
      <c r="DC2203" s="891">
        <v>7774</v>
      </c>
      <c r="DD2203" s="891" t="s">
        <v>1919</v>
      </c>
      <c r="DE2203" s="891" t="s">
        <v>2808</v>
      </c>
      <c r="DF2203" s="891">
        <v>5</v>
      </c>
      <c r="DG2203" s="959"/>
      <c r="DH2203" s="959"/>
      <c r="ER2203" s="905">
        <v>7813</v>
      </c>
      <c r="ES2203" s="906" t="s">
        <v>1929</v>
      </c>
      <c r="ET2203" s="2686">
        <v>9</v>
      </c>
      <c r="EV2203" s="985"/>
      <c r="EW2203" s="985"/>
      <c r="EX2203" s="387"/>
      <c r="EY2203" s="939"/>
      <c r="EZ2203" s="886"/>
    </row>
    <row r="2204" spans="88:156">
      <c r="CJ2204" s="197"/>
      <c r="CK2204" s="197"/>
      <c r="CL2204" s="197"/>
      <c r="CM2204" s="213"/>
      <c r="CN2204" s="213"/>
      <c r="CO2204" s="197"/>
      <c r="CP2204" s="197"/>
      <c r="CQ2204" s="197"/>
      <c r="CR2204" s="197"/>
      <c r="CS2204" s="197"/>
      <c r="CT2204" s="197"/>
      <c r="CU2204" s="197"/>
      <c r="CV2204" s="197"/>
      <c r="CW2204" s="197"/>
      <c r="CX2204" s="959"/>
      <c r="CY2204" s="959"/>
      <c r="CZ2204" s="959"/>
      <c r="DA2204" s="959"/>
      <c r="DB2204" s="959"/>
      <c r="DC2204" s="891">
        <v>7775</v>
      </c>
      <c r="DD2204" s="891" t="s">
        <v>1920</v>
      </c>
      <c r="DE2204" s="891" t="s">
        <v>402</v>
      </c>
      <c r="DF2204" s="891">
        <v>6</v>
      </c>
      <c r="DG2204" s="959"/>
      <c r="DH2204" s="959"/>
      <c r="ER2204" s="905">
        <v>7814</v>
      </c>
      <c r="ES2204" s="906" t="s">
        <v>1624</v>
      </c>
      <c r="ET2204" s="2686">
        <v>9</v>
      </c>
      <c r="EV2204" s="985"/>
      <c r="EW2204" s="985"/>
      <c r="EX2204" s="387"/>
      <c r="EY2204" s="939"/>
      <c r="EZ2204" s="886"/>
    </row>
    <row r="2205" spans="88:156">
      <c r="CJ2205" s="197"/>
      <c r="CK2205" s="197"/>
      <c r="CL2205" s="197"/>
      <c r="CM2205" s="213"/>
      <c r="CN2205" s="213"/>
      <c r="CO2205" s="197"/>
      <c r="CP2205" s="197"/>
      <c r="CQ2205" s="197"/>
      <c r="CR2205" s="197"/>
      <c r="CS2205" s="197"/>
      <c r="CT2205" s="197"/>
      <c r="CU2205" s="197"/>
      <c r="CV2205" s="197"/>
      <c r="CW2205" s="197"/>
      <c r="CX2205" s="959"/>
      <c r="CY2205" s="959"/>
      <c r="CZ2205" s="959"/>
      <c r="DA2205" s="959"/>
      <c r="DB2205" s="959"/>
      <c r="DC2205" s="891">
        <v>7781</v>
      </c>
      <c r="DD2205" s="891" t="s">
        <v>1921</v>
      </c>
      <c r="DE2205" s="891" t="s">
        <v>406</v>
      </c>
      <c r="DF2205" s="891">
        <v>6</v>
      </c>
      <c r="DG2205" s="959"/>
      <c r="DH2205" s="959"/>
      <c r="ER2205" s="905">
        <v>7814</v>
      </c>
      <c r="ES2205" s="906" t="s">
        <v>1625</v>
      </c>
      <c r="ET2205" s="2686">
        <v>9</v>
      </c>
      <c r="EV2205" s="985"/>
      <c r="EW2205" s="985"/>
      <c r="EX2205" s="387"/>
      <c r="EY2205" s="939"/>
      <c r="EZ2205" s="886"/>
    </row>
    <row r="2206" spans="88:156">
      <c r="CJ2206" s="197"/>
      <c r="CK2206" s="197"/>
      <c r="CL2206" s="197"/>
      <c r="CM2206" s="213"/>
      <c r="CN2206" s="213"/>
      <c r="CO2206" s="197"/>
      <c r="CP2206" s="197"/>
      <c r="CQ2206" s="197"/>
      <c r="CR2206" s="197"/>
      <c r="CS2206" s="197"/>
      <c r="CT2206" s="197"/>
      <c r="CU2206" s="197"/>
      <c r="CV2206" s="197"/>
      <c r="CW2206" s="197"/>
      <c r="CX2206" s="959"/>
      <c r="CY2206" s="959"/>
      <c r="CZ2206" s="959"/>
      <c r="DA2206" s="959"/>
      <c r="DB2206" s="959"/>
      <c r="DC2206" s="891">
        <v>7782</v>
      </c>
      <c r="DD2206" s="891" t="s">
        <v>1922</v>
      </c>
      <c r="DE2206" s="891" t="s">
        <v>428</v>
      </c>
      <c r="DF2206" s="891">
        <v>6</v>
      </c>
      <c r="DG2206" s="959"/>
      <c r="DH2206" s="959"/>
      <c r="ER2206" s="905">
        <v>7814</v>
      </c>
      <c r="ES2206" s="906" t="s">
        <v>1626</v>
      </c>
      <c r="ET2206" s="2686">
        <v>9</v>
      </c>
      <c r="EV2206" s="985"/>
      <c r="EW2206" s="985"/>
      <c r="EX2206" s="387"/>
      <c r="EY2206" s="939"/>
      <c r="EZ2206" s="886"/>
    </row>
    <row r="2207" spans="88:156">
      <c r="CJ2207" s="197"/>
      <c r="CK2207" s="197"/>
      <c r="CL2207" s="197"/>
      <c r="CM2207" s="213"/>
      <c r="CN2207" s="213"/>
      <c r="CO2207" s="197"/>
      <c r="CP2207" s="197"/>
      <c r="CQ2207" s="197"/>
      <c r="CR2207" s="197"/>
      <c r="CS2207" s="197"/>
      <c r="CT2207" s="197"/>
      <c r="CU2207" s="197"/>
      <c r="CV2207" s="197"/>
      <c r="CW2207" s="197"/>
      <c r="CX2207" s="959"/>
      <c r="CY2207" s="959"/>
      <c r="CZ2207" s="959"/>
      <c r="DA2207" s="959"/>
      <c r="DB2207" s="959"/>
      <c r="DC2207" s="891">
        <v>7783</v>
      </c>
      <c r="DD2207" s="891" t="s">
        <v>1923</v>
      </c>
      <c r="DE2207" s="891" t="s">
        <v>406</v>
      </c>
      <c r="DF2207" s="891">
        <v>5</v>
      </c>
      <c r="DG2207" s="959"/>
      <c r="DH2207" s="959"/>
      <c r="ER2207" s="905">
        <v>7814</v>
      </c>
      <c r="ES2207" s="906" t="s">
        <v>1930</v>
      </c>
      <c r="ET2207" s="2686">
        <v>9</v>
      </c>
      <c r="EV2207" s="985"/>
      <c r="EW2207" s="985"/>
      <c r="EX2207" s="387"/>
      <c r="EY2207" s="939"/>
      <c r="EZ2207" s="886"/>
    </row>
    <row r="2208" spans="88:156">
      <c r="CJ2208" s="197"/>
      <c r="CK2208" s="197"/>
      <c r="CL2208" s="197"/>
      <c r="CM2208" s="213"/>
      <c r="CN2208" s="213"/>
      <c r="CO2208" s="197"/>
      <c r="CP2208" s="197"/>
      <c r="CQ2208" s="197"/>
      <c r="CR2208" s="197"/>
      <c r="CS2208" s="197"/>
      <c r="CT2208" s="197"/>
      <c r="CU2208" s="197"/>
      <c r="CV2208" s="197"/>
      <c r="CW2208" s="197"/>
      <c r="CX2208" s="959"/>
      <c r="CY2208" s="959"/>
      <c r="CZ2208" s="959"/>
      <c r="DA2208" s="959"/>
      <c r="DB2208" s="959"/>
      <c r="DC2208" s="891">
        <v>7784</v>
      </c>
      <c r="DD2208" s="891" t="s">
        <v>1924</v>
      </c>
      <c r="DE2208" s="891" t="s">
        <v>406</v>
      </c>
      <c r="DF2208" s="891">
        <v>6</v>
      </c>
      <c r="DG2208" s="959"/>
      <c r="DH2208" s="959"/>
      <c r="ER2208" s="905">
        <v>7815</v>
      </c>
      <c r="ES2208" s="906" t="s">
        <v>1931</v>
      </c>
      <c r="ET2208" s="2686">
        <v>9</v>
      </c>
      <c r="EV2208" s="985"/>
      <c r="EW2208" s="985"/>
      <c r="EX2208" s="387"/>
      <c r="EY2208" s="939"/>
      <c r="EZ2208" s="886"/>
    </row>
    <row r="2209" spans="88:156">
      <c r="CJ2209" s="197"/>
      <c r="CK2209" s="197"/>
      <c r="CL2209" s="197"/>
      <c r="CM2209" s="213"/>
      <c r="CN2209" s="213"/>
      <c r="CO2209" s="197"/>
      <c r="CP2209" s="197"/>
      <c r="CQ2209" s="197"/>
      <c r="CR2209" s="197"/>
      <c r="CS2209" s="197"/>
      <c r="CT2209" s="197"/>
      <c r="CU2209" s="197"/>
      <c r="CV2209" s="197"/>
      <c r="CW2209" s="197"/>
      <c r="CX2209" s="959"/>
      <c r="CY2209" s="959"/>
      <c r="CZ2209" s="959"/>
      <c r="DA2209" s="959"/>
      <c r="DB2209" s="959"/>
      <c r="DC2209" s="891">
        <v>7785</v>
      </c>
      <c r="DD2209" s="891" t="s">
        <v>1925</v>
      </c>
      <c r="DE2209" s="891" t="s">
        <v>406</v>
      </c>
      <c r="DF2209" s="891">
        <v>6</v>
      </c>
      <c r="DG2209" s="959"/>
      <c r="DH2209" s="959"/>
      <c r="ER2209" s="905">
        <v>7817</v>
      </c>
      <c r="ES2209" s="906" t="s">
        <v>1627</v>
      </c>
      <c r="ET2209" s="2686">
        <v>9</v>
      </c>
      <c r="EV2209" s="985"/>
      <c r="EW2209" s="985"/>
      <c r="EX2209" s="387"/>
      <c r="EY2209" s="939"/>
      <c r="EZ2209" s="886"/>
    </row>
    <row r="2210" spans="88:156">
      <c r="CJ2210" s="197"/>
      <c r="CK2210" s="197"/>
      <c r="CL2210" s="197"/>
      <c r="CM2210" s="213"/>
      <c r="CN2210" s="213"/>
      <c r="CO2210" s="197"/>
      <c r="CP2210" s="197"/>
      <c r="CQ2210" s="197"/>
      <c r="CR2210" s="197"/>
      <c r="CS2210" s="197"/>
      <c r="CT2210" s="197"/>
      <c r="CU2210" s="197"/>
      <c r="CV2210" s="197"/>
      <c r="CW2210" s="197"/>
      <c r="CX2210" s="959"/>
      <c r="CY2210" s="959"/>
      <c r="CZ2210" s="959"/>
      <c r="DA2210" s="959"/>
      <c r="DB2210" s="959"/>
      <c r="DC2210" s="891">
        <v>7800</v>
      </c>
      <c r="DD2210" s="891" t="s">
        <v>1926</v>
      </c>
      <c r="DE2210" s="891" t="s">
        <v>417</v>
      </c>
      <c r="DF2210" s="891">
        <v>5</v>
      </c>
      <c r="DG2210" s="959"/>
      <c r="DH2210" s="959"/>
      <c r="ER2210" s="905">
        <v>7817</v>
      </c>
      <c r="ES2210" s="906" t="s">
        <v>1932</v>
      </c>
      <c r="ET2210" s="2686">
        <v>9</v>
      </c>
      <c r="EV2210" s="985"/>
      <c r="EW2210" s="985"/>
      <c r="EX2210" s="387"/>
      <c r="EY2210" s="939"/>
      <c r="EZ2210" s="886"/>
    </row>
    <row r="2211" spans="88:156">
      <c r="CJ2211" s="197"/>
      <c r="CK2211" s="197"/>
      <c r="CL2211" s="197"/>
      <c r="CM2211" s="213"/>
      <c r="CN2211" s="213"/>
      <c r="CO2211" s="197"/>
      <c r="CP2211" s="197"/>
      <c r="CQ2211" s="197"/>
      <c r="CR2211" s="197"/>
      <c r="CS2211" s="197"/>
      <c r="CT2211" s="197"/>
      <c r="CU2211" s="197"/>
      <c r="CV2211" s="197"/>
      <c r="CW2211" s="197"/>
      <c r="CX2211" s="959"/>
      <c r="CY2211" s="959"/>
      <c r="CZ2211" s="959"/>
      <c r="DA2211" s="959"/>
      <c r="DB2211" s="959"/>
      <c r="DC2211" s="891">
        <v>7811</v>
      </c>
      <c r="DD2211" s="891" t="s">
        <v>1927</v>
      </c>
      <c r="DE2211" s="891" t="s">
        <v>433</v>
      </c>
      <c r="DF2211" s="891">
        <v>5</v>
      </c>
      <c r="DG2211" s="959"/>
      <c r="DH2211" s="959"/>
      <c r="ER2211" s="905">
        <v>7817</v>
      </c>
      <c r="ES2211" s="906" t="s">
        <v>1951</v>
      </c>
      <c r="ET2211" s="2686">
        <v>9</v>
      </c>
      <c r="EV2211" s="985"/>
      <c r="EW2211" s="985"/>
      <c r="EX2211" s="387"/>
      <c r="EY2211" s="939"/>
      <c r="EZ2211" s="886"/>
    </row>
    <row r="2212" spans="88:156">
      <c r="CJ2212" s="197"/>
      <c r="CK2212" s="197"/>
      <c r="CL2212" s="197"/>
      <c r="CM2212" s="213"/>
      <c r="CN2212" s="213"/>
      <c r="CO2212" s="197"/>
      <c r="CP2212" s="197"/>
      <c r="CQ2212" s="197"/>
      <c r="CR2212" s="197"/>
      <c r="CS2212" s="197"/>
      <c r="CT2212" s="197"/>
      <c r="CU2212" s="197"/>
      <c r="CV2212" s="197"/>
      <c r="CW2212" s="197"/>
      <c r="CX2212" s="959"/>
      <c r="CY2212" s="959"/>
      <c r="CZ2212" s="959"/>
      <c r="DA2212" s="959"/>
      <c r="DB2212" s="959"/>
      <c r="DC2212" s="891">
        <v>7812</v>
      </c>
      <c r="DD2212" s="891" t="s">
        <v>1928</v>
      </c>
      <c r="DE2212" s="891" t="s">
        <v>433</v>
      </c>
      <c r="DF2212" s="891">
        <v>5</v>
      </c>
      <c r="DG2212" s="959"/>
      <c r="DH2212" s="959"/>
      <c r="ER2212" s="905">
        <v>7822</v>
      </c>
      <c r="ES2212" s="906" t="s">
        <v>1935</v>
      </c>
      <c r="ET2212" s="2686">
        <v>9</v>
      </c>
      <c r="EV2212" s="985"/>
      <c r="EW2212" s="985"/>
      <c r="EX2212" s="387"/>
      <c r="EY2212" s="939"/>
      <c r="EZ2212" s="886"/>
    </row>
    <row r="2213" spans="88:156">
      <c r="CJ2213" s="197"/>
      <c r="CK2213" s="197"/>
      <c r="CL2213" s="197"/>
      <c r="CM2213" s="213"/>
      <c r="CN2213" s="213"/>
      <c r="CO2213" s="197"/>
      <c r="CP2213" s="197"/>
      <c r="CQ2213" s="197"/>
      <c r="CR2213" s="197"/>
      <c r="CS2213" s="197"/>
      <c r="CT2213" s="197"/>
      <c r="CU2213" s="197"/>
      <c r="CV2213" s="197"/>
      <c r="CW2213" s="197"/>
      <c r="CX2213" s="959"/>
      <c r="CY2213" s="959"/>
      <c r="CZ2213" s="959"/>
      <c r="DA2213" s="959"/>
      <c r="DB2213" s="959"/>
      <c r="DC2213" s="891">
        <v>7813</v>
      </c>
      <c r="DD2213" s="891" t="s">
        <v>1929</v>
      </c>
      <c r="DE2213" s="891" t="s">
        <v>433</v>
      </c>
      <c r="DF2213" s="891">
        <v>5</v>
      </c>
      <c r="DG2213" s="959"/>
      <c r="DH2213" s="959"/>
      <c r="ER2213" s="905">
        <v>7823</v>
      </c>
      <c r="ES2213" s="906" t="s">
        <v>1628</v>
      </c>
      <c r="ET2213" s="2686">
        <v>9</v>
      </c>
      <c r="EV2213" s="985"/>
      <c r="EW2213" s="985"/>
      <c r="EX2213" s="387"/>
      <c r="EY2213" s="939"/>
      <c r="EZ2213" s="886"/>
    </row>
    <row r="2214" spans="88:156">
      <c r="CJ2214" s="197"/>
      <c r="CK2214" s="197"/>
      <c r="CL2214" s="197"/>
      <c r="CM2214" s="213"/>
      <c r="CN2214" s="213"/>
      <c r="CO2214" s="197"/>
      <c r="CP2214" s="197"/>
      <c r="CQ2214" s="197"/>
      <c r="CR2214" s="197"/>
      <c r="CS2214" s="197"/>
      <c r="CT2214" s="197"/>
      <c r="CU2214" s="197"/>
      <c r="CV2214" s="197"/>
      <c r="CW2214" s="197"/>
      <c r="CX2214" s="959"/>
      <c r="CY2214" s="959"/>
      <c r="CZ2214" s="959"/>
      <c r="DA2214" s="959"/>
      <c r="DB2214" s="959"/>
      <c r="DC2214" s="891">
        <v>7814</v>
      </c>
      <c r="DD2214" s="891" t="s">
        <v>1930</v>
      </c>
      <c r="DE2214" s="891" t="s">
        <v>433</v>
      </c>
      <c r="DF2214" s="891">
        <v>4</v>
      </c>
      <c r="DG2214" s="959"/>
      <c r="DH2214" s="959"/>
      <c r="ER2214" s="905">
        <v>7823</v>
      </c>
      <c r="ES2214" s="906" t="s">
        <v>1936</v>
      </c>
      <c r="ET2214" s="2686">
        <v>9</v>
      </c>
      <c r="EV2214" s="985"/>
      <c r="EW2214" s="985"/>
      <c r="EX2214" s="387"/>
      <c r="EY2214" s="939"/>
      <c r="EZ2214" s="886"/>
    </row>
    <row r="2215" spans="88:156">
      <c r="CJ2215" s="197"/>
      <c r="CK2215" s="197"/>
      <c r="CL2215" s="197"/>
      <c r="CM2215" s="213"/>
      <c r="CN2215" s="213"/>
      <c r="CO2215" s="197"/>
      <c r="CP2215" s="197"/>
      <c r="CQ2215" s="197"/>
      <c r="CR2215" s="197"/>
      <c r="CS2215" s="197"/>
      <c r="CT2215" s="197"/>
      <c r="CU2215" s="197"/>
      <c r="CV2215" s="197"/>
      <c r="CW2215" s="197"/>
      <c r="CX2215" s="959"/>
      <c r="CY2215" s="959"/>
      <c r="CZ2215" s="959"/>
      <c r="DA2215" s="959"/>
      <c r="DB2215" s="959"/>
      <c r="DC2215" s="891">
        <v>7815</v>
      </c>
      <c r="DD2215" s="891" t="s">
        <v>1931</v>
      </c>
      <c r="DE2215" s="891" t="s">
        <v>435</v>
      </c>
      <c r="DF2215" s="891">
        <v>5</v>
      </c>
      <c r="DG2215" s="959"/>
      <c r="DH2215" s="959"/>
      <c r="ER2215" s="905">
        <v>7824</v>
      </c>
      <c r="ES2215" s="906" t="s">
        <v>1937</v>
      </c>
      <c r="ET2215" s="2686">
        <v>9</v>
      </c>
      <c r="EV2215" s="985"/>
      <c r="EW2215" s="985"/>
      <c r="EX2215" s="387"/>
      <c r="EY2215" s="939"/>
      <c r="EZ2215" s="886"/>
    </row>
    <row r="2216" spans="88:156">
      <c r="CJ2216" s="197"/>
      <c r="CK2216" s="197"/>
      <c r="CL2216" s="197"/>
      <c r="CM2216" s="213"/>
      <c r="CN2216" s="213"/>
      <c r="CO2216" s="197"/>
      <c r="CP2216" s="197"/>
      <c r="CQ2216" s="197"/>
      <c r="CR2216" s="197"/>
      <c r="CS2216" s="197"/>
      <c r="CT2216" s="197"/>
      <c r="CU2216" s="197"/>
      <c r="CV2216" s="197"/>
      <c r="CW2216" s="197"/>
      <c r="CX2216" s="959"/>
      <c r="CY2216" s="959"/>
      <c r="CZ2216" s="959"/>
      <c r="DA2216" s="959"/>
      <c r="DB2216" s="959"/>
      <c r="DC2216" s="891">
        <v>7817</v>
      </c>
      <c r="DD2216" s="891" t="s">
        <v>1932</v>
      </c>
      <c r="DE2216" s="891" t="s">
        <v>412</v>
      </c>
      <c r="DF2216" s="891">
        <v>5</v>
      </c>
      <c r="DG2216" s="959"/>
      <c r="DH2216" s="959"/>
      <c r="ER2216" s="905">
        <v>7824</v>
      </c>
      <c r="ES2216" s="906" t="s">
        <v>1938</v>
      </c>
      <c r="ET2216" s="2686">
        <v>9</v>
      </c>
      <c r="EV2216" s="985"/>
      <c r="EW2216" s="985"/>
      <c r="EX2216" s="387"/>
      <c r="EY2216" s="939"/>
      <c r="EZ2216" s="886"/>
    </row>
    <row r="2217" spans="88:156">
      <c r="CJ2217" s="197"/>
      <c r="CK2217" s="197"/>
      <c r="CL2217" s="197"/>
      <c r="CM2217" s="213"/>
      <c r="CN2217" s="213"/>
      <c r="CO2217" s="197"/>
      <c r="CP2217" s="197"/>
      <c r="CQ2217" s="197"/>
      <c r="CR2217" s="197"/>
      <c r="CS2217" s="197"/>
      <c r="CT2217" s="197"/>
      <c r="CU2217" s="197"/>
      <c r="CV2217" s="197"/>
      <c r="CW2217" s="197"/>
      <c r="CX2217" s="959"/>
      <c r="CY2217" s="959"/>
      <c r="CZ2217" s="959"/>
      <c r="DA2217" s="959"/>
      <c r="DB2217" s="959"/>
      <c r="DC2217" s="891">
        <v>7818</v>
      </c>
      <c r="DD2217" s="891" t="s">
        <v>1933</v>
      </c>
      <c r="DE2217" s="891" t="s">
        <v>421</v>
      </c>
      <c r="DF2217" s="891">
        <v>5</v>
      </c>
      <c r="DG2217" s="959"/>
      <c r="DH2217" s="959"/>
      <c r="ER2217" s="905">
        <v>7826</v>
      </c>
      <c r="ES2217" s="906" t="s">
        <v>1939</v>
      </c>
      <c r="ET2217" s="2686">
        <v>9</v>
      </c>
      <c r="EV2217" s="985"/>
      <c r="EW2217" s="985"/>
      <c r="EX2217" s="387"/>
      <c r="EY2217" s="939"/>
      <c r="EZ2217" s="886"/>
    </row>
    <row r="2218" spans="88:156">
      <c r="CJ2218" s="197"/>
      <c r="CK2218" s="197"/>
      <c r="CL2218" s="197"/>
      <c r="CM2218" s="213"/>
      <c r="CN2218" s="213"/>
      <c r="CO2218" s="197"/>
      <c r="CP2218" s="197"/>
      <c r="CQ2218" s="197"/>
      <c r="CR2218" s="197"/>
      <c r="CS2218" s="197"/>
      <c r="CT2218" s="197"/>
      <c r="CU2218" s="197"/>
      <c r="CV2218" s="197"/>
      <c r="CW2218" s="197"/>
      <c r="CX2218" s="959"/>
      <c r="CY2218" s="959"/>
      <c r="CZ2218" s="959"/>
      <c r="DA2218" s="959"/>
      <c r="DB2218" s="959"/>
      <c r="DC2218" s="891">
        <v>7821</v>
      </c>
      <c r="DD2218" s="891" t="s">
        <v>1934</v>
      </c>
      <c r="DE2218" s="891" t="s">
        <v>419</v>
      </c>
      <c r="DF2218" s="891">
        <v>5</v>
      </c>
      <c r="DG2218" s="959"/>
      <c r="DH2218" s="959"/>
      <c r="ER2218" s="905">
        <v>7827</v>
      </c>
      <c r="ES2218" s="906" t="s">
        <v>1629</v>
      </c>
      <c r="ET2218" s="2686">
        <v>9</v>
      </c>
      <c r="EV2218" s="985"/>
      <c r="EW2218" s="985"/>
      <c r="EX2218" s="387"/>
      <c r="EY2218" s="939"/>
      <c r="EZ2218" s="886"/>
    </row>
    <row r="2219" spans="88:156">
      <c r="CJ2219" s="197"/>
      <c r="CK2219" s="197"/>
      <c r="CL2219" s="197"/>
      <c r="CM2219" s="213"/>
      <c r="CN2219" s="213"/>
      <c r="CO2219" s="197"/>
      <c r="CP2219" s="197"/>
      <c r="CQ2219" s="197"/>
      <c r="CR2219" s="197"/>
      <c r="CS2219" s="197"/>
      <c r="CT2219" s="197"/>
      <c r="CU2219" s="197"/>
      <c r="CV2219" s="197"/>
      <c r="CW2219" s="197"/>
      <c r="CX2219" s="959"/>
      <c r="CY2219" s="959"/>
      <c r="CZ2219" s="959"/>
      <c r="DA2219" s="959"/>
      <c r="DB2219" s="959"/>
      <c r="DC2219" s="891">
        <v>7822</v>
      </c>
      <c r="DD2219" s="891" t="s">
        <v>1935</v>
      </c>
      <c r="DE2219" s="891" t="s">
        <v>421</v>
      </c>
      <c r="DF2219" s="891">
        <v>6</v>
      </c>
      <c r="DG2219" s="959"/>
      <c r="DH2219" s="959"/>
      <c r="ER2219" s="905">
        <v>7827</v>
      </c>
      <c r="ES2219" s="906" t="s">
        <v>1940</v>
      </c>
      <c r="ET2219" s="2686">
        <v>9</v>
      </c>
      <c r="EV2219" s="985"/>
      <c r="EW2219" s="985"/>
      <c r="EX2219" s="387"/>
      <c r="EY2219" s="939"/>
      <c r="EZ2219" s="886"/>
    </row>
    <row r="2220" spans="88:156">
      <c r="CJ2220" s="197"/>
      <c r="CK2220" s="197"/>
      <c r="CL2220" s="197"/>
      <c r="CM2220" s="213"/>
      <c r="CN2220" s="213"/>
      <c r="CO2220" s="197"/>
      <c r="CP2220" s="197"/>
      <c r="CQ2220" s="197"/>
      <c r="CR2220" s="197"/>
      <c r="CS2220" s="197"/>
      <c r="CT2220" s="197"/>
      <c r="CU2220" s="197"/>
      <c r="CV2220" s="197"/>
      <c r="CW2220" s="197"/>
      <c r="CX2220" s="959"/>
      <c r="CY2220" s="959"/>
      <c r="CZ2220" s="959"/>
      <c r="DA2220" s="959"/>
      <c r="DB2220" s="959"/>
      <c r="DC2220" s="891">
        <v>7823</v>
      </c>
      <c r="DD2220" s="891" t="s">
        <v>1936</v>
      </c>
      <c r="DE2220" s="891" t="s">
        <v>433</v>
      </c>
      <c r="DF2220" s="891">
        <v>6</v>
      </c>
      <c r="DG2220" s="959"/>
      <c r="DH2220" s="959"/>
      <c r="ER2220" s="905">
        <v>7831</v>
      </c>
      <c r="ES2220" s="906" t="s">
        <v>1941</v>
      </c>
      <c r="ET2220" s="2686">
        <v>4</v>
      </c>
      <c r="EV2220" s="985"/>
      <c r="EW2220" s="985"/>
      <c r="EX2220" s="387"/>
      <c r="EY2220" s="939"/>
      <c r="EZ2220" s="886"/>
    </row>
    <row r="2221" spans="88:156">
      <c r="CJ2221" s="197"/>
      <c r="CK2221" s="197"/>
      <c r="CL2221" s="197"/>
      <c r="CM2221" s="213"/>
      <c r="CN2221" s="213"/>
      <c r="CO2221" s="197"/>
      <c r="CP2221" s="197"/>
      <c r="CQ2221" s="197"/>
      <c r="CR2221" s="197"/>
      <c r="CS2221" s="197"/>
      <c r="CT2221" s="197"/>
      <c r="CU2221" s="197"/>
      <c r="CV2221" s="197"/>
      <c r="CW2221" s="197"/>
      <c r="CX2221" s="959"/>
      <c r="CY2221" s="959"/>
      <c r="CZ2221" s="959"/>
      <c r="DA2221" s="959"/>
      <c r="DB2221" s="959"/>
      <c r="DC2221" s="891">
        <v>7824</v>
      </c>
      <c r="DD2221" s="891" t="s">
        <v>1937</v>
      </c>
      <c r="DE2221" s="891" t="s">
        <v>428</v>
      </c>
      <c r="DF2221" s="891">
        <v>6</v>
      </c>
      <c r="DG2221" s="959"/>
      <c r="DH2221" s="959"/>
      <c r="ER2221" s="905">
        <v>7833</v>
      </c>
      <c r="ES2221" s="906" t="s">
        <v>1630</v>
      </c>
      <c r="ET2221" s="2686">
        <v>9</v>
      </c>
      <c r="EV2221" s="985"/>
      <c r="EW2221" s="985"/>
      <c r="EX2221" s="387"/>
      <c r="EY2221" s="939"/>
      <c r="EZ2221" s="886"/>
    </row>
    <row r="2222" spans="88:156">
      <c r="CJ2222" s="197"/>
      <c r="CK2222" s="197"/>
      <c r="CL2222" s="197"/>
      <c r="CM2222" s="213"/>
      <c r="CN2222" s="213"/>
      <c r="CO2222" s="197"/>
      <c r="CP2222" s="197"/>
      <c r="CQ2222" s="197"/>
      <c r="CR2222" s="197"/>
      <c r="CS2222" s="197"/>
      <c r="CT2222" s="197"/>
      <c r="CU2222" s="197"/>
      <c r="CV2222" s="197"/>
      <c r="CW2222" s="197"/>
      <c r="CX2222" s="959"/>
      <c r="CY2222" s="959"/>
      <c r="CZ2222" s="959"/>
      <c r="DA2222" s="959"/>
      <c r="DB2222" s="959"/>
      <c r="DC2222" s="891">
        <v>7825</v>
      </c>
      <c r="DD2222" s="891" t="s">
        <v>1938</v>
      </c>
      <c r="DE2222" s="891" t="s">
        <v>406</v>
      </c>
      <c r="DF2222" s="891">
        <v>6</v>
      </c>
      <c r="DG2222" s="959"/>
      <c r="DH2222" s="959"/>
      <c r="ER2222" s="905">
        <v>7833</v>
      </c>
      <c r="ES2222" s="906" t="s">
        <v>1631</v>
      </c>
      <c r="ET2222" s="2686">
        <v>9</v>
      </c>
      <c r="EV2222" s="985"/>
      <c r="EW2222" s="985"/>
      <c r="EX2222" s="387"/>
      <c r="EY2222" s="939"/>
      <c r="EZ2222" s="886"/>
    </row>
    <row r="2223" spans="88:156">
      <c r="CJ2223" s="197"/>
      <c r="CK2223" s="197"/>
      <c r="CL2223" s="197"/>
      <c r="CM2223" s="213"/>
      <c r="CN2223" s="213"/>
      <c r="CO2223" s="197"/>
      <c r="CP2223" s="197"/>
      <c r="CQ2223" s="197"/>
      <c r="CR2223" s="197"/>
      <c r="CS2223" s="197"/>
      <c r="CT2223" s="197"/>
      <c r="CU2223" s="197"/>
      <c r="CV2223" s="197"/>
      <c r="CW2223" s="197"/>
      <c r="CX2223" s="959"/>
      <c r="CY2223" s="959"/>
      <c r="CZ2223" s="959"/>
      <c r="DA2223" s="959"/>
      <c r="DB2223" s="959"/>
      <c r="DC2223" s="891">
        <v>7826</v>
      </c>
      <c r="DD2223" s="891" t="s">
        <v>1939</v>
      </c>
      <c r="DE2223" s="891" t="s">
        <v>427</v>
      </c>
      <c r="DF2223" s="891">
        <v>5</v>
      </c>
      <c r="DG2223" s="959"/>
      <c r="DH2223" s="959"/>
      <c r="ER2223" s="905">
        <v>7833</v>
      </c>
      <c r="ES2223" s="906" t="s">
        <v>1942</v>
      </c>
      <c r="ET2223" s="2686">
        <v>9</v>
      </c>
      <c r="EV2223" s="985"/>
      <c r="EW2223" s="985"/>
      <c r="EX2223" s="387"/>
      <c r="EY2223" s="939"/>
      <c r="EZ2223" s="886"/>
    </row>
    <row r="2224" spans="88:156">
      <c r="CJ2224" s="197"/>
      <c r="CK2224" s="197"/>
      <c r="CL2224" s="197"/>
      <c r="CM2224" s="213"/>
      <c r="CN2224" s="213"/>
      <c r="CO2224" s="197"/>
      <c r="CP2224" s="197"/>
      <c r="CQ2224" s="197"/>
      <c r="CR2224" s="197"/>
      <c r="CS2224" s="197"/>
      <c r="CT2224" s="197"/>
      <c r="CU2224" s="197"/>
      <c r="CV2224" s="197"/>
      <c r="CW2224" s="197"/>
      <c r="CX2224" s="959"/>
      <c r="CY2224" s="959"/>
      <c r="CZ2224" s="959"/>
      <c r="DA2224" s="959"/>
      <c r="DB2224" s="959"/>
      <c r="DC2224" s="891">
        <v>7827</v>
      </c>
      <c r="DD2224" s="891" t="s">
        <v>1940</v>
      </c>
      <c r="DE2224" s="891" t="s">
        <v>419</v>
      </c>
      <c r="DF2224" s="891">
        <v>6</v>
      </c>
      <c r="DG2224" s="959"/>
      <c r="DH2224" s="959"/>
      <c r="ER2224" s="905">
        <v>7834</v>
      </c>
      <c r="ES2224" s="906" t="s">
        <v>1632</v>
      </c>
      <c r="ET2224" s="2686">
        <v>9</v>
      </c>
      <c r="EV2224" s="985"/>
      <c r="EW2224" s="985"/>
      <c r="EX2224" s="387"/>
      <c r="EY2224" s="939"/>
      <c r="EZ2224" s="886"/>
    </row>
    <row r="2225" spans="88:156">
      <c r="CJ2225" s="197"/>
      <c r="CK2225" s="197"/>
      <c r="CL2225" s="197"/>
      <c r="CM2225" s="213"/>
      <c r="CN2225" s="213"/>
      <c r="CO2225" s="197"/>
      <c r="CP2225" s="197"/>
      <c r="CQ2225" s="197"/>
      <c r="CR2225" s="197"/>
      <c r="CS2225" s="197"/>
      <c r="CT2225" s="197"/>
      <c r="CU2225" s="197"/>
      <c r="CV2225" s="197"/>
      <c r="CW2225" s="197"/>
      <c r="CX2225" s="959"/>
      <c r="CY2225" s="959"/>
      <c r="CZ2225" s="959"/>
      <c r="DA2225" s="959"/>
      <c r="DB2225" s="959"/>
      <c r="DC2225" s="891">
        <v>7831</v>
      </c>
      <c r="DD2225" s="891" t="s">
        <v>1941</v>
      </c>
      <c r="DE2225" s="891" t="s">
        <v>2807</v>
      </c>
      <c r="DF2225" s="891">
        <v>4</v>
      </c>
      <c r="DG2225" s="959"/>
      <c r="DH2225" s="959"/>
      <c r="ER2225" s="905">
        <v>7834</v>
      </c>
      <c r="ES2225" s="906" t="s">
        <v>1943</v>
      </c>
      <c r="ET2225" s="2686">
        <v>9</v>
      </c>
      <c r="EV2225" s="985"/>
      <c r="EW2225" s="985"/>
      <c r="EX2225" s="387"/>
      <c r="EY2225" s="939"/>
      <c r="EZ2225" s="886"/>
    </row>
    <row r="2226" spans="88:156">
      <c r="CJ2226" s="197"/>
      <c r="CK2226" s="197"/>
      <c r="CL2226" s="197"/>
      <c r="CM2226" s="213"/>
      <c r="CN2226" s="213"/>
      <c r="CO2226" s="197"/>
      <c r="CP2226" s="197"/>
      <c r="CQ2226" s="197"/>
      <c r="CR2226" s="197"/>
      <c r="CS2226" s="197"/>
      <c r="CT2226" s="197"/>
      <c r="CU2226" s="197"/>
      <c r="CV2226" s="197"/>
      <c r="CW2226" s="197"/>
      <c r="CX2226" s="959"/>
      <c r="CY2226" s="959"/>
      <c r="CZ2226" s="959"/>
      <c r="DA2226" s="959"/>
      <c r="DB2226" s="959"/>
      <c r="DC2226" s="891">
        <v>7833</v>
      </c>
      <c r="DD2226" s="891" t="s">
        <v>1942</v>
      </c>
      <c r="DE2226" s="891" t="s">
        <v>412</v>
      </c>
      <c r="DF2226" s="891">
        <v>4</v>
      </c>
      <c r="DG2226" s="959"/>
      <c r="DH2226" s="959"/>
      <c r="ER2226" s="905">
        <v>7834</v>
      </c>
      <c r="ES2226" s="906" t="s">
        <v>1944</v>
      </c>
      <c r="ET2226" s="2686">
        <v>9</v>
      </c>
      <c r="EV2226" s="985"/>
      <c r="EW2226" s="985"/>
      <c r="EX2226" s="387"/>
      <c r="EY2226" s="939"/>
      <c r="EZ2226" s="886"/>
    </row>
    <row r="2227" spans="88:156">
      <c r="CJ2227" s="197"/>
      <c r="CK2227" s="197"/>
      <c r="CL2227" s="197"/>
      <c r="CM2227" s="213"/>
      <c r="CN2227" s="213"/>
      <c r="CO2227" s="197"/>
      <c r="CP2227" s="197"/>
      <c r="CQ2227" s="197"/>
      <c r="CR2227" s="197"/>
      <c r="CS2227" s="197"/>
      <c r="CT2227" s="197"/>
      <c r="CU2227" s="197"/>
      <c r="CV2227" s="197"/>
      <c r="CW2227" s="197"/>
      <c r="CX2227" s="959"/>
      <c r="CY2227" s="959"/>
      <c r="CZ2227" s="959"/>
      <c r="DA2227" s="959"/>
      <c r="DB2227" s="959"/>
      <c r="DC2227" s="891">
        <v>7834</v>
      </c>
      <c r="DD2227" s="891" t="s">
        <v>1943</v>
      </c>
      <c r="DE2227" s="891" t="s">
        <v>406</v>
      </c>
      <c r="DF2227" s="891">
        <v>5</v>
      </c>
      <c r="DG2227" s="959"/>
      <c r="DH2227" s="959"/>
      <c r="ER2227" s="905">
        <v>7836</v>
      </c>
      <c r="ES2227" s="906" t="s">
        <v>1633</v>
      </c>
      <c r="ET2227" s="2686">
        <v>9</v>
      </c>
      <c r="EV2227" s="985"/>
      <c r="EW2227" s="985"/>
      <c r="EX2227" s="387"/>
      <c r="EY2227" s="939"/>
      <c r="EZ2227" s="886"/>
    </row>
    <row r="2228" spans="88:156">
      <c r="CJ2228" s="197"/>
      <c r="CK2228" s="197"/>
      <c r="CL2228" s="197"/>
      <c r="CM2228" s="213"/>
      <c r="CN2228" s="213"/>
      <c r="CO2228" s="197"/>
      <c r="CP2228" s="197"/>
      <c r="CQ2228" s="197"/>
      <c r="CR2228" s="197"/>
      <c r="CS2228" s="197"/>
      <c r="CT2228" s="197"/>
      <c r="CU2228" s="197"/>
      <c r="CV2228" s="197"/>
      <c r="CW2228" s="197"/>
      <c r="CX2228" s="959"/>
      <c r="CY2228" s="959"/>
      <c r="CZ2228" s="959"/>
      <c r="DA2228" s="959"/>
      <c r="DB2228" s="959"/>
      <c r="DC2228" s="891">
        <v>7835</v>
      </c>
      <c r="DD2228" s="891" t="s">
        <v>1944</v>
      </c>
      <c r="DE2228" s="891" t="s">
        <v>417</v>
      </c>
      <c r="DF2228" s="891">
        <v>5</v>
      </c>
      <c r="DG2228" s="959"/>
      <c r="DH2228" s="959"/>
      <c r="ER2228" s="905">
        <v>7836</v>
      </c>
      <c r="ES2228" s="906" t="s">
        <v>1945</v>
      </c>
      <c r="ET2228" s="2686">
        <v>9</v>
      </c>
      <c r="EV2228" s="985"/>
      <c r="EW2228" s="985"/>
      <c r="EX2228" s="387"/>
      <c r="EY2228" s="939"/>
      <c r="EZ2228" s="886"/>
    </row>
    <row r="2229" spans="88:156">
      <c r="CJ2229" s="197"/>
      <c r="CK2229" s="197"/>
      <c r="CL2229" s="197"/>
      <c r="CM2229" s="213"/>
      <c r="CN2229" s="213"/>
      <c r="CO2229" s="197"/>
      <c r="CP2229" s="197"/>
      <c r="CQ2229" s="197"/>
      <c r="CR2229" s="197"/>
      <c r="CS2229" s="197"/>
      <c r="CT2229" s="197"/>
      <c r="CU2229" s="197"/>
      <c r="CV2229" s="197"/>
      <c r="CW2229" s="197"/>
      <c r="CX2229" s="959"/>
      <c r="CY2229" s="959"/>
      <c r="CZ2229" s="959"/>
      <c r="DA2229" s="959"/>
      <c r="DB2229" s="959"/>
      <c r="DC2229" s="891">
        <v>7836</v>
      </c>
      <c r="DD2229" s="891" t="s">
        <v>1945</v>
      </c>
      <c r="DE2229" s="891" t="s">
        <v>428</v>
      </c>
      <c r="DF2229" s="891">
        <v>5</v>
      </c>
      <c r="DG2229" s="959"/>
      <c r="DH2229" s="959"/>
      <c r="ER2229" s="905">
        <v>7837</v>
      </c>
      <c r="ES2229" s="906" t="s">
        <v>1946</v>
      </c>
      <c r="ET2229" s="2686">
        <v>9</v>
      </c>
      <c r="EV2229" s="985"/>
      <c r="EW2229" s="985"/>
      <c r="EX2229" s="387"/>
      <c r="EY2229" s="939"/>
      <c r="EZ2229" s="886"/>
    </row>
    <row r="2230" spans="88:156">
      <c r="CJ2230" s="197"/>
      <c r="CK2230" s="197"/>
      <c r="CL2230" s="197"/>
      <c r="CM2230" s="213"/>
      <c r="CN2230" s="213"/>
      <c r="CO2230" s="197"/>
      <c r="CP2230" s="197"/>
      <c r="CQ2230" s="197"/>
      <c r="CR2230" s="197"/>
      <c r="CS2230" s="197"/>
      <c r="CT2230" s="197"/>
      <c r="CU2230" s="197"/>
      <c r="CV2230" s="197"/>
      <c r="CW2230" s="197"/>
      <c r="CX2230" s="959"/>
      <c r="CY2230" s="959"/>
      <c r="CZ2230" s="959"/>
      <c r="DA2230" s="959"/>
      <c r="DB2230" s="959"/>
      <c r="DC2230" s="891">
        <v>7837</v>
      </c>
      <c r="DD2230" s="891" t="s">
        <v>1946</v>
      </c>
      <c r="DE2230" s="891" t="s">
        <v>423</v>
      </c>
      <c r="DF2230" s="891">
        <v>5</v>
      </c>
      <c r="DG2230" s="959"/>
      <c r="DH2230" s="959"/>
      <c r="ER2230" s="905">
        <v>7838</v>
      </c>
      <c r="ES2230" s="906" t="s">
        <v>1634</v>
      </c>
      <c r="ET2230" s="2686">
        <v>9</v>
      </c>
      <c r="EV2230" s="985"/>
      <c r="EW2230" s="985"/>
      <c r="EX2230" s="387"/>
      <c r="EY2230" s="939"/>
      <c r="EZ2230" s="886"/>
    </row>
    <row r="2231" spans="88:156">
      <c r="CJ2231" s="197"/>
      <c r="CK2231" s="197"/>
      <c r="CL2231" s="197"/>
      <c r="CM2231" s="213"/>
      <c r="CN2231" s="213"/>
      <c r="CO2231" s="197"/>
      <c r="CP2231" s="197"/>
      <c r="CQ2231" s="197"/>
      <c r="CR2231" s="197"/>
      <c r="CS2231" s="197"/>
      <c r="CT2231" s="197"/>
      <c r="CU2231" s="197"/>
      <c r="CV2231" s="197"/>
      <c r="CW2231" s="197"/>
      <c r="CX2231" s="959"/>
      <c r="CY2231" s="959"/>
      <c r="CZ2231" s="959"/>
      <c r="DA2231" s="959"/>
      <c r="DB2231" s="959"/>
      <c r="DC2231" s="891">
        <v>7838</v>
      </c>
      <c r="DD2231" s="891" t="s">
        <v>1947</v>
      </c>
      <c r="DE2231" s="891" t="s">
        <v>421</v>
      </c>
      <c r="DF2231" s="891">
        <v>5</v>
      </c>
      <c r="DG2231" s="959"/>
      <c r="DH2231" s="959"/>
      <c r="ER2231" s="905">
        <v>7838</v>
      </c>
      <c r="ES2231" s="906" t="s">
        <v>1635</v>
      </c>
      <c r="ET2231" s="2686">
        <v>9</v>
      </c>
      <c r="EV2231" s="985"/>
      <c r="EW2231" s="985"/>
      <c r="EX2231" s="387"/>
      <c r="EY2231" s="939"/>
      <c r="EZ2231" s="886"/>
    </row>
    <row r="2232" spans="88:156">
      <c r="CJ2232" s="197"/>
      <c r="CK2232" s="197"/>
      <c r="CL2232" s="197"/>
      <c r="CM2232" s="213"/>
      <c r="CN2232" s="213"/>
      <c r="CO2232" s="197"/>
      <c r="CP2232" s="197"/>
      <c r="CQ2232" s="197"/>
      <c r="CR2232" s="197"/>
      <c r="CS2232" s="197"/>
      <c r="CT2232" s="197"/>
      <c r="CU2232" s="197"/>
      <c r="CV2232" s="197"/>
      <c r="CW2232" s="197"/>
      <c r="CX2232" s="959"/>
      <c r="CY2232" s="959"/>
      <c r="CZ2232" s="959"/>
      <c r="DA2232" s="959"/>
      <c r="DB2232" s="959"/>
      <c r="DC2232" s="891">
        <v>7839</v>
      </c>
      <c r="DD2232" s="891" t="s">
        <v>1948</v>
      </c>
      <c r="DE2232" s="891" t="s">
        <v>421</v>
      </c>
      <c r="DF2232" s="891">
        <v>4</v>
      </c>
      <c r="DG2232" s="959"/>
      <c r="DH2232" s="959"/>
      <c r="ER2232" s="905">
        <v>7838</v>
      </c>
      <c r="ES2232" s="906" t="s">
        <v>1636</v>
      </c>
      <c r="ET2232" s="2686">
        <v>9</v>
      </c>
      <c r="EV2232" s="985"/>
      <c r="EW2232" s="985"/>
      <c r="EX2232" s="387"/>
      <c r="EY2232" s="939"/>
      <c r="EZ2232" s="886"/>
    </row>
    <row r="2233" spans="88:156">
      <c r="CJ2233" s="197"/>
      <c r="CK2233" s="197"/>
      <c r="CL2233" s="197"/>
      <c r="CM2233" s="213"/>
      <c r="CN2233" s="213"/>
      <c r="CO2233" s="197"/>
      <c r="CP2233" s="197"/>
      <c r="CQ2233" s="197"/>
      <c r="CR2233" s="197"/>
      <c r="CS2233" s="197"/>
      <c r="CT2233" s="197"/>
      <c r="CU2233" s="197"/>
      <c r="CV2233" s="197"/>
      <c r="CW2233" s="197"/>
      <c r="CX2233" s="959"/>
      <c r="CY2233" s="959"/>
      <c r="CZ2233" s="959"/>
      <c r="DA2233" s="959"/>
      <c r="DB2233" s="959"/>
      <c r="DC2233" s="891">
        <v>7841</v>
      </c>
      <c r="DD2233" s="891" t="s">
        <v>1949</v>
      </c>
      <c r="DE2233" s="891" t="s">
        <v>421</v>
      </c>
      <c r="DF2233" s="891">
        <v>5</v>
      </c>
      <c r="DG2233" s="959"/>
      <c r="DH2233" s="959"/>
      <c r="ER2233" s="905">
        <v>7838</v>
      </c>
      <c r="ES2233" s="906" t="s">
        <v>3466</v>
      </c>
      <c r="ET2233" s="2686">
        <v>9</v>
      </c>
      <c r="EV2233" s="985"/>
      <c r="EW2233" s="985"/>
      <c r="EX2233" s="387"/>
      <c r="EY2233" s="939"/>
      <c r="EZ2233" s="886"/>
    </row>
    <row r="2234" spans="88:156">
      <c r="CJ2234" s="197"/>
      <c r="CK2234" s="197"/>
      <c r="CL2234" s="197"/>
      <c r="CM2234" s="213"/>
      <c r="CN2234" s="213"/>
      <c r="CO2234" s="197"/>
      <c r="CP2234" s="197"/>
      <c r="CQ2234" s="197"/>
      <c r="CR2234" s="197"/>
      <c r="CS2234" s="197"/>
      <c r="CT2234" s="197"/>
      <c r="CU2234" s="197"/>
      <c r="CV2234" s="197"/>
      <c r="CW2234" s="197"/>
      <c r="CX2234" s="959"/>
      <c r="CY2234" s="959"/>
      <c r="CZ2234" s="959"/>
      <c r="DA2234" s="959"/>
      <c r="DB2234" s="959"/>
      <c r="DC2234" s="891">
        <v>7843</v>
      </c>
      <c r="DD2234" s="891" t="s">
        <v>1950</v>
      </c>
      <c r="DE2234" s="891" t="s">
        <v>404</v>
      </c>
      <c r="DF2234" s="891">
        <v>5</v>
      </c>
      <c r="DG2234" s="959"/>
      <c r="DH2234" s="959"/>
      <c r="ER2234" s="905">
        <v>7838</v>
      </c>
      <c r="ES2234" s="906" t="s">
        <v>1637</v>
      </c>
      <c r="ET2234" s="2686">
        <v>9</v>
      </c>
      <c r="EV2234" s="985"/>
      <c r="EW2234" s="985"/>
      <c r="EX2234" s="387"/>
      <c r="EY2234" s="939"/>
      <c r="EZ2234" s="886"/>
    </row>
    <row r="2235" spans="88:156">
      <c r="CJ2235" s="197"/>
      <c r="CK2235" s="197"/>
      <c r="CL2235" s="197"/>
      <c r="CM2235" s="213"/>
      <c r="CN2235" s="213"/>
      <c r="CO2235" s="197"/>
      <c r="CP2235" s="197"/>
      <c r="CQ2235" s="197"/>
      <c r="CR2235" s="197"/>
      <c r="CS2235" s="197"/>
      <c r="CT2235" s="197"/>
      <c r="CU2235" s="197"/>
      <c r="CV2235" s="197"/>
      <c r="CW2235" s="197"/>
      <c r="CX2235" s="959"/>
      <c r="CY2235" s="959"/>
      <c r="CZ2235" s="959"/>
      <c r="DA2235" s="959"/>
      <c r="DB2235" s="959"/>
      <c r="DC2235" s="891">
        <v>7846</v>
      </c>
      <c r="DD2235" s="891" t="s">
        <v>1951</v>
      </c>
      <c r="DE2235" s="891" t="s">
        <v>412</v>
      </c>
      <c r="DF2235" s="891">
        <v>5</v>
      </c>
      <c r="DG2235" s="959"/>
      <c r="DH2235" s="959"/>
      <c r="ER2235" s="905">
        <v>7838</v>
      </c>
      <c r="ES2235" s="906" t="s">
        <v>1638</v>
      </c>
      <c r="ET2235" s="2686">
        <v>9</v>
      </c>
      <c r="EV2235" s="985"/>
      <c r="EW2235" s="985"/>
      <c r="EX2235" s="387"/>
      <c r="EY2235" s="939"/>
      <c r="EZ2235" s="886"/>
    </row>
    <row r="2236" spans="88:156">
      <c r="CJ2236" s="197"/>
      <c r="CK2236" s="197"/>
      <c r="CL2236" s="197"/>
      <c r="CM2236" s="213"/>
      <c r="CN2236" s="213"/>
      <c r="CO2236" s="197"/>
      <c r="CP2236" s="197"/>
      <c r="CQ2236" s="197"/>
      <c r="CR2236" s="197"/>
      <c r="CS2236" s="197"/>
      <c r="CT2236" s="197"/>
      <c r="CU2236" s="197"/>
      <c r="CV2236" s="197"/>
      <c r="CW2236" s="197"/>
      <c r="CX2236" s="959"/>
      <c r="CY2236" s="959"/>
      <c r="CZ2236" s="959"/>
      <c r="DA2236" s="959"/>
      <c r="DB2236" s="959"/>
      <c r="DC2236" s="891">
        <v>7847</v>
      </c>
      <c r="DD2236" s="891" t="s">
        <v>1952</v>
      </c>
      <c r="DE2236" s="891" t="s">
        <v>421</v>
      </c>
      <c r="DF2236" s="891">
        <v>5</v>
      </c>
      <c r="DG2236" s="959"/>
      <c r="DH2236" s="959"/>
      <c r="ER2236" s="905">
        <v>7838</v>
      </c>
      <c r="ES2236" s="906" t="s">
        <v>1639</v>
      </c>
      <c r="ET2236" s="2686">
        <v>9</v>
      </c>
      <c r="EV2236" s="985"/>
      <c r="EW2236" s="985"/>
      <c r="EX2236" s="387"/>
      <c r="EY2236" s="939"/>
      <c r="EZ2236" s="886"/>
    </row>
    <row r="2237" spans="88:156">
      <c r="CJ2237" s="197"/>
      <c r="CK2237" s="197"/>
      <c r="CL2237" s="197"/>
      <c r="CM2237" s="213"/>
      <c r="CN2237" s="213"/>
      <c r="CO2237" s="197"/>
      <c r="CP2237" s="197"/>
      <c r="CQ2237" s="197"/>
      <c r="CR2237" s="197"/>
      <c r="CS2237" s="197"/>
      <c r="CT2237" s="197"/>
      <c r="CU2237" s="197"/>
      <c r="CV2237" s="197"/>
      <c r="CW2237" s="197"/>
      <c r="CX2237" s="959"/>
      <c r="CY2237" s="959"/>
      <c r="CZ2237" s="959"/>
      <c r="DA2237" s="959"/>
      <c r="DB2237" s="959"/>
      <c r="DC2237" s="891">
        <v>7849</v>
      </c>
      <c r="DD2237" s="891" t="s">
        <v>1953</v>
      </c>
      <c r="DE2237" s="891" t="s">
        <v>423</v>
      </c>
      <c r="DF2237" s="891">
        <v>6</v>
      </c>
      <c r="DG2237" s="959"/>
      <c r="DH2237" s="959"/>
      <c r="ER2237" s="905">
        <v>7838</v>
      </c>
      <c r="ES2237" s="906" t="s">
        <v>1947</v>
      </c>
      <c r="ET2237" s="2686">
        <v>9</v>
      </c>
      <c r="EV2237" s="985"/>
      <c r="EW2237" s="985"/>
      <c r="EX2237" s="387"/>
      <c r="EY2237" s="939"/>
      <c r="EZ2237" s="886"/>
    </row>
    <row r="2238" spans="88:156">
      <c r="CJ2238" s="197"/>
      <c r="CK2238" s="197"/>
      <c r="CL2238" s="197"/>
      <c r="CM2238" s="213"/>
      <c r="CN2238" s="213"/>
      <c r="CO2238" s="197"/>
      <c r="CP2238" s="197"/>
      <c r="CQ2238" s="197"/>
      <c r="CR2238" s="197"/>
      <c r="CS2238" s="197"/>
      <c r="CT2238" s="197"/>
      <c r="CU2238" s="197"/>
      <c r="CV2238" s="197"/>
      <c r="CW2238" s="197"/>
      <c r="CX2238" s="959"/>
      <c r="CY2238" s="959"/>
      <c r="CZ2238" s="959"/>
      <c r="DA2238" s="959"/>
      <c r="DB2238" s="959"/>
      <c r="DC2238" s="891">
        <v>7850</v>
      </c>
      <c r="DD2238" s="891" t="s">
        <v>1954</v>
      </c>
      <c r="DE2238" s="891" t="s">
        <v>433</v>
      </c>
      <c r="DF2238" s="891">
        <v>6</v>
      </c>
      <c r="DG2238" s="959"/>
      <c r="DH2238" s="959"/>
      <c r="ER2238" s="905">
        <v>7839</v>
      </c>
      <c r="ES2238" s="906" t="s">
        <v>1640</v>
      </c>
      <c r="ET2238" s="2686">
        <v>9</v>
      </c>
      <c r="EV2238" s="985"/>
      <c r="EW2238" s="985"/>
      <c r="EX2238" s="387"/>
      <c r="EY2238" s="939"/>
      <c r="EZ2238" s="886"/>
    </row>
    <row r="2239" spans="88:156">
      <c r="CJ2239" s="197"/>
      <c r="CK2239" s="197"/>
      <c r="CL2239" s="197"/>
      <c r="CM2239" s="213"/>
      <c r="CN2239" s="213"/>
      <c r="CO2239" s="197"/>
      <c r="CP2239" s="197"/>
      <c r="CQ2239" s="197"/>
      <c r="CR2239" s="197"/>
      <c r="CS2239" s="197"/>
      <c r="CT2239" s="197"/>
      <c r="CU2239" s="197"/>
      <c r="CV2239" s="197"/>
      <c r="CW2239" s="197"/>
      <c r="CX2239" s="959"/>
      <c r="CY2239" s="959"/>
      <c r="CZ2239" s="959"/>
      <c r="DA2239" s="959"/>
      <c r="DB2239" s="959"/>
      <c r="DC2239" s="891">
        <v>7851</v>
      </c>
      <c r="DD2239" s="891" t="s">
        <v>1955</v>
      </c>
      <c r="DE2239" s="891" t="s">
        <v>412</v>
      </c>
      <c r="DF2239" s="891">
        <v>5</v>
      </c>
      <c r="DG2239" s="959"/>
      <c r="DH2239" s="959"/>
      <c r="ER2239" s="905">
        <v>7839</v>
      </c>
      <c r="ES2239" s="906" t="s">
        <v>1948</v>
      </c>
      <c r="ET2239" s="2686">
        <v>9</v>
      </c>
      <c r="EV2239" s="985"/>
      <c r="EW2239" s="985"/>
      <c r="EX2239" s="387"/>
      <c r="EY2239" s="939"/>
      <c r="EZ2239" s="886"/>
    </row>
    <row r="2240" spans="88:156">
      <c r="CJ2240" s="197"/>
      <c r="CK2240" s="197"/>
      <c r="CL2240" s="197"/>
      <c r="CM2240" s="213"/>
      <c r="CN2240" s="213"/>
      <c r="CO2240" s="197"/>
      <c r="CP2240" s="197"/>
      <c r="CQ2240" s="197"/>
      <c r="CR2240" s="197"/>
      <c r="CS2240" s="197"/>
      <c r="CT2240" s="197"/>
      <c r="CU2240" s="197"/>
      <c r="CV2240" s="197"/>
      <c r="CW2240" s="197"/>
      <c r="CX2240" s="959"/>
      <c r="CY2240" s="959"/>
      <c r="CZ2240" s="959"/>
      <c r="DA2240" s="959"/>
      <c r="DB2240" s="959"/>
      <c r="DC2240" s="891">
        <v>7853</v>
      </c>
      <c r="DD2240" s="891" t="s">
        <v>1956</v>
      </c>
      <c r="DE2240" s="891" t="s">
        <v>423</v>
      </c>
      <c r="DF2240" s="891">
        <v>6</v>
      </c>
      <c r="DG2240" s="959"/>
      <c r="DH2240" s="959"/>
      <c r="ER2240" s="905">
        <v>7841</v>
      </c>
      <c r="ES2240" s="906" t="s">
        <v>1641</v>
      </c>
      <c r="ET2240" s="2686">
        <v>9</v>
      </c>
      <c r="EV2240" s="985"/>
      <c r="EW2240" s="985"/>
      <c r="EX2240" s="387"/>
      <c r="EY2240" s="939"/>
      <c r="EZ2240" s="886"/>
    </row>
    <row r="2241" spans="88:156">
      <c r="CJ2241" s="197"/>
      <c r="CK2241" s="197"/>
      <c r="CL2241" s="197"/>
      <c r="CM2241" s="213"/>
      <c r="CN2241" s="213"/>
      <c r="CO2241" s="197"/>
      <c r="CP2241" s="197"/>
      <c r="CQ2241" s="197"/>
      <c r="CR2241" s="197"/>
      <c r="CS2241" s="197"/>
      <c r="CT2241" s="197"/>
      <c r="CU2241" s="197"/>
      <c r="CV2241" s="197"/>
      <c r="CW2241" s="197"/>
      <c r="CX2241" s="959"/>
      <c r="CY2241" s="959"/>
      <c r="CZ2241" s="959"/>
      <c r="DA2241" s="959"/>
      <c r="DB2241" s="959"/>
      <c r="DC2241" s="891">
        <v>7854</v>
      </c>
      <c r="DD2241" s="891" t="s">
        <v>1957</v>
      </c>
      <c r="DE2241" s="891" t="s">
        <v>406</v>
      </c>
      <c r="DF2241" s="891">
        <v>5</v>
      </c>
      <c r="DG2241" s="959"/>
      <c r="DH2241" s="959"/>
      <c r="ER2241" s="905">
        <v>7841</v>
      </c>
      <c r="ES2241" s="906" t="s">
        <v>3663</v>
      </c>
      <c r="ET2241" s="2686">
        <v>9</v>
      </c>
      <c r="EV2241" s="985"/>
      <c r="EW2241" s="985"/>
      <c r="EX2241" s="387"/>
      <c r="EY2241" s="939"/>
      <c r="EZ2241" s="886"/>
    </row>
    <row r="2242" spans="88:156">
      <c r="CJ2242" s="197"/>
      <c r="CK2242" s="197"/>
      <c r="CL2242" s="197"/>
      <c r="CM2242" s="213"/>
      <c r="CN2242" s="213"/>
      <c r="CO2242" s="197"/>
      <c r="CP2242" s="197"/>
      <c r="CQ2242" s="197"/>
      <c r="CR2242" s="197"/>
      <c r="CS2242" s="197"/>
      <c r="CT2242" s="197"/>
      <c r="CU2242" s="197"/>
      <c r="CV2242" s="197"/>
      <c r="CW2242" s="197"/>
      <c r="CX2242" s="959"/>
      <c r="CY2242" s="959"/>
      <c r="CZ2242" s="959"/>
      <c r="DA2242" s="959"/>
      <c r="DB2242" s="959"/>
      <c r="DC2242" s="891">
        <v>7900</v>
      </c>
      <c r="DD2242" s="891" t="s">
        <v>1958</v>
      </c>
      <c r="DE2242" s="891" t="s">
        <v>402</v>
      </c>
      <c r="DF2242" s="891">
        <v>5</v>
      </c>
      <c r="DG2242" s="959"/>
      <c r="DH2242" s="959"/>
      <c r="ER2242" s="905">
        <v>7841</v>
      </c>
      <c r="ES2242" s="906" t="s">
        <v>3664</v>
      </c>
      <c r="ET2242" s="2686">
        <v>9</v>
      </c>
      <c r="EV2242" s="985"/>
      <c r="EW2242" s="985"/>
      <c r="EX2242" s="387"/>
      <c r="EY2242" s="939"/>
      <c r="EZ2242" s="886"/>
    </row>
    <row r="2243" spans="88:156">
      <c r="CJ2243" s="197"/>
      <c r="CK2243" s="197"/>
      <c r="CL2243" s="197"/>
      <c r="CM2243" s="213"/>
      <c r="CN2243" s="213"/>
      <c r="CO2243" s="197"/>
      <c r="CP2243" s="197"/>
      <c r="CQ2243" s="197"/>
      <c r="CR2243" s="197"/>
      <c r="CS2243" s="197"/>
      <c r="CT2243" s="197"/>
      <c r="CU2243" s="197"/>
      <c r="CV2243" s="197"/>
      <c r="CW2243" s="197"/>
      <c r="CX2243" s="959"/>
      <c r="CY2243" s="959"/>
      <c r="CZ2243" s="959"/>
      <c r="DA2243" s="959"/>
      <c r="DB2243" s="959"/>
      <c r="DC2243" s="891">
        <v>7911</v>
      </c>
      <c r="DD2243" s="891" t="s">
        <v>1959</v>
      </c>
      <c r="DE2243" s="891" t="s">
        <v>433</v>
      </c>
      <c r="DF2243" s="891">
        <v>5</v>
      </c>
      <c r="DG2243" s="959"/>
      <c r="DH2243" s="959"/>
      <c r="ER2243" s="905">
        <v>7841</v>
      </c>
      <c r="ES2243" s="906" t="s">
        <v>3665</v>
      </c>
      <c r="ET2243" s="2686">
        <v>9</v>
      </c>
      <c r="EV2243" s="985"/>
      <c r="EW2243" s="985"/>
      <c r="EX2243" s="387"/>
      <c r="EY2243" s="939"/>
      <c r="EZ2243" s="886"/>
    </row>
    <row r="2244" spans="88:156">
      <c r="CJ2244" s="197"/>
      <c r="CK2244" s="197"/>
      <c r="CL2244" s="197"/>
      <c r="CM2244" s="213"/>
      <c r="CN2244" s="213"/>
      <c r="CO2244" s="197"/>
      <c r="CP2244" s="197"/>
      <c r="CQ2244" s="197"/>
      <c r="CR2244" s="197"/>
      <c r="CS2244" s="197"/>
      <c r="CT2244" s="197"/>
      <c r="CU2244" s="197"/>
      <c r="CV2244" s="197"/>
      <c r="CW2244" s="197"/>
      <c r="CX2244" s="959"/>
      <c r="CY2244" s="959"/>
      <c r="CZ2244" s="959"/>
      <c r="DA2244" s="959"/>
      <c r="DB2244" s="959"/>
      <c r="DC2244" s="891">
        <v>7912</v>
      </c>
      <c r="DD2244" s="891" t="s">
        <v>1960</v>
      </c>
      <c r="DE2244" s="891" t="s">
        <v>433</v>
      </c>
      <c r="DF2244" s="891">
        <v>5</v>
      </c>
      <c r="DG2244" s="959"/>
      <c r="DH2244" s="959"/>
      <c r="ER2244" s="905">
        <v>7841</v>
      </c>
      <c r="ES2244" s="906" t="s">
        <v>1949</v>
      </c>
      <c r="ET2244" s="2686">
        <v>9</v>
      </c>
      <c r="EV2244" s="985"/>
      <c r="EW2244" s="985"/>
      <c r="EX2244" s="387"/>
      <c r="EY2244" s="939"/>
      <c r="EZ2244" s="886"/>
    </row>
    <row r="2245" spans="88:156">
      <c r="CJ2245" s="197"/>
      <c r="CK2245" s="197"/>
      <c r="CL2245" s="197"/>
      <c r="CM2245" s="213"/>
      <c r="CN2245" s="213"/>
      <c r="CO2245" s="197"/>
      <c r="CP2245" s="197"/>
      <c r="CQ2245" s="197"/>
      <c r="CR2245" s="197"/>
      <c r="CS2245" s="197"/>
      <c r="CT2245" s="197"/>
      <c r="CU2245" s="197"/>
      <c r="CV2245" s="197"/>
      <c r="CW2245" s="197"/>
      <c r="CX2245" s="959"/>
      <c r="CY2245" s="959"/>
      <c r="CZ2245" s="959"/>
      <c r="DA2245" s="959"/>
      <c r="DB2245" s="959"/>
      <c r="DC2245" s="891">
        <v>7913</v>
      </c>
      <c r="DD2245" s="891" t="s">
        <v>1961</v>
      </c>
      <c r="DE2245" s="891" t="s">
        <v>404</v>
      </c>
      <c r="DF2245" s="891">
        <v>4</v>
      </c>
      <c r="DG2245" s="959"/>
      <c r="DH2245" s="959"/>
      <c r="ER2245" s="905">
        <v>7843</v>
      </c>
      <c r="ES2245" s="906" t="s">
        <v>3666</v>
      </c>
      <c r="ET2245" s="2686">
        <v>9</v>
      </c>
      <c r="EV2245" s="985"/>
      <c r="EW2245" s="985"/>
      <c r="EX2245" s="387"/>
      <c r="EY2245" s="939"/>
      <c r="EZ2245" s="886"/>
    </row>
    <row r="2246" spans="88:156">
      <c r="CJ2246" s="197"/>
      <c r="CK2246" s="197"/>
      <c r="CL2246" s="197"/>
      <c r="CM2246" s="213"/>
      <c r="CN2246" s="213"/>
      <c r="CO2246" s="197"/>
      <c r="CP2246" s="197"/>
      <c r="CQ2246" s="197"/>
      <c r="CR2246" s="197"/>
      <c r="CS2246" s="197"/>
      <c r="CT2246" s="197"/>
      <c r="CU2246" s="197"/>
      <c r="CV2246" s="197"/>
      <c r="CW2246" s="197"/>
      <c r="CX2246" s="959"/>
      <c r="CY2246" s="959"/>
      <c r="CZ2246" s="959"/>
      <c r="DA2246" s="959"/>
      <c r="DB2246" s="959"/>
      <c r="DC2246" s="891">
        <v>7914</v>
      </c>
      <c r="DD2246" s="891" t="s">
        <v>1962</v>
      </c>
      <c r="DE2246" s="891" t="s">
        <v>412</v>
      </c>
      <c r="DF2246" s="891">
        <v>4</v>
      </c>
      <c r="DG2246" s="959"/>
      <c r="DH2246" s="959"/>
      <c r="ER2246" s="905">
        <v>7843</v>
      </c>
      <c r="ES2246" s="906" t="s">
        <v>3667</v>
      </c>
      <c r="ET2246" s="2686">
        <v>9</v>
      </c>
      <c r="EV2246" s="985"/>
      <c r="EW2246" s="985"/>
      <c r="EX2246" s="387"/>
      <c r="EY2246" s="939"/>
      <c r="EZ2246" s="886"/>
    </row>
    <row r="2247" spans="88:156">
      <c r="CJ2247" s="197"/>
      <c r="CK2247" s="197"/>
      <c r="CL2247" s="197"/>
      <c r="CM2247" s="213"/>
      <c r="CN2247" s="213"/>
      <c r="CO2247" s="197"/>
      <c r="CP2247" s="197"/>
      <c r="CQ2247" s="197"/>
      <c r="CR2247" s="197"/>
      <c r="CS2247" s="197"/>
      <c r="CT2247" s="197"/>
      <c r="CU2247" s="197"/>
      <c r="CV2247" s="197"/>
      <c r="CW2247" s="197"/>
      <c r="CX2247" s="959"/>
      <c r="CY2247" s="959"/>
      <c r="CZ2247" s="959"/>
      <c r="DA2247" s="959"/>
      <c r="DB2247" s="959"/>
      <c r="DC2247" s="891">
        <v>7915</v>
      </c>
      <c r="DD2247" s="891" t="s">
        <v>1963</v>
      </c>
      <c r="DE2247" s="891" t="s">
        <v>402</v>
      </c>
      <c r="DF2247" s="891">
        <v>5</v>
      </c>
      <c r="DG2247" s="959"/>
      <c r="DH2247" s="959"/>
      <c r="ER2247" s="905">
        <v>7843</v>
      </c>
      <c r="ES2247" s="906" t="s">
        <v>3668</v>
      </c>
      <c r="ET2247" s="2686">
        <v>9</v>
      </c>
      <c r="EV2247" s="985"/>
      <c r="EW2247" s="985"/>
      <c r="EX2247" s="387"/>
      <c r="EY2247" s="939"/>
      <c r="EZ2247" s="886"/>
    </row>
    <row r="2248" spans="88:156">
      <c r="CJ2248" s="197"/>
      <c r="CK2248" s="197"/>
      <c r="CL2248" s="197"/>
      <c r="CM2248" s="213"/>
      <c r="CN2248" s="213"/>
      <c r="CO2248" s="197"/>
      <c r="CP2248" s="197"/>
      <c r="CQ2248" s="197"/>
      <c r="CR2248" s="197"/>
      <c r="CS2248" s="197"/>
      <c r="CT2248" s="197"/>
      <c r="CU2248" s="197"/>
      <c r="CV2248" s="197"/>
      <c r="CW2248" s="197"/>
      <c r="CX2248" s="959"/>
      <c r="CY2248" s="959"/>
      <c r="CZ2248" s="959"/>
      <c r="DA2248" s="959"/>
      <c r="DB2248" s="959"/>
      <c r="DC2248" s="891">
        <v>7918</v>
      </c>
      <c r="DD2248" s="891" t="s">
        <v>1964</v>
      </c>
      <c r="DE2248" s="891" t="s">
        <v>433</v>
      </c>
      <c r="DF2248" s="891">
        <v>6</v>
      </c>
      <c r="DG2248" s="959"/>
      <c r="DH2248" s="959"/>
      <c r="ER2248" s="905">
        <v>7843</v>
      </c>
      <c r="ES2248" s="906" t="s">
        <v>3669</v>
      </c>
      <c r="ET2248" s="2686">
        <v>9</v>
      </c>
      <c r="EV2248" s="985"/>
      <c r="EW2248" s="985"/>
      <c r="EX2248" s="387"/>
      <c r="EY2248" s="939"/>
      <c r="EZ2248" s="886"/>
    </row>
    <row r="2249" spans="88:156">
      <c r="CJ2249" s="197"/>
      <c r="CK2249" s="197"/>
      <c r="CL2249" s="197"/>
      <c r="CM2249" s="213"/>
      <c r="CN2249" s="213"/>
      <c r="CO2249" s="197"/>
      <c r="CP2249" s="197"/>
      <c r="CQ2249" s="197"/>
      <c r="CR2249" s="197"/>
      <c r="CS2249" s="197"/>
      <c r="CT2249" s="197"/>
      <c r="CU2249" s="197"/>
      <c r="CV2249" s="197"/>
      <c r="CW2249" s="197"/>
      <c r="CX2249" s="959"/>
      <c r="CY2249" s="959"/>
      <c r="CZ2249" s="959"/>
      <c r="DA2249" s="959"/>
      <c r="DB2249" s="959"/>
      <c r="DC2249" s="891">
        <v>7921</v>
      </c>
      <c r="DD2249" s="891" t="s">
        <v>1965</v>
      </c>
      <c r="DE2249" s="891" t="s">
        <v>433</v>
      </c>
      <c r="DF2249" s="891">
        <v>5</v>
      </c>
      <c r="DG2249" s="959"/>
      <c r="DH2249" s="959"/>
      <c r="ER2249" s="905">
        <v>7843</v>
      </c>
      <c r="ES2249" s="906" t="s">
        <v>1950</v>
      </c>
      <c r="ET2249" s="2686">
        <v>9</v>
      </c>
      <c r="EV2249" s="985"/>
      <c r="EW2249" s="985"/>
      <c r="EX2249" s="387"/>
      <c r="EY2249" s="939"/>
      <c r="EZ2249" s="886"/>
    </row>
    <row r="2250" spans="88:156">
      <c r="CJ2250" s="197"/>
      <c r="CK2250" s="197"/>
      <c r="CL2250" s="197"/>
      <c r="CM2250" s="213"/>
      <c r="CN2250" s="213"/>
      <c r="CO2250" s="197"/>
      <c r="CP2250" s="197"/>
      <c r="CQ2250" s="197"/>
      <c r="CR2250" s="197"/>
      <c r="CS2250" s="197"/>
      <c r="CT2250" s="197"/>
      <c r="CU2250" s="197"/>
      <c r="CV2250" s="197"/>
      <c r="CW2250" s="197"/>
      <c r="CX2250" s="959"/>
      <c r="CY2250" s="959"/>
      <c r="CZ2250" s="959"/>
      <c r="DA2250" s="959"/>
      <c r="DB2250" s="959"/>
      <c r="DC2250" s="891">
        <v>7922</v>
      </c>
      <c r="DD2250" s="891" t="s">
        <v>1966</v>
      </c>
      <c r="DE2250" s="891" t="s">
        <v>433</v>
      </c>
      <c r="DF2250" s="891">
        <v>5</v>
      </c>
      <c r="DG2250" s="959"/>
      <c r="DH2250" s="959"/>
      <c r="ER2250" s="905">
        <v>7846</v>
      </c>
      <c r="ES2250" s="906" t="s">
        <v>3670</v>
      </c>
      <c r="ET2250" s="2686">
        <v>9</v>
      </c>
      <c r="EV2250" s="985"/>
      <c r="EW2250" s="985"/>
      <c r="EX2250" s="387"/>
      <c r="EY2250" s="939"/>
      <c r="EZ2250" s="886"/>
    </row>
    <row r="2251" spans="88:156">
      <c r="CJ2251" s="197"/>
      <c r="CK2251" s="197"/>
      <c r="CL2251" s="197"/>
      <c r="CM2251" s="213"/>
      <c r="CN2251" s="213"/>
      <c r="CO2251" s="197"/>
      <c r="CP2251" s="197"/>
      <c r="CQ2251" s="197"/>
      <c r="CR2251" s="197"/>
      <c r="CS2251" s="197"/>
      <c r="CT2251" s="197"/>
      <c r="CU2251" s="197"/>
      <c r="CV2251" s="197"/>
      <c r="CW2251" s="197"/>
      <c r="CX2251" s="959"/>
      <c r="CY2251" s="959"/>
      <c r="CZ2251" s="959"/>
      <c r="DA2251" s="959"/>
      <c r="DB2251" s="959"/>
      <c r="DC2251" s="891">
        <v>7923</v>
      </c>
      <c r="DD2251" s="891" t="s">
        <v>1967</v>
      </c>
      <c r="DE2251" s="891" t="s">
        <v>412</v>
      </c>
      <c r="DF2251" s="891">
        <v>5</v>
      </c>
      <c r="DG2251" s="959"/>
      <c r="DH2251" s="959"/>
      <c r="ER2251" s="905">
        <v>7847</v>
      </c>
      <c r="ES2251" s="906" t="s">
        <v>3671</v>
      </c>
      <c r="ET2251" s="2686">
        <v>9</v>
      </c>
      <c r="EV2251" s="985"/>
      <c r="EW2251" s="985"/>
      <c r="EX2251" s="387"/>
      <c r="EY2251" s="939"/>
      <c r="EZ2251" s="886"/>
    </row>
    <row r="2252" spans="88:156">
      <c r="CJ2252" s="197"/>
      <c r="CK2252" s="197"/>
      <c r="CL2252" s="197"/>
      <c r="CM2252" s="213"/>
      <c r="CN2252" s="213"/>
      <c r="CO2252" s="197"/>
      <c r="CP2252" s="197"/>
      <c r="CQ2252" s="197"/>
      <c r="CR2252" s="197"/>
      <c r="CS2252" s="197"/>
      <c r="CT2252" s="197"/>
      <c r="CU2252" s="197"/>
      <c r="CV2252" s="197"/>
      <c r="CW2252" s="197"/>
      <c r="CX2252" s="959"/>
      <c r="CY2252" s="959"/>
      <c r="CZ2252" s="959"/>
      <c r="DA2252" s="959"/>
      <c r="DB2252" s="959"/>
      <c r="DC2252" s="891">
        <v>7924</v>
      </c>
      <c r="DD2252" s="891" t="s">
        <v>1966</v>
      </c>
      <c r="DE2252" s="891" t="s">
        <v>412</v>
      </c>
      <c r="DF2252" s="891">
        <v>5</v>
      </c>
      <c r="DG2252" s="959"/>
      <c r="DH2252" s="959"/>
      <c r="ER2252" s="905">
        <v>7847</v>
      </c>
      <c r="ES2252" s="906" t="s">
        <v>3672</v>
      </c>
      <c r="ET2252" s="2686">
        <v>9</v>
      </c>
      <c r="EV2252" s="985"/>
      <c r="EW2252" s="985"/>
      <c r="EX2252" s="387"/>
      <c r="EY2252" s="939"/>
      <c r="EZ2252" s="886"/>
    </row>
    <row r="2253" spans="88:156">
      <c r="CJ2253" s="197"/>
      <c r="CK2253" s="197"/>
      <c r="CL2253" s="197"/>
      <c r="CM2253" s="213"/>
      <c r="CN2253" s="213"/>
      <c r="CO2253" s="197"/>
      <c r="CP2253" s="197"/>
      <c r="CQ2253" s="197"/>
      <c r="CR2253" s="197"/>
      <c r="CS2253" s="197"/>
      <c r="CT2253" s="197"/>
      <c r="CU2253" s="197"/>
      <c r="CV2253" s="197"/>
      <c r="CW2253" s="197"/>
      <c r="CX2253" s="959"/>
      <c r="CY2253" s="959"/>
      <c r="CZ2253" s="959"/>
      <c r="DA2253" s="959"/>
      <c r="DB2253" s="959"/>
      <c r="DC2253" s="891">
        <v>7925</v>
      </c>
      <c r="DD2253" s="891" t="s">
        <v>1968</v>
      </c>
      <c r="DE2253" s="891" t="s">
        <v>412</v>
      </c>
      <c r="DF2253" s="891">
        <v>4</v>
      </c>
      <c r="DG2253" s="959"/>
      <c r="DH2253" s="959"/>
      <c r="ER2253" s="905">
        <v>7847</v>
      </c>
      <c r="ES2253" s="906" t="s">
        <v>1952</v>
      </c>
      <c r="ET2253" s="2686">
        <v>9</v>
      </c>
      <c r="EV2253" s="985"/>
      <c r="EW2253" s="985"/>
      <c r="EX2253" s="387"/>
      <c r="EY2253" s="939"/>
      <c r="EZ2253" s="886"/>
    </row>
    <row r="2254" spans="88:156">
      <c r="CJ2254" s="197"/>
      <c r="CK2254" s="197"/>
      <c r="CL2254" s="197"/>
      <c r="CM2254" s="213"/>
      <c r="CN2254" s="213"/>
      <c r="CO2254" s="197"/>
      <c r="CP2254" s="197"/>
      <c r="CQ2254" s="197"/>
      <c r="CR2254" s="197"/>
      <c r="CS2254" s="197"/>
      <c r="CT2254" s="197"/>
      <c r="CU2254" s="197"/>
      <c r="CV2254" s="197"/>
      <c r="CW2254" s="197"/>
      <c r="CX2254" s="959"/>
      <c r="CY2254" s="959"/>
      <c r="CZ2254" s="959"/>
      <c r="DA2254" s="959"/>
      <c r="DB2254" s="959"/>
      <c r="DC2254" s="891">
        <v>7926</v>
      </c>
      <c r="DD2254" s="891" t="s">
        <v>3449</v>
      </c>
      <c r="DE2254" s="891" t="s">
        <v>428</v>
      </c>
      <c r="DF2254" s="891">
        <v>4</v>
      </c>
      <c r="DG2254" s="959"/>
      <c r="DH2254" s="959"/>
      <c r="ER2254" s="905">
        <v>7849</v>
      </c>
      <c r="ES2254" s="906" t="s">
        <v>1953</v>
      </c>
      <c r="ET2254" s="2686">
        <v>9</v>
      </c>
      <c r="EV2254" s="985"/>
      <c r="EW2254" s="985"/>
      <c r="EX2254" s="387"/>
      <c r="EY2254" s="939"/>
      <c r="EZ2254" s="886"/>
    </row>
    <row r="2255" spans="88:156">
      <c r="CJ2255" s="197"/>
      <c r="CK2255" s="197"/>
      <c r="CL2255" s="197"/>
      <c r="CM2255" s="213"/>
      <c r="CN2255" s="213"/>
      <c r="CO2255" s="197"/>
      <c r="CP2255" s="197"/>
      <c r="CQ2255" s="197"/>
      <c r="CR2255" s="197"/>
      <c r="CS2255" s="197"/>
      <c r="CT2255" s="197"/>
      <c r="CU2255" s="197"/>
      <c r="CV2255" s="197"/>
      <c r="CW2255" s="197"/>
      <c r="CX2255" s="959"/>
      <c r="CY2255" s="959"/>
      <c r="CZ2255" s="959"/>
      <c r="DA2255" s="959"/>
      <c r="DB2255" s="959"/>
      <c r="DC2255" s="891">
        <v>7931</v>
      </c>
      <c r="DD2255" s="891" t="s">
        <v>3450</v>
      </c>
      <c r="DE2255" s="891" t="s">
        <v>419</v>
      </c>
      <c r="DF2255" s="891">
        <v>4</v>
      </c>
      <c r="DG2255" s="959"/>
      <c r="DH2255" s="959"/>
      <c r="ER2255" s="905">
        <v>7850</v>
      </c>
      <c r="ES2255" s="906" t="s">
        <v>1954</v>
      </c>
      <c r="ET2255" s="2686">
        <v>9</v>
      </c>
      <c r="EV2255" s="985"/>
      <c r="EW2255" s="985"/>
      <c r="EX2255" s="387"/>
      <c r="EY2255" s="939"/>
      <c r="EZ2255" s="886"/>
    </row>
    <row r="2256" spans="88:156">
      <c r="CJ2256" s="197"/>
      <c r="CK2256" s="197"/>
      <c r="CL2256" s="197"/>
      <c r="CM2256" s="213"/>
      <c r="CN2256" s="213"/>
      <c r="CO2256" s="197"/>
      <c r="CP2256" s="197"/>
      <c r="CQ2256" s="197"/>
      <c r="CR2256" s="197"/>
      <c r="CS2256" s="197"/>
      <c r="CT2256" s="197"/>
      <c r="CU2256" s="197"/>
      <c r="CV2256" s="197"/>
      <c r="CW2256" s="197"/>
      <c r="CX2256" s="959"/>
      <c r="CY2256" s="959"/>
      <c r="CZ2256" s="959"/>
      <c r="DA2256" s="959"/>
      <c r="DB2256" s="959"/>
      <c r="DC2256" s="891">
        <v>7932</v>
      </c>
      <c r="DD2256" s="891" t="s">
        <v>3451</v>
      </c>
      <c r="DE2256" s="891" t="s">
        <v>412</v>
      </c>
      <c r="DF2256" s="891">
        <v>5</v>
      </c>
      <c r="DG2256" s="959"/>
      <c r="DH2256" s="959"/>
      <c r="ER2256" s="905">
        <v>7851</v>
      </c>
      <c r="ES2256" s="906" t="s">
        <v>1955</v>
      </c>
      <c r="ET2256" s="2686">
        <v>9</v>
      </c>
      <c r="EV2256" s="985"/>
      <c r="EW2256" s="985"/>
      <c r="EX2256" s="387"/>
      <c r="EY2256" s="939"/>
      <c r="EZ2256" s="886"/>
    </row>
    <row r="2257" spans="88:156">
      <c r="CJ2257" s="197"/>
      <c r="CK2257" s="197"/>
      <c r="CL2257" s="197"/>
      <c r="CM2257" s="213"/>
      <c r="CN2257" s="213"/>
      <c r="CO2257" s="197"/>
      <c r="CP2257" s="197"/>
      <c r="CQ2257" s="197"/>
      <c r="CR2257" s="197"/>
      <c r="CS2257" s="197"/>
      <c r="CT2257" s="197"/>
      <c r="CU2257" s="197"/>
      <c r="CV2257" s="197"/>
      <c r="CW2257" s="197"/>
      <c r="CX2257" s="959"/>
      <c r="CY2257" s="959"/>
      <c r="CZ2257" s="959"/>
      <c r="DA2257" s="959"/>
      <c r="DB2257" s="959"/>
      <c r="DC2257" s="891">
        <v>7934</v>
      </c>
      <c r="DD2257" s="891" t="s">
        <v>3452</v>
      </c>
      <c r="DE2257" s="891" t="s">
        <v>412</v>
      </c>
      <c r="DF2257" s="891">
        <v>5</v>
      </c>
      <c r="DG2257" s="959"/>
      <c r="DH2257" s="959"/>
      <c r="ER2257" s="905">
        <v>7853</v>
      </c>
      <c r="ES2257" s="906" t="s">
        <v>1956</v>
      </c>
      <c r="ET2257" s="2686">
        <v>9</v>
      </c>
      <c r="EV2257" s="985"/>
      <c r="EW2257" s="985"/>
      <c r="EX2257" s="387"/>
      <c r="EY2257" s="939"/>
      <c r="EZ2257" s="886"/>
    </row>
    <row r="2258" spans="88:156">
      <c r="CJ2258" s="197"/>
      <c r="CK2258" s="197"/>
      <c r="CL2258" s="197"/>
      <c r="CM2258" s="213"/>
      <c r="CN2258" s="213"/>
      <c r="CO2258" s="197"/>
      <c r="CP2258" s="197"/>
      <c r="CQ2258" s="197"/>
      <c r="CR2258" s="197"/>
      <c r="CS2258" s="197"/>
      <c r="CT2258" s="197"/>
      <c r="CU2258" s="197"/>
      <c r="CV2258" s="197"/>
      <c r="CW2258" s="197"/>
      <c r="CX2258" s="959"/>
      <c r="CY2258" s="959"/>
      <c r="CZ2258" s="959"/>
      <c r="DA2258" s="959"/>
      <c r="DB2258" s="959"/>
      <c r="DC2258" s="891">
        <v>7935</v>
      </c>
      <c r="DD2258" s="891" t="s">
        <v>3453</v>
      </c>
      <c r="DE2258" s="891" t="s">
        <v>417</v>
      </c>
      <c r="DF2258" s="891">
        <v>4</v>
      </c>
      <c r="DG2258" s="959"/>
      <c r="DH2258" s="959"/>
      <c r="ER2258" s="905">
        <v>7854</v>
      </c>
      <c r="ES2258" s="906" t="s">
        <v>1957</v>
      </c>
      <c r="ET2258" s="2686">
        <v>9</v>
      </c>
      <c r="EV2258" s="985"/>
      <c r="EW2258" s="985"/>
      <c r="EX2258" s="387"/>
      <c r="EY2258" s="939"/>
      <c r="EZ2258" s="886"/>
    </row>
    <row r="2259" spans="88:156">
      <c r="CJ2259" s="197"/>
      <c r="CK2259" s="197"/>
      <c r="CL2259" s="197"/>
      <c r="CM2259" s="213"/>
      <c r="CN2259" s="213"/>
      <c r="CO2259" s="197"/>
      <c r="CP2259" s="197"/>
      <c r="CQ2259" s="197"/>
      <c r="CR2259" s="197"/>
      <c r="CS2259" s="197"/>
      <c r="CT2259" s="197"/>
      <c r="CU2259" s="197"/>
      <c r="CV2259" s="197"/>
      <c r="CW2259" s="197"/>
      <c r="CX2259" s="959"/>
      <c r="CY2259" s="959"/>
      <c r="CZ2259" s="959"/>
      <c r="DA2259" s="959"/>
      <c r="DB2259" s="959"/>
      <c r="DC2259" s="891">
        <v>7936</v>
      </c>
      <c r="DD2259" s="891" t="s">
        <v>3454</v>
      </c>
      <c r="DE2259" s="891" t="s">
        <v>417</v>
      </c>
      <c r="DF2259" s="891">
        <v>4</v>
      </c>
      <c r="DG2259" s="959"/>
      <c r="DH2259" s="959"/>
      <c r="ER2259" s="905">
        <v>7900</v>
      </c>
      <c r="ES2259" s="906" t="s">
        <v>1959</v>
      </c>
      <c r="ET2259" s="2686">
        <v>9</v>
      </c>
      <c r="EV2259" s="985"/>
      <c r="EW2259" s="985"/>
      <c r="EX2259" s="387"/>
      <c r="EY2259" s="939"/>
      <c r="EZ2259" s="886"/>
    </row>
    <row r="2260" spans="88:156">
      <c r="CJ2260" s="197"/>
      <c r="CK2260" s="197"/>
      <c r="CL2260" s="197"/>
      <c r="CM2260" s="213"/>
      <c r="CN2260" s="213"/>
      <c r="CO2260" s="197"/>
      <c r="CP2260" s="197"/>
      <c r="CQ2260" s="197"/>
      <c r="CR2260" s="197"/>
      <c r="CS2260" s="197"/>
      <c r="CT2260" s="197"/>
      <c r="CU2260" s="197"/>
      <c r="CV2260" s="197"/>
      <c r="CW2260" s="197"/>
      <c r="CX2260" s="959"/>
      <c r="CY2260" s="959"/>
      <c r="CZ2260" s="959"/>
      <c r="DA2260" s="959"/>
      <c r="DB2260" s="959"/>
      <c r="DC2260" s="891">
        <v>7937</v>
      </c>
      <c r="DD2260" s="891" t="s">
        <v>3455</v>
      </c>
      <c r="DE2260" s="891" t="s">
        <v>434</v>
      </c>
      <c r="DF2260" s="891">
        <v>4</v>
      </c>
      <c r="DG2260" s="959"/>
      <c r="DH2260" s="959"/>
      <c r="ER2260" s="905">
        <v>7900</v>
      </c>
      <c r="ES2260" s="906" t="s">
        <v>3450</v>
      </c>
      <c r="ET2260" s="2686">
        <v>9</v>
      </c>
      <c r="EV2260" s="985"/>
      <c r="EW2260" s="985"/>
      <c r="EX2260" s="387"/>
      <c r="EY2260" s="939"/>
      <c r="EZ2260" s="886"/>
    </row>
    <row r="2261" spans="88:156">
      <c r="CJ2261" s="197"/>
      <c r="CK2261" s="197"/>
      <c r="CL2261" s="197"/>
      <c r="CM2261" s="213"/>
      <c r="CN2261" s="213"/>
      <c r="CO2261" s="197"/>
      <c r="CP2261" s="197"/>
      <c r="CQ2261" s="197"/>
      <c r="CR2261" s="197"/>
      <c r="CS2261" s="197"/>
      <c r="CT2261" s="197"/>
      <c r="CU2261" s="197"/>
      <c r="CV2261" s="197"/>
      <c r="CW2261" s="197"/>
      <c r="CX2261" s="959"/>
      <c r="CY2261" s="959"/>
      <c r="CZ2261" s="959"/>
      <c r="DA2261" s="959"/>
      <c r="DB2261" s="959"/>
      <c r="DC2261" s="891">
        <v>7938</v>
      </c>
      <c r="DD2261" s="891" t="s">
        <v>3456</v>
      </c>
      <c r="DE2261" s="891" t="s">
        <v>434</v>
      </c>
      <c r="DF2261" s="891">
        <v>4</v>
      </c>
      <c r="DG2261" s="959"/>
      <c r="DH2261" s="959"/>
      <c r="ER2261" s="905">
        <v>7900</v>
      </c>
      <c r="ES2261" s="906" t="s">
        <v>3673</v>
      </c>
      <c r="ET2261" s="2686">
        <v>9</v>
      </c>
      <c r="EV2261" s="985"/>
      <c r="EW2261" s="985"/>
      <c r="EX2261" s="387"/>
      <c r="EY2261" s="939"/>
      <c r="EZ2261" s="886"/>
    </row>
    <row r="2262" spans="88:156">
      <c r="CJ2262" s="197"/>
      <c r="CK2262" s="197"/>
      <c r="CL2262" s="197"/>
      <c r="CM2262" s="213"/>
      <c r="CN2262" s="213"/>
      <c r="CO2262" s="197"/>
      <c r="CP2262" s="197"/>
      <c r="CQ2262" s="197"/>
      <c r="CR2262" s="197"/>
      <c r="CS2262" s="197"/>
      <c r="CT2262" s="197"/>
      <c r="CU2262" s="197"/>
      <c r="CV2262" s="197"/>
      <c r="CW2262" s="197"/>
      <c r="CX2262" s="959"/>
      <c r="CY2262" s="959"/>
      <c r="CZ2262" s="959"/>
      <c r="DA2262" s="959"/>
      <c r="DB2262" s="959"/>
      <c r="DC2262" s="891">
        <v>7940</v>
      </c>
      <c r="DD2262" s="891" t="s">
        <v>3457</v>
      </c>
      <c r="DE2262" s="891" t="s">
        <v>410</v>
      </c>
      <c r="DF2262" s="891">
        <v>5</v>
      </c>
      <c r="DG2262" s="959"/>
      <c r="DH2262" s="959"/>
      <c r="ER2262" s="905">
        <v>7912</v>
      </c>
      <c r="ES2262" s="906" t="s">
        <v>3674</v>
      </c>
      <c r="ET2262" s="2686">
        <v>9</v>
      </c>
      <c r="EV2262" s="985"/>
      <c r="EW2262" s="985"/>
      <c r="EX2262" s="387"/>
      <c r="EY2262" s="939"/>
      <c r="EZ2262" s="886"/>
    </row>
    <row r="2263" spans="88:156">
      <c r="CJ2263" s="197"/>
      <c r="CK2263" s="197"/>
      <c r="CL2263" s="197"/>
      <c r="CM2263" s="213"/>
      <c r="CN2263" s="213"/>
      <c r="CO2263" s="197"/>
      <c r="CP2263" s="197"/>
      <c r="CQ2263" s="197"/>
      <c r="CR2263" s="197"/>
      <c r="CS2263" s="197"/>
      <c r="CT2263" s="197"/>
      <c r="CU2263" s="197"/>
      <c r="CV2263" s="197"/>
      <c r="CW2263" s="197"/>
      <c r="CX2263" s="959"/>
      <c r="CY2263" s="959"/>
      <c r="CZ2263" s="959"/>
      <c r="DA2263" s="959"/>
      <c r="DB2263" s="959"/>
      <c r="DC2263" s="891">
        <v>7951</v>
      </c>
      <c r="DD2263" s="891" t="s">
        <v>3458</v>
      </c>
      <c r="DE2263" s="891" t="s">
        <v>402</v>
      </c>
      <c r="DF2263" s="891">
        <v>4</v>
      </c>
      <c r="DG2263" s="959"/>
      <c r="DH2263" s="959"/>
      <c r="ER2263" s="905">
        <v>7912</v>
      </c>
      <c r="ES2263" s="906" t="s">
        <v>3675</v>
      </c>
      <c r="ET2263" s="2686">
        <v>9</v>
      </c>
      <c r="EV2263" s="985"/>
      <c r="EW2263" s="985"/>
      <c r="EX2263" s="387"/>
      <c r="EY2263" s="939"/>
      <c r="EZ2263" s="886"/>
    </row>
    <row r="2264" spans="88:156">
      <c r="CJ2264" s="197"/>
      <c r="CK2264" s="197"/>
      <c r="CL2264" s="197"/>
      <c r="CM2264" s="213"/>
      <c r="CN2264" s="213"/>
      <c r="CO2264" s="197"/>
      <c r="CP2264" s="197"/>
      <c r="CQ2264" s="197"/>
      <c r="CR2264" s="197"/>
      <c r="CS2264" s="197"/>
      <c r="CT2264" s="197"/>
      <c r="CU2264" s="197"/>
      <c r="CV2264" s="197"/>
      <c r="CW2264" s="197"/>
      <c r="CX2264" s="959"/>
      <c r="CY2264" s="959"/>
      <c r="CZ2264" s="959"/>
      <c r="DA2264" s="959"/>
      <c r="DB2264" s="959"/>
      <c r="DC2264" s="891">
        <v>7952</v>
      </c>
      <c r="DD2264" s="891" t="s">
        <v>3459</v>
      </c>
      <c r="DE2264" s="891" t="s">
        <v>402</v>
      </c>
      <c r="DF2264" s="891">
        <v>4</v>
      </c>
      <c r="DG2264" s="959"/>
      <c r="DH2264" s="959"/>
      <c r="ER2264" s="905">
        <v>7912</v>
      </c>
      <c r="ES2264" s="906" t="s">
        <v>1960</v>
      </c>
      <c r="ET2264" s="2686">
        <v>9</v>
      </c>
      <c r="EV2264" s="985"/>
      <c r="EW2264" s="985"/>
      <c r="EX2264" s="387"/>
      <c r="EY2264" s="939"/>
      <c r="EZ2264" s="886"/>
    </row>
    <row r="2265" spans="88:156">
      <c r="CJ2265" s="197"/>
      <c r="CK2265" s="197"/>
      <c r="CL2265" s="197"/>
      <c r="CM2265" s="213"/>
      <c r="CN2265" s="213"/>
      <c r="CO2265" s="197"/>
      <c r="CP2265" s="197"/>
      <c r="CQ2265" s="197"/>
      <c r="CR2265" s="197"/>
      <c r="CS2265" s="197"/>
      <c r="CT2265" s="197"/>
      <c r="CU2265" s="197"/>
      <c r="CV2265" s="197"/>
      <c r="CW2265" s="197"/>
      <c r="CX2265" s="959"/>
      <c r="CY2265" s="959"/>
      <c r="CZ2265" s="959"/>
      <c r="DA2265" s="959"/>
      <c r="DB2265" s="959"/>
      <c r="DC2265" s="891">
        <v>7953</v>
      </c>
      <c r="DD2265" s="891" t="s">
        <v>3460</v>
      </c>
      <c r="DE2265" s="891" t="s">
        <v>410</v>
      </c>
      <c r="DF2265" s="891">
        <v>4</v>
      </c>
      <c r="DG2265" s="959"/>
      <c r="DH2265" s="959"/>
      <c r="ER2265" s="905">
        <v>7913</v>
      </c>
      <c r="ES2265" s="906" t="s">
        <v>1961</v>
      </c>
      <c r="ET2265" s="2686">
        <v>9</v>
      </c>
      <c r="EV2265" s="985"/>
      <c r="EW2265" s="985"/>
      <c r="EX2265" s="387"/>
      <c r="EY2265" s="939"/>
      <c r="EZ2265" s="886"/>
    </row>
    <row r="2266" spans="88:156">
      <c r="CJ2266" s="197"/>
      <c r="CK2266" s="197"/>
      <c r="CL2266" s="197"/>
      <c r="CM2266" s="213"/>
      <c r="CN2266" s="213"/>
      <c r="CO2266" s="197"/>
      <c r="CP2266" s="197"/>
      <c r="CQ2266" s="197"/>
      <c r="CR2266" s="197"/>
      <c r="CS2266" s="197"/>
      <c r="CT2266" s="197"/>
      <c r="CU2266" s="197"/>
      <c r="CV2266" s="197"/>
      <c r="CW2266" s="197"/>
      <c r="CX2266" s="959"/>
      <c r="CY2266" s="959"/>
      <c r="CZ2266" s="959"/>
      <c r="DA2266" s="959"/>
      <c r="DB2266" s="959"/>
      <c r="DC2266" s="891">
        <v>7954</v>
      </c>
      <c r="DD2266" s="891" t="s">
        <v>3461</v>
      </c>
      <c r="DE2266" s="891" t="s">
        <v>404</v>
      </c>
      <c r="DF2266" s="891">
        <v>4</v>
      </c>
      <c r="DG2266" s="959"/>
      <c r="DH2266" s="959"/>
      <c r="ER2266" s="905">
        <v>7914</v>
      </c>
      <c r="ES2266" s="906" t="s">
        <v>3676</v>
      </c>
      <c r="ET2266" s="2686">
        <v>9</v>
      </c>
      <c r="EV2266" s="985"/>
      <c r="EW2266" s="985"/>
      <c r="EX2266" s="387"/>
      <c r="EY2266" s="939"/>
      <c r="EZ2266" s="886"/>
    </row>
    <row r="2267" spans="88:156">
      <c r="CJ2267" s="197"/>
      <c r="CK2267" s="197"/>
      <c r="CL2267" s="197"/>
      <c r="CM2267" s="213"/>
      <c r="CN2267" s="213"/>
      <c r="CO2267" s="197"/>
      <c r="CP2267" s="197"/>
      <c r="CQ2267" s="197"/>
      <c r="CR2267" s="197"/>
      <c r="CS2267" s="197"/>
      <c r="CT2267" s="197"/>
      <c r="CU2267" s="197"/>
      <c r="CV2267" s="197"/>
      <c r="CW2267" s="197"/>
      <c r="CX2267" s="959"/>
      <c r="CY2267" s="959"/>
      <c r="CZ2267" s="959"/>
      <c r="DA2267" s="959"/>
      <c r="DB2267" s="959"/>
      <c r="DC2267" s="891">
        <v>7956</v>
      </c>
      <c r="DD2267" s="891" t="s">
        <v>3462</v>
      </c>
      <c r="DE2267" s="891" t="s">
        <v>404</v>
      </c>
      <c r="DF2267" s="891">
        <v>4</v>
      </c>
      <c r="DG2267" s="959"/>
      <c r="DH2267" s="959"/>
      <c r="ER2267" s="905">
        <v>7914</v>
      </c>
      <c r="ES2267" s="906" t="s">
        <v>3677</v>
      </c>
      <c r="ET2267" s="2686">
        <v>9</v>
      </c>
      <c r="EV2267" s="985"/>
      <c r="EW2267" s="985"/>
      <c r="EX2267" s="387"/>
      <c r="EY2267" s="939"/>
      <c r="EZ2267" s="886"/>
    </row>
    <row r="2268" spans="88:156">
      <c r="CJ2268" s="197"/>
      <c r="CK2268" s="197"/>
      <c r="CL2268" s="197"/>
      <c r="CM2268" s="213"/>
      <c r="CN2268" s="213"/>
      <c r="CO2268" s="197"/>
      <c r="CP2268" s="197"/>
      <c r="CQ2268" s="197"/>
      <c r="CR2268" s="197"/>
      <c r="CS2268" s="197"/>
      <c r="CT2268" s="197"/>
      <c r="CU2268" s="197"/>
      <c r="CV2268" s="197"/>
      <c r="CW2268" s="197"/>
      <c r="CX2268" s="959"/>
      <c r="CY2268" s="959"/>
      <c r="CZ2268" s="959"/>
      <c r="DA2268" s="959"/>
      <c r="DB2268" s="959"/>
      <c r="DC2268" s="891">
        <v>7957</v>
      </c>
      <c r="DD2268" s="891" t="s">
        <v>3463</v>
      </c>
      <c r="DE2268" s="891" t="s">
        <v>404</v>
      </c>
      <c r="DF2268" s="891">
        <v>4</v>
      </c>
      <c r="DG2268" s="959"/>
      <c r="DH2268" s="959"/>
      <c r="ER2268" s="905">
        <v>7914</v>
      </c>
      <c r="ES2268" s="906" t="s">
        <v>1962</v>
      </c>
      <c r="ET2268" s="2686">
        <v>9</v>
      </c>
      <c r="EV2268" s="985"/>
      <c r="EW2268" s="985"/>
      <c r="EX2268" s="387"/>
      <c r="EY2268" s="939"/>
      <c r="EZ2268" s="886"/>
    </row>
    <row r="2269" spans="88:156">
      <c r="CJ2269" s="197"/>
      <c r="CK2269" s="197"/>
      <c r="CL2269" s="197"/>
      <c r="CM2269" s="213"/>
      <c r="CN2269" s="213"/>
      <c r="CO2269" s="197"/>
      <c r="CP2269" s="197"/>
      <c r="CQ2269" s="197"/>
      <c r="CR2269" s="197"/>
      <c r="CS2269" s="197"/>
      <c r="CT2269" s="197"/>
      <c r="CU2269" s="197"/>
      <c r="CV2269" s="197"/>
      <c r="CW2269" s="197"/>
      <c r="CX2269" s="959"/>
      <c r="CY2269" s="959"/>
      <c r="CZ2269" s="959"/>
      <c r="DA2269" s="959"/>
      <c r="DB2269" s="959"/>
      <c r="DC2269" s="891">
        <v>7958</v>
      </c>
      <c r="DD2269" s="891" t="s">
        <v>3464</v>
      </c>
      <c r="DE2269" s="891" t="s">
        <v>404</v>
      </c>
      <c r="DF2269" s="891">
        <v>4</v>
      </c>
      <c r="DG2269" s="959"/>
      <c r="DH2269" s="959"/>
      <c r="ER2269" s="905">
        <v>7915</v>
      </c>
      <c r="ES2269" s="906" t="s">
        <v>3678</v>
      </c>
      <c r="ET2269" s="2686">
        <v>9</v>
      </c>
      <c r="EV2269" s="985"/>
      <c r="EW2269" s="985"/>
      <c r="EX2269" s="387"/>
      <c r="EY2269" s="939"/>
      <c r="EZ2269" s="886"/>
    </row>
    <row r="2270" spans="88:156">
      <c r="CJ2270" s="197"/>
      <c r="CK2270" s="197"/>
      <c r="CL2270" s="197"/>
      <c r="CM2270" s="213"/>
      <c r="CN2270" s="213"/>
      <c r="CO2270" s="197"/>
      <c r="CP2270" s="197"/>
      <c r="CQ2270" s="197"/>
      <c r="CR2270" s="197"/>
      <c r="CS2270" s="197"/>
      <c r="CT2270" s="197"/>
      <c r="CU2270" s="197"/>
      <c r="CV2270" s="197"/>
      <c r="CW2270" s="197"/>
      <c r="CX2270" s="959"/>
      <c r="CY2270" s="959"/>
      <c r="CZ2270" s="959"/>
      <c r="DA2270" s="959"/>
      <c r="DB2270" s="959"/>
      <c r="DC2270" s="891">
        <v>7960</v>
      </c>
      <c r="DD2270" s="891" t="s">
        <v>3465</v>
      </c>
      <c r="DE2270" s="891" t="s">
        <v>412</v>
      </c>
      <c r="DF2270" s="891">
        <v>5</v>
      </c>
      <c r="DG2270" s="959"/>
      <c r="DH2270" s="959"/>
      <c r="ER2270" s="905">
        <v>7915</v>
      </c>
      <c r="ES2270" s="906" t="s">
        <v>1963</v>
      </c>
      <c r="ET2270" s="2686">
        <v>9</v>
      </c>
      <c r="EV2270" s="985"/>
      <c r="EW2270" s="985"/>
      <c r="EX2270" s="387"/>
      <c r="EY2270" s="939"/>
      <c r="EZ2270" s="886"/>
    </row>
    <row r="2271" spans="88:156">
      <c r="CJ2271" s="197"/>
      <c r="CK2271" s="197"/>
      <c r="CL2271" s="197"/>
      <c r="CM2271" s="213"/>
      <c r="CN2271" s="213"/>
      <c r="CO2271" s="197"/>
      <c r="CP2271" s="197"/>
      <c r="CQ2271" s="197"/>
      <c r="CR2271" s="197"/>
      <c r="CS2271" s="197"/>
      <c r="CT2271" s="197"/>
      <c r="CU2271" s="197"/>
      <c r="CV2271" s="197"/>
      <c r="CW2271" s="197"/>
      <c r="CX2271" s="959"/>
      <c r="CY2271" s="959"/>
      <c r="CZ2271" s="959"/>
      <c r="DA2271" s="959"/>
      <c r="DB2271" s="959"/>
      <c r="DC2271" s="891">
        <v>7964</v>
      </c>
      <c r="DD2271" s="891" t="s">
        <v>3466</v>
      </c>
      <c r="DE2271" s="891" t="s">
        <v>432</v>
      </c>
      <c r="DF2271" s="891">
        <v>4</v>
      </c>
      <c r="DG2271" s="959"/>
      <c r="DH2271" s="959"/>
      <c r="ER2271" s="905">
        <v>7918</v>
      </c>
      <c r="ES2271" s="906" t="s">
        <v>3706</v>
      </c>
      <c r="ET2271" s="2686">
        <v>9</v>
      </c>
      <c r="EV2271" s="985"/>
      <c r="EW2271" s="985"/>
      <c r="EX2271" s="387"/>
      <c r="EY2271" s="939"/>
      <c r="EZ2271" s="886"/>
    </row>
    <row r="2272" spans="88:156">
      <c r="CJ2272" s="197"/>
      <c r="CK2272" s="197"/>
      <c r="CL2272" s="197"/>
      <c r="CM2272" s="213"/>
      <c r="CN2272" s="213"/>
      <c r="CO2272" s="197"/>
      <c r="CP2272" s="197"/>
      <c r="CQ2272" s="197"/>
      <c r="CR2272" s="197"/>
      <c r="CS2272" s="197"/>
      <c r="CT2272" s="197"/>
      <c r="CU2272" s="197"/>
      <c r="CV2272" s="197"/>
      <c r="CW2272" s="197"/>
      <c r="CX2272" s="959"/>
      <c r="CY2272" s="959"/>
      <c r="CZ2272" s="959"/>
      <c r="DA2272" s="959"/>
      <c r="DB2272" s="959"/>
      <c r="DC2272" s="891">
        <v>7965</v>
      </c>
      <c r="DD2272" s="891" t="s">
        <v>3467</v>
      </c>
      <c r="DE2272" s="891" t="s">
        <v>432</v>
      </c>
      <c r="DF2272" s="891">
        <v>4</v>
      </c>
      <c r="DG2272" s="959"/>
      <c r="DH2272" s="959"/>
      <c r="ER2272" s="905">
        <v>7918</v>
      </c>
      <c r="ES2272" s="906" t="s">
        <v>3707</v>
      </c>
      <c r="ET2272" s="2686">
        <v>9</v>
      </c>
      <c r="EV2272" s="985"/>
      <c r="EW2272" s="985"/>
      <c r="EX2272" s="387"/>
      <c r="EY2272" s="939"/>
      <c r="EZ2272" s="886"/>
    </row>
    <row r="2273" spans="88:156">
      <c r="CJ2273" s="197"/>
      <c r="CK2273" s="197"/>
      <c r="CL2273" s="197"/>
      <c r="CM2273" s="213"/>
      <c r="CN2273" s="213"/>
      <c r="CO2273" s="197"/>
      <c r="CP2273" s="197"/>
      <c r="CQ2273" s="197"/>
      <c r="CR2273" s="197"/>
      <c r="CS2273" s="197"/>
      <c r="CT2273" s="197"/>
      <c r="CU2273" s="197"/>
      <c r="CV2273" s="197"/>
      <c r="CW2273" s="197"/>
      <c r="CX2273" s="959"/>
      <c r="CY2273" s="959"/>
      <c r="CZ2273" s="959"/>
      <c r="DA2273" s="959"/>
      <c r="DB2273" s="959"/>
      <c r="DC2273" s="891">
        <v>7966</v>
      </c>
      <c r="DD2273" s="891" t="s">
        <v>3468</v>
      </c>
      <c r="DE2273" s="891" t="s">
        <v>2808</v>
      </c>
      <c r="DF2273" s="891">
        <v>5</v>
      </c>
      <c r="DG2273" s="959"/>
      <c r="DH2273" s="959"/>
      <c r="ER2273" s="905">
        <v>7918</v>
      </c>
      <c r="ES2273" s="906" t="s">
        <v>1964</v>
      </c>
      <c r="ET2273" s="2686">
        <v>9</v>
      </c>
      <c r="EV2273" s="985"/>
      <c r="EW2273" s="985"/>
      <c r="EX2273" s="387"/>
      <c r="EY2273" s="939"/>
      <c r="EZ2273" s="886"/>
    </row>
    <row r="2274" spans="88:156">
      <c r="CJ2274" s="197"/>
      <c r="CK2274" s="197"/>
      <c r="CL2274" s="197"/>
      <c r="CM2274" s="213"/>
      <c r="CN2274" s="213"/>
      <c r="CO2274" s="197"/>
      <c r="CP2274" s="197"/>
      <c r="CQ2274" s="197"/>
      <c r="CR2274" s="197"/>
      <c r="CS2274" s="197"/>
      <c r="CT2274" s="197"/>
      <c r="CU2274" s="197"/>
      <c r="CV2274" s="197"/>
      <c r="CW2274" s="197"/>
      <c r="CX2274" s="959"/>
      <c r="CY2274" s="959"/>
      <c r="CZ2274" s="959"/>
      <c r="DA2274" s="959"/>
      <c r="DB2274" s="959"/>
      <c r="DC2274" s="891">
        <v>7967</v>
      </c>
      <c r="DD2274" s="891" t="s">
        <v>3469</v>
      </c>
      <c r="DE2274" s="891" t="s">
        <v>419</v>
      </c>
      <c r="DF2274" s="891">
        <v>5</v>
      </c>
      <c r="DG2274" s="959"/>
      <c r="DH2274" s="959"/>
      <c r="ER2274" s="905">
        <v>7921</v>
      </c>
      <c r="ES2274" s="906" t="s">
        <v>1965</v>
      </c>
      <c r="ET2274" s="2686">
        <v>9</v>
      </c>
      <c r="EV2274" s="985"/>
      <c r="EW2274" s="985"/>
      <c r="EX2274" s="387"/>
      <c r="EY2274" s="939"/>
      <c r="EZ2274" s="886"/>
    </row>
    <row r="2275" spans="88:156">
      <c r="CJ2275" s="197"/>
      <c r="CK2275" s="197"/>
      <c r="CL2275" s="197"/>
      <c r="CM2275" s="213"/>
      <c r="CN2275" s="213"/>
      <c r="CO2275" s="197"/>
      <c r="CP2275" s="197"/>
      <c r="CQ2275" s="197"/>
      <c r="CR2275" s="197"/>
      <c r="CS2275" s="197"/>
      <c r="CT2275" s="197"/>
      <c r="CU2275" s="197"/>
      <c r="CV2275" s="197"/>
      <c r="CW2275" s="197"/>
      <c r="CX2275" s="959"/>
      <c r="CY2275" s="959"/>
      <c r="CZ2275" s="959"/>
      <c r="DA2275" s="959"/>
      <c r="DB2275" s="959"/>
      <c r="DC2275" s="891">
        <v>7968</v>
      </c>
      <c r="DD2275" s="891" t="s">
        <v>3470</v>
      </c>
      <c r="DE2275" s="891" t="s">
        <v>417</v>
      </c>
      <c r="DF2275" s="891">
        <v>6</v>
      </c>
      <c r="DG2275" s="959"/>
      <c r="DH2275" s="959"/>
      <c r="ER2275" s="905">
        <v>7922</v>
      </c>
      <c r="ES2275" s="906" t="s">
        <v>3708</v>
      </c>
      <c r="ET2275" s="2686">
        <v>9</v>
      </c>
      <c r="EV2275" s="985"/>
      <c r="EW2275" s="985"/>
      <c r="EX2275" s="387"/>
      <c r="EY2275" s="939"/>
      <c r="EZ2275" s="886"/>
    </row>
    <row r="2276" spans="88:156">
      <c r="CJ2276" s="197"/>
      <c r="CK2276" s="197"/>
      <c r="CL2276" s="197"/>
      <c r="CM2276" s="213"/>
      <c r="CN2276" s="213"/>
      <c r="CO2276" s="197"/>
      <c r="CP2276" s="197"/>
      <c r="CQ2276" s="197"/>
      <c r="CR2276" s="197"/>
      <c r="CS2276" s="197"/>
      <c r="CT2276" s="197"/>
      <c r="CU2276" s="197"/>
      <c r="CV2276" s="197"/>
      <c r="CW2276" s="197"/>
      <c r="CX2276" s="959"/>
      <c r="CY2276" s="959"/>
      <c r="CZ2276" s="959"/>
      <c r="DA2276" s="959"/>
      <c r="DB2276" s="959"/>
      <c r="DC2276" s="891">
        <v>7971</v>
      </c>
      <c r="DD2276" s="891" t="s">
        <v>3471</v>
      </c>
      <c r="DE2276" s="891" t="s">
        <v>423</v>
      </c>
      <c r="DF2276" s="891">
        <v>5</v>
      </c>
      <c r="DG2276" s="959"/>
      <c r="DH2276" s="959"/>
      <c r="ER2276" s="905">
        <v>7923</v>
      </c>
      <c r="ES2276" s="906" t="s">
        <v>1967</v>
      </c>
      <c r="ET2276" s="2686">
        <v>9</v>
      </c>
      <c r="EV2276" s="985"/>
      <c r="EW2276" s="985"/>
      <c r="EX2276" s="387"/>
      <c r="EY2276" s="939"/>
      <c r="EZ2276" s="886"/>
    </row>
    <row r="2277" spans="88:156">
      <c r="CJ2277" s="197"/>
      <c r="CK2277" s="197"/>
      <c r="CL2277" s="197"/>
      <c r="CM2277" s="213"/>
      <c r="CN2277" s="213"/>
      <c r="CO2277" s="197"/>
      <c r="CP2277" s="197"/>
      <c r="CQ2277" s="197"/>
      <c r="CR2277" s="197"/>
      <c r="CS2277" s="197"/>
      <c r="CT2277" s="197"/>
      <c r="CU2277" s="197"/>
      <c r="CV2277" s="197"/>
      <c r="CW2277" s="197"/>
      <c r="CX2277" s="959"/>
      <c r="CY2277" s="959"/>
      <c r="CZ2277" s="959"/>
      <c r="DA2277" s="959"/>
      <c r="DB2277" s="959"/>
      <c r="DC2277" s="891">
        <v>7972</v>
      </c>
      <c r="DD2277" s="891" t="s">
        <v>3472</v>
      </c>
      <c r="DE2277" s="891" t="s">
        <v>418</v>
      </c>
      <c r="DF2277" s="891">
        <v>6</v>
      </c>
      <c r="DG2277" s="959"/>
      <c r="DH2277" s="959"/>
      <c r="ER2277" s="905">
        <v>7923</v>
      </c>
      <c r="ES2277" s="906" t="s">
        <v>3709</v>
      </c>
      <c r="ET2277" s="2686">
        <v>9</v>
      </c>
      <c r="EV2277" s="985"/>
      <c r="EW2277" s="985"/>
      <c r="EX2277" s="387"/>
      <c r="EY2277" s="939"/>
      <c r="EZ2277" s="886"/>
    </row>
    <row r="2278" spans="88:156">
      <c r="CJ2278" s="197"/>
      <c r="CK2278" s="197"/>
      <c r="CL2278" s="197"/>
      <c r="CM2278" s="213"/>
      <c r="CN2278" s="213"/>
      <c r="CO2278" s="197"/>
      <c r="CP2278" s="197"/>
      <c r="CQ2278" s="197"/>
      <c r="CR2278" s="197"/>
      <c r="CS2278" s="197"/>
      <c r="CT2278" s="197"/>
      <c r="CU2278" s="197"/>
      <c r="CV2278" s="197"/>
      <c r="CW2278" s="197"/>
      <c r="CX2278" s="959"/>
      <c r="CY2278" s="959"/>
      <c r="CZ2278" s="959"/>
      <c r="DA2278" s="959"/>
      <c r="DB2278" s="959"/>
      <c r="DC2278" s="891">
        <v>7973</v>
      </c>
      <c r="DD2278" s="891" t="s">
        <v>3473</v>
      </c>
      <c r="DE2278" s="891" t="s">
        <v>432</v>
      </c>
      <c r="DF2278" s="891">
        <v>6</v>
      </c>
      <c r="DG2278" s="959"/>
      <c r="DH2278" s="959"/>
      <c r="ER2278" s="905">
        <v>7924</v>
      </c>
      <c r="ES2278" s="906" t="s">
        <v>1966</v>
      </c>
      <c r="ET2278" s="2686">
        <v>9</v>
      </c>
      <c r="EV2278" s="985"/>
      <c r="EW2278" s="985"/>
      <c r="EX2278" s="387"/>
      <c r="EY2278" s="939"/>
      <c r="EZ2278" s="886"/>
    </row>
    <row r="2279" spans="88:156">
      <c r="CJ2279" s="197"/>
      <c r="CK2279" s="197"/>
      <c r="CL2279" s="197"/>
      <c r="CM2279" s="213"/>
      <c r="CN2279" s="213"/>
      <c r="CO2279" s="197"/>
      <c r="CP2279" s="197"/>
      <c r="CQ2279" s="197"/>
      <c r="CR2279" s="197"/>
      <c r="CS2279" s="197"/>
      <c r="CT2279" s="197"/>
      <c r="CU2279" s="197"/>
      <c r="CV2279" s="197"/>
      <c r="CW2279" s="197"/>
      <c r="CX2279" s="959"/>
      <c r="CY2279" s="959"/>
      <c r="CZ2279" s="959"/>
      <c r="DA2279" s="959"/>
      <c r="DB2279" s="959"/>
      <c r="DC2279" s="891">
        <v>7975</v>
      </c>
      <c r="DD2279" s="891" t="s">
        <v>3474</v>
      </c>
      <c r="DE2279" s="891" t="s">
        <v>434</v>
      </c>
      <c r="DF2279" s="891">
        <v>6</v>
      </c>
      <c r="DG2279" s="959"/>
      <c r="DH2279" s="959"/>
      <c r="ER2279" s="905">
        <v>7925</v>
      </c>
      <c r="ES2279" s="906" t="s">
        <v>3710</v>
      </c>
      <c r="ET2279" s="2686">
        <v>9</v>
      </c>
      <c r="EV2279" s="985"/>
      <c r="EW2279" s="985"/>
      <c r="EX2279" s="387"/>
      <c r="EY2279" s="939"/>
      <c r="EZ2279" s="886"/>
    </row>
    <row r="2280" spans="88:156">
      <c r="CJ2280" s="197"/>
      <c r="CK2280" s="197"/>
      <c r="CL2280" s="197"/>
      <c r="CM2280" s="213"/>
      <c r="CN2280" s="213"/>
      <c r="CO2280" s="197"/>
      <c r="CP2280" s="197"/>
      <c r="CQ2280" s="197"/>
      <c r="CR2280" s="197"/>
      <c r="CS2280" s="197"/>
      <c r="CT2280" s="197"/>
      <c r="CU2280" s="197"/>
      <c r="CV2280" s="197"/>
      <c r="CW2280" s="197"/>
      <c r="CX2280" s="959"/>
      <c r="CY2280" s="959"/>
      <c r="CZ2280" s="959"/>
      <c r="DA2280" s="959"/>
      <c r="DB2280" s="959"/>
      <c r="DC2280" s="891">
        <v>7976</v>
      </c>
      <c r="DD2280" s="891" t="s">
        <v>3475</v>
      </c>
      <c r="DE2280" s="891" t="s">
        <v>423</v>
      </c>
      <c r="DF2280" s="891">
        <v>6</v>
      </c>
      <c r="DG2280" s="959"/>
      <c r="DH2280" s="959"/>
      <c r="ER2280" s="905">
        <v>7925</v>
      </c>
      <c r="ES2280" s="906" t="s">
        <v>1968</v>
      </c>
      <c r="ET2280" s="2686">
        <v>9</v>
      </c>
      <c r="EV2280" s="985"/>
      <c r="EW2280" s="985"/>
      <c r="EX2280" s="387"/>
      <c r="EY2280" s="939"/>
      <c r="EZ2280" s="886"/>
    </row>
    <row r="2281" spans="88:156">
      <c r="CJ2281" s="197"/>
      <c r="CK2281" s="197"/>
      <c r="CL2281" s="197"/>
      <c r="CM2281" s="213"/>
      <c r="CN2281" s="213"/>
      <c r="CO2281" s="197"/>
      <c r="CP2281" s="197"/>
      <c r="CQ2281" s="197"/>
      <c r="CR2281" s="197"/>
      <c r="CS2281" s="197"/>
      <c r="CT2281" s="197"/>
      <c r="CU2281" s="197"/>
      <c r="CV2281" s="197"/>
      <c r="CW2281" s="197"/>
      <c r="CX2281" s="959"/>
      <c r="CY2281" s="959"/>
      <c r="CZ2281" s="959"/>
      <c r="DA2281" s="959"/>
      <c r="DB2281" s="959"/>
      <c r="DC2281" s="891">
        <v>7977</v>
      </c>
      <c r="DD2281" s="891" t="s">
        <v>3476</v>
      </c>
      <c r="DE2281" s="891" t="s">
        <v>410</v>
      </c>
      <c r="DF2281" s="891">
        <v>6</v>
      </c>
      <c r="DG2281" s="959"/>
      <c r="DH2281" s="959"/>
      <c r="ER2281" s="905">
        <v>7926</v>
      </c>
      <c r="ES2281" s="906" t="s">
        <v>3449</v>
      </c>
      <c r="ET2281" s="2686">
        <v>9</v>
      </c>
      <c r="EV2281" s="985"/>
      <c r="EW2281" s="985"/>
      <c r="EX2281" s="387"/>
      <c r="EY2281" s="939"/>
      <c r="EZ2281" s="886"/>
    </row>
    <row r="2282" spans="88:156">
      <c r="CJ2282" s="197"/>
      <c r="CK2282" s="197"/>
      <c r="CL2282" s="197"/>
      <c r="CM2282" s="213"/>
      <c r="CN2282" s="213"/>
      <c r="CO2282" s="197"/>
      <c r="CP2282" s="197"/>
      <c r="CQ2282" s="197"/>
      <c r="CR2282" s="197"/>
      <c r="CS2282" s="197"/>
      <c r="CT2282" s="197"/>
      <c r="CU2282" s="197"/>
      <c r="CV2282" s="197"/>
      <c r="CW2282" s="197"/>
      <c r="CX2282" s="959"/>
      <c r="CY2282" s="959"/>
      <c r="CZ2282" s="959"/>
      <c r="DA2282" s="959"/>
      <c r="DB2282" s="959"/>
      <c r="DC2282" s="891">
        <v>7979</v>
      </c>
      <c r="DD2282" s="891" t="s">
        <v>3477</v>
      </c>
      <c r="DE2282" s="891" t="s">
        <v>412</v>
      </c>
      <c r="DF2282" s="891">
        <v>6</v>
      </c>
      <c r="DG2282" s="959"/>
      <c r="DH2282" s="959"/>
      <c r="ER2282" s="905">
        <v>7932</v>
      </c>
      <c r="ES2282" s="906" t="s">
        <v>3711</v>
      </c>
      <c r="ET2282" s="2686">
        <v>9</v>
      </c>
      <c r="EV2282" s="985"/>
      <c r="EW2282" s="985"/>
      <c r="EX2282" s="387"/>
      <c r="EY2282" s="939"/>
      <c r="EZ2282" s="886"/>
    </row>
    <row r="2283" spans="88:156">
      <c r="CJ2283" s="197"/>
      <c r="CK2283" s="197"/>
      <c r="CL2283" s="197"/>
      <c r="CM2283" s="213"/>
      <c r="CN2283" s="213"/>
      <c r="CO2283" s="197"/>
      <c r="CP2283" s="197"/>
      <c r="CQ2283" s="197"/>
      <c r="CR2283" s="197"/>
      <c r="CS2283" s="197"/>
      <c r="CT2283" s="197"/>
      <c r="CU2283" s="197"/>
      <c r="CV2283" s="197"/>
      <c r="CW2283" s="197"/>
      <c r="CX2283" s="959"/>
      <c r="CY2283" s="959"/>
      <c r="CZ2283" s="959"/>
      <c r="DA2283" s="959"/>
      <c r="DB2283" s="959"/>
      <c r="DC2283" s="891">
        <v>7980</v>
      </c>
      <c r="DD2283" s="891" t="s">
        <v>3472</v>
      </c>
      <c r="DE2283" s="891" t="s">
        <v>421</v>
      </c>
      <c r="DF2283" s="891">
        <v>6</v>
      </c>
      <c r="DG2283" s="959"/>
      <c r="DH2283" s="959"/>
      <c r="ER2283" s="905">
        <v>7932</v>
      </c>
      <c r="ES2283" s="906" t="s">
        <v>3712</v>
      </c>
      <c r="ET2283" s="2686">
        <v>9</v>
      </c>
      <c r="EV2283" s="985"/>
      <c r="EW2283" s="985"/>
      <c r="EX2283" s="387"/>
      <c r="EY2283" s="939"/>
      <c r="EZ2283" s="886"/>
    </row>
    <row r="2284" spans="88:156">
      <c r="CJ2284" s="197"/>
      <c r="CK2284" s="197"/>
      <c r="CL2284" s="197"/>
      <c r="CM2284" s="213"/>
      <c r="CN2284" s="213"/>
      <c r="CO2284" s="197"/>
      <c r="CP2284" s="197"/>
      <c r="CQ2284" s="197"/>
      <c r="CR2284" s="197"/>
      <c r="CS2284" s="197"/>
      <c r="CT2284" s="197"/>
      <c r="CU2284" s="197"/>
      <c r="CV2284" s="197"/>
      <c r="CW2284" s="197"/>
      <c r="CX2284" s="959"/>
      <c r="CY2284" s="959"/>
      <c r="CZ2284" s="959"/>
      <c r="DA2284" s="959"/>
      <c r="DB2284" s="959"/>
      <c r="DC2284" s="891">
        <v>7981</v>
      </c>
      <c r="DD2284" s="891" t="s">
        <v>3478</v>
      </c>
      <c r="DE2284" s="891" t="s">
        <v>432</v>
      </c>
      <c r="DF2284" s="891">
        <v>5</v>
      </c>
      <c r="DG2284" s="959"/>
      <c r="DH2284" s="959"/>
      <c r="ER2284" s="905">
        <v>7932</v>
      </c>
      <c r="ES2284" s="906" t="s">
        <v>3451</v>
      </c>
      <c r="ET2284" s="2686">
        <v>9</v>
      </c>
      <c r="EV2284" s="985"/>
      <c r="EW2284" s="985"/>
      <c r="EX2284" s="387"/>
      <c r="EY2284" s="939"/>
      <c r="EZ2284" s="886"/>
    </row>
    <row r="2285" spans="88:156">
      <c r="CJ2285" s="197"/>
      <c r="CK2285" s="197"/>
      <c r="CL2285" s="197"/>
      <c r="CM2285" s="213"/>
      <c r="CN2285" s="213"/>
      <c r="CO2285" s="197"/>
      <c r="CP2285" s="197"/>
      <c r="CQ2285" s="197"/>
      <c r="CR2285" s="197"/>
      <c r="CS2285" s="197"/>
      <c r="CT2285" s="197"/>
      <c r="CU2285" s="197"/>
      <c r="CV2285" s="197"/>
      <c r="CW2285" s="197"/>
      <c r="CX2285" s="959"/>
      <c r="CY2285" s="959"/>
      <c r="CZ2285" s="959"/>
      <c r="DA2285" s="959"/>
      <c r="DB2285" s="959"/>
      <c r="DC2285" s="891">
        <v>7985</v>
      </c>
      <c r="DD2285" s="891" t="s">
        <v>3479</v>
      </c>
      <c r="DE2285" s="891" t="s">
        <v>428</v>
      </c>
      <c r="DF2285" s="891">
        <v>6</v>
      </c>
      <c r="DG2285" s="959"/>
      <c r="DH2285" s="959"/>
      <c r="ER2285" s="905">
        <v>7934</v>
      </c>
      <c r="ES2285" s="906" t="s">
        <v>3452</v>
      </c>
      <c r="ET2285" s="2686">
        <v>9</v>
      </c>
      <c r="EV2285" s="985"/>
      <c r="EW2285" s="985"/>
      <c r="EX2285" s="387"/>
      <c r="EY2285" s="939"/>
      <c r="EZ2285" s="886"/>
    </row>
    <row r="2286" spans="88:156">
      <c r="CJ2286" s="197"/>
      <c r="CK2286" s="197"/>
      <c r="CL2286" s="197"/>
      <c r="CM2286" s="213"/>
      <c r="CN2286" s="213"/>
      <c r="CO2286" s="197"/>
      <c r="CP2286" s="197"/>
      <c r="CQ2286" s="197"/>
      <c r="CR2286" s="197"/>
      <c r="CS2286" s="197"/>
      <c r="CT2286" s="197"/>
      <c r="CU2286" s="197"/>
      <c r="CV2286" s="197"/>
      <c r="CW2286" s="197"/>
      <c r="CX2286" s="959"/>
      <c r="CY2286" s="959"/>
      <c r="CZ2286" s="959"/>
      <c r="DA2286" s="959"/>
      <c r="DB2286" s="959"/>
      <c r="DC2286" s="891">
        <v>7986</v>
      </c>
      <c r="DD2286" s="891" t="s">
        <v>3480</v>
      </c>
      <c r="DE2286" s="891" t="s">
        <v>431</v>
      </c>
      <c r="DF2286" s="891">
        <v>6</v>
      </c>
      <c r="DG2286" s="959"/>
      <c r="DH2286" s="959"/>
      <c r="ER2286" s="905">
        <v>7935</v>
      </c>
      <c r="ES2286" s="906" t="s">
        <v>3713</v>
      </c>
      <c r="ET2286" s="2686">
        <v>9</v>
      </c>
      <c r="EV2286" s="985"/>
      <c r="EW2286" s="985"/>
      <c r="EX2286" s="387"/>
      <c r="EY2286" s="939"/>
      <c r="EZ2286" s="886"/>
    </row>
    <row r="2287" spans="88:156">
      <c r="CJ2287" s="197"/>
      <c r="CK2287" s="197"/>
      <c r="CL2287" s="197"/>
      <c r="CM2287" s="213"/>
      <c r="CN2287" s="213"/>
      <c r="CO2287" s="197"/>
      <c r="CP2287" s="197"/>
      <c r="CQ2287" s="197"/>
      <c r="CR2287" s="197"/>
      <c r="CS2287" s="197"/>
      <c r="CT2287" s="197"/>
      <c r="CU2287" s="197"/>
      <c r="CV2287" s="197"/>
      <c r="CW2287" s="197"/>
      <c r="CX2287" s="959"/>
      <c r="CY2287" s="959"/>
      <c r="CZ2287" s="959"/>
      <c r="DA2287" s="959"/>
      <c r="DB2287" s="959"/>
      <c r="DC2287" s="891">
        <v>7987</v>
      </c>
      <c r="DD2287" s="891" t="s">
        <v>3481</v>
      </c>
      <c r="DE2287" s="891" t="s">
        <v>406</v>
      </c>
      <c r="DF2287" s="891">
        <v>6</v>
      </c>
      <c r="DG2287" s="959"/>
      <c r="DH2287" s="959"/>
      <c r="ER2287" s="905">
        <v>7935</v>
      </c>
      <c r="ES2287" s="906" t="s">
        <v>3714</v>
      </c>
      <c r="ET2287" s="2686">
        <v>9</v>
      </c>
      <c r="EV2287" s="985"/>
      <c r="EW2287" s="985"/>
      <c r="EX2287" s="387"/>
      <c r="EY2287" s="939"/>
      <c r="EZ2287" s="886"/>
    </row>
    <row r="2288" spans="88:156">
      <c r="CJ2288" s="197"/>
      <c r="CK2288" s="197"/>
      <c r="CL2288" s="197"/>
      <c r="CM2288" s="213"/>
      <c r="CN2288" s="213"/>
      <c r="CO2288" s="197"/>
      <c r="CP2288" s="197"/>
      <c r="CQ2288" s="197"/>
      <c r="CR2288" s="197"/>
      <c r="CS2288" s="197"/>
      <c r="CT2288" s="197"/>
      <c r="CU2288" s="197"/>
      <c r="CV2288" s="197"/>
      <c r="CW2288" s="197"/>
      <c r="CX2288" s="959"/>
      <c r="CY2288" s="959"/>
      <c r="CZ2288" s="959"/>
      <c r="DA2288" s="959"/>
      <c r="DB2288" s="959"/>
      <c r="DC2288" s="891">
        <v>7988</v>
      </c>
      <c r="DD2288" s="891" t="s">
        <v>3482</v>
      </c>
      <c r="DE2288" s="891" t="s">
        <v>419</v>
      </c>
      <c r="DF2288" s="891">
        <v>6</v>
      </c>
      <c r="DG2288" s="959"/>
      <c r="DH2288" s="959"/>
      <c r="ER2288" s="905">
        <v>7935</v>
      </c>
      <c r="ES2288" s="906" t="s">
        <v>3453</v>
      </c>
      <c r="ET2288" s="2686">
        <v>9</v>
      </c>
      <c r="EV2288" s="985"/>
      <c r="EW2288" s="985"/>
      <c r="EX2288" s="387"/>
      <c r="EY2288" s="939"/>
      <c r="EZ2288" s="886"/>
    </row>
    <row r="2289" spans="88:156">
      <c r="CJ2289" s="197"/>
      <c r="CK2289" s="197"/>
      <c r="CL2289" s="197"/>
      <c r="CM2289" s="213"/>
      <c r="CN2289" s="213"/>
      <c r="CO2289" s="197"/>
      <c r="CP2289" s="197"/>
      <c r="CQ2289" s="197"/>
      <c r="CR2289" s="197"/>
      <c r="CS2289" s="197"/>
      <c r="CT2289" s="197"/>
      <c r="CU2289" s="197"/>
      <c r="CV2289" s="197"/>
      <c r="CW2289" s="197"/>
      <c r="CX2289" s="959"/>
      <c r="CY2289" s="959"/>
      <c r="CZ2289" s="959"/>
      <c r="DA2289" s="959"/>
      <c r="DB2289" s="959"/>
      <c r="DC2289" s="891">
        <v>8000</v>
      </c>
      <c r="DD2289" s="891" t="s">
        <v>3483</v>
      </c>
      <c r="DE2289" s="891" t="s">
        <v>432</v>
      </c>
      <c r="DF2289" s="891">
        <v>6</v>
      </c>
      <c r="DG2289" s="959"/>
      <c r="DH2289" s="959"/>
      <c r="ER2289" s="905">
        <v>7936</v>
      </c>
      <c r="ES2289" s="906" t="s">
        <v>3454</v>
      </c>
      <c r="ET2289" s="2686">
        <v>9</v>
      </c>
      <c r="EV2289" s="985"/>
      <c r="EW2289" s="985"/>
      <c r="EX2289" s="387"/>
      <c r="EY2289" s="939"/>
      <c r="EZ2289" s="886"/>
    </row>
    <row r="2290" spans="88:156">
      <c r="CJ2290" s="197"/>
      <c r="CK2290" s="197"/>
      <c r="CL2290" s="197"/>
      <c r="CM2290" s="213"/>
      <c r="CN2290" s="213"/>
      <c r="CO2290" s="197"/>
      <c r="CP2290" s="197"/>
      <c r="CQ2290" s="197"/>
      <c r="CR2290" s="197"/>
      <c r="CS2290" s="197"/>
      <c r="CT2290" s="197"/>
      <c r="CU2290" s="197"/>
      <c r="CV2290" s="197"/>
      <c r="CW2290" s="197"/>
      <c r="CX2290" s="959"/>
      <c r="CY2290" s="959"/>
      <c r="CZ2290" s="959"/>
      <c r="DA2290" s="959"/>
      <c r="DB2290" s="959"/>
      <c r="DC2290" s="891">
        <v>8002</v>
      </c>
      <c r="DD2290" s="891" t="s">
        <v>3484</v>
      </c>
      <c r="DE2290" s="891" t="s">
        <v>427</v>
      </c>
      <c r="DF2290" s="891">
        <v>6</v>
      </c>
      <c r="DG2290" s="959"/>
      <c r="DH2290" s="959"/>
      <c r="ER2290" s="905">
        <v>7937</v>
      </c>
      <c r="ES2290" s="906" t="s">
        <v>3455</v>
      </c>
      <c r="ET2290" s="2686">
        <v>9</v>
      </c>
      <c r="EV2290" s="985"/>
      <c r="EW2290" s="985"/>
      <c r="EX2290" s="387"/>
      <c r="EY2290" s="939"/>
      <c r="EZ2290" s="886"/>
    </row>
    <row r="2291" spans="88:156">
      <c r="CJ2291" s="197"/>
      <c r="CK2291" s="197"/>
      <c r="CL2291" s="197"/>
      <c r="CM2291" s="213"/>
      <c r="CN2291" s="213"/>
      <c r="CO2291" s="197"/>
      <c r="CP2291" s="197"/>
      <c r="CQ2291" s="197"/>
      <c r="CR2291" s="197"/>
      <c r="CS2291" s="197"/>
      <c r="CT2291" s="197"/>
      <c r="CU2291" s="197"/>
      <c r="CV2291" s="197"/>
      <c r="CW2291" s="197"/>
      <c r="CX2291" s="959"/>
      <c r="CY2291" s="959"/>
      <c r="CZ2291" s="959"/>
      <c r="DA2291" s="959"/>
      <c r="DB2291" s="959"/>
      <c r="DC2291" s="891">
        <v>8019</v>
      </c>
      <c r="DD2291" s="891" t="s">
        <v>3485</v>
      </c>
      <c r="DE2291" s="891" t="s">
        <v>412</v>
      </c>
      <c r="DF2291" s="891">
        <v>6</v>
      </c>
      <c r="DG2291" s="959"/>
      <c r="DH2291" s="959"/>
      <c r="ER2291" s="905">
        <v>7940</v>
      </c>
      <c r="ES2291" s="906" t="s">
        <v>3715</v>
      </c>
      <c r="ET2291" s="2686">
        <v>9</v>
      </c>
      <c r="EV2291" s="985"/>
      <c r="EW2291" s="985"/>
      <c r="EX2291" s="387"/>
      <c r="EY2291" s="939"/>
      <c r="EZ2291" s="886"/>
    </row>
    <row r="2292" spans="88:156">
      <c r="CJ2292" s="197"/>
      <c r="CK2292" s="197"/>
      <c r="CL2292" s="197"/>
      <c r="CM2292" s="213"/>
      <c r="CN2292" s="213"/>
      <c r="CO2292" s="197"/>
      <c r="CP2292" s="197"/>
      <c r="CQ2292" s="197"/>
      <c r="CR2292" s="197"/>
      <c r="CS2292" s="197"/>
      <c r="CT2292" s="197"/>
      <c r="CU2292" s="197"/>
      <c r="CV2292" s="197"/>
      <c r="CW2292" s="197"/>
      <c r="CX2292" s="959"/>
      <c r="CY2292" s="959"/>
      <c r="CZ2292" s="959"/>
      <c r="DA2292" s="959"/>
      <c r="DB2292" s="959"/>
      <c r="DC2292" s="891">
        <v>8041</v>
      </c>
      <c r="DD2292" s="891" t="s">
        <v>3486</v>
      </c>
      <c r="DE2292" s="891" t="s">
        <v>412</v>
      </c>
      <c r="DF2292" s="891">
        <v>6</v>
      </c>
      <c r="DG2292" s="959"/>
      <c r="DH2292" s="959"/>
      <c r="ER2292" s="905">
        <v>7940</v>
      </c>
      <c r="ES2292" s="906" t="s">
        <v>3716</v>
      </c>
      <c r="ET2292" s="2686">
        <v>9</v>
      </c>
      <c r="EV2292" s="985"/>
      <c r="EW2292" s="985"/>
      <c r="EX2292" s="387"/>
      <c r="EY2292" s="939"/>
      <c r="EZ2292" s="886"/>
    </row>
    <row r="2293" spans="88:156">
      <c r="CJ2293" s="197"/>
      <c r="CK2293" s="197"/>
      <c r="CL2293" s="197"/>
      <c r="CM2293" s="213"/>
      <c r="CN2293" s="213"/>
      <c r="CO2293" s="197"/>
      <c r="CP2293" s="197"/>
      <c r="CQ2293" s="197"/>
      <c r="CR2293" s="197"/>
      <c r="CS2293" s="197"/>
      <c r="CT2293" s="197"/>
      <c r="CU2293" s="197"/>
      <c r="CV2293" s="197"/>
      <c r="CW2293" s="197"/>
      <c r="CX2293" s="959"/>
      <c r="CY2293" s="959"/>
      <c r="CZ2293" s="959"/>
      <c r="DA2293" s="959"/>
      <c r="DB2293" s="959"/>
      <c r="DC2293" s="891">
        <v>8042</v>
      </c>
      <c r="DD2293" s="891" t="s">
        <v>3487</v>
      </c>
      <c r="DE2293" s="891" t="s">
        <v>412</v>
      </c>
      <c r="DF2293" s="891">
        <v>5</v>
      </c>
      <c r="DG2293" s="959"/>
      <c r="DH2293" s="959"/>
      <c r="ER2293" s="905">
        <v>7940</v>
      </c>
      <c r="ES2293" s="906" t="s">
        <v>3457</v>
      </c>
      <c r="ET2293" s="2686">
        <v>9</v>
      </c>
      <c r="EV2293" s="985"/>
      <c r="EW2293" s="985"/>
      <c r="EX2293" s="387"/>
      <c r="EY2293" s="939"/>
      <c r="EZ2293" s="886"/>
    </row>
    <row r="2294" spans="88:156">
      <c r="CJ2294" s="197"/>
      <c r="CK2294" s="197"/>
      <c r="CL2294" s="197"/>
      <c r="CM2294" s="213"/>
      <c r="CN2294" s="213"/>
      <c r="CO2294" s="197"/>
      <c r="CP2294" s="197"/>
      <c r="CQ2294" s="197"/>
      <c r="CR2294" s="197"/>
      <c r="CS2294" s="197"/>
      <c r="CT2294" s="197"/>
      <c r="CU2294" s="197"/>
      <c r="CV2294" s="197"/>
      <c r="CW2294" s="197"/>
      <c r="CX2294" s="959"/>
      <c r="CY2294" s="959"/>
      <c r="CZ2294" s="959"/>
      <c r="DA2294" s="959"/>
      <c r="DB2294" s="959"/>
      <c r="DC2294" s="891">
        <v>8043</v>
      </c>
      <c r="DD2294" s="891" t="s">
        <v>3488</v>
      </c>
      <c r="DE2294" s="891" t="s">
        <v>412</v>
      </c>
      <c r="DF2294" s="891">
        <v>5</v>
      </c>
      <c r="DG2294" s="959"/>
      <c r="DH2294" s="959"/>
      <c r="ER2294" s="905">
        <v>7951</v>
      </c>
      <c r="ES2294" s="906" t="s">
        <v>3717</v>
      </c>
      <c r="ET2294" s="2686">
        <v>9</v>
      </c>
      <c r="EV2294" s="985"/>
      <c r="EW2294" s="985"/>
      <c r="EX2294" s="387"/>
      <c r="EY2294" s="939"/>
      <c r="EZ2294" s="886"/>
    </row>
    <row r="2295" spans="88:156">
      <c r="CJ2295" s="197"/>
      <c r="CK2295" s="197"/>
      <c r="CL2295" s="197"/>
      <c r="CM2295" s="213"/>
      <c r="CN2295" s="213"/>
      <c r="CO2295" s="197"/>
      <c r="CP2295" s="197"/>
      <c r="CQ2295" s="197"/>
      <c r="CR2295" s="197"/>
      <c r="CS2295" s="197"/>
      <c r="CT2295" s="197"/>
      <c r="CU2295" s="197"/>
      <c r="CV2295" s="197"/>
      <c r="CW2295" s="197"/>
      <c r="CX2295" s="959"/>
      <c r="CY2295" s="959"/>
      <c r="CZ2295" s="959"/>
      <c r="DA2295" s="959"/>
      <c r="DB2295" s="959"/>
      <c r="DC2295" s="891">
        <v>8044</v>
      </c>
      <c r="DD2295" s="891" t="s">
        <v>3489</v>
      </c>
      <c r="DE2295" s="891" t="s">
        <v>412</v>
      </c>
      <c r="DF2295" s="891">
        <v>6</v>
      </c>
      <c r="DG2295" s="959"/>
      <c r="DH2295" s="959"/>
      <c r="ER2295" s="905">
        <v>7951</v>
      </c>
      <c r="ES2295" s="906" t="s">
        <v>3718</v>
      </c>
      <c r="ET2295" s="2686">
        <v>9</v>
      </c>
      <c r="EV2295" s="985"/>
      <c r="EW2295" s="985"/>
      <c r="EX2295" s="387"/>
      <c r="EY2295" s="939"/>
      <c r="EZ2295" s="886"/>
    </row>
    <row r="2296" spans="88:156">
      <c r="CJ2296" s="197"/>
      <c r="CK2296" s="197"/>
      <c r="CL2296" s="197"/>
      <c r="CM2296" s="213"/>
      <c r="CN2296" s="213"/>
      <c r="CO2296" s="197"/>
      <c r="CP2296" s="197"/>
      <c r="CQ2296" s="197"/>
      <c r="CR2296" s="197"/>
      <c r="CS2296" s="197"/>
      <c r="CT2296" s="197"/>
      <c r="CU2296" s="197"/>
      <c r="CV2296" s="197"/>
      <c r="CW2296" s="197"/>
      <c r="CX2296" s="959"/>
      <c r="CY2296" s="959"/>
      <c r="CZ2296" s="959"/>
      <c r="DA2296" s="959"/>
      <c r="DB2296" s="959"/>
      <c r="DC2296" s="891">
        <v>8045</v>
      </c>
      <c r="DD2296" s="891" t="s">
        <v>3490</v>
      </c>
      <c r="DE2296" s="891" t="s">
        <v>412</v>
      </c>
      <c r="DF2296" s="891">
        <v>6</v>
      </c>
      <c r="DG2296" s="959"/>
      <c r="DH2296" s="959"/>
      <c r="ER2296" s="905">
        <v>7951</v>
      </c>
      <c r="ES2296" s="906" t="s">
        <v>3458</v>
      </c>
      <c r="ET2296" s="2686">
        <v>9</v>
      </c>
      <c r="EV2296" s="985"/>
      <c r="EW2296" s="985"/>
      <c r="EX2296" s="387"/>
      <c r="EY2296" s="939"/>
      <c r="EZ2296" s="886"/>
    </row>
    <row r="2297" spans="88:156">
      <c r="CJ2297" s="197"/>
      <c r="CK2297" s="197"/>
      <c r="CL2297" s="197"/>
      <c r="CM2297" s="213"/>
      <c r="CN2297" s="213"/>
      <c r="CO2297" s="197"/>
      <c r="CP2297" s="197"/>
      <c r="CQ2297" s="197"/>
      <c r="CR2297" s="197"/>
      <c r="CS2297" s="197"/>
      <c r="CT2297" s="197"/>
      <c r="CU2297" s="197"/>
      <c r="CV2297" s="197"/>
      <c r="CW2297" s="197"/>
      <c r="CX2297" s="959"/>
      <c r="CY2297" s="959"/>
      <c r="CZ2297" s="959"/>
      <c r="DA2297" s="959"/>
      <c r="DB2297" s="959"/>
      <c r="DC2297" s="891">
        <v>8046</v>
      </c>
      <c r="DD2297" s="891" t="s">
        <v>3491</v>
      </c>
      <c r="DE2297" s="891" t="s">
        <v>412</v>
      </c>
      <c r="DF2297" s="891">
        <v>6</v>
      </c>
      <c r="DG2297" s="959"/>
      <c r="DH2297" s="959"/>
      <c r="ER2297" s="905">
        <v>7951</v>
      </c>
      <c r="ES2297" s="906" t="s">
        <v>3459</v>
      </c>
      <c r="ET2297" s="2686">
        <v>9</v>
      </c>
      <c r="EV2297" s="985"/>
      <c r="EW2297" s="985"/>
      <c r="EX2297" s="387"/>
      <c r="EY2297" s="939"/>
      <c r="EZ2297" s="886"/>
    </row>
    <row r="2298" spans="88:156">
      <c r="CJ2298" s="197"/>
      <c r="CK2298" s="197"/>
      <c r="CL2298" s="197"/>
      <c r="CM2298" s="213"/>
      <c r="CN2298" s="213"/>
      <c r="CO2298" s="197"/>
      <c r="CP2298" s="197"/>
      <c r="CQ2298" s="197"/>
      <c r="CR2298" s="197"/>
      <c r="CS2298" s="197"/>
      <c r="CT2298" s="197"/>
      <c r="CU2298" s="197"/>
      <c r="CV2298" s="197"/>
      <c r="CW2298" s="197"/>
      <c r="CX2298" s="959"/>
      <c r="CY2298" s="959"/>
      <c r="CZ2298" s="959"/>
      <c r="DA2298" s="959"/>
      <c r="DB2298" s="959"/>
      <c r="DC2298" s="891">
        <v>8051</v>
      </c>
      <c r="DD2298" s="891" t="s">
        <v>3492</v>
      </c>
      <c r="DE2298" s="891" t="s">
        <v>412</v>
      </c>
      <c r="DF2298" s="891">
        <v>6</v>
      </c>
      <c r="DG2298" s="959"/>
      <c r="DH2298" s="959"/>
      <c r="ER2298" s="905">
        <v>7953</v>
      </c>
      <c r="ES2298" s="906" t="s">
        <v>3460</v>
      </c>
      <c r="ET2298" s="2686">
        <v>9</v>
      </c>
      <c r="EV2298" s="985"/>
      <c r="EW2298" s="985"/>
      <c r="EX2298" s="387"/>
      <c r="EY2298" s="939"/>
      <c r="EZ2298" s="886"/>
    </row>
    <row r="2299" spans="88:156">
      <c r="CJ2299" s="197"/>
      <c r="CK2299" s="197"/>
      <c r="CL2299" s="197"/>
      <c r="CM2299" s="213"/>
      <c r="CN2299" s="213"/>
      <c r="CO2299" s="197"/>
      <c r="CP2299" s="197"/>
      <c r="CQ2299" s="197"/>
      <c r="CR2299" s="197"/>
      <c r="CS2299" s="197"/>
      <c r="CT2299" s="197"/>
      <c r="CU2299" s="197"/>
      <c r="CV2299" s="197"/>
      <c r="CW2299" s="197"/>
      <c r="CX2299" s="959"/>
      <c r="CY2299" s="959"/>
      <c r="CZ2299" s="959"/>
      <c r="DA2299" s="959"/>
      <c r="DB2299" s="959"/>
      <c r="DC2299" s="891">
        <v>8052</v>
      </c>
      <c r="DD2299" s="891" t="s">
        <v>3493</v>
      </c>
      <c r="DE2299" s="891" t="s">
        <v>412</v>
      </c>
      <c r="DF2299" s="891">
        <v>6</v>
      </c>
      <c r="DG2299" s="959"/>
      <c r="DH2299" s="959"/>
      <c r="ER2299" s="905">
        <v>7954</v>
      </c>
      <c r="ES2299" s="906" t="s">
        <v>3719</v>
      </c>
      <c r="ET2299" s="2686">
        <v>9</v>
      </c>
      <c r="EV2299" s="985"/>
      <c r="EW2299" s="985"/>
      <c r="EX2299" s="387"/>
      <c r="EY2299" s="939"/>
      <c r="EZ2299" s="886"/>
    </row>
    <row r="2300" spans="88:156">
      <c r="CJ2300" s="197"/>
      <c r="CK2300" s="197"/>
      <c r="CL2300" s="197"/>
      <c r="CM2300" s="213"/>
      <c r="CN2300" s="213"/>
      <c r="CO2300" s="197"/>
      <c r="CP2300" s="197"/>
      <c r="CQ2300" s="197"/>
      <c r="CR2300" s="197"/>
      <c r="CS2300" s="197"/>
      <c r="CT2300" s="197"/>
      <c r="CU2300" s="197"/>
      <c r="CV2300" s="197"/>
      <c r="CW2300" s="197"/>
      <c r="CX2300" s="959"/>
      <c r="CY2300" s="959"/>
      <c r="CZ2300" s="959"/>
      <c r="DA2300" s="959"/>
      <c r="DB2300" s="959"/>
      <c r="DC2300" s="891">
        <v>8053</v>
      </c>
      <c r="DD2300" s="891" t="s">
        <v>3494</v>
      </c>
      <c r="DE2300" s="891" t="s">
        <v>412</v>
      </c>
      <c r="DF2300" s="891">
        <v>6</v>
      </c>
      <c r="DG2300" s="959"/>
      <c r="DH2300" s="959"/>
      <c r="ER2300" s="905">
        <v>7954</v>
      </c>
      <c r="ES2300" s="906" t="s">
        <v>3720</v>
      </c>
      <c r="ET2300" s="2686">
        <v>9</v>
      </c>
      <c r="EV2300" s="985"/>
      <c r="EW2300" s="985"/>
      <c r="EX2300" s="387"/>
      <c r="EY2300" s="939"/>
      <c r="EZ2300" s="886"/>
    </row>
    <row r="2301" spans="88:156">
      <c r="CJ2301" s="197"/>
      <c r="CK2301" s="197"/>
      <c r="CL2301" s="197"/>
      <c r="CM2301" s="213"/>
      <c r="CN2301" s="213"/>
      <c r="CO2301" s="197"/>
      <c r="CP2301" s="197"/>
      <c r="CQ2301" s="197"/>
      <c r="CR2301" s="197"/>
      <c r="CS2301" s="197"/>
      <c r="CT2301" s="197"/>
      <c r="CU2301" s="197"/>
      <c r="CV2301" s="197"/>
      <c r="CW2301" s="197"/>
      <c r="CX2301" s="959"/>
      <c r="CY2301" s="959"/>
      <c r="CZ2301" s="959"/>
      <c r="DA2301" s="959"/>
      <c r="DB2301" s="959"/>
      <c r="DC2301" s="891">
        <v>8054</v>
      </c>
      <c r="DD2301" s="891" t="s">
        <v>3495</v>
      </c>
      <c r="DE2301" s="891" t="s">
        <v>412</v>
      </c>
      <c r="DF2301" s="891">
        <v>6</v>
      </c>
      <c r="DG2301" s="959"/>
      <c r="DH2301" s="959"/>
      <c r="ER2301" s="905">
        <v>7954</v>
      </c>
      <c r="ES2301" s="906" t="s">
        <v>3721</v>
      </c>
      <c r="ET2301" s="2686">
        <v>9</v>
      </c>
      <c r="EV2301" s="985"/>
      <c r="EW2301" s="985"/>
      <c r="EX2301" s="387"/>
      <c r="EY2301" s="939"/>
      <c r="EZ2301" s="886"/>
    </row>
    <row r="2302" spans="88:156">
      <c r="CJ2302" s="197"/>
      <c r="CK2302" s="197"/>
      <c r="CL2302" s="197"/>
      <c r="CM2302" s="213"/>
      <c r="CN2302" s="213"/>
      <c r="CO2302" s="197"/>
      <c r="CP2302" s="197"/>
      <c r="CQ2302" s="197"/>
      <c r="CR2302" s="197"/>
      <c r="CS2302" s="197"/>
      <c r="CT2302" s="197"/>
      <c r="CU2302" s="197"/>
      <c r="CV2302" s="197"/>
      <c r="CW2302" s="197"/>
      <c r="CX2302" s="959"/>
      <c r="CY2302" s="959"/>
      <c r="CZ2302" s="959"/>
      <c r="DA2302" s="959"/>
      <c r="DB2302" s="959"/>
      <c r="DC2302" s="891">
        <v>8055</v>
      </c>
      <c r="DD2302" s="891" t="s">
        <v>3496</v>
      </c>
      <c r="DE2302" s="891" t="s">
        <v>412</v>
      </c>
      <c r="DF2302" s="891">
        <v>6</v>
      </c>
      <c r="DG2302" s="959"/>
      <c r="DH2302" s="959"/>
      <c r="ER2302" s="905">
        <v>7954</v>
      </c>
      <c r="ES2302" s="906" t="s">
        <v>3722</v>
      </c>
      <c r="ET2302" s="2686">
        <v>9</v>
      </c>
      <c r="EV2302" s="985"/>
      <c r="EW2302" s="985"/>
      <c r="EX2302" s="387"/>
      <c r="EY2302" s="939"/>
      <c r="EZ2302" s="886"/>
    </row>
    <row r="2303" spans="88:156">
      <c r="CJ2303" s="197"/>
      <c r="CK2303" s="197"/>
      <c r="CL2303" s="197"/>
      <c r="CM2303" s="213"/>
      <c r="CN2303" s="213"/>
      <c r="CO2303" s="197"/>
      <c r="CP2303" s="197"/>
      <c r="CQ2303" s="197"/>
      <c r="CR2303" s="197"/>
      <c r="CS2303" s="197"/>
      <c r="CT2303" s="197"/>
      <c r="CU2303" s="197"/>
      <c r="CV2303" s="197"/>
      <c r="CW2303" s="197"/>
      <c r="CX2303" s="959"/>
      <c r="CY2303" s="959"/>
      <c r="CZ2303" s="959"/>
      <c r="DA2303" s="959"/>
      <c r="DB2303" s="959"/>
      <c r="DC2303" s="891">
        <v>8056</v>
      </c>
      <c r="DD2303" s="891" t="s">
        <v>3497</v>
      </c>
      <c r="DE2303" s="891" t="s">
        <v>412</v>
      </c>
      <c r="DF2303" s="891">
        <v>6</v>
      </c>
      <c r="DG2303" s="959"/>
      <c r="DH2303" s="959"/>
      <c r="ER2303" s="905">
        <v>7954</v>
      </c>
      <c r="ES2303" s="906" t="s">
        <v>3461</v>
      </c>
      <c r="ET2303" s="2686">
        <v>9</v>
      </c>
      <c r="EV2303" s="985"/>
      <c r="EW2303" s="985"/>
      <c r="EX2303" s="387"/>
      <c r="EY2303" s="939"/>
      <c r="EZ2303" s="886"/>
    </row>
    <row r="2304" spans="88:156">
      <c r="CJ2304" s="197"/>
      <c r="CK2304" s="197"/>
      <c r="CL2304" s="197"/>
      <c r="CM2304" s="213"/>
      <c r="CN2304" s="213"/>
      <c r="CO2304" s="197"/>
      <c r="CP2304" s="197"/>
      <c r="CQ2304" s="197"/>
      <c r="CR2304" s="197"/>
      <c r="CS2304" s="197"/>
      <c r="CT2304" s="197"/>
      <c r="CU2304" s="197"/>
      <c r="CV2304" s="197"/>
      <c r="CW2304" s="197"/>
      <c r="CX2304" s="959"/>
      <c r="CY2304" s="959"/>
      <c r="CZ2304" s="959"/>
      <c r="DA2304" s="959"/>
      <c r="DB2304" s="959"/>
      <c r="DC2304" s="891">
        <v>8060</v>
      </c>
      <c r="DD2304" s="891" t="s">
        <v>3498</v>
      </c>
      <c r="DE2304" s="891" t="s">
        <v>412</v>
      </c>
      <c r="DF2304" s="891">
        <v>6</v>
      </c>
      <c r="DG2304" s="959"/>
      <c r="DH2304" s="959"/>
      <c r="ER2304" s="905">
        <v>7957</v>
      </c>
      <c r="ES2304" s="906" t="s">
        <v>3723</v>
      </c>
      <c r="ET2304" s="2686">
        <v>9</v>
      </c>
      <c r="EV2304" s="985"/>
      <c r="EW2304" s="985"/>
      <c r="EX2304" s="387"/>
      <c r="EY2304" s="939"/>
      <c r="EZ2304" s="886"/>
    </row>
    <row r="2305" spans="88:156">
      <c r="CJ2305" s="197"/>
      <c r="CK2305" s="197"/>
      <c r="CL2305" s="197"/>
      <c r="CM2305" s="213"/>
      <c r="CN2305" s="213"/>
      <c r="CO2305" s="197"/>
      <c r="CP2305" s="197"/>
      <c r="CQ2305" s="197"/>
      <c r="CR2305" s="197"/>
      <c r="CS2305" s="197"/>
      <c r="CT2305" s="197"/>
      <c r="CU2305" s="197"/>
      <c r="CV2305" s="197"/>
      <c r="CW2305" s="197"/>
      <c r="CX2305" s="959"/>
      <c r="CY2305" s="959"/>
      <c r="CZ2305" s="959"/>
      <c r="DA2305" s="959"/>
      <c r="DB2305" s="959"/>
      <c r="DC2305" s="891">
        <v>8065</v>
      </c>
      <c r="DD2305" s="891" t="s">
        <v>3499</v>
      </c>
      <c r="DE2305" s="891" t="s">
        <v>412</v>
      </c>
      <c r="DF2305" s="891">
        <v>6</v>
      </c>
      <c r="DG2305" s="959"/>
      <c r="DH2305" s="959"/>
      <c r="ER2305" s="905">
        <v>7958</v>
      </c>
      <c r="ES2305" s="906" t="s">
        <v>3724</v>
      </c>
      <c r="ET2305" s="2686">
        <v>9</v>
      </c>
      <c r="EV2305" s="985"/>
      <c r="EW2305" s="985"/>
      <c r="EX2305" s="387"/>
      <c r="EY2305" s="939"/>
      <c r="EZ2305" s="886"/>
    </row>
    <row r="2306" spans="88:156">
      <c r="CJ2306" s="197"/>
      <c r="CK2306" s="197"/>
      <c r="CL2306" s="197"/>
      <c r="CM2306" s="213"/>
      <c r="CN2306" s="213"/>
      <c r="CO2306" s="197"/>
      <c r="CP2306" s="197"/>
      <c r="CQ2306" s="197"/>
      <c r="CR2306" s="197"/>
      <c r="CS2306" s="197"/>
      <c r="CT2306" s="197"/>
      <c r="CU2306" s="197"/>
      <c r="CV2306" s="197"/>
      <c r="CW2306" s="197"/>
      <c r="CX2306" s="959"/>
      <c r="CY2306" s="959"/>
      <c r="CZ2306" s="959"/>
      <c r="DA2306" s="959"/>
      <c r="DB2306" s="959"/>
      <c r="DC2306" s="891">
        <v>8066</v>
      </c>
      <c r="DD2306" s="891" t="s">
        <v>3500</v>
      </c>
      <c r="DE2306" s="891" t="s">
        <v>412</v>
      </c>
      <c r="DF2306" s="891">
        <v>6</v>
      </c>
      <c r="DG2306" s="959"/>
      <c r="DH2306" s="959"/>
      <c r="ER2306" s="905">
        <v>7960</v>
      </c>
      <c r="ES2306" s="906" t="s">
        <v>3725</v>
      </c>
      <c r="ET2306" s="2686">
        <v>9</v>
      </c>
      <c r="EV2306" s="985"/>
      <c r="EW2306" s="985"/>
      <c r="EX2306" s="387"/>
      <c r="EY2306" s="939"/>
      <c r="EZ2306" s="886"/>
    </row>
    <row r="2307" spans="88:156">
      <c r="CJ2307" s="197"/>
      <c r="CK2307" s="197"/>
      <c r="CL2307" s="197"/>
      <c r="CM2307" s="213"/>
      <c r="CN2307" s="213"/>
      <c r="CO2307" s="197"/>
      <c r="CP2307" s="197"/>
      <c r="CQ2307" s="197"/>
      <c r="CR2307" s="197"/>
      <c r="CS2307" s="197"/>
      <c r="CT2307" s="197"/>
      <c r="CU2307" s="197"/>
      <c r="CV2307" s="197"/>
      <c r="CW2307" s="197"/>
      <c r="CX2307" s="959"/>
      <c r="CY2307" s="959"/>
      <c r="CZ2307" s="959"/>
      <c r="DA2307" s="959"/>
      <c r="DB2307" s="959"/>
      <c r="DC2307" s="891">
        <v>8071</v>
      </c>
      <c r="DD2307" s="891" t="s">
        <v>3501</v>
      </c>
      <c r="DE2307" s="891" t="s">
        <v>412</v>
      </c>
      <c r="DF2307" s="891">
        <v>6</v>
      </c>
      <c r="DG2307" s="959"/>
      <c r="DH2307" s="959"/>
      <c r="ER2307" s="905">
        <v>7960</v>
      </c>
      <c r="ES2307" s="906" t="s">
        <v>3467</v>
      </c>
      <c r="ET2307" s="2686">
        <v>9</v>
      </c>
      <c r="EV2307" s="985"/>
      <c r="EW2307" s="985"/>
      <c r="EX2307" s="387"/>
      <c r="EY2307" s="939"/>
      <c r="EZ2307" s="886"/>
    </row>
    <row r="2308" spans="88:156">
      <c r="CJ2308" s="197"/>
      <c r="CK2308" s="197"/>
      <c r="CL2308" s="197"/>
      <c r="CM2308" s="213"/>
      <c r="CN2308" s="213"/>
      <c r="CO2308" s="197"/>
      <c r="CP2308" s="197"/>
      <c r="CQ2308" s="197"/>
      <c r="CR2308" s="197"/>
      <c r="CS2308" s="197"/>
      <c r="CT2308" s="197"/>
      <c r="CU2308" s="197"/>
      <c r="CV2308" s="197"/>
      <c r="CW2308" s="197"/>
      <c r="CX2308" s="959"/>
      <c r="CY2308" s="959"/>
      <c r="CZ2308" s="959"/>
      <c r="DA2308" s="959"/>
      <c r="DB2308" s="959"/>
      <c r="DC2308" s="891">
        <v>8072</v>
      </c>
      <c r="DD2308" s="891" t="s">
        <v>3502</v>
      </c>
      <c r="DE2308" s="891" t="s">
        <v>412</v>
      </c>
      <c r="DF2308" s="891">
        <v>6</v>
      </c>
      <c r="DG2308" s="959"/>
      <c r="DH2308" s="959"/>
      <c r="ER2308" s="905">
        <v>7960</v>
      </c>
      <c r="ES2308" s="906" t="s">
        <v>3726</v>
      </c>
      <c r="ET2308" s="2686">
        <v>9</v>
      </c>
      <c r="EV2308" s="985"/>
      <c r="EW2308" s="985"/>
      <c r="EX2308" s="387"/>
      <c r="EY2308" s="939"/>
      <c r="EZ2308" s="886"/>
    </row>
    <row r="2309" spans="88:156">
      <c r="CJ2309" s="197"/>
      <c r="CK2309" s="197"/>
      <c r="CL2309" s="197"/>
      <c r="CM2309" s="213"/>
      <c r="CN2309" s="213"/>
      <c r="CO2309" s="197"/>
      <c r="CP2309" s="197"/>
      <c r="CQ2309" s="197"/>
      <c r="CR2309" s="197"/>
      <c r="CS2309" s="197"/>
      <c r="CT2309" s="197"/>
      <c r="CU2309" s="197"/>
      <c r="CV2309" s="197"/>
      <c r="CW2309" s="197"/>
      <c r="CX2309" s="959"/>
      <c r="CY2309" s="959"/>
      <c r="CZ2309" s="959"/>
      <c r="DA2309" s="959"/>
      <c r="DB2309" s="959"/>
      <c r="DC2309" s="891">
        <v>8073</v>
      </c>
      <c r="DD2309" s="891" t="s">
        <v>3503</v>
      </c>
      <c r="DE2309" s="891" t="s">
        <v>412</v>
      </c>
      <c r="DF2309" s="891">
        <v>6</v>
      </c>
      <c r="DG2309" s="959"/>
      <c r="DH2309" s="959"/>
      <c r="ER2309" s="905">
        <v>7960</v>
      </c>
      <c r="ES2309" s="906" t="s">
        <v>3727</v>
      </c>
      <c r="ET2309" s="2686">
        <v>9</v>
      </c>
      <c r="EV2309" s="985"/>
      <c r="EW2309" s="985"/>
      <c r="EX2309" s="387"/>
      <c r="EY2309" s="939"/>
      <c r="EZ2309" s="886"/>
    </row>
    <row r="2310" spans="88:156">
      <c r="CJ2310" s="197"/>
      <c r="CK2310" s="197"/>
      <c r="CL2310" s="197"/>
      <c r="CM2310" s="213"/>
      <c r="CN2310" s="213"/>
      <c r="CO2310" s="197"/>
      <c r="CP2310" s="197"/>
      <c r="CQ2310" s="197"/>
      <c r="CR2310" s="197"/>
      <c r="CS2310" s="197"/>
      <c r="CT2310" s="197"/>
      <c r="CU2310" s="197"/>
      <c r="CV2310" s="197"/>
      <c r="CW2310" s="197"/>
      <c r="CX2310" s="959"/>
      <c r="CY2310" s="959"/>
      <c r="CZ2310" s="959"/>
      <c r="DA2310" s="959"/>
      <c r="DB2310" s="959"/>
      <c r="DC2310" s="891">
        <v>8074</v>
      </c>
      <c r="DD2310" s="891" t="s">
        <v>3504</v>
      </c>
      <c r="DE2310" s="891" t="s">
        <v>412</v>
      </c>
      <c r="DF2310" s="891">
        <v>6</v>
      </c>
      <c r="DG2310" s="959"/>
      <c r="DH2310" s="959"/>
      <c r="ER2310" s="905">
        <v>7960</v>
      </c>
      <c r="ES2310" s="906" t="s">
        <v>3465</v>
      </c>
      <c r="ET2310" s="2686">
        <v>9</v>
      </c>
      <c r="EV2310" s="985"/>
      <c r="EW2310" s="985"/>
      <c r="EX2310" s="387"/>
      <c r="EY2310" s="939"/>
      <c r="EZ2310" s="886"/>
    </row>
    <row r="2311" spans="88:156">
      <c r="CJ2311" s="197"/>
      <c r="CK2311" s="197"/>
      <c r="CL2311" s="197"/>
      <c r="CM2311" s="213"/>
      <c r="CN2311" s="213"/>
      <c r="CO2311" s="197"/>
      <c r="CP2311" s="197"/>
      <c r="CQ2311" s="197"/>
      <c r="CR2311" s="197"/>
      <c r="CS2311" s="197"/>
      <c r="CT2311" s="197"/>
      <c r="CU2311" s="197"/>
      <c r="CV2311" s="197"/>
      <c r="CW2311" s="197"/>
      <c r="CX2311" s="959"/>
      <c r="CY2311" s="959"/>
      <c r="CZ2311" s="959"/>
      <c r="DA2311" s="959"/>
      <c r="DB2311" s="959"/>
      <c r="DC2311" s="891">
        <v>8080</v>
      </c>
      <c r="DD2311" s="891" t="s">
        <v>3505</v>
      </c>
      <c r="DE2311" s="891" t="s">
        <v>412</v>
      </c>
      <c r="DF2311" s="891">
        <v>5</v>
      </c>
      <c r="DG2311" s="959"/>
      <c r="DH2311" s="959"/>
      <c r="ER2311" s="905">
        <v>7960</v>
      </c>
      <c r="ES2311" s="906" t="s">
        <v>3462</v>
      </c>
      <c r="ET2311" s="2686">
        <v>9</v>
      </c>
      <c r="EV2311" s="985"/>
      <c r="EW2311" s="985"/>
      <c r="EX2311" s="387"/>
      <c r="EY2311" s="939"/>
      <c r="EZ2311" s="886"/>
    </row>
    <row r="2312" spans="88:156">
      <c r="CJ2312" s="197"/>
      <c r="CK2312" s="197"/>
      <c r="CL2312" s="197"/>
      <c r="CM2312" s="213"/>
      <c r="CN2312" s="213"/>
      <c r="CO2312" s="197"/>
      <c r="CP2312" s="197"/>
      <c r="CQ2312" s="197"/>
      <c r="CR2312" s="197"/>
      <c r="CS2312" s="197"/>
      <c r="CT2312" s="197"/>
      <c r="CU2312" s="197"/>
      <c r="CV2312" s="197"/>
      <c r="CW2312" s="197"/>
      <c r="CX2312" s="959"/>
      <c r="CY2312" s="959"/>
      <c r="CZ2312" s="959"/>
      <c r="DA2312" s="959"/>
      <c r="DB2312" s="959"/>
      <c r="DC2312" s="891">
        <v>8081</v>
      </c>
      <c r="DD2312" s="891" t="s">
        <v>3506</v>
      </c>
      <c r="DE2312" s="891" t="s">
        <v>412</v>
      </c>
      <c r="DF2312" s="891">
        <v>6</v>
      </c>
      <c r="DG2312" s="959"/>
      <c r="DH2312" s="959"/>
      <c r="ER2312" s="905">
        <v>7964</v>
      </c>
      <c r="ES2312" s="906" t="s">
        <v>3728</v>
      </c>
      <c r="ET2312" s="2686">
        <v>9</v>
      </c>
      <c r="EV2312" s="985"/>
      <c r="EW2312" s="985"/>
      <c r="EX2312" s="387"/>
      <c r="EY2312" s="939"/>
      <c r="EZ2312" s="886"/>
    </row>
    <row r="2313" spans="88:156">
      <c r="CJ2313" s="197"/>
      <c r="CK2313" s="197"/>
      <c r="CL2313" s="197"/>
      <c r="CM2313" s="213"/>
      <c r="CN2313" s="213"/>
      <c r="CO2313" s="197"/>
      <c r="CP2313" s="197"/>
      <c r="CQ2313" s="197"/>
      <c r="CR2313" s="197"/>
      <c r="CS2313" s="197"/>
      <c r="CT2313" s="197"/>
      <c r="CU2313" s="197"/>
      <c r="CV2313" s="197"/>
      <c r="CW2313" s="197"/>
      <c r="CX2313" s="959"/>
      <c r="CY2313" s="959"/>
      <c r="CZ2313" s="959"/>
      <c r="DA2313" s="959"/>
      <c r="DB2313" s="959"/>
      <c r="DC2313" s="891">
        <v>8082</v>
      </c>
      <c r="DD2313" s="891" t="s">
        <v>3507</v>
      </c>
      <c r="DE2313" s="891" t="s">
        <v>412</v>
      </c>
      <c r="DF2313" s="891">
        <v>6</v>
      </c>
      <c r="DG2313" s="959"/>
      <c r="DH2313" s="959"/>
      <c r="ER2313" s="905">
        <v>7966</v>
      </c>
      <c r="ES2313" s="906" t="s">
        <v>3468</v>
      </c>
      <c r="ET2313" s="2686">
        <v>9</v>
      </c>
      <c r="EV2313" s="985"/>
      <c r="EW2313" s="985"/>
      <c r="EX2313" s="387"/>
      <c r="EY2313" s="939"/>
      <c r="EZ2313" s="886"/>
    </row>
    <row r="2314" spans="88:156">
      <c r="CJ2314" s="197"/>
      <c r="CK2314" s="197"/>
      <c r="CL2314" s="197"/>
      <c r="CM2314" s="213"/>
      <c r="CN2314" s="213"/>
      <c r="CO2314" s="197"/>
      <c r="CP2314" s="197"/>
      <c r="CQ2314" s="197"/>
      <c r="CR2314" s="197"/>
      <c r="CS2314" s="197"/>
      <c r="CT2314" s="197"/>
      <c r="CU2314" s="197"/>
      <c r="CV2314" s="197"/>
      <c r="CW2314" s="197"/>
      <c r="CX2314" s="959"/>
      <c r="CY2314" s="959"/>
      <c r="CZ2314" s="959"/>
      <c r="DA2314" s="959"/>
      <c r="DB2314" s="959"/>
      <c r="DC2314" s="891">
        <v>8083</v>
      </c>
      <c r="DD2314" s="891" t="s">
        <v>3508</v>
      </c>
      <c r="DE2314" s="891" t="s">
        <v>412</v>
      </c>
      <c r="DF2314" s="891">
        <v>6</v>
      </c>
      <c r="DG2314" s="959"/>
      <c r="DH2314" s="959"/>
      <c r="ER2314" s="905">
        <v>7967</v>
      </c>
      <c r="ES2314" s="906" t="s">
        <v>3729</v>
      </c>
      <c r="ET2314" s="2686">
        <v>9</v>
      </c>
      <c r="EV2314" s="985"/>
      <c r="EW2314" s="985"/>
      <c r="EX2314" s="387"/>
      <c r="EY2314" s="939"/>
      <c r="EZ2314" s="886"/>
    </row>
    <row r="2315" spans="88:156">
      <c r="CJ2315" s="197"/>
      <c r="CK2315" s="197"/>
      <c r="CL2315" s="197"/>
      <c r="CM2315" s="213"/>
      <c r="CN2315" s="213"/>
      <c r="CO2315" s="197"/>
      <c r="CP2315" s="197"/>
      <c r="CQ2315" s="197"/>
      <c r="CR2315" s="197"/>
      <c r="CS2315" s="197"/>
      <c r="CT2315" s="197"/>
      <c r="CU2315" s="197"/>
      <c r="CV2315" s="197"/>
      <c r="CW2315" s="197"/>
      <c r="CX2315" s="959"/>
      <c r="CY2315" s="959"/>
      <c r="CZ2315" s="959"/>
      <c r="DA2315" s="959"/>
      <c r="DB2315" s="959"/>
      <c r="DC2315" s="891">
        <v>8085</v>
      </c>
      <c r="DD2315" s="891" t="s">
        <v>2604</v>
      </c>
      <c r="DE2315" s="891" t="s">
        <v>412</v>
      </c>
      <c r="DF2315" s="891">
        <v>5</v>
      </c>
      <c r="DG2315" s="959"/>
      <c r="DH2315" s="959"/>
      <c r="ER2315" s="905">
        <v>7967</v>
      </c>
      <c r="ES2315" s="906" t="s">
        <v>3730</v>
      </c>
      <c r="ET2315" s="2686">
        <v>9</v>
      </c>
      <c r="EV2315" s="985"/>
      <c r="EW2315" s="985"/>
      <c r="EX2315" s="387"/>
      <c r="EY2315" s="939"/>
      <c r="EZ2315" s="886"/>
    </row>
    <row r="2316" spans="88:156">
      <c r="CJ2316" s="197"/>
      <c r="CK2316" s="197"/>
      <c r="CL2316" s="197"/>
      <c r="CM2316" s="213"/>
      <c r="CN2316" s="213"/>
      <c r="CO2316" s="197"/>
      <c r="CP2316" s="197"/>
      <c r="CQ2316" s="197"/>
      <c r="CR2316" s="197"/>
      <c r="CS2316" s="197"/>
      <c r="CT2316" s="197"/>
      <c r="CU2316" s="197"/>
      <c r="CV2316" s="197"/>
      <c r="CW2316" s="197"/>
      <c r="CX2316" s="959"/>
      <c r="CY2316" s="959"/>
      <c r="CZ2316" s="959"/>
      <c r="DA2316" s="959"/>
      <c r="DB2316" s="959"/>
      <c r="DC2316" s="891">
        <v>8086</v>
      </c>
      <c r="DD2316" s="891" t="s">
        <v>2605</v>
      </c>
      <c r="DE2316" s="891" t="s">
        <v>412</v>
      </c>
      <c r="DF2316" s="891">
        <v>4</v>
      </c>
      <c r="DG2316" s="959"/>
      <c r="DH2316" s="959"/>
      <c r="ER2316" s="905">
        <v>7967</v>
      </c>
      <c r="ES2316" s="906" t="s">
        <v>3469</v>
      </c>
      <c r="ET2316" s="2686">
        <v>9</v>
      </c>
      <c r="EV2316" s="985"/>
      <c r="EW2316" s="985"/>
      <c r="EX2316" s="387"/>
      <c r="EY2316" s="939"/>
      <c r="EZ2316" s="886"/>
    </row>
    <row r="2317" spans="88:156">
      <c r="CJ2317" s="197"/>
      <c r="CK2317" s="197"/>
      <c r="CL2317" s="197"/>
      <c r="CM2317" s="213"/>
      <c r="CN2317" s="213"/>
      <c r="CO2317" s="197"/>
      <c r="CP2317" s="197"/>
      <c r="CQ2317" s="197"/>
      <c r="CR2317" s="197"/>
      <c r="CS2317" s="197"/>
      <c r="CT2317" s="197"/>
      <c r="CU2317" s="197"/>
      <c r="CV2317" s="197"/>
      <c r="CW2317" s="197"/>
      <c r="CX2317" s="959"/>
      <c r="CY2317" s="959"/>
      <c r="CZ2317" s="959"/>
      <c r="DA2317" s="959"/>
      <c r="DB2317" s="959"/>
      <c r="DC2317" s="891">
        <v>8087</v>
      </c>
      <c r="DD2317" s="891" t="s">
        <v>2606</v>
      </c>
      <c r="DE2317" s="891" t="s">
        <v>412</v>
      </c>
      <c r="DF2317" s="891">
        <v>4</v>
      </c>
      <c r="DG2317" s="959"/>
      <c r="DH2317" s="959"/>
      <c r="ER2317" s="905">
        <v>7968</v>
      </c>
      <c r="ES2317" s="906" t="s">
        <v>3470</v>
      </c>
      <c r="ET2317" s="2686">
        <v>9</v>
      </c>
      <c r="EV2317" s="985"/>
      <c r="EW2317" s="985"/>
      <c r="EX2317" s="387"/>
      <c r="EY2317" s="939"/>
      <c r="EZ2317" s="886"/>
    </row>
    <row r="2318" spans="88:156">
      <c r="CJ2318" s="197"/>
      <c r="CK2318" s="197"/>
      <c r="CL2318" s="197"/>
      <c r="CM2318" s="213"/>
      <c r="CN2318" s="213"/>
      <c r="CO2318" s="197"/>
      <c r="CP2318" s="197"/>
      <c r="CQ2318" s="197"/>
      <c r="CR2318" s="197"/>
      <c r="CS2318" s="197"/>
      <c r="CT2318" s="197"/>
      <c r="CU2318" s="197"/>
      <c r="CV2318" s="197"/>
      <c r="CW2318" s="197"/>
      <c r="CX2318" s="959"/>
      <c r="CY2318" s="959"/>
      <c r="CZ2318" s="959"/>
      <c r="DA2318" s="959"/>
      <c r="DB2318" s="959"/>
      <c r="DC2318" s="891">
        <v>8088</v>
      </c>
      <c r="DD2318" s="891" t="s">
        <v>2607</v>
      </c>
      <c r="DE2318" s="891" t="s">
        <v>412</v>
      </c>
      <c r="DF2318" s="891">
        <v>4</v>
      </c>
      <c r="DG2318" s="959"/>
      <c r="DH2318" s="959"/>
      <c r="ER2318" s="905">
        <v>7971</v>
      </c>
      <c r="ES2318" s="906" t="s">
        <v>3471</v>
      </c>
      <c r="ET2318" s="2686">
        <v>9</v>
      </c>
      <c r="EV2318" s="985"/>
      <c r="EW2318" s="985"/>
      <c r="EX2318" s="387"/>
      <c r="EY2318" s="939"/>
      <c r="EZ2318" s="886"/>
    </row>
    <row r="2319" spans="88:156">
      <c r="CJ2319" s="197"/>
      <c r="CK2319" s="197"/>
      <c r="CL2319" s="197"/>
      <c r="CM2319" s="213"/>
      <c r="CN2319" s="213"/>
      <c r="CO2319" s="197"/>
      <c r="CP2319" s="197"/>
      <c r="CQ2319" s="197"/>
      <c r="CR2319" s="197"/>
      <c r="CS2319" s="197"/>
      <c r="CT2319" s="197"/>
      <c r="CU2319" s="197"/>
      <c r="CV2319" s="197"/>
      <c r="CW2319" s="197"/>
      <c r="CX2319" s="959"/>
      <c r="CY2319" s="959"/>
      <c r="CZ2319" s="959"/>
      <c r="DA2319" s="959"/>
      <c r="DB2319" s="959"/>
      <c r="DC2319" s="891">
        <v>8089</v>
      </c>
      <c r="DD2319" s="891" t="s">
        <v>2608</v>
      </c>
      <c r="DE2319" s="891" t="s">
        <v>412</v>
      </c>
      <c r="DF2319" s="891">
        <v>5</v>
      </c>
      <c r="DG2319" s="959"/>
      <c r="DH2319" s="959"/>
      <c r="ER2319" s="905">
        <v>7972</v>
      </c>
      <c r="ES2319" s="906" t="s">
        <v>3731</v>
      </c>
      <c r="ET2319" s="2686">
        <v>9</v>
      </c>
      <c r="EV2319" s="985"/>
      <c r="EW2319" s="985"/>
      <c r="EX2319" s="387"/>
      <c r="EY2319" s="939"/>
      <c r="EZ2319" s="886"/>
    </row>
    <row r="2320" spans="88:156">
      <c r="CJ2320" s="197"/>
      <c r="CK2320" s="197"/>
      <c r="CL2320" s="197"/>
      <c r="CM2320" s="213"/>
      <c r="CN2320" s="213"/>
      <c r="CO2320" s="197"/>
      <c r="CP2320" s="197"/>
      <c r="CQ2320" s="197"/>
      <c r="CR2320" s="197"/>
      <c r="CS2320" s="197"/>
      <c r="CT2320" s="197"/>
      <c r="CU2320" s="197"/>
      <c r="CV2320" s="197"/>
      <c r="CW2320" s="197"/>
      <c r="CX2320" s="959"/>
      <c r="CY2320" s="959"/>
      <c r="CZ2320" s="959"/>
      <c r="DA2320" s="959"/>
      <c r="DB2320" s="959"/>
      <c r="DC2320" s="891">
        <v>8092</v>
      </c>
      <c r="DD2320" s="891" t="s">
        <v>2609</v>
      </c>
      <c r="DE2320" s="891" t="s">
        <v>412</v>
      </c>
      <c r="DF2320" s="891">
        <v>6</v>
      </c>
      <c r="DG2320" s="959"/>
      <c r="DH2320" s="959"/>
      <c r="ER2320" s="905">
        <v>7973</v>
      </c>
      <c r="ES2320" s="906" t="s">
        <v>3732</v>
      </c>
      <c r="ET2320" s="2686">
        <v>9</v>
      </c>
      <c r="EV2320" s="985"/>
      <c r="EW2320" s="985"/>
      <c r="EX2320" s="387"/>
      <c r="EY2320" s="939"/>
      <c r="EZ2320" s="886"/>
    </row>
    <row r="2321" spans="88:156">
      <c r="CJ2321" s="197"/>
      <c r="CK2321" s="197"/>
      <c r="CL2321" s="197"/>
      <c r="CM2321" s="213"/>
      <c r="CN2321" s="213"/>
      <c r="CO2321" s="197"/>
      <c r="CP2321" s="197"/>
      <c r="CQ2321" s="197"/>
      <c r="CR2321" s="197"/>
      <c r="CS2321" s="197"/>
      <c r="CT2321" s="197"/>
      <c r="CU2321" s="197"/>
      <c r="CV2321" s="197"/>
      <c r="CW2321" s="197"/>
      <c r="CX2321" s="959"/>
      <c r="CY2321" s="959"/>
      <c r="CZ2321" s="959"/>
      <c r="DA2321" s="959"/>
      <c r="DB2321" s="959"/>
      <c r="DC2321" s="891">
        <v>8093</v>
      </c>
      <c r="DD2321" s="891" t="s">
        <v>2610</v>
      </c>
      <c r="DE2321" s="891" t="s">
        <v>412</v>
      </c>
      <c r="DF2321" s="891">
        <v>5</v>
      </c>
      <c r="DG2321" s="959"/>
      <c r="DH2321" s="959"/>
      <c r="ER2321" s="905">
        <v>7973</v>
      </c>
      <c r="ES2321" s="906" t="s">
        <v>3733</v>
      </c>
      <c r="ET2321" s="2686">
        <v>9</v>
      </c>
      <c r="EV2321" s="985"/>
      <c r="EW2321" s="985"/>
      <c r="EX2321" s="387"/>
      <c r="EY2321" s="939"/>
      <c r="EZ2321" s="886"/>
    </row>
    <row r="2322" spans="88:156">
      <c r="CJ2322" s="197"/>
      <c r="CK2322" s="197"/>
      <c r="CL2322" s="197"/>
      <c r="CM2322" s="213"/>
      <c r="CN2322" s="213"/>
      <c r="CO2322" s="197"/>
      <c r="CP2322" s="197"/>
      <c r="CQ2322" s="197"/>
      <c r="CR2322" s="197"/>
      <c r="CS2322" s="197"/>
      <c r="CT2322" s="197"/>
      <c r="CU2322" s="197"/>
      <c r="CV2322" s="197"/>
      <c r="CW2322" s="197"/>
      <c r="CX2322" s="959"/>
      <c r="CY2322" s="959"/>
      <c r="CZ2322" s="959"/>
      <c r="DA2322" s="959"/>
      <c r="DB2322" s="959"/>
      <c r="DC2322" s="891">
        <v>8095</v>
      </c>
      <c r="DD2322" s="891" t="s">
        <v>2611</v>
      </c>
      <c r="DE2322" s="891" t="s">
        <v>412</v>
      </c>
      <c r="DF2322" s="891">
        <v>5</v>
      </c>
      <c r="DG2322" s="959"/>
      <c r="DH2322" s="959"/>
      <c r="ER2322" s="905">
        <v>7973</v>
      </c>
      <c r="ES2322" s="906" t="s">
        <v>3734</v>
      </c>
      <c r="ET2322" s="2686">
        <v>9</v>
      </c>
      <c r="EV2322" s="985"/>
      <c r="EW2322" s="985"/>
      <c r="EX2322" s="387"/>
      <c r="EY2322" s="939"/>
      <c r="EZ2322" s="886"/>
    </row>
    <row r="2323" spans="88:156">
      <c r="CJ2323" s="197"/>
      <c r="CK2323" s="197"/>
      <c r="CL2323" s="197"/>
      <c r="CM2323" s="213"/>
      <c r="CN2323" s="213"/>
      <c r="CO2323" s="197"/>
      <c r="CP2323" s="197"/>
      <c r="CQ2323" s="197"/>
      <c r="CR2323" s="197"/>
      <c r="CS2323" s="197"/>
      <c r="CT2323" s="197"/>
      <c r="CU2323" s="197"/>
      <c r="CV2323" s="197"/>
      <c r="CW2323" s="197"/>
      <c r="CX2323" s="959"/>
      <c r="CY2323" s="959"/>
      <c r="CZ2323" s="959"/>
      <c r="DA2323" s="959"/>
      <c r="DB2323" s="959"/>
      <c r="DC2323" s="891">
        <v>8096</v>
      </c>
      <c r="DD2323" s="891" t="s">
        <v>2612</v>
      </c>
      <c r="DE2323" s="891" t="s">
        <v>412</v>
      </c>
      <c r="DF2323" s="891">
        <v>5</v>
      </c>
      <c r="DG2323" s="959"/>
      <c r="DH2323" s="959"/>
      <c r="ER2323" s="905">
        <v>7973</v>
      </c>
      <c r="ES2323" s="906" t="s">
        <v>3473</v>
      </c>
      <c r="ET2323" s="2686">
        <v>9</v>
      </c>
      <c r="EV2323" s="985"/>
      <c r="EW2323" s="985"/>
      <c r="EX2323" s="387"/>
      <c r="EY2323" s="939"/>
      <c r="EZ2323" s="886"/>
    </row>
    <row r="2324" spans="88:156">
      <c r="CJ2324" s="197"/>
      <c r="CK2324" s="197"/>
      <c r="CL2324" s="197"/>
      <c r="CM2324" s="213"/>
      <c r="CN2324" s="213"/>
      <c r="CO2324" s="197"/>
      <c r="CP2324" s="197"/>
      <c r="CQ2324" s="197"/>
      <c r="CR2324" s="197"/>
      <c r="CS2324" s="197"/>
      <c r="CT2324" s="197"/>
      <c r="CU2324" s="197"/>
      <c r="CV2324" s="197"/>
      <c r="CW2324" s="197"/>
      <c r="CX2324" s="959"/>
      <c r="CY2324" s="959"/>
      <c r="CZ2324" s="959"/>
      <c r="DA2324" s="959"/>
      <c r="DB2324" s="959"/>
      <c r="DC2324" s="891">
        <v>8097</v>
      </c>
      <c r="DD2324" s="891" t="s">
        <v>2613</v>
      </c>
      <c r="DE2324" s="891" t="s">
        <v>412</v>
      </c>
      <c r="DF2324" s="891">
        <v>5</v>
      </c>
      <c r="DG2324" s="959"/>
      <c r="DH2324" s="959"/>
      <c r="ER2324" s="905">
        <v>7975</v>
      </c>
      <c r="ES2324" s="906" t="s">
        <v>3474</v>
      </c>
      <c r="ET2324" s="2686">
        <v>9</v>
      </c>
      <c r="EV2324" s="985"/>
      <c r="EW2324" s="985"/>
      <c r="EX2324" s="387"/>
      <c r="EY2324" s="939"/>
      <c r="EZ2324" s="886"/>
    </row>
    <row r="2325" spans="88:156">
      <c r="CJ2325" s="197"/>
      <c r="CK2325" s="197"/>
      <c r="CL2325" s="197"/>
      <c r="CM2325" s="213"/>
      <c r="CN2325" s="213"/>
      <c r="CO2325" s="197"/>
      <c r="CP2325" s="197"/>
      <c r="CQ2325" s="197"/>
      <c r="CR2325" s="197"/>
      <c r="CS2325" s="197"/>
      <c r="CT2325" s="197"/>
      <c r="CU2325" s="197"/>
      <c r="CV2325" s="197"/>
      <c r="CW2325" s="197"/>
      <c r="CX2325" s="959"/>
      <c r="CY2325" s="959"/>
      <c r="CZ2325" s="959"/>
      <c r="DA2325" s="959"/>
      <c r="DB2325" s="959"/>
      <c r="DC2325" s="891">
        <v>8100</v>
      </c>
      <c r="DD2325" s="891" t="s">
        <v>2614</v>
      </c>
      <c r="DE2325" s="891" t="s">
        <v>412</v>
      </c>
      <c r="DF2325" s="891">
        <v>6</v>
      </c>
      <c r="DG2325" s="959"/>
      <c r="DH2325" s="959"/>
      <c r="ER2325" s="905">
        <v>7976</v>
      </c>
      <c r="ES2325" s="906" t="s">
        <v>3735</v>
      </c>
      <c r="ET2325" s="2686">
        <v>9</v>
      </c>
      <c r="EV2325" s="985"/>
      <c r="EW2325" s="985"/>
      <c r="EX2325" s="387"/>
      <c r="EY2325" s="939"/>
      <c r="EZ2325" s="886"/>
    </row>
    <row r="2326" spans="88:156">
      <c r="CJ2326" s="197"/>
      <c r="CK2326" s="197"/>
      <c r="CL2326" s="197"/>
      <c r="CM2326" s="213"/>
      <c r="CN2326" s="213"/>
      <c r="CO2326" s="197"/>
      <c r="CP2326" s="197"/>
      <c r="CQ2326" s="197"/>
      <c r="CR2326" s="197"/>
      <c r="CS2326" s="197"/>
      <c r="CT2326" s="197"/>
      <c r="CU2326" s="197"/>
      <c r="CV2326" s="197"/>
      <c r="CW2326" s="197"/>
      <c r="CX2326" s="959"/>
      <c r="CY2326" s="959"/>
      <c r="CZ2326" s="959"/>
      <c r="DA2326" s="959"/>
      <c r="DB2326" s="959"/>
      <c r="DC2326" s="891">
        <v>8103</v>
      </c>
      <c r="DD2326" s="891" t="s">
        <v>2615</v>
      </c>
      <c r="DE2326" s="891" t="s">
        <v>412</v>
      </c>
      <c r="DF2326" s="891">
        <v>6</v>
      </c>
      <c r="DG2326" s="959"/>
      <c r="DH2326" s="959"/>
      <c r="ER2326" s="905">
        <v>7976</v>
      </c>
      <c r="ES2326" s="906" t="s">
        <v>3475</v>
      </c>
      <c r="ET2326" s="2686">
        <v>9</v>
      </c>
      <c r="EV2326" s="985"/>
      <c r="EW2326" s="985"/>
      <c r="EX2326" s="387"/>
      <c r="EY2326" s="939"/>
      <c r="EZ2326" s="886"/>
    </row>
    <row r="2327" spans="88:156">
      <c r="CJ2327" s="197"/>
      <c r="CK2327" s="197"/>
      <c r="CL2327" s="197"/>
      <c r="CM2327" s="213"/>
      <c r="CN2327" s="213"/>
      <c r="CO2327" s="197"/>
      <c r="CP2327" s="197"/>
      <c r="CQ2327" s="197"/>
      <c r="CR2327" s="197"/>
      <c r="CS2327" s="197"/>
      <c r="CT2327" s="197"/>
      <c r="CU2327" s="197"/>
      <c r="CV2327" s="197"/>
      <c r="CW2327" s="197"/>
      <c r="CX2327" s="959"/>
      <c r="CY2327" s="959"/>
      <c r="CZ2327" s="959"/>
      <c r="DA2327" s="959"/>
      <c r="DB2327" s="959"/>
      <c r="DC2327" s="891">
        <v>8104</v>
      </c>
      <c r="DD2327" s="891" t="s">
        <v>2614</v>
      </c>
      <c r="DE2327" s="891" t="s">
        <v>412</v>
      </c>
      <c r="DF2327" s="891">
        <v>6</v>
      </c>
      <c r="DG2327" s="959"/>
      <c r="DH2327" s="959"/>
      <c r="ER2327" s="905">
        <v>7977</v>
      </c>
      <c r="ES2327" s="906" t="s">
        <v>3736</v>
      </c>
      <c r="ET2327" s="2686">
        <v>9</v>
      </c>
      <c r="EV2327" s="985"/>
      <c r="EW2327" s="985"/>
      <c r="EX2327" s="387"/>
      <c r="EY2327" s="939"/>
      <c r="EZ2327" s="886"/>
    </row>
    <row r="2328" spans="88:156">
      <c r="CJ2328" s="197"/>
      <c r="CK2328" s="197"/>
      <c r="CL2328" s="197"/>
      <c r="CM2328" s="213"/>
      <c r="CN2328" s="213"/>
      <c r="CO2328" s="197"/>
      <c r="CP2328" s="197"/>
      <c r="CQ2328" s="197"/>
      <c r="CR2328" s="197"/>
      <c r="CS2328" s="197"/>
      <c r="CT2328" s="197"/>
      <c r="CU2328" s="197"/>
      <c r="CV2328" s="197"/>
      <c r="CW2328" s="197"/>
      <c r="CX2328" s="959"/>
      <c r="CY2328" s="959"/>
      <c r="CZ2328" s="959"/>
      <c r="DA2328" s="959"/>
      <c r="DB2328" s="959"/>
      <c r="DC2328" s="891">
        <v>8105</v>
      </c>
      <c r="DD2328" s="891" t="s">
        <v>2616</v>
      </c>
      <c r="DE2328" s="891" t="s">
        <v>412</v>
      </c>
      <c r="DF2328" s="891">
        <v>6</v>
      </c>
      <c r="DG2328" s="959"/>
      <c r="DH2328" s="959"/>
      <c r="ER2328" s="905">
        <v>7977</v>
      </c>
      <c r="ES2328" s="906" t="s">
        <v>3737</v>
      </c>
      <c r="ET2328" s="2686">
        <v>9</v>
      </c>
      <c r="EV2328" s="985"/>
      <c r="EW2328" s="985"/>
      <c r="EX2328" s="387"/>
      <c r="EY2328" s="939"/>
      <c r="EZ2328" s="886"/>
    </row>
    <row r="2329" spans="88:156">
      <c r="CJ2329" s="197"/>
      <c r="CK2329" s="197"/>
      <c r="CL2329" s="197"/>
      <c r="CM2329" s="213"/>
      <c r="CN2329" s="213"/>
      <c r="CO2329" s="197"/>
      <c r="CP2329" s="197"/>
      <c r="CQ2329" s="197"/>
      <c r="CR2329" s="197"/>
      <c r="CS2329" s="197"/>
      <c r="CT2329" s="197"/>
      <c r="CU2329" s="197"/>
      <c r="CV2329" s="197"/>
      <c r="CW2329" s="197"/>
      <c r="CX2329" s="959"/>
      <c r="CY2329" s="959"/>
      <c r="CZ2329" s="959"/>
      <c r="DA2329" s="959"/>
      <c r="DB2329" s="959"/>
      <c r="DC2329" s="891">
        <v>8109</v>
      </c>
      <c r="DD2329" s="891" t="s">
        <v>2617</v>
      </c>
      <c r="DE2329" s="891" t="s">
        <v>412</v>
      </c>
      <c r="DF2329" s="891">
        <v>6</v>
      </c>
      <c r="DG2329" s="959"/>
      <c r="DH2329" s="959"/>
      <c r="ER2329" s="905">
        <v>7977</v>
      </c>
      <c r="ES2329" s="906" t="s">
        <v>3476</v>
      </c>
      <c r="ET2329" s="2686">
        <v>9</v>
      </c>
      <c r="EV2329" s="985"/>
      <c r="EW2329" s="985"/>
      <c r="EX2329" s="387"/>
      <c r="EY2329" s="939"/>
      <c r="EZ2329" s="886"/>
    </row>
    <row r="2330" spans="88:156">
      <c r="CJ2330" s="197"/>
      <c r="CK2330" s="197"/>
      <c r="CL2330" s="197"/>
      <c r="CM2330" s="213"/>
      <c r="CN2330" s="213"/>
      <c r="CO2330" s="197"/>
      <c r="CP2330" s="197"/>
      <c r="CQ2330" s="197"/>
      <c r="CR2330" s="197"/>
      <c r="CS2330" s="197"/>
      <c r="CT2330" s="197"/>
      <c r="CU2330" s="197"/>
      <c r="CV2330" s="197"/>
      <c r="CW2330" s="197"/>
      <c r="CX2330" s="959"/>
      <c r="CY2330" s="959"/>
      <c r="CZ2330" s="959"/>
      <c r="DA2330" s="959"/>
      <c r="DB2330" s="959"/>
      <c r="DC2330" s="891">
        <v>8111</v>
      </c>
      <c r="DD2330" s="891" t="s">
        <v>2618</v>
      </c>
      <c r="DE2330" s="891" t="s">
        <v>412</v>
      </c>
      <c r="DF2330" s="891">
        <v>5</v>
      </c>
      <c r="DG2330" s="959"/>
      <c r="DH2330" s="959"/>
      <c r="ER2330" s="905">
        <v>7979</v>
      </c>
      <c r="ES2330" s="906" t="s">
        <v>3477</v>
      </c>
      <c r="ET2330" s="2686">
        <v>9</v>
      </c>
      <c r="EV2330" s="985"/>
      <c r="EW2330" s="985"/>
      <c r="EX2330" s="387"/>
      <c r="EY2330" s="939"/>
      <c r="EZ2330" s="886"/>
    </row>
    <row r="2331" spans="88:156">
      <c r="CJ2331" s="197"/>
      <c r="CK2331" s="197"/>
      <c r="CL2331" s="197"/>
      <c r="CM2331" s="213"/>
      <c r="CN2331" s="213"/>
      <c r="CO2331" s="197"/>
      <c r="CP2331" s="197"/>
      <c r="CQ2331" s="197"/>
      <c r="CR2331" s="197"/>
      <c r="CS2331" s="197"/>
      <c r="CT2331" s="197"/>
      <c r="CU2331" s="197"/>
      <c r="CV2331" s="197"/>
      <c r="CW2331" s="197"/>
      <c r="CX2331" s="959"/>
      <c r="CY2331" s="959"/>
      <c r="CZ2331" s="959"/>
      <c r="DA2331" s="959"/>
      <c r="DB2331" s="959"/>
      <c r="DC2331" s="891">
        <v>8112</v>
      </c>
      <c r="DD2331" s="891" t="s">
        <v>2619</v>
      </c>
      <c r="DE2331" s="891" t="s">
        <v>412</v>
      </c>
      <c r="DF2331" s="891">
        <v>6</v>
      </c>
      <c r="DG2331" s="959"/>
      <c r="DH2331" s="959"/>
      <c r="ER2331" s="905">
        <v>7980</v>
      </c>
      <c r="ES2331" s="906" t="s">
        <v>3472</v>
      </c>
      <c r="ET2331" s="2686">
        <v>9</v>
      </c>
      <c r="EV2331" s="985"/>
      <c r="EW2331" s="985"/>
      <c r="EX2331" s="387"/>
      <c r="EY2331" s="939"/>
      <c r="EZ2331" s="886"/>
    </row>
    <row r="2332" spans="88:156">
      <c r="CJ2332" s="197"/>
      <c r="CK2332" s="197"/>
      <c r="CL2332" s="197"/>
      <c r="CM2332" s="213"/>
      <c r="CN2332" s="213"/>
      <c r="CO2332" s="197"/>
      <c r="CP2332" s="197"/>
      <c r="CQ2332" s="197"/>
      <c r="CR2332" s="197"/>
      <c r="CS2332" s="197"/>
      <c r="CT2332" s="197"/>
      <c r="CU2332" s="197"/>
      <c r="CV2332" s="197"/>
      <c r="CW2332" s="197"/>
      <c r="CX2332" s="959"/>
      <c r="CY2332" s="959"/>
      <c r="CZ2332" s="959"/>
      <c r="DA2332" s="959"/>
      <c r="DB2332" s="959"/>
      <c r="DC2332" s="891">
        <v>8113</v>
      </c>
      <c r="DD2332" s="891" t="s">
        <v>2620</v>
      </c>
      <c r="DE2332" s="891" t="s">
        <v>435</v>
      </c>
      <c r="DF2332" s="891">
        <v>6</v>
      </c>
      <c r="DG2332" s="959"/>
      <c r="DH2332" s="959"/>
      <c r="ER2332" s="905">
        <v>7981</v>
      </c>
      <c r="ES2332" s="906" t="s">
        <v>3738</v>
      </c>
      <c r="ET2332" s="2686">
        <v>9</v>
      </c>
      <c r="EV2332" s="985"/>
      <c r="EW2332" s="985"/>
      <c r="EX2332" s="387"/>
      <c r="EY2332" s="939"/>
      <c r="EZ2332" s="886"/>
    </row>
    <row r="2333" spans="88:156">
      <c r="CJ2333" s="197"/>
      <c r="CK2333" s="197"/>
      <c r="CL2333" s="197"/>
      <c r="CM2333" s="213"/>
      <c r="CN2333" s="213"/>
      <c r="CO2333" s="197"/>
      <c r="CP2333" s="197"/>
      <c r="CQ2333" s="197"/>
      <c r="CR2333" s="197"/>
      <c r="CS2333" s="197"/>
      <c r="CT2333" s="197"/>
      <c r="CU2333" s="197"/>
      <c r="CV2333" s="197"/>
      <c r="CW2333" s="197"/>
      <c r="CX2333" s="959"/>
      <c r="CY2333" s="959"/>
      <c r="CZ2333" s="959"/>
      <c r="DA2333" s="959"/>
      <c r="DB2333" s="959"/>
      <c r="DC2333" s="891">
        <v>8121</v>
      </c>
      <c r="DD2333" s="891" t="s">
        <v>2621</v>
      </c>
      <c r="DE2333" s="891" t="s">
        <v>420</v>
      </c>
      <c r="DF2333" s="891">
        <v>6</v>
      </c>
      <c r="DG2333" s="959"/>
      <c r="DH2333" s="959"/>
      <c r="ER2333" s="905">
        <v>7981</v>
      </c>
      <c r="ES2333" s="906" t="s">
        <v>3739</v>
      </c>
      <c r="ET2333" s="2686">
        <v>9</v>
      </c>
      <c r="EV2333" s="985"/>
      <c r="EW2333" s="985"/>
      <c r="EX2333" s="387"/>
      <c r="EY2333" s="939"/>
      <c r="EZ2333" s="886"/>
    </row>
    <row r="2334" spans="88:156">
      <c r="CJ2334" s="197"/>
      <c r="CK2334" s="197"/>
      <c r="CL2334" s="197"/>
      <c r="CM2334" s="213"/>
      <c r="CN2334" s="213"/>
      <c r="CO2334" s="197"/>
      <c r="CP2334" s="197"/>
      <c r="CQ2334" s="197"/>
      <c r="CR2334" s="197"/>
      <c r="CS2334" s="197"/>
      <c r="CT2334" s="197"/>
      <c r="CU2334" s="197"/>
      <c r="CV2334" s="197"/>
      <c r="CW2334" s="197"/>
      <c r="CX2334" s="959"/>
      <c r="CY2334" s="959"/>
      <c r="CZ2334" s="959"/>
      <c r="DA2334" s="959"/>
      <c r="DB2334" s="959"/>
      <c r="DC2334" s="891">
        <v>8122</v>
      </c>
      <c r="DD2334" s="891" t="s">
        <v>2622</v>
      </c>
      <c r="DE2334" s="891" t="s">
        <v>2807</v>
      </c>
      <c r="DF2334" s="891">
        <v>6</v>
      </c>
      <c r="DG2334" s="959"/>
      <c r="DH2334" s="959"/>
      <c r="ER2334" s="905">
        <v>7981</v>
      </c>
      <c r="ES2334" s="906" t="s">
        <v>3740</v>
      </c>
      <c r="ET2334" s="2686">
        <v>9</v>
      </c>
      <c r="EV2334" s="985"/>
      <c r="EW2334" s="985"/>
      <c r="EX2334" s="387"/>
      <c r="EY2334" s="939"/>
      <c r="EZ2334" s="886"/>
    </row>
    <row r="2335" spans="88:156">
      <c r="CJ2335" s="197"/>
      <c r="CK2335" s="197"/>
      <c r="CL2335" s="197"/>
      <c r="CM2335" s="213"/>
      <c r="CN2335" s="213"/>
      <c r="CO2335" s="197"/>
      <c r="CP2335" s="197"/>
      <c r="CQ2335" s="197"/>
      <c r="CR2335" s="197"/>
      <c r="CS2335" s="197"/>
      <c r="CT2335" s="197"/>
      <c r="CU2335" s="197"/>
      <c r="CV2335" s="197"/>
      <c r="CW2335" s="197"/>
      <c r="CX2335" s="959"/>
      <c r="CY2335" s="959"/>
      <c r="CZ2335" s="959"/>
      <c r="DA2335" s="959"/>
      <c r="DB2335" s="959"/>
      <c r="DC2335" s="891">
        <v>8123</v>
      </c>
      <c r="DD2335" s="891" t="s">
        <v>2623</v>
      </c>
      <c r="DE2335" s="891" t="s">
        <v>420</v>
      </c>
      <c r="DF2335" s="891">
        <v>6</v>
      </c>
      <c r="DG2335" s="959"/>
      <c r="DH2335" s="959"/>
      <c r="ER2335" s="905">
        <v>7981</v>
      </c>
      <c r="ES2335" s="906" t="s">
        <v>3741</v>
      </c>
      <c r="ET2335" s="2686">
        <v>9</v>
      </c>
      <c r="EV2335" s="985"/>
      <c r="EW2335" s="985"/>
      <c r="EX2335" s="387"/>
      <c r="EY2335" s="939"/>
      <c r="EZ2335" s="886"/>
    </row>
    <row r="2336" spans="88:156">
      <c r="CJ2336" s="197"/>
      <c r="CK2336" s="197"/>
      <c r="CL2336" s="197"/>
      <c r="CM2336" s="213"/>
      <c r="CN2336" s="213"/>
      <c r="CO2336" s="197"/>
      <c r="CP2336" s="197"/>
      <c r="CQ2336" s="197"/>
      <c r="CR2336" s="197"/>
      <c r="CS2336" s="197"/>
      <c r="CT2336" s="197"/>
      <c r="CU2336" s="197"/>
      <c r="CV2336" s="197"/>
      <c r="CW2336" s="197"/>
      <c r="CX2336" s="959"/>
      <c r="CY2336" s="959"/>
      <c r="CZ2336" s="959"/>
      <c r="DA2336" s="959"/>
      <c r="DB2336" s="959"/>
      <c r="DC2336" s="891">
        <v>8124</v>
      </c>
      <c r="DD2336" s="891" t="s">
        <v>2624</v>
      </c>
      <c r="DE2336" s="891" t="s">
        <v>412</v>
      </c>
      <c r="DF2336" s="891">
        <v>6</v>
      </c>
      <c r="DG2336" s="959"/>
      <c r="DH2336" s="959"/>
      <c r="ER2336" s="905">
        <v>7981</v>
      </c>
      <c r="ES2336" s="906" t="s">
        <v>3478</v>
      </c>
      <c r="ET2336" s="2686">
        <v>9</v>
      </c>
      <c r="EV2336" s="985"/>
      <c r="EW2336" s="985"/>
      <c r="EX2336" s="387"/>
      <c r="EY2336" s="939"/>
      <c r="EZ2336" s="886"/>
    </row>
    <row r="2337" spans="88:156">
      <c r="CJ2337" s="197"/>
      <c r="CK2337" s="197"/>
      <c r="CL2337" s="197"/>
      <c r="CM2337" s="213"/>
      <c r="CN2337" s="213"/>
      <c r="CO2337" s="197"/>
      <c r="CP2337" s="197"/>
      <c r="CQ2337" s="197"/>
      <c r="CR2337" s="197"/>
      <c r="CS2337" s="197"/>
      <c r="CT2337" s="197"/>
      <c r="CU2337" s="197"/>
      <c r="CV2337" s="197"/>
      <c r="CW2337" s="197"/>
      <c r="CX2337" s="959"/>
      <c r="CY2337" s="959"/>
      <c r="CZ2337" s="959"/>
      <c r="DA2337" s="959"/>
      <c r="DB2337" s="959"/>
      <c r="DC2337" s="891">
        <v>8125</v>
      </c>
      <c r="DD2337" s="891" t="s">
        <v>2625</v>
      </c>
      <c r="DE2337" s="891" t="s">
        <v>402</v>
      </c>
      <c r="DF2337" s="891">
        <v>6</v>
      </c>
      <c r="DG2337" s="959"/>
      <c r="DH2337" s="959"/>
      <c r="ER2337" s="905">
        <v>7985</v>
      </c>
      <c r="ES2337" s="906" t="s">
        <v>3480</v>
      </c>
      <c r="ET2337" s="2686">
        <v>9</v>
      </c>
      <c r="EV2337" s="985"/>
      <c r="EW2337" s="985"/>
      <c r="EX2337" s="387"/>
      <c r="EY2337" s="939"/>
      <c r="EZ2337" s="886"/>
    </row>
    <row r="2338" spans="88:156">
      <c r="CJ2338" s="197"/>
      <c r="CK2338" s="197"/>
      <c r="CL2338" s="197"/>
      <c r="CM2338" s="213"/>
      <c r="CN2338" s="213"/>
      <c r="CO2338" s="197"/>
      <c r="CP2338" s="197"/>
      <c r="CQ2338" s="197"/>
      <c r="CR2338" s="197"/>
      <c r="CS2338" s="197"/>
      <c r="CT2338" s="197"/>
      <c r="CU2338" s="197"/>
      <c r="CV2338" s="197"/>
      <c r="CW2338" s="197"/>
      <c r="CX2338" s="959"/>
      <c r="CY2338" s="959"/>
      <c r="CZ2338" s="959"/>
      <c r="DA2338" s="959"/>
      <c r="DB2338" s="959"/>
      <c r="DC2338" s="891">
        <v>8126</v>
      </c>
      <c r="DD2338" s="891" t="s">
        <v>2626</v>
      </c>
      <c r="DE2338" s="891" t="s">
        <v>406</v>
      </c>
      <c r="DF2338" s="891">
        <v>6</v>
      </c>
      <c r="DG2338" s="959"/>
      <c r="DH2338" s="959"/>
      <c r="ER2338" s="905">
        <v>7985</v>
      </c>
      <c r="ES2338" s="906" t="s">
        <v>3479</v>
      </c>
      <c r="ET2338" s="2686">
        <v>9</v>
      </c>
      <c r="EV2338" s="985"/>
      <c r="EW2338" s="985"/>
      <c r="EX2338" s="387"/>
      <c r="EY2338" s="939"/>
      <c r="EZ2338" s="886"/>
    </row>
    <row r="2339" spans="88:156">
      <c r="CJ2339" s="197"/>
      <c r="CK2339" s="197"/>
      <c r="CL2339" s="197"/>
      <c r="CM2339" s="213"/>
      <c r="CN2339" s="213"/>
      <c r="CO2339" s="197"/>
      <c r="CP2339" s="197"/>
      <c r="CQ2339" s="197"/>
      <c r="CR2339" s="197"/>
      <c r="CS2339" s="197"/>
      <c r="CT2339" s="197"/>
      <c r="CU2339" s="197"/>
      <c r="CV2339" s="197"/>
      <c r="CW2339" s="197"/>
      <c r="CX2339" s="959"/>
      <c r="CY2339" s="959"/>
      <c r="CZ2339" s="959"/>
      <c r="DA2339" s="959"/>
      <c r="DB2339" s="959"/>
      <c r="DC2339" s="891">
        <v>8127</v>
      </c>
      <c r="DD2339" s="891" t="s">
        <v>2627</v>
      </c>
      <c r="DE2339" s="891" t="s">
        <v>406</v>
      </c>
      <c r="DF2339" s="891">
        <v>6</v>
      </c>
      <c r="DG2339" s="959"/>
      <c r="DH2339" s="959"/>
      <c r="ER2339" s="905">
        <v>7987</v>
      </c>
      <c r="ES2339" s="906" t="s">
        <v>3481</v>
      </c>
      <c r="ET2339" s="2686">
        <v>9</v>
      </c>
      <c r="EV2339" s="985"/>
      <c r="EW2339" s="985"/>
      <c r="EX2339" s="387"/>
      <c r="EY2339" s="939"/>
      <c r="EZ2339" s="886"/>
    </row>
    <row r="2340" spans="88:156">
      <c r="CJ2340" s="197"/>
      <c r="CK2340" s="197"/>
      <c r="CL2340" s="197"/>
      <c r="CM2340" s="213"/>
      <c r="CN2340" s="213"/>
      <c r="CO2340" s="197"/>
      <c r="CP2340" s="197"/>
      <c r="CQ2340" s="197"/>
      <c r="CR2340" s="197"/>
      <c r="CS2340" s="197"/>
      <c r="CT2340" s="197"/>
      <c r="CU2340" s="197"/>
      <c r="CV2340" s="197"/>
      <c r="CW2340" s="197"/>
      <c r="CX2340" s="959"/>
      <c r="CY2340" s="959"/>
      <c r="CZ2340" s="959"/>
      <c r="DA2340" s="959"/>
      <c r="DB2340" s="959"/>
      <c r="DC2340" s="891">
        <v>8128</v>
      </c>
      <c r="DD2340" s="891" t="s">
        <v>2628</v>
      </c>
      <c r="DE2340" s="891" t="s">
        <v>406</v>
      </c>
      <c r="DF2340" s="891">
        <v>6</v>
      </c>
      <c r="DG2340" s="959"/>
      <c r="DH2340" s="959"/>
      <c r="ER2340" s="905">
        <v>7988</v>
      </c>
      <c r="ES2340" s="906" t="s">
        <v>3482</v>
      </c>
      <c r="ET2340" s="2686">
        <v>9</v>
      </c>
      <c r="EV2340" s="985"/>
      <c r="EW2340" s="985"/>
      <c r="EX2340" s="387"/>
      <c r="EY2340" s="939"/>
      <c r="EZ2340" s="886"/>
    </row>
    <row r="2341" spans="88:156">
      <c r="CJ2341" s="197"/>
      <c r="CK2341" s="197"/>
      <c r="CL2341" s="197"/>
      <c r="CM2341" s="213"/>
      <c r="CN2341" s="213"/>
      <c r="CO2341" s="197"/>
      <c r="CP2341" s="197"/>
      <c r="CQ2341" s="197"/>
      <c r="CR2341" s="197"/>
      <c r="CS2341" s="197"/>
      <c r="CT2341" s="197"/>
      <c r="CU2341" s="197"/>
      <c r="CV2341" s="197"/>
      <c r="CW2341" s="197"/>
      <c r="CX2341" s="959"/>
      <c r="CY2341" s="959"/>
      <c r="CZ2341" s="959"/>
      <c r="DA2341" s="959"/>
      <c r="DB2341" s="959"/>
      <c r="DC2341" s="891">
        <v>8130</v>
      </c>
      <c r="DD2341" s="891" t="s">
        <v>2629</v>
      </c>
      <c r="DE2341" s="891" t="s">
        <v>406</v>
      </c>
      <c r="DF2341" s="891">
        <v>6</v>
      </c>
      <c r="DG2341" s="959"/>
      <c r="DH2341" s="959"/>
      <c r="ER2341" s="905">
        <v>8000</v>
      </c>
      <c r="ES2341" s="906" t="s">
        <v>3483</v>
      </c>
      <c r="ET2341" s="2686">
        <v>3</v>
      </c>
      <c r="EV2341" s="985"/>
      <c r="EW2341" s="985"/>
      <c r="EX2341" s="387"/>
      <c r="EY2341" s="939"/>
      <c r="EZ2341" s="886"/>
    </row>
    <row r="2342" spans="88:156">
      <c r="CJ2342" s="197"/>
      <c r="CK2342" s="197"/>
      <c r="CL2342" s="197"/>
      <c r="CM2342" s="213"/>
      <c r="CN2342" s="213"/>
      <c r="CO2342" s="197"/>
      <c r="CP2342" s="197"/>
      <c r="CQ2342" s="197"/>
      <c r="CR2342" s="197"/>
      <c r="CS2342" s="197"/>
      <c r="CT2342" s="197"/>
      <c r="CU2342" s="197"/>
      <c r="CV2342" s="197"/>
      <c r="CW2342" s="197"/>
      <c r="CX2342" s="959"/>
      <c r="CY2342" s="959"/>
      <c r="CZ2342" s="959"/>
      <c r="DA2342" s="959"/>
      <c r="DB2342" s="959"/>
      <c r="DC2342" s="891">
        <v>8131</v>
      </c>
      <c r="DD2342" s="891" t="s">
        <v>2630</v>
      </c>
      <c r="DE2342" s="891" t="s">
        <v>406</v>
      </c>
      <c r="DF2342" s="891">
        <v>6</v>
      </c>
      <c r="DG2342" s="959"/>
      <c r="DH2342" s="959"/>
      <c r="ER2342" s="905">
        <v>8019</v>
      </c>
      <c r="ES2342" s="905" t="s">
        <v>3742</v>
      </c>
      <c r="ET2342" s="2686">
        <v>3</v>
      </c>
      <c r="EV2342" s="985"/>
      <c r="EW2342" s="985"/>
      <c r="EX2342" s="387"/>
      <c r="EY2342" s="939"/>
      <c r="EZ2342" s="886"/>
    </row>
    <row r="2343" spans="88:156">
      <c r="CJ2343" s="197"/>
      <c r="CK2343" s="197"/>
      <c r="CL2343" s="197"/>
      <c r="CM2343" s="213"/>
      <c r="CN2343" s="213"/>
      <c r="CO2343" s="197"/>
      <c r="CP2343" s="197"/>
      <c r="CQ2343" s="197"/>
      <c r="CR2343" s="197"/>
      <c r="CS2343" s="197"/>
      <c r="CT2343" s="197"/>
      <c r="CU2343" s="197"/>
      <c r="CV2343" s="197"/>
      <c r="CW2343" s="197"/>
      <c r="CX2343" s="959"/>
      <c r="CY2343" s="959"/>
      <c r="CZ2343" s="959"/>
      <c r="DA2343" s="959"/>
      <c r="DB2343" s="959"/>
      <c r="DC2343" s="891">
        <v>8132</v>
      </c>
      <c r="DD2343" s="891" t="s">
        <v>2631</v>
      </c>
      <c r="DE2343" s="891" t="s">
        <v>2808</v>
      </c>
      <c r="DF2343" s="891">
        <v>6</v>
      </c>
      <c r="DG2343" s="959"/>
      <c r="DH2343" s="959"/>
      <c r="ER2343" s="905">
        <v>8041</v>
      </c>
      <c r="ES2343" s="906" t="s">
        <v>3486</v>
      </c>
      <c r="ET2343" s="2686">
        <v>9</v>
      </c>
      <c r="EV2343" s="985"/>
      <c r="EW2343" s="985"/>
      <c r="EX2343" s="387"/>
      <c r="EY2343" s="939"/>
      <c r="EZ2343" s="886"/>
    </row>
    <row r="2344" spans="88:156">
      <c r="CJ2344" s="197"/>
      <c r="CK2344" s="197"/>
      <c r="CL2344" s="197"/>
      <c r="CM2344" s="213"/>
      <c r="CN2344" s="213"/>
      <c r="CO2344" s="197"/>
      <c r="CP2344" s="197"/>
      <c r="CQ2344" s="197"/>
      <c r="CR2344" s="197"/>
      <c r="CS2344" s="197"/>
      <c r="CT2344" s="197"/>
      <c r="CU2344" s="197"/>
      <c r="CV2344" s="197"/>
      <c r="CW2344" s="197"/>
      <c r="CX2344" s="959"/>
      <c r="CY2344" s="959"/>
      <c r="CZ2344" s="959"/>
      <c r="DA2344" s="959"/>
      <c r="DB2344" s="959"/>
      <c r="DC2344" s="891">
        <v>8133</v>
      </c>
      <c r="DD2344" s="891" t="s">
        <v>2632</v>
      </c>
      <c r="DE2344" s="891" t="s">
        <v>432</v>
      </c>
      <c r="DF2344" s="891">
        <v>6</v>
      </c>
      <c r="DG2344" s="959"/>
      <c r="DH2344" s="959"/>
      <c r="ER2344" s="905">
        <v>8042</v>
      </c>
      <c r="ES2344" s="906" t="s">
        <v>3487</v>
      </c>
      <c r="ET2344" s="2686">
        <v>4</v>
      </c>
      <c r="EV2344" s="985"/>
      <c r="EW2344" s="985"/>
      <c r="EX2344" s="387"/>
      <c r="EY2344" s="939"/>
      <c r="EZ2344" s="886"/>
    </row>
    <row r="2345" spans="88:156">
      <c r="CJ2345" s="197"/>
      <c r="CK2345" s="197"/>
      <c r="CL2345" s="197"/>
      <c r="CM2345" s="213"/>
      <c r="CN2345" s="213"/>
      <c r="CO2345" s="197"/>
      <c r="CP2345" s="197"/>
      <c r="CQ2345" s="197"/>
      <c r="CR2345" s="197"/>
      <c r="CS2345" s="197"/>
      <c r="CT2345" s="197"/>
      <c r="CU2345" s="197"/>
      <c r="CV2345" s="197"/>
      <c r="CW2345" s="197"/>
      <c r="CX2345" s="959"/>
      <c r="CY2345" s="959"/>
      <c r="CZ2345" s="959"/>
      <c r="DA2345" s="959"/>
      <c r="DB2345" s="959"/>
      <c r="DC2345" s="891">
        <v>8134</v>
      </c>
      <c r="DD2345" s="891" t="s">
        <v>2633</v>
      </c>
      <c r="DE2345" s="891" t="s">
        <v>421</v>
      </c>
      <c r="DF2345" s="891">
        <v>6</v>
      </c>
      <c r="DG2345" s="959"/>
      <c r="DH2345" s="959"/>
      <c r="ER2345" s="905">
        <v>8043</v>
      </c>
      <c r="ES2345" s="906" t="s">
        <v>3488</v>
      </c>
      <c r="ET2345" s="2686">
        <v>4</v>
      </c>
      <c r="EV2345" s="985"/>
      <c r="EW2345" s="985"/>
      <c r="EX2345" s="387"/>
      <c r="EY2345" s="939"/>
      <c r="EZ2345" s="886"/>
    </row>
    <row r="2346" spans="88:156">
      <c r="CJ2346" s="197"/>
      <c r="CK2346" s="197"/>
      <c r="CL2346" s="197"/>
      <c r="CM2346" s="213"/>
      <c r="CN2346" s="213"/>
      <c r="CO2346" s="197"/>
      <c r="CP2346" s="197"/>
      <c r="CQ2346" s="197"/>
      <c r="CR2346" s="197"/>
      <c r="CS2346" s="197"/>
      <c r="CT2346" s="197"/>
      <c r="CU2346" s="197"/>
      <c r="CV2346" s="197"/>
      <c r="CW2346" s="197"/>
      <c r="CX2346" s="959"/>
      <c r="CY2346" s="959"/>
      <c r="CZ2346" s="959"/>
      <c r="DA2346" s="959"/>
      <c r="DB2346" s="959"/>
      <c r="DC2346" s="891">
        <v>8135</v>
      </c>
      <c r="DD2346" s="891" t="s">
        <v>2634</v>
      </c>
      <c r="DE2346" s="891" t="s">
        <v>406</v>
      </c>
      <c r="DF2346" s="891">
        <v>5</v>
      </c>
      <c r="DG2346" s="959"/>
      <c r="DH2346" s="959"/>
      <c r="ER2346" s="905">
        <v>8044</v>
      </c>
      <c r="ES2346" s="906" t="s">
        <v>3489</v>
      </c>
      <c r="ET2346" s="2686">
        <v>9</v>
      </c>
      <c r="EV2346" s="985"/>
      <c r="EW2346" s="985"/>
      <c r="EX2346" s="387"/>
      <c r="EY2346" s="939"/>
      <c r="EZ2346" s="886"/>
    </row>
    <row r="2347" spans="88:156">
      <c r="CJ2347" s="197"/>
      <c r="CK2347" s="197"/>
      <c r="CL2347" s="197"/>
      <c r="CM2347" s="213"/>
      <c r="CN2347" s="213"/>
      <c r="CO2347" s="197"/>
      <c r="CP2347" s="197"/>
      <c r="CQ2347" s="197"/>
      <c r="CR2347" s="197"/>
      <c r="CS2347" s="197"/>
      <c r="CT2347" s="197"/>
      <c r="CU2347" s="197"/>
      <c r="CV2347" s="197"/>
      <c r="CW2347" s="197"/>
      <c r="CX2347" s="959"/>
      <c r="CY2347" s="959"/>
      <c r="CZ2347" s="959"/>
      <c r="DA2347" s="959"/>
      <c r="DB2347" s="959"/>
      <c r="DC2347" s="891">
        <v>8136</v>
      </c>
      <c r="DD2347" s="891" t="s">
        <v>2635</v>
      </c>
      <c r="DE2347" s="891" t="s">
        <v>412</v>
      </c>
      <c r="DF2347" s="891">
        <v>5</v>
      </c>
      <c r="DG2347" s="959"/>
      <c r="DH2347" s="959"/>
      <c r="ER2347" s="905">
        <v>8045</v>
      </c>
      <c r="ES2347" s="906" t="s">
        <v>3490</v>
      </c>
      <c r="ET2347" s="2686">
        <v>9</v>
      </c>
      <c r="EV2347" s="985"/>
      <c r="EW2347" s="985"/>
      <c r="EX2347" s="387"/>
      <c r="EY2347" s="939"/>
      <c r="EZ2347" s="886"/>
    </row>
    <row r="2348" spans="88:156">
      <c r="CJ2348" s="197"/>
      <c r="CK2348" s="197"/>
      <c r="CL2348" s="197"/>
      <c r="CM2348" s="213"/>
      <c r="CN2348" s="213"/>
      <c r="CO2348" s="197"/>
      <c r="CP2348" s="197"/>
      <c r="CQ2348" s="197"/>
      <c r="CR2348" s="197"/>
      <c r="CS2348" s="197"/>
      <c r="CT2348" s="197"/>
      <c r="CU2348" s="197"/>
      <c r="CV2348" s="197"/>
      <c r="CW2348" s="197"/>
      <c r="CX2348" s="959"/>
      <c r="CY2348" s="959"/>
      <c r="CZ2348" s="959"/>
      <c r="DA2348" s="959"/>
      <c r="DB2348" s="959"/>
      <c r="DC2348" s="891">
        <v>8137</v>
      </c>
      <c r="DD2348" s="891" t="s">
        <v>2636</v>
      </c>
      <c r="DE2348" s="891" t="s">
        <v>412</v>
      </c>
      <c r="DF2348" s="891">
        <v>5</v>
      </c>
      <c r="DG2348" s="959"/>
      <c r="DH2348" s="959"/>
      <c r="ER2348" s="905">
        <v>8046</v>
      </c>
      <c r="ES2348" s="906" t="s">
        <v>3491</v>
      </c>
      <c r="ET2348" s="2686">
        <v>9</v>
      </c>
      <c r="EV2348" s="985"/>
      <c r="EW2348" s="985"/>
      <c r="EX2348" s="387"/>
      <c r="EY2348" s="939"/>
      <c r="EZ2348" s="886"/>
    </row>
    <row r="2349" spans="88:156">
      <c r="CJ2349" s="197"/>
      <c r="CK2349" s="197"/>
      <c r="CL2349" s="197"/>
      <c r="CM2349" s="213"/>
      <c r="CN2349" s="213"/>
      <c r="CO2349" s="197"/>
      <c r="CP2349" s="197"/>
      <c r="CQ2349" s="197"/>
      <c r="CR2349" s="197"/>
      <c r="CS2349" s="197"/>
      <c r="CT2349" s="197"/>
      <c r="CU2349" s="197"/>
      <c r="CV2349" s="197"/>
      <c r="CW2349" s="197"/>
      <c r="CX2349" s="959"/>
      <c r="CY2349" s="959"/>
      <c r="CZ2349" s="959"/>
      <c r="DA2349" s="959"/>
      <c r="DB2349" s="959"/>
      <c r="DC2349" s="891">
        <v>8138</v>
      </c>
      <c r="DD2349" s="891" t="s">
        <v>2637</v>
      </c>
      <c r="DE2349" s="891" t="s">
        <v>418</v>
      </c>
      <c r="DF2349" s="891">
        <v>6</v>
      </c>
      <c r="DG2349" s="959"/>
      <c r="DH2349" s="959"/>
      <c r="ER2349" s="905">
        <v>8051</v>
      </c>
      <c r="ES2349" s="906" t="s">
        <v>3492</v>
      </c>
      <c r="ET2349" s="2686">
        <v>4</v>
      </c>
      <c r="EV2349" s="985"/>
      <c r="EW2349" s="985"/>
      <c r="EX2349" s="387"/>
      <c r="EY2349" s="939"/>
      <c r="EZ2349" s="886"/>
    </row>
    <row r="2350" spans="88:156">
      <c r="CJ2350" s="197"/>
      <c r="CK2350" s="197"/>
      <c r="CL2350" s="197"/>
      <c r="CM2350" s="213"/>
      <c r="CN2350" s="213"/>
      <c r="CO2350" s="197"/>
      <c r="CP2350" s="197"/>
      <c r="CQ2350" s="197"/>
      <c r="CR2350" s="197"/>
      <c r="CS2350" s="197"/>
      <c r="CT2350" s="197"/>
      <c r="CU2350" s="197"/>
      <c r="CV2350" s="197"/>
      <c r="CW2350" s="197"/>
      <c r="CX2350" s="959"/>
      <c r="CY2350" s="959"/>
      <c r="CZ2350" s="959"/>
      <c r="DA2350" s="959"/>
      <c r="DB2350" s="959"/>
      <c r="DC2350" s="891">
        <v>8139</v>
      </c>
      <c r="DD2350" s="891" t="s">
        <v>2638</v>
      </c>
      <c r="DE2350" s="891" t="s">
        <v>418</v>
      </c>
      <c r="DF2350" s="891">
        <v>6</v>
      </c>
      <c r="DG2350" s="959"/>
      <c r="DH2350" s="959"/>
      <c r="ER2350" s="905">
        <v>8052</v>
      </c>
      <c r="ES2350" s="906" t="s">
        <v>3493</v>
      </c>
      <c r="ET2350" s="2686">
        <v>9</v>
      </c>
      <c r="EV2350" s="985"/>
      <c r="EW2350" s="985"/>
      <c r="EX2350" s="387"/>
      <c r="EY2350" s="939"/>
      <c r="EZ2350" s="886"/>
    </row>
    <row r="2351" spans="88:156">
      <c r="CJ2351" s="197"/>
      <c r="CK2351" s="197"/>
      <c r="CL2351" s="197"/>
      <c r="CM2351" s="213"/>
      <c r="CN2351" s="213"/>
      <c r="CO2351" s="197"/>
      <c r="CP2351" s="197"/>
      <c r="CQ2351" s="197"/>
      <c r="CR2351" s="197"/>
      <c r="CS2351" s="197"/>
      <c r="CT2351" s="197"/>
      <c r="CU2351" s="197"/>
      <c r="CV2351" s="197"/>
      <c r="CW2351" s="197"/>
      <c r="CX2351" s="959"/>
      <c r="CY2351" s="959"/>
      <c r="CZ2351" s="959"/>
      <c r="DA2351" s="959"/>
      <c r="DB2351" s="959"/>
      <c r="DC2351" s="891">
        <v>8141</v>
      </c>
      <c r="DD2351" s="891" t="s">
        <v>2639</v>
      </c>
      <c r="DE2351" s="891" t="s">
        <v>418</v>
      </c>
      <c r="DF2351" s="891">
        <v>6</v>
      </c>
      <c r="DG2351" s="959"/>
      <c r="DH2351" s="959"/>
      <c r="ER2351" s="905">
        <v>8053</v>
      </c>
      <c r="ES2351" s="906" t="s">
        <v>3494</v>
      </c>
      <c r="ET2351" s="2686">
        <v>9</v>
      </c>
      <c r="EV2351" s="985"/>
      <c r="EW2351" s="985"/>
      <c r="EX2351" s="387"/>
      <c r="EY2351" s="939"/>
      <c r="EZ2351" s="886"/>
    </row>
    <row r="2352" spans="88:156">
      <c r="CJ2352" s="197"/>
      <c r="CK2352" s="197"/>
      <c r="CL2352" s="197"/>
      <c r="CM2352" s="213"/>
      <c r="CN2352" s="213"/>
      <c r="CO2352" s="197"/>
      <c r="CP2352" s="197"/>
      <c r="CQ2352" s="197"/>
      <c r="CR2352" s="197"/>
      <c r="CS2352" s="197"/>
      <c r="CT2352" s="197"/>
      <c r="CU2352" s="197"/>
      <c r="CV2352" s="197"/>
      <c r="CW2352" s="197"/>
      <c r="CX2352" s="959"/>
      <c r="CY2352" s="959"/>
      <c r="CZ2352" s="959"/>
      <c r="DA2352" s="959"/>
      <c r="DB2352" s="959"/>
      <c r="DC2352" s="891">
        <v>8142</v>
      </c>
      <c r="DD2352" s="891" t="s">
        <v>2640</v>
      </c>
      <c r="DE2352" s="891" t="s">
        <v>418</v>
      </c>
      <c r="DF2352" s="891">
        <v>6</v>
      </c>
      <c r="DG2352" s="959"/>
      <c r="DH2352" s="959"/>
      <c r="ER2352" s="905">
        <v>8054</v>
      </c>
      <c r="ES2352" s="905" t="s">
        <v>3743</v>
      </c>
      <c r="ET2352" s="2686">
        <v>9</v>
      </c>
      <c r="EV2352" s="985"/>
      <c r="EW2352" s="985"/>
      <c r="EX2352" s="387"/>
      <c r="EY2352" s="939"/>
      <c r="EZ2352" s="886"/>
    </row>
    <row r="2353" spans="88:156">
      <c r="CJ2353" s="197"/>
      <c r="CK2353" s="197"/>
      <c r="CL2353" s="197"/>
      <c r="CM2353" s="213"/>
      <c r="CN2353" s="213"/>
      <c r="CO2353" s="197"/>
      <c r="CP2353" s="197"/>
      <c r="CQ2353" s="197"/>
      <c r="CR2353" s="197"/>
      <c r="CS2353" s="197"/>
      <c r="CT2353" s="197"/>
      <c r="CU2353" s="197"/>
      <c r="CV2353" s="197"/>
      <c r="CW2353" s="197"/>
      <c r="CX2353" s="959"/>
      <c r="CY2353" s="959"/>
      <c r="CZ2353" s="959"/>
      <c r="DA2353" s="959"/>
      <c r="DB2353" s="959"/>
      <c r="DC2353" s="891">
        <v>8143</v>
      </c>
      <c r="DD2353" s="891" t="s">
        <v>2641</v>
      </c>
      <c r="DE2353" s="891" t="s">
        <v>410</v>
      </c>
      <c r="DF2353" s="891">
        <v>6</v>
      </c>
      <c r="DG2353" s="959"/>
      <c r="DH2353" s="959"/>
      <c r="ER2353" s="905">
        <v>8055</v>
      </c>
      <c r="ES2353" s="906" t="s">
        <v>3496</v>
      </c>
      <c r="ET2353" s="2686">
        <v>9</v>
      </c>
      <c r="EV2353" s="985"/>
      <c r="EW2353" s="985"/>
      <c r="EX2353" s="387"/>
      <c r="EY2353" s="939"/>
      <c r="EZ2353" s="886"/>
    </row>
    <row r="2354" spans="88:156">
      <c r="CJ2354" s="197"/>
      <c r="CK2354" s="197"/>
      <c r="CL2354" s="197"/>
      <c r="CM2354" s="213"/>
      <c r="CN2354" s="213"/>
      <c r="CO2354" s="197"/>
      <c r="CP2354" s="197"/>
      <c r="CQ2354" s="197"/>
      <c r="CR2354" s="197"/>
      <c r="CS2354" s="197"/>
      <c r="CT2354" s="197"/>
      <c r="CU2354" s="197"/>
      <c r="CV2354" s="197"/>
      <c r="CW2354" s="197"/>
      <c r="CX2354" s="959"/>
      <c r="CY2354" s="959"/>
      <c r="CZ2354" s="959"/>
      <c r="DA2354" s="959"/>
      <c r="DB2354" s="959"/>
      <c r="DC2354" s="891">
        <v>8144</v>
      </c>
      <c r="DD2354" s="891" t="s">
        <v>2642</v>
      </c>
      <c r="DE2354" s="891" t="s">
        <v>419</v>
      </c>
      <c r="DF2354" s="891">
        <v>6</v>
      </c>
      <c r="DG2354" s="959"/>
      <c r="DH2354" s="959"/>
      <c r="ER2354" s="905">
        <v>8056</v>
      </c>
      <c r="ES2354" s="906" t="s">
        <v>3497</v>
      </c>
      <c r="ET2354" s="2686">
        <v>9</v>
      </c>
      <c r="EV2354" s="985"/>
      <c r="EW2354" s="985"/>
      <c r="EX2354" s="387"/>
      <c r="EY2354" s="939"/>
      <c r="EZ2354" s="886"/>
    </row>
    <row r="2355" spans="88:156">
      <c r="CJ2355" s="197"/>
      <c r="CK2355" s="197"/>
      <c r="CL2355" s="197"/>
      <c r="CM2355" s="213"/>
      <c r="CN2355" s="213"/>
      <c r="CO2355" s="197"/>
      <c r="CP2355" s="197"/>
      <c r="CQ2355" s="197"/>
      <c r="CR2355" s="197"/>
      <c r="CS2355" s="197"/>
      <c r="CT2355" s="197"/>
      <c r="CU2355" s="197"/>
      <c r="CV2355" s="197"/>
      <c r="CW2355" s="197"/>
      <c r="CX2355" s="959"/>
      <c r="CY2355" s="959"/>
      <c r="CZ2355" s="959"/>
      <c r="DA2355" s="959"/>
      <c r="DB2355" s="959"/>
      <c r="DC2355" s="891">
        <v>8145</v>
      </c>
      <c r="DD2355" s="891" t="s">
        <v>2643</v>
      </c>
      <c r="DE2355" s="891" t="s">
        <v>434</v>
      </c>
      <c r="DF2355" s="891">
        <v>6</v>
      </c>
      <c r="DG2355" s="959"/>
      <c r="DH2355" s="959"/>
      <c r="ER2355" s="905">
        <v>8060</v>
      </c>
      <c r="ES2355" s="906" t="s">
        <v>3498</v>
      </c>
      <c r="ET2355" s="2686">
        <v>9</v>
      </c>
      <c r="EV2355" s="985"/>
      <c r="EW2355" s="985"/>
      <c r="EX2355" s="387"/>
      <c r="EY2355" s="939"/>
      <c r="EZ2355" s="886"/>
    </row>
    <row r="2356" spans="88:156">
      <c r="CJ2356" s="197"/>
      <c r="CK2356" s="197"/>
      <c r="CL2356" s="197"/>
      <c r="CM2356" s="213"/>
      <c r="CN2356" s="213"/>
      <c r="CO2356" s="197"/>
      <c r="CP2356" s="197"/>
      <c r="CQ2356" s="197"/>
      <c r="CR2356" s="197"/>
      <c r="CS2356" s="197"/>
      <c r="CT2356" s="197"/>
      <c r="CU2356" s="197"/>
      <c r="CV2356" s="197"/>
      <c r="CW2356" s="197"/>
      <c r="CX2356" s="959"/>
      <c r="CY2356" s="959"/>
      <c r="CZ2356" s="959"/>
      <c r="DA2356" s="959"/>
      <c r="DB2356" s="959"/>
      <c r="DC2356" s="891">
        <v>8146</v>
      </c>
      <c r="DD2356" s="891" t="s">
        <v>2644</v>
      </c>
      <c r="DE2356" s="891" t="s">
        <v>419</v>
      </c>
      <c r="DF2356" s="891">
        <v>6</v>
      </c>
      <c r="DG2356" s="959"/>
      <c r="DH2356" s="959"/>
      <c r="ER2356" s="905">
        <v>8065</v>
      </c>
      <c r="ES2356" s="906" t="s">
        <v>3499</v>
      </c>
      <c r="ET2356" s="2686">
        <v>9</v>
      </c>
      <c r="EV2356" s="985"/>
      <c r="EW2356" s="985"/>
      <c r="EX2356" s="387"/>
      <c r="EY2356" s="939"/>
      <c r="EZ2356" s="886"/>
    </row>
    <row r="2357" spans="88:156">
      <c r="CJ2357" s="197"/>
      <c r="CK2357" s="197"/>
      <c r="CL2357" s="197"/>
      <c r="CM2357" s="213"/>
      <c r="CN2357" s="213"/>
      <c r="CO2357" s="197"/>
      <c r="CP2357" s="197"/>
      <c r="CQ2357" s="197"/>
      <c r="CR2357" s="197"/>
      <c r="CS2357" s="197"/>
      <c r="CT2357" s="197"/>
      <c r="CU2357" s="197"/>
      <c r="CV2357" s="197"/>
      <c r="CW2357" s="197"/>
      <c r="CX2357" s="959"/>
      <c r="CY2357" s="959"/>
      <c r="CZ2357" s="959"/>
      <c r="DA2357" s="959"/>
      <c r="DB2357" s="959"/>
      <c r="DC2357" s="891">
        <v>8151</v>
      </c>
      <c r="DD2357" s="891" t="s">
        <v>2640</v>
      </c>
      <c r="DE2357" s="891" t="s">
        <v>406</v>
      </c>
      <c r="DF2357" s="891">
        <v>6</v>
      </c>
      <c r="DG2357" s="959"/>
      <c r="DH2357" s="959"/>
      <c r="ER2357" s="905">
        <v>8066</v>
      </c>
      <c r="ES2357" s="906" t="s">
        <v>3500</v>
      </c>
      <c r="ET2357" s="2686">
        <v>9</v>
      </c>
      <c r="EV2357" s="985"/>
      <c r="EW2357" s="985"/>
      <c r="EX2357" s="387"/>
      <c r="EY2357" s="939"/>
      <c r="EZ2357" s="886"/>
    </row>
    <row r="2358" spans="88:156">
      <c r="CJ2358" s="197"/>
      <c r="CK2358" s="197"/>
      <c r="CL2358" s="197"/>
      <c r="CM2358" s="213"/>
      <c r="CN2358" s="213"/>
      <c r="CO2358" s="197"/>
      <c r="CP2358" s="197"/>
      <c r="CQ2358" s="197"/>
      <c r="CR2358" s="197"/>
      <c r="CS2358" s="197"/>
      <c r="CT2358" s="197"/>
      <c r="CU2358" s="197"/>
      <c r="CV2358" s="197"/>
      <c r="CW2358" s="197"/>
      <c r="CX2358" s="959"/>
      <c r="CY2358" s="959"/>
      <c r="CZ2358" s="959"/>
      <c r="DA2358" s="959"/>
      <c r="DB2358" s="959"/>
      <c r="DC2358" s="891">
        <v>8152</v>
      </c>
      <c r="DD2358" s="891" t="s">
        <v>2645</v>
      </c>
      <c r="DE2358" s="891" t="s">
        <v>402</v>
      </c>
      <c r="DF2358" s="891">
        <v>6</v>
      </c>
      <c r="DG2358" s="959"/>
      <c r="DH2358" s="959"/>
      <c r="ER2358" s="905">
        <v>8071</v>
      </c>
      <c r="ES2358" s="906" t="s">
        <v>3501</v>
      </c>
      <c r="ET2358" s="2686">
        <v>9</v>
      </c>
      <c r="EV2358" s="985"/>
      <c r="EW2358" s="985"/>
      <c r="EX2358" s="387"/>
      <c r="EY2358" s="939"/>
      <c r="EZ2358" s="886"/>
    </row>
    <row r="2359" spans="88:156">
      <c r="CJ2359" s="197"/>
      <c r="CK2359" s="197"/>
      <c r="CL2359" s="197"/>
      <c r="CM2359" s="213"/>
      <c r="CN2359" s="213"/>
      <c r="CO2359" s="197"/>
      <c r="CP2359" s="197"/>
      <c r="CQ2359" s="197"/>
      <c r="CR2359" s="197"/>
      <c r="CS2359" s="197"/>
      <c r="CT2359" s="197"/>
      <c r="CU2359" s="197"/>
      <c r="CV2359" s="197"/>
      <c r="CW2359" s="197"/>
      <c r="CX2359" s="959"/>
      <c r="CY2359" s="959"/>
      <c r="CZ2359" s="959"/>
      <c r="DA2359" s="959"/>
      <c r="DB2359" s="959"/>
      <c r="DC2359" s="891">
        <v>8153</v>
      </c>
      <c r="DD2359" s="891" t="s">
        <v>2646</v>
      </c>
      <c r="DE2359" s="891" t="s">
        <v>402</v>
      </c>
      <c r="DF2359" s="891">
        <v>6</v>
      </c>
      <c r="DG2359" s="959"/>
      <c r="DH2359" s="959"/>
      <c r="ER2359" s="905">
        <v>8072</v>
      </c>
      <c r="ES2359" s="906" t="s">
        <v>3502</v>
      </c>
      <c r="ET2359" s="2686">
        <v>9</v>
      </c>
      <c r="EV2359" s="985"/>
      <c r="EW2359" s="985"/>
      <c r="EX2359" s="387"/>
      <c r="EY2359" s="939"/>
      <c r="EZ2359" s="886"/>
    </row>
    <row r="2360" spans="88:156">
      <c r="CJ2360" s="197"/>
      <c r="CK2360" s="197"/>
      <c r="CL2360" s="197"/>
      <c r="CM2360" s="213"/>
      <c r="CN2360" s="213"/>
      <c r="CO2360" s="197"/>
      <c r="CP2360" s="197"/>
      <c r="CQ2360" s="197"/>
      <c r="CR2360" s="197"/>
      <c r="CS2360" s="197"/>
      <c r="CT2360" s="197"/>
      <c r="CU2360" s="197"/>
      <c r="CV2360" s="197"/>
      <c r="CW2360" s="197"/>
      <c r="CX2360" s="959"/>
      <c r="CY2360" s="959"/>
      <c r="CZ2360" s="959"/>
      <c r="DA2360" s="959"/>
      <c r="DB2360" s="959"/>
      <c r="DC2360" s="891">
        <v>8154</v>
      </c>
      <c r="DD2360" s="891" t="s">
        <v>2647</v>
      </c>
      <c r="DE2360" s="891" t="s">
        <v>402</v>
      </c>
      <c r="DF2360" s="891">
        <v>6</v>
      </c>
      <c r="DG2360" s="959"/>
      <c r="DH2360" s="959"/>
      <c r="ER2360" s="905">
        <v>8073</v>
      </c>
      <c r="ES2360" s="906" t="s">
        <v>3503</v>
      </c>
      <c r="ET2360" s="2686">
        <v>9</v>
      </c>
      <c r="EV2360" s="985"/>
      <c r="EW2360" s="985"/>
      <c r="EX2360" s="387"/>
      <c r="EY2360" s="939"/>
      <c r="EZ2360" s="886"/>
    </row>
    <row r="2361" spans="88:156">
      <c r="CJ2361" s="197"/>
      <c r="CK2361" s="197"/>
      <c r="CL2361" s="197"/>
      <c r="CM2361" s="213"/>
      <c r="CN2361" s="213"/>
      <c r="CO2361" s="197"/>
      <c r="CP2361" s="197"/>
      <c r="CQ2361" s="197"/>
      <c r="CR2361" s="197"/>
      <c r="CS2361" s="197"/>
      <c r="CT2361" s="197"/>
      <c r="CU2361" s="197"/>
      <c r="CV2361" s="197"/>
      <c r="CW2361" s="197"/>
      <c r="CX2361" s="959"/>
      <c r="CY2361" s="959"/>
      <c r="CZ2361" s="959"/>
      <c r="DA2361" s="959"/>
      <c r="DB2361" s="959"/>
      <c r="DC2361" s="891">
        <v>8155</v>
      </c>
      <c r="DD2361" s="891" t="s">
        <v>2648</v>
      </c>
      <c r="DE2361" s="891" t="s">
        <v>435</v>
      </c>
      <c r="DF2361" s="891">
        <v>6</v>
      </c>
      <c r="DG2361" s="959"/>
      <c r="DH2361" s="959"/>
      <c r="ER2361" s="905">
        <v>8074</v>
      </c>
      <c r="ES2361" s="906" t="s">
        <v>3504</v>
      </c>
      <c r="ET2361" s="2686">
        <v>9</v>
      </c>
      <c r="EV2361" s="985"/>
      <c r="EW2361" s="985"/>
      <c r="EX2361" s="387"/>
      <c r="EY2361" s="939"/>
      <c r="EZ2361" s="886"/>
    </row>
    <row r="2362" spans="88:156">
      <c r="CJ2362" s="197"/>
      <c r="CK2362" s="197"/>
      <c r="CL2362" s="197"/>
      <c r="CM2362" s="213"/>
      <c r="CN2362" s="213"/>
      <c r="CO2362" s="197"/>
      <c r="CP2362" s="197"/>
      <c r="CQ2362" s="197"/>
      <c r="CR2362" s="197"/>
      <c r="CS2362" s="197"/>
      <c r="CT2362" s="197"/>
      <c r="CU2362" s="197"/>
      <c r="CV2362" s="197"/>
      <c r="CW2362" s="197"/>
      <c r="CX2362" s="959"/>
      <c r="CY2362" s="959"/>
      <c r="CZ2362" s="959"/>
      <c r="DA2362" s="959"/>
      <c r="DB2362" s="959"/>
      <c r="DC2362" s="891">
        <v>8156</v>
      </c>
      <c r="DD2362" s="891" t="s">
        <v>2649</v>
      </c>
      <c r="DE2362" s="891" t="s">
        <v>431</v>
      </c>
      <c r="DF2362" s="891">
        <v>6</v>
      </c>
      <c r="DG2362" s="959"/>
      <c r="DH2362" s="959"/>
      <c r="ER2362" s="905">
        <v>8080</v>
      </c>
      <c r="ES2362" s="906" t="s">
        <v>3505</v>
      </c>
      <c r="ET2362" s="2686">
        <v>9</v>
      </c>
      <c r="EV2362" s="985"/>
      <c r="EW2362" s="985"/>
      <c r="EX2362" s="387"/>
      <c r="EY2362" s="939"/>
      <c r="EZ2362" s="886"/>
    </row>
    <row r="2363" spans="88:156">
      <c r="CJ2363" s="197"/>
      <c r="CK2363" s="197"/>
      <c r="CL2363" s="197"/>
      <c r="CM2363" s="213"/>
      <c r="CN2363" s="213"/>
      <c r="CO2363" s="197"/>
      <c r="CP2363" s="197"/>
      <c r="CQ2363" s="197"/>
      <c r="CR2363" s="197"/>
      <c r="CS2363" s="197"/>
      <c r="CT2363" s="197"/>
      <c r="CU2363" s="197"/>
      <c r="CV2363" s="197"/>
      <c r="CW2363" s="197"/>
      <c r="CX2363" s="959"/>
      <c r="CY2363" s="959"/>
      <c r="CZ2363" s="959"/>
      <c r="DA2363" s="959"/>
      <c r="DB2363" s="959"/>
      <c r="DC2363" s="891">
        <v>8157</v>
      </c>
      <c r="DD2363" s="891" t="s">
        <v>2650</v>
      </c>
      <c r="DE2363" s="891" t="s">
        <v>427</v>
      </c>
      <c r="DF2363" s="891">
        <v>6</v>
      </c>
      <c r="DG2363" s="959"/>
      <c r="DH2363" s="959"/>
      <c r="ER2363" s="905">
        <v>8081</v>
      </c>
      <c r="ES2363" s="906" t="s">
        <v>3506</v>
      </c>
      <c r="ET2363" s="2686">
        <v>9</v>
      </c>
      <c r="EV2363" s="985"/>
      <c r="EW2363" s="985"/>
      <c r="EX2363" s="387"/>
      <c r="EY2363" s="939"/>
      <c r="EZ2363" s="886"/>
    </row>
    <row r="2364" spans="88:156">
      <c r="CJ2364" s="197"/>
      <c r="CK2364" s="197"/>
      <c r="CL2364" s="197"/>
      <c r="CM2364" s="213"/>
      <c r="CN2364" s="213"/>
      <c r="CO2364" s="197"/>
      <c r="CP2364" s="197"/>
      <c r="CQ2364" s="197"/>
      <c r="CR2364" s="197"/>
      <c r="CS2364" s="197"/>
      <c r="CT2364" s="197"/>
      <c r="CU2364" s="197"/>
      <c r="CV2364" s="197"/>
      <c r="CW2364" s="197"/>
      <c r="CX2364" s="959"/>
      <c r="CY2364" s="959"/>
      <c r="CZ2364" s="959"/>
      <c r="DA2364" s="959"/>
      <c r="DB2364" s="959"/>
      <c r="DC2364" s="891">
        <v>8161</v>
      </c>
      <c r="DD2364" s="891" t="s">
        <v>2651</v>
      </c>
      <c r="DE2364" s="891" t="s">
        <v>417</v>
      </c>
      <c r="DF2364" s="891">
        <v>6</v>
      </c>
      <c r="DG2364" s="959"/>
      <c r="DH2364" s="959"/>
      <c r="ER2364" s="905">
        <v>8082</v>
      </c>
      <c r="ES2364" s="906" t="s">
        <v>3507</v>
      </c>
      <c r="ET2364" s="2686">
        <v>9</v>
      </c>
      <c r="EV2364" s="985"/>
      <c r="EW2364" s="985"/>
      <c r="EX2364" s="387"/>
      <c r="EY2364" s="939"/>
      <c r="EZ2364" s="886"/>
    </row>
    <row r="2365" spans="88:156">
      <c r="CJ2365" s="197"/>
      <c r="CK2365" s="197"/>
      <c r="CL2365" s="197"/>
      <c r="CM2365" s="213"/>
      <c r="CN2365" s="213"/>
      <c r="CO2365" s="197"/>
      <c r="CP2365" s="197"/>
      <c r="CQ2365" s="197"/>
      <c r="CR2365" s="197"/>
      <c r="CS2365" s="197"/>
      <c r="CT2365" s="197"/>
      <c r="CU2365" s="197"/>
      <c r="CV2365" s="197"/>
      <c r="CW2365" s="197"/>
      <c r="CX2365" s="959"/>
      <c r="CY2365" s="959"/>
      <c r="CZ2365" s="959"/>
      <c r="DA2365" s="959"/>
      <c r="DB2365" s="959"/>
      <c r="DC2365" s="891">
        <v>8162</v>
      </c>
      <c r="DD2365" s="891" t="s">
        <v>2652</v>
      </c>
      <c r="DE2365" s="891" t="s">
        <v>423</v>
      </c>
      <c r="DF2365" s="891">
        <v>6</v>
      </c>
      <c r="DG2365" s="959"/>
      <c r="DH2365" s="959"/>
      <c r="ER2365" s="905">
        <v>8083</v>
      </c>
      <c r="ES2365" s="906" t="s">
        <v>3508</v>
      </c>
      <c r="ET2365" s="2686">
        <v>9</v>
      </c>
      <c r="EV2365" s="985"/>
      <c r="EW2365" s="985"/>
      <c r="EX2365" s="387"/>
      <c r="EY2365" s="939"/>
      <c r="EZ2365" s="886"/>
    </row>
    <row r="2366" spans="88:156">
      <c r="CJ2366" s="197"/>
      <c r="CK2366" s="197"/>
      <c r="CL2366" s="197"/>
      <c r="CM2366" s="213"/>
      <c r="CN2366" s="213"/>
      <c r="CO2366" s="197"/>
      <c r="CP2366" s="197"/>
      <c r="CQ2366" s="197"/>
      <c r="CR2366" s="197"/>
      <c r="CS2366" s="197"/>
      <c r="CT2366" s="197"/>
      <c r="CU2366" s="197"/>
      <c r="CV2366" s="197"/>
      <c r="CW2366" s="197"/>
      <c r="CX2366" s="959"/>
      <c r="CY2366" s="959"/>
      <c r="CZ2366" s="959"/>
      <c r="DA2366" s="959"/>
      <c r="DB2366" s="959"/>
      <c r="DC2366" s="891">
        <v>8163</v>
      </c>
      <c r="DD2366" s="891" t="s">
        <v>2653</v>
      </c>
      <c r="DE2366" s="891" t="s">
        <v>417</v>
      </c>
      <c r="DF2366" s="891">
        <v>6</v>
      </c>
      <c r="DG2366" s="959"/>
      <c r="DH2366" s="959"/>
      <c r="ER2366" s="905">
        <v>8085</v>
      </c>
      <c r="ES2366" s="906" t="s">
        <v>2604</v>
      </c>
      <c r="ET2366" s="2686">
        <v>9</v>
      </c>
      <c r="EV2366" s="985"/>
      <c r="EW2366" s="985"/>
      <c r="EX2366" s="387"/>
      <c r="EY2366" s="939"/>
      <c r="EZ2366" s="886"/>
    </row>
    <row r="2367" spans="88:156">
      <c r="CJ2367" s="197"/>
      <c r="CK2367" s="197"/>
      <c r="CL2367" s="197"/>
      <c r="CM2367" s="213"/>
      <c r="CN2367" s="213"/>
      <c r="CO2367" s="197"/>
      <c r="CP2367" s="197"/>
      <c r="CQ2367" s="197"/>
      <c r="CR2367" s="197"/>
      <c r="CS2367" s="197"/>
      <c r="CT2367" s="197"/>
      <c r="CU2367" s="197"/>
      <c r="CV2367" s="197"/>
      <c r="CW2367" s="197"/>
      <c r="CX2367" s="959"/>
      <c r="CY2367" s="959"/>
      <c r="CZ2367" s="959"/>
      <c r="DA2367" s="959"/>
      <c r="DB2367" s="959"/>
      <c r="DC2367" s="891">
        <v>8164</v>
      </c>
      <c r="DD2367" s="891" t="s">
        <v>2654</v>
      </c>
      <c r="DE2367" s="891" t="s">
        <v>417</v>
      </c>
      <c r="DF2367" s="891">
        <v>6</v>
      </c>
      <c r="DG2367" s="959"/>
      <c r="DH2367" s="959"/>
      <c r="ER2367" s="905">
        <v>8086</v>
      </c>
      <c r="ES2367" s="906" t="s">
        <v>2605</v>
      </c>
      <c r="ET2367" s="2686">
        <v>9</v>
      </c>
      <c r="EV2367" s="985"/>
      <c r="EW2367" s="985"/>
      <c r="EX2367" s="387"/>
      <c r="EY2367" s="939"/>
      <c r="EZ2367" s="886"/>
    </row>
    <row r="2368" spans="88:156">
      <c r="CJ2368" s="197"/>
      <c r="CK2368" s="197"/>
      <c r="CL2368" s="197"/>
      <c r="CM2368" s="213"/>
      <c r="CN2368" s="213"/>
      <c r="CO2368" s="197"/>
      <c r="CP2368" s="197"/>
      <c r="CQ2368" s="197"/>
      <c r="CR2368" s="197"/>
      <c r="CS2368" s="197"/>
      <c r="CT2368" s="197"/>
      <c r="CU2368" s="197"/>
      <c r="CV2368" s="197"/>
      <c r="CW2368" s="197"/>
      <c r="CX2368" s="959"/>
      <c r="CY2368" s="959"/>
      <c r="CZ2368" s="959"/>
      <c r="DA2368" s="959"/>
      <c r="DB2368" s="959"/>
      <c r="DC2368" s="891">
        <v>8171</v>
      </c>
      <c r="DD2368" s="891" t="s">
        <v>2655</v>
      </c>
      <c r="DE2368" s="891" t="s">
        <v>417</v>
      </c>
      <c r="DF2368" s="891">
        <v>6</v>
      </c>
      <c r="DG2368" s="959"/>
      <c r="DH2368" s="959"/>
      <c r="ER2368" s="905">
        <v>8087</v>
      </c>
      <c r="ES2368" s="906" t="s">
        <v>2606</v>
      </c>
      <c r="ET2368" s="2686">
        <v>9</v>
      </c>
      <c r="EV2368" s="985"/>
      <c r="EW2368" s="985"/>
      <c r="EX2368" s="387"/>
      <c r="EY2368" s="939"/>
      <c r="EZ2368" s="886"/>
    </row>
    <row r="2369" spans="88:156">
      <c r="CJ2369" s="197"/>
      <c r="CK2369" s="197"/>
      <c r="CL2369" s="197"/>
      <c r="CM2369" s="213"/>
      <c r="CN2369" s="213"/>
      <c r="CO2369" s="197"/>
      <c r="CP2369" s="197"/>
      <c r="CQ2369" s="197"/>
      <c r="CR2369" s="197"/>
      <c r="CS2369" s="197"/>
      <c r="CT2369" s="197"/>
      <c r="CU2369" s="197"/>
      <c r="CV2369" s="197"/>
      <c r="CW2369" s="197"/>
      <c r="CX2369" s="959"/>
      <c r="CY2369" s="959"/>
      <c r="CZ2369" s="959"/>
      <c r="DA2369" s="959"/>
      <c r="DB2369" s="959"/>
      <c r="DC2369" s="891">
        <v>8172</v>
      </c>
      <c r="DD2369" s="891" t="s">
        <v>2656</v>
      </c>
      <c r="DE2369" s="891" t="s">
        <v>417</v>
      </c>
      <c r="DF2369" s="891">
        <v>5</v>
      </c>
      <c r="DG2369" s="959"/>
      <c r="DH2369" s="959"/>
      <c r="ER2369" s="905">
        <v>8088</v>
      </c>
      <c r="ES2369" s="906" t="s">
        <v>2607</v>
      </c>
      <c r="ET2369" s="2686">
        <v>9</v>
      </c>
      <c r="EV2369" s="985"/>
      <c r="EW2369" s="985"/>
      <c r="EX2369" s="387"/>
      <c r="EY2369" s="939"/>
      <c r="EZ2369" s="886"/>
    </row>
    <row r="2370" spans="88:156">
      <c r="CJ2370" s="197"/>
      <c r="CK2370" s="197"/>
      <c r="CL2370" s="197"/>
      <c r="CM2370" s="213"/>
      <c r="CN2370" s="213"/>
      <c r="CO2370" s="197"/>
      <c r="CP2370" s="197"/>
      <c r="CQ2370" s="197"/>
      <c r="CR2370" s="197"/>
      <c r="CS2370" s="197"/>
      <c r="CT2370" s="197"/>
      <c r="CU2370" s="197"/>
      <c r="CV2370" s="197"/>
      <c r="CW2370" s="197"/>
      <c r="CX2370" s="959"/>
      <c r="CY2370" s="959"/>
      <c r="CZ2370" s="959"/>
      <c r="DA2370" s="959"/>
      <c r="DB2370" s="959"/>
      <c r="DC2370" s="891">
        <v>8173</v>
      </c>
      <c r="DD2370" s="891" t="s">
        <v>2657</v>
      </c>
      <c r="DE2370" s="891" t="s">
        <v>417</v>
      </c>
      <c r="DF2370" s="891">
        <v>6</v>
      </c>
      <c r="DG2370" s="959"/>
      <c r="DH2370" s="959"/>
      <c r="ER2370" s="905">
        <v>8089</v>
      </c>
      <c r="ES2370" s="906" t="s">
        <v>2608</v>
      </c>
      <c r="ET2370" s="2686">
        <v>9</v>
      </c>
      <c r="EV2370" s="985"/>
      <c r="EW2370" s="985"/>
      <c r="EX2370" s="387"/>
      <c r="EY2370" s="939"/>
      <c r="EZ2370" s="886"/>
    </row>
    <row r="2371" spans="88:156">
      <c r="CJ2371" s="197"/>
      <c r="CK2371" s="197"/>
      <c r="CL2371" s="197"/>
      <c r="CM2371" s="213"/>
      <c r="CN2371" s="213"/>
      <c r="CO2371" s="197"/>
      <c r="CP2371" s="197"/>
      <c r="CQ2371" s="197"/>
      <c r="CR2371" s="197"/>
      <c r="CS2371" s="197"/>
      <c r="CT2371" s="197"/>
      <c r="CU2371" s="197"/>
      <c r="CV2371" s="197"/>
      <c r="CW2371" s="197"/>
      <c r="CX2371" s="959"/>
      <c r="CY2371" s="959"/>
      <c r="CZ2371" s="959"/>
      <c r="DA2371" s="959"/>
      <c r="DB2371" s="959"/>
      <c r="DC2371" s="891">
        <v>8174</v>
      </c>
      <c r="DD2371" s="891" t="s">
        <v>2656</v>
      </c>
      <c r="DE2371" s="891" t="s">
        <v>417</v>
      </c>
      <c r="DF2371" s="891">
        <v>6</v>
      </c>
      <c r="DG2371" s="959"/>
      <c r="DH2371" s="959"/>
      <c r="ER2371" s="905">
        <v>8092</v>
      </c>
      <c r="ES2371" s="906" t="s">
        <v>2609</v>
      </c>
      <c r="ET2371" s="2686">
        <v>9</v>
      </c>
      <c r="EV2371" s="985"/>
      <c r="EW2371" s="985"/>
      <c r="EX2371" s="387"/>
      <c r="EY2371" s="939"/>
      <c r="EZ2371" s="886"/>
    </row>
    <row r="2372" spans="88:156">
      <c r="CJ2372" s="197"/>
      <c r="CK2372" s="197"/>
      <c r="CL2372" s="197"/>
      <c r="CM2372" s="213"/>
      <c r="CN2372" s="213"/>
      <c r="CO2372" s="197"/>
      <c r="CP2372" s="197"/>
      <c r="CQ2372" s="197"/>
      <c r="CR2372" s="197"/>
      <c r="CS2372" s="197"/>
      <c r="CT2372" s="197"/>
      <c r="CU2372" s="197"/>
      <c r="CV2372" s="197"/>
      <c r="CW2372" s="197"/>
      <c r="CX2372" s="959"/>
      <c r="CY2372" s="959"/>
      <c r="CZ2372" s="959"/>
      <c r="DA2372" s="959"/>
      <c r="DB2372" s="959"/>
      <c r="DC2372" s="891">
        <v>8175</v>
      </c>
      <c r="DD2372" s="891" t="s">
        <v>2658</v>
      </c>
      <c r="DE2372" s="891" t="s">
        <v>417</v>
      </c>
      <c r="DF2372" s="891">
        <v>5</v>
      </c>
      <c r="DG2372" s="959"/>
      <c r="DH2372" s="959"/>
      <c r="ER2372" s="905">
        <v>8093</v>
      </c>
      <c r="ES2372" s="906" t="s">
        <v>2610</v>
      </c>
      <c r="ET2372" s="2686">
        <v>9</v>
      </c>
      <c r="EV2372" s="985"/>
      <c r="EW2372" s="985"/>
      <c r="EX2372" s="387"/>
      <c r="EY2372" s="939"/>
      <c r="EZ2372" s="886"/>
    </row>
    <row r="2373" spans="88:156">
      <c r="CJ2373" s="197"/>
      <c r="CK2373" s="197"/>
      <c r="CL2373" s="197"/>
      <c r="CM2373" s="213"/>
      <c r="CN2373" s="213"/>
      <c r="CO2373" s="197"/>
      <c r="CP2373" s="197"/>
      <c r="CQ2373" s="197"/>
      <c r="CR2373" s="197"/>
      <c r="CS2373" s="197"/>
      <c r="CT2373" s="197"/>
      <c r="CU2373" s="197"/>
      <c r="CV2373" s="197"/>
      <c r="CW2373" s="197"/>
      <c r="CX2373" s="959"/>
      <c r="CY2373" s="959"/>
      <c r="CZ2373" s="959"/>
      <c r="DA2373" s="959"/>
      <c r="DB2373" s="959"/>
      <c r="DC2373" s="891">
        <v>8181</v>
      </c>
      <c r="DD2373" s="891" t="s">
        <v>2659</v>
      </c>
      <c r="DE2373" s="891" t="s">
        <v>406</v>
      </c>
      <c r="DF2373" s="891">
        <v>6</v>
      </c>
      <c r="DG2373" s="959"/>
      <c r="DH2373" s="959"/>
      <c r="ER2373" s="905">
        <v>8095</v>
      </c>
      <c r="ES2373" s="906" t="s">
        <v>2611</v>
      </c>
      <c r="ET2373" s="2686">
        <v>4</v>
      </c>
      <c r="EV2373" s="985"/>
      <c r="EW2373" s="985"/>
      <c r="EX2373" s="387"/>
      <c r="EY2373" s="939"/>
      <c r="EZ2373" s="886"/>
    </row>
    <row r="2374" spans="88:156">
      <c r="CJ2374" s="197"/>
      <c r="CK2374" s="197"/>
      <c r="CL2374" s="197"/>
      <c r="CM2374" s="213"/>
      <c r="CN2374" s="213"/>
      <c r="CO2374" s="197"/>
      <c r="CP2374" s="197"/>
      <c r="CQ2374" s="197"/>
      <c r="CR2374" s="197"/>
      <c r="CS2374" s="197"/>
      <c r="CT2374" s="197"/>
      <c r="CU2374" s="197"/>
      <c r="CV2374" s="197"/>
      <c r="CW2374" s="197"/>
      <c r="CX2374" s="959"/>
      <c r="CY2374" s="959"/>
      <c r="CZ2374" s="959"/>
      <c r="DA2374" s="959"/>
      <c r="DB2374" s="959"/>
      <c r="DC2374" s="891">
        <v>8182</v>
      </c>
      <c r="DD2374" s="891" t="s">
        <v>2660</v>
      </c>
      <c r="DE2374" s="891" t="s">
        <v>435</v>
      </c>
      <c r="DF2374" s="891">
        <v>6</v>
      </c>
      <c r="DG2374" s="959"/>
      <c r="DH2374" s="959"/>
      <c r="ER2374" s="905">
        <v>8096</v>
      </c>
      <c r="ES2374" s="906" t="s">
        <v>2612</v>
      </c>
      <c r="ET2374" s="2686">
        <v>4</v>
      </c>
      <c r="EV2374" s="985"/>
      <c r="EW2374" s="985"/>
      <c r="EX2374" s="387"/>
      <c r="EY2374" s="939"/>
      <c r="EZ2374" s="886"/>
    </row>
    <row r="2375" spans="88:156">
      <c r="CJ2375" s="197"/>
      <c r="CK2375" s="197"/>
      <c r="CL2375" s="197"/>
      <c r="CM2375" s="213"/>
      <c r="CN2375" s="213"/>
      <c r="CO2375" s="197"/>
      <c r="CP2375" s="197"/>
      <c r="CQ2375" s="197"/>
      <c r="CR2375" s="197"/>
      <c r="CS2375" s="197"/>
      <c r="CT2375" s="197"/>
      <c r="CU2375" s="197"/>
      <c r="CV2375" s="197"/>
      <c r="CW2375" s="197"/>
      <c r="CX2375" s="959"/>
      <c r="CY2375" s="959"/>
      <c r="CZ2375" s="959"/>
      <c r="DA2375" s="959"/>
      <c r="DB2375" s="959"/>
      <c r="DC2375" s="891">
        <v>8183</v>
      </c>
      <c r="DD2375" s="891" t="s">
        <v>2661</v>
      </c>
      <c r="DE2375" s="891" t="s">
        <v>435</v>
      </c>
      <c r="DF2375" s="891">
        <v>6</v>
      </c>
      <c r="DG2375" s="959"/>
      <c r="DH2375" s="959"/>
      <c r="ER2375" s="905">
        <v>8097</v>
      </c>
      <c r="ES2375" s="906" t="s">
        <v>2613</v>
      </c>
      <c r="ET2375" s="2686">
        <v>9</v>
      </c>
      <c r="EV2375" s="985"/>
      <c r="EW2375" s="985"/>
      <c r="EX2375" s="387"/>
      <c r="EY2375" s="939"/>
      <c r="EZ2375" s="886"/>
    </row>
    <row r="2376" spans="88:156">
      <c r="CJ2376" s="197"/>
      <c r="CK2376" s="197"/>
      <c r="CL2376" s="197"/>
      <c r="CM2376" s="213"/>
      <c r="CN2376" s="213"/>
      <c r="CO2376" s="197"/>
      <c r="CP2376" s="197"/>
      <c r="CQ2376" s="197"/>
      <c r="CR2376" s="197"/>
      <c r="CS2376" s="197"/>
      <c r="CT2376" s="197"/>
      <c r="CU2376" s="197"/>
      <c r="CV2376" s="197"/>
      <c r="CW2376" s="197"/>
      <c r="CX2376" s="959"/>
      <c r="CY2376" s="959"/>
      <c r="CZ2376" s="959"/>
      <c r="DA2376" s="959"/>
      <c r="DB2376" s="959"/>
      <c r="DC2376" s="891">
        <v>8184</v>
      </c>
      <c r="DD2376" s="891" t="s">
        <v>22</v>
      </c>
      <c r="DE2376" s="891" t="s">
        <v>435</v>
      </c>
      <c r="DF2376" s="891">
        <v>5</v>
      </c>
      <c r="DG2376" s="959"/>
      <c r="DH2376" s="959"/>
      <c r="ER2376" s="905">
        <v>8100</v>
      </c>
      <c r="ES2376" s="906" t="s">
        <v>2614</v>
      </c>
      <c r="ET2376" s="2686">
        <v>9</v>
      </c>
      <c r="EV2376" s="985"/>
      <c r="EW2376" s="985"/>
      <c r="EX2376" s="387"/>
      <c r="EY2376" s="939"/>
      <c r="EZ2376" s="886"/>
    </row>
    <row r="2377" spans="88:156">
      <c r="CJ2377" s="197"/>
      <c r="CK2377" s="197"/>
      <c r="CL2377" s="197"/>
      <c r="CM2377" s="213"/>
      <c r="CN2377" s="213"/>
      <c r="CO2377" s="197"/>
      <c r="CP2377" s="197"/>
      <c r="CQ2377" s="197"/>
      <c r="CR2377" s="197"/>
      <c r="CS2377" s="197"/>
      <c r="CT2377" s="197"/>
      <c r="CU2377" s="197"/>
      <c r="CV2377" s="197"/>
      <c r="CW2377" s="197"/>
      <c r="CX2377" s="959"/>
      <c r="CY2377" s="959"/>
      <c r="CZ2377" s="959"/>
      <c r="DA2377" s="959"/>
      <c r="DB2377" s="959"/>
      <c r="DC2377" s="891">
        <v>8191</v>
      </c>
      <c r="DD2377" s="891" t="s">
        <v>23</v>
      </c>
      <c r="DE2377" s="891" t="s">
        <v>412</v>
      </c>
      <c r="DF2377" s="891">
        <v>6</v>
      </c>
      <c r="DG2377" s="959"/>
      <c r="DH2377" s="959"/>
      <c r="ER2377" s="905">
        <v>8103</v>
      </c>
      <c r="ES2377" s="906" t="s">
        <v>2615</v>
      </c>
      <c r="ET2377" s="2686">
        <v>9</v>
      </c>
      <c r="EV2377" s="985"/>
      <c r="EW2377" s="985"/>
      <c r="EX2377" s="387"/>
      <c r="EY2377" s="939"/>
      <c r="EZ2377" s="886"/>
    </row>
    <row r="2378" spans="88:156">
      <c r="CJ2378" s="197"/>
      <c r="CK2378" s="197"/>
      <c r="CL2378" s="197"/>
      <c r="CM2378" s="213"/>
      <c r="CN2378" s="213"/>
      <c r="CO2378" s="197"/>
      <c r="CP2378" s="197"/>
      <c r="CQ2378" s="197"/>
      <c r="CR2378" s="197"/>
      <c r="CS2378" s="197"/>
      <c r="CT2378" s="197"/>
      <c r="CU2378" s="197"/>
      <c r="CV2378" s="197"/>
      <c r="CW2378" s="197"/>
      <c r="CX2378" s="959"/>
      <c r="CY2378" s="959"/>
      <c r="CZ2378" s="959"/>
      <c r="DA2378" s="959"/>
      <c r="DB2378" s="959"/>
      <c r="DC2378" s="891">
        <v>8192</v>
      </c>
      <c r="DD2378" s="891" t="s">
        <v>24</v>
      </c>
      <c r="DE2378" s="891" t="s">
        <v>412</v>
      </c>
      <c r="DF2378" s="891">
        <v>5</v>
      </c>
      <c r="DG2378" s="959"/>
      <c r="DH2378" s="959"/>
      <c r="ER2378" s="905">
        <v>8104</v>
      </c>
      <c r="ES2378" s="906" t="s">
        <v>3744</v>
      </c>
      <c r="ET2378" s="2686">
        <v>9</v>
      </c>
      <c r="EV2378" s="985"/>
      <c r="EW2378" s="985"/>
      <c r="EX2378" s="387"/>
      <c r="EY2378" s="939"/>
      <c r="EZ2378" s="886"/>
    </row>
    <row r="2379" spans="88:156">
      <c r="CJ2379" s="197"/>
      <c r="CK2379" s="197"/>
      <c r="CL2379" s="197"/>
      <c r="CM2379" s="213"/>
      <c r="CN2379" s="213"/>
      <c r="CO2379" s="197"/>
      <c r="CP2379" s="197"/>
      <c r="CQ2379" s="197"/>
      <c r="CR2379" s="197"/>
      <c r="CS2379" s="197"/>
      <c r="CT2379" s="197"/>
      <c r="CU2379" s="197"/>
      <c r="CV2379" s="197"/>
      <c r="CW2379" s="197"/>
      <c r="CX2379" s="959"/>
      <c r="CY2379" s="959"/>
      <c r="CZ2379" s="959"/>
      <c r="DA2379" s="959"/>
      <c r="DB2379" s="959"/>
      <c r="DC2379" s="891">
        <v>8193</v>
      </c>
      <c r="DD2379" s="891" t="s">
        <v>25</v>
      </c>
      <c r="DE2379" s="891" t="s">
        <v>432</v>
      </c>
      <c r="DF2379" s="891">
        <v>5</v>
      </c>
      <c r="DG2379" s="959"/>
      <c r="DH2379" s="959"/>
      <c r="ER2379" s="905">
        <v>8105</v>
      </c>
      <c r="ES2379" s="906" t="s">
        <v>2616</v>
      </c>
      <c r="ET2379" s="2686">
        <v>9</v>
      </c>
      <c r="EV2379" s="985"/>
      <c r="EW2379" s="985"/>
      <c r="EX2379" s="387"/>
      <c r="EY2379" s="939"/>
      <c r="EZ2379" s="886"/>
    </row>
    <row r="2380" spans="88:156">
      <c r="CJ2380" s="197"/>
      <c r="CK2380" s="197"/>
      <c r="CL2380" s="197"/>
      <c r="CM2380" s="213"/>
      <c r="CN2380" s="213"/>
      <c r="CO2380" s="197"/>
      <c r="CP2380" s="197"/>
      <c r="CQ2380" s="197"/>
      <c r="CR2380" s="197"/>
      <c r="CS2380" s="197"/>
      <c r="CT2380" s="197"/>
      <c r="CU2380" s="197"/>
      <c r="CV2380" s="197"/>
      <c r="CW2380" s="197"/>
      <c r="CX2380" s="959"/>
      <c r="CY2380" s="959"/>
      <c r="CZ2380" s="959"/>
      <c r="DA2380" s="959"/>
      <c r="DB2380" s="959"/>
      <c r="DC2380" s="891">
        <v>8194</v>
      </c>
      <c r="DD2380" s="891" t="s">
        <v>26</v>
      </c>
      <c r="DE2380" s="891" t="s">
        <v>432</v>
      </c>
      <c r="DF2380" s="891">
        <v>5</v>
      </c>
      <c r="DG2380" s="959"/>
      <c r="DH2380" s="959"/>
      <c r="ER2380" s="905">
        <v>8109</v>
      </c>
      <c r="ES2380" s="906" t="s">
        <v>2617</v>
      </c>
      <c r="ET2380" s="2686">
        <v>9</v>
      </c>
      <c r="EV2380" s="985"/>
      <c r="EW2380" s="985"/>
      <c r="EX2380" s="387"/>
      <c r="EY2380" s="939"/>
      <c r="EZ2380" s="886"/>
    </row>
    <row r="2381" spans="88:156">
      <c r="CJ2381" s="197"/>
      <c r="CK2381" s="197"/>
      <c r="CL2381" s="197"/>
      <c r="CM2381" s="213"/>
      <c r="CN2381" s="213"/>
      <c r="CO2381" s="197"/>
      <c r="CP2381" s="197"/>
      <c r="CQ2381" s="197"/>
      <c r="CR2381" s="197"/>
      <c r="CS2381" s="197"/>
      <c r="CT2381" s="197"/>
      <c r="CU2381" s="197"/>
      <c r="CV2381" s="197"/>
      <c r="CW2381" s="197"/>
      <c r="CX2381" s="959"/>
      <c r="CY2381" s="959"/>
      <c r="CZ2381" s="959"/>
      <c r="DA2381" s="959"/>
      <c r="DB2381" s="959"/>
      <c r="DC2381" s="891">
        <v>8195</v>
      </c>
      <c r="DD2381" s="891" t="s">
        <v>27</v>
      </c>
      <c r="DE2381" s="891" t="s">
        <v>432</v>
      </c>
      <c r="DF2381" s="891">
        <v>5</v>
      </c>
      <c r="DG2381" s="959"/>
      <c r="DH2381" s="959"/>
      <c r="ER2381" s="905">
        <v>8111</v>
      </c>
      <c r="ES2381" s="906" t="s">
        <v>2618</v>
      </c>
      <c r="ET2381" s="2686">
        <v>9</v>
      </c>
      <c r="EV2381" s="985"/>
      <c r="EW2381" s="985"/>
      <c r="EX2381" s="387"/>
      <c r="EY2381" s="939"/>
      <c r="EZ2381" s="886"/>
    </row>
    <row r="2382" spans="88:156">
      <c r="CJ2382" s="197"/>
      <c r="CK2382" s="197"/>
      <c r="CL2382" s="197"/>
      <c r="CM2382" s="213"/>
      <c r="CN2382" s="213"/>
      <c r="CO2382" s="197"/>
      <c r="CP2382" s="197"/>
      <c r="CQ2382" s="197"/>
      <c r="CR2382" s="197"/>
      <c r="CS2382" s="197"/>
      <c r="CT2382" s="197"/>
      <c r="CU2382" s="197"/>
      <c r="CV2382" s="197"/>
      <c r="CW2382" s="197"/>
      <c r="CX2382" s="959"/>
      <c r="CY2382" s="959"/>
      <c r="CZ2382" s="959"/>
      <c r="DA2382" s="959"/>
      <c r="DB2382" s="959"/>
      <c r="DC2382" s="891">
        <v>8196</v>
      </c>
      <c r="DD2382" s="891" t="s">
        <v>28</v>
      </c>
      <c r="DE2382" s="891" t="s">
        <v>435</v>
      </c>
      <c r="DF2382" s="891">
        <v>5</v>
      </c>
      <c r="DG2382" s="959"/>
      <c r="DH2382" s="959"/>
      <c r="ER2382" s="905">
        <v>8112</v>
      </c>
      <c r="ES2382" s="906" t="s">
        <v>2619</v>
      </c>
      <c r="ET2382" s="2686">
        <v>9</v>
      </c>
      <c r="EV2382" s="985"/>
      <c r="EW2382" s="985"/>
      <c r="EX2382" s="387"/>
      <c r="EY2382" s="939"/>
      <c r="EZ2382" s="886"/>
    </row>
    <row r="2383" spans="88:156">
      <c r="CJ2383" s="197"/>
      <c r="CK2383" s="197"/>
      <c r="CL2383" s="197"/>
      <c r="CM2383" s="213"/>
      <c r="CN2383" s="213"/>
      <c r="CO2383" s="197"/>
      <c r="CP2383" s="197"/>
      <c r="CQ2383" s="197"/>
      <c r="CR2383" s="197"/>
      <c r="CS2383" s="197"/>
      <c r="CT2383" s="197"/>
      <c r="CU2383" s="197"/>
      <c r="CV2383" s="197"/>
      <c r="CW2383" s="197"/>
      <c r="CX2383" s="959"/>
      <c r="CY2383" s="959"/>
      <c r="CZ2383" s="959"/>
      <c r="DA2383" s="959"/>
      <c r="DB2383" s="959"/>
      <c r="DC2383" s="891">
        <v>8200</v>
      </c>
      <c r="DD2383" s="891" t="s">
        <v>419</v>
      </c>
      <c r="DE2383" s="891" t="s">
        <v>433</v>
      </c>
      <c r="DF2383" s="891">
        <v>5</v>
      </c>
      <c r="DG2383" s="959"/>
      <c r="DH2383" s="959"/>
      <c r="ER2383" s="905">
        <v>8121</v>
      </c>
      <c r="ES2383" s="906" t="s">
        <v>2621</v>
      </c>
      <c r="ET2383" s="2686">
        <v>9</v>
      </c>
      <c r="EV2383" s="985"/>
      <c r="EW2383" s="985"/>
      <c r="EX2383" s="387"/>
      <c r="EY2383" s="939"/>
      <c r="EZ2383" s="886"/>
    </row>
    <row r="2384" spans="88:156">
      <c r="CJ2384" s="197"/>
      <c r="CK2384" s="197"/>
      <c r="CL2384" s="197"/>
      <c r="CM2384" s="213"/>
      <c r="CN2384" s="213"/>
      <c r="CO2384" s="197"/>
      <c r="CP2384" s="197"/>
      <c r="CQ2384" s="197"/>
      <c r="CR2384" s="197"/>
      <c r="CS2384" s="197"/>
      <c r="CT2384" s="197"/>
      <c r="CU2384" s="197"/>
      <c r="CV2384" s="197"/>
      <c r="CW2384" s="197"/>
      <c r="CX2384" s="959"/>
      <c r="CY2384" s="959"/>
      <c r="CZ2384" s="959"/>
      <c r="DA2384" s="959"/>
      <c r="DB2384" s="959"/>
      <c r="DC2384" s="891">
        <v>8220</v>
      </c>
      <c r="DD2384" s="891" t="s">
        <v>29</v>
      </c>
      <c r="DE2384" s="891" t="s">
        <v>428</v>
      </c>
      <c r="DF2384" s="891">
        <v>5</v>
      </c>
      <c r="DG2384" s="959"/>
      <c r="DH2384" s="959"/>
      <c r="ER2384" s="905">
        <v>8122</v>
      </c>
      <c r="ES2384" s="906" t="s">
        <v>2622</v>
      </c>
      <c r="ET2384" s="2686">
        <v>9</v>
      </c>
      <c r="EV2384" s="985"/>
      <c r="EW2384" s="985"/>
      <c r="EX2384" s="387"/>
      <c r="EY2384" s="939"/>
      <c r="EZ2384" s="886"/>
    </row>
    <row r="2385" spans="88:156">
      <c r="CJ2385" s="197"/>
      <c r="CK2385" s="197"/>
      <c r="CL2385" s="197"/>
      <c r="CM2385" s="213"/>
      <c r="CN2385" s="213"/>
      <c r="CO2385" s="197"/>
      <c r="CP2385" s="197"/>
      <c r="CQ2385" s="197"/>
      <c r="CR2385" s="197"/>
      <c r="CS2385" s="197"/>
      <c r="CT2385" s="197"/>
      <c r="CU2385" s="197"/>
      <c r="CV2385" s="197"/>
      <c r="CW2385" s="197"/>
      <c r="CX2385" s="959"/>
      <c r="CY2385" s="959"/>
      <c r="CZ2385" s="959"/>
      <c r="DA2385" s="959"/>
      <c r="DB2385" s="959"/>
      <c r="DC2385" s="891">
        <v>8223</v>
      </c>
      <c r="DD2385" s="891" t="s">
        <v>30</v>
      </c>
      <c r="DE2385" s="891" t="s">
        <v>402</v>
      </c>
      <c r="DF2385" s="891">
        <v>5</v>
      </c>
      <c r="DG2385" s="959"/>
      <c r="DH2385" s="959"/>
      <c r="ER2385" s="905">
        <v>8123</v>
      </c>
      <c r="ES2385" s="906" t="s">
        <v>2623</v>
      </c>
      <c r="ET2385" s="2686">
        <v>9</v>
      </c>
      <c r="EV2385" s="985"/>
      <c r="EW2385" s="985"/>
      <c r="EX2385" s="387"/>
      <c r="EY2385" s="939"/>
      <c r="EZ2385" s="886"/>
    </row>
    <row r="2386" spans="88:156">
      <c r="CJ2386" s="197"/>
      <c r="CK2386" s="197"/>
      <c r="CL2386" s="197"/>
      <c r="CM2386" s="213"/>
      <c r="CN2386" s="213"/>
      <c r="CO2386" s="197"/>
      <c r="CP2386" s="197"/>
      <c r="CQ2386" s="197"/>
      <c r="CR2386" s="197"/>
      <c r="CS2386" s="197"/>
      <c r="CT2386" s="197"/>
      <c r="CU2386" s="197"/>
      <c r="CV2386" s="197"/>
      <c r="CW2386" s="197"/>
      <c r="CX2386" s="959"/>
      <c r="CY2386" s="959"/>
      <c r="CZ2386" s="959"/>
      <c r="DA2386" s="959"/>
      <c r="DB2386" s="959"/>
      <c r="DC2386" s="891">
        <v>8224</v>
      </c>
      <c r="DD2386" s="891" t="s">
        <v>31</v>
      </c>
      <c r="DE2386" s="891" t="s">
        <v>421</v>
      </c>
      <c r="DF2386" s="891">
        <v>5</v>
      </c>
      <c r="DG2386" s="959"/>
      <c r="DH2386" s="959"/>
      <c r="ER2386" s="905">
        <v>8124</v>
      </c>
      <c r="ES2386" s="906" t="s">
        <v>3745</v>
      </c>
      <c r="ET2386" s="2686">
        <v>9</v>
      </c>
      <c r="EV2386" s="985"/>
      <c r="EW2386" s="985"/>
      <c r="EX2386" s="387"/>
      <c r="EY2386" s="939"/>
      <c r="EZ2386" s="886"/>
    </row>
    <row r="2387" spans="88:156">
      <c r="CJ2387" s="197"/>
      <c r="CK2387" s="197"/>
      <c r="CL2387" s="197"/>
      <c r="CM2387" s="213"/>
      <c r="CN2387" s="213"/>
      <c r="CO2387" s="197"/>
      <c r="CP2387" s="197"/>
      <c r="CQ2387" s="197"/>
      <c r="CR2387" s="197"/>
      <c r="CS2387" s="197"/>
      <c r="CT2387" s="197"/>
      <c r="CU2387" s="197"/>
      <c r="CV2387" s="197"/>
      <c r="CW2387" s="197"/>
      <c r="CX2387" s="959"/>
      <c r="CY2387" s="959"/>
      <c r="CZ2387" s="959"/>
      <c r="DA2387" s="959"/>
      <c r="DB2387" s="959"/>
      <c r="DC2387" s="891">
        <v>8225</v>
      </c>
      <c r="DD2387" s="891" t="s">
        <v>32</v>
      </c>
      <c r="DE2387" s="891" t="s">
        <v>402</v>
      </c>
      <c r="DF2387" s="891">
        <v>5</v>
      </c>
      <c r="DG2387" s="959"/>
      <c r="DH2387" s="959"/>
      <c r="ER2387" s="905">
        <v>8125</v>
      </c>
      <c r="ES2387" s="906" t="s">
        <v>2625</v>
      </c>
      <c r="ET2387" s="2686">
        <v>9</v>
      </c>
      <c r="EV2387" s="985"/>
      <c r="EW2387" s="985"/>
      <c r="EX2387" s="387"/>
      <c r="EY2387" s="939"/>
      <c r="EZ2387" s="886"/>
    </row>
    <row r="2388" spans="88:156">
      <c r="CJ2388" s="197"/>
      <c r="CK2388" s="197"/>
      <c r="CL2388" s="197"/>
      <c r="CM2388" s="213"/>
      <c r="CN2388" s="213"/>
      <c r="CO2388" s="197"/>
      <c r="CP2388" s="197"/>
      <c r="CQ2388" s="197"/>
      <c r="CR2388" s="197"/>
      <c r="CS2388" s="197"/>
      <c r="CT2388" s="197"/>
      <c r="CU2388" s="197"/>
      <c r="CV2388" s="197"/>
      <c r="CW2388" s="197"/>
      <c r="CX2388" s="959"/>
      <c r="CY2388" s="959"/>
      <c r="CZ2388" s="959"/>
      <c r="DA2388" s="959"/>
      <c r="DB2388" s="959"/>
      <c r="DC2388" s="891">
        <v>8226</v>
      </c>
      <c r="DD2388" s="891" t="s">
        <v>2852</v>
      </c>
      <c r="DE2388" s="891" t="s">
        <v>434</v>
      </c>
      <c r="DF2388" s="891">
        <v>5</v>
      </c>
      <c r="DG2388" s="959"/>
      <c r="DH2388" s="959"/>
      <c r="ER2388" s="905">
        <v>8126</v>
      </c>
      <c r="ES2388" s="906" t="s">
        <v>2626</v>
      </c>
      <c r="ET2388" s="2686">
        <v>9</v>
      </c>
      <c r="EV2388" s="985"/>
      <c r="EW2388" s="985"/>
      <c r="EX2388" s="387"/>
      <c r="EY2388" s="939"/>
      <c r="EZ2388" s="886"/>
    </row>
    <row r="2389" spans="88:156">
      <c r="CJ2389" s="197"/>
      <c r="CK2389" s="197"/>
      <c r="CL2389" s="197"/>
      <c r="CM2389" s="213"/>
      <c r="CN2389" s="213"/>
      <c r="CO2389" s="197"/>
      <c r="CP2389" s="197"/>
      <c r="CQ2389" s="197"/>
      <c r="CR2389" s="197"/>
      <c r="CS2389" s="197"/>
      <c r="CT2389" s="197"/>
      <c r="CU2389" s="197"/>
      <c r="CV2389" s="197"/>
      <c r="CW2389" s="197"/>
      <c r="CX2389" s="959"/>
      <c r="CY2389" s="959"/>
      <c r="CZ2389" s="959"/>
      <c r="DA2389" s="959"/>
      <c r="DB2389" s="959"/>
      <c r="DC2389" s="891">
        <v>8227</v>
      </c>
      <c r="DD2389" s="891" t="s">
        <v>2853</v>
      </c>
      <c r="DE2389" s="891" t="s">
        <v>423</v>
      </c>
      <c r="DF2389" s="891">
        <v>5</v>
      </c>
      <c r="DG2389" s="959"/>
      <c r="DH2389" s="959"/>
      <c r="ER2389" s="905">
        <v>8127</v>
      </c>
      <c r="ES2389" s="906" t="s">
        <v>2627</v>
      </c>
      <c r="ET2389" s="2686">
        <v>9</v>
      </c>
      <c r="EV2389" s="985"/>
      <c r="EW2389" s="985"/>
      <c r="EX2389" s="387"/>
      <c r="EY2389" s="939"/>
      <c r="EZ2389" s="886"/>
    </row>
    <row r="2390" spans="88:156">
      <c r="CJ2390" s="197"/>
      <c r="CK2390" s="197"/>
      <c r="CL2390" s="197"/>
      <c r="CM2390" s="213"/>
      <c r="CN2390" s="213"/>
      <c r="CO2390" s="197"/>
      <c r="CP2390" s="197"/>
      <c r="CQ2390" s="197"/>
      <c r="CR2390" s="197"/>
      <c r="CS2390" s="197"/>
      <c r="CT2390" s="197"/>
      <c r="CU2390" s="197"/>
      <c r="CV2390" s="197"/>
      <c r="CW2390" s="197"/>
      <c r="CX2390" s="959"/>
      <c r="CY2390" s="959"/>
      <c r="CZ2390" s="959"/>
      <c r="DA2390" s="959"/>
      <c r="DB2390" s="959"/>
      <c r="DC2390" s="891">
        <v>8228</v>
      </c>
      <c r="DD2390" s="891" t="s">
        <v>2854</v>
      </c>
      <c r="DE2390" s="891" t="s">
        <v>419</v>
      </c>
      <c r="DF2390" s="891">
        <v>5</v>
      </c>
      <c r="DG2390" s="959"/>
      <c r="DH2390" s="959"/>
      <c r="ER2390" s="905">
        <v>8130</v>
      </c>
      <c r="ES2390" s="906" t="s">
        <v>2629</v>
      </c>
      <c r="ET2390" s="2686">
        <v>9</v>
      </c>
      <c r="EV2390" s="985"/>
      <c r="EW2390" s="985"/>
      <c r="EX2390" s="387"/>
      <c r="EY2390" s="939"/>
      <c r="EZ2390" s="886"/>
    </row>
    <row r="2391" spans="88:156">
      <c r="CJ2391" s="197"/>
      <c r="CK2391" s="197"/>
      <c r="CL2391" s="197"/>
      <c r="CM2391" s="213"/>
      <c r="CN2391" s="213"/>
      <c r="CO2391" s="197"/>
      <c r="CP2391" s="197"/>
      <c r="CQ2391" s="197"/>
      <c r="CR2391" s="197"/>
      <c r="CS2391" s="197"/>
      <c r="CT2391" s="197"/>
      <c r="CU2391" s="197"/>
      <c r="CV2391" s="197"/>
      <c r="CW2391" s="197"/>
      <c r="CX2391" s="959"/>
      <c r="CY2391" s="959"/>
      <c r="CZ2391" s="959"/>
      <c r="DA2391" s="959"/>
      <c r="DB2391" s="959"/>
      <c r="DC2391" s="891">
        <v>8229</v>
      </c>
      <c r="DD2391" s="891" t="s">
        <v>2855</v>
      </c>
      <c r="DE2391" s="891" t="s">
        <v>419</v>
      </c>
      <c r="DF2391" s="891">
        <v>5</v>
      </c>
      <c r="DG2391" s="959"/>
      <c r="DH2391" s="959"/>
      <c r="ER2391" s="905">
        <v>8131</v>
      </c>
      <c r="ES2391" s="905" t="s">
        <v>2630</v>
      </c>
      <c r="ET2391" s="2686">
        <v>9</v>
      </c>
      <c r="EV2391" s="985"/>
      <c r="EW2391" s="985"/>
      <c r="EX2391" s="387"/>
      <c r="EY2391" s="939"/>
      <c r="EZ2391" s="886"/>
    </row>
    <row r="2392" spans="88:156">
      <c r="CJ2392" s="197"/>
      <c r="CK2392" s="197"/>
      <c r="CL2392" s="197"/>
      <c r="CM2392" s="213"/>
      <c r="CN2392" s="213"/>
      <c r="CO2392" s="197"/>
      <c r="CP2392" s="197"/>
      <c r="CQ2392" s="197"/>
      <c r="CR2392" s="197"/>
      <c r="CS2392" s="197"/>
      <c r="CT2392" s="197"/>
      <c r="CU2392" s="197"/>
      <c r="CV2392" s="197"/>
      <c r="CW2392" s="197"/>
      <c r="CX2392" s="959"/>
      <c r="CY2392" s="959"/>
      <c r="CZ2392" s="959"/>
      <c r="DA2392" s="959"/>
      <c r="DB2392" s="959"/>
      <c r="DC2392" s="891">
        <v>8230</v>
      </c>
      <c r="DD2392" s="891" t="s">
        <v>2856</v>
      </c>
      <c r="DE2392" s="891" t="s">
        <v>428</v>
      </c>
      <c r="DF2392" s="891">
        <v>5</v>
      </c>
      <c r="DG2392" s="959"/>
      <c r="DH2392" s="959"/>
      <c r="ER2392" s="905">
        <v>8132</v>
      </c>
      <c r="ES2392" s="906" t="s">
        <v>2631</v>
      </c>
      <c r="ET2392" s="2686">
        <v>9</v>
      </c>
      <c r="EV2392" s="985"/>
      <c r="EW2392" s="985"/>
      <c r="EX2392" s="387"/>
      <c r="EY2392" s="939"/>
      <c r="EZ2392" s="886"/>
    </row>
    <row r="2393" spans="88:156">
      <c r="CJ2393" s="197"/>
      <c r="CK2393" s="197"/>
      <c r="CL2393" s="197"/>
      <c r="CM2393" s="213"/>
      <c r="CN2393" s="213"/>
      <c r="CO2393" s="197"/>
      <c r="CP2393" s="197"/>
      <c r="CQ2393" s="197"/>
      <c r="CR2393" s="197"/>
      <c r="CS2393" s="197"/>
      <c r="CT2393" s="197"/>
      <c r="CU2393" s="197"/>
      <c r="CV2393" s="197"/>
      <c r="CW2393" s="197"/>
      <c r="CX2393" s="959"/>
      <c r="CY2393" s="959"/>
      <c r="CZ2393" s="959"/>
      <c r="DA2393" s="959"/>
      <c r="DB2393" s="959"/>
      <c r="DC2393" s="891">
        <v>8233</v>
      </c>
      <c r="DD2393" s="891" t="s">
        <v>4366</v>
      </c>
      <c r="DE2393" s="891" t="s">
        <v>423</v>
      </c>
      <c r="DF2393" s="891">
        <v>5</v>
      </c>
      <c r="DG2393" s="959"/>
      <c r="DH2393" s="959"/>
      <c r="ER2393" s="905">
        <v>8133</v>
      </c>
      <c r="ES2393" s="906" t="s">
        <v>2632</v>
      </c>
      <c r="ET2393" s="2686">
        <v>9</v>
      </c>
      <c r="EV2393" s="985"/>
      <c r="EW2393" s="985"/>
      <c r="EX2393" s="387"/>
      <c r="EY2393" s="939"/>
      <c r="EZ2393" s="886"/>
    </row>
    <row r="2394" spans="88:156">
      <c r="CJ2394" s="197"/>
      <c r="CK2394" s="197"/>
      <c r="CL2394" s="197"/>
      <c r="CM2394" s="213"/>
      <c r="CN2394" s="213"/>
      <c r="CO2394" s="197"/>
      <c r="CP2394" s="197"/>
      <c r="CQ2394" s="197"/>
      <c r="CR2394" s="197"/>
      <c r="CS2394" s="197"/>
      <c r="CT2394" s="197"/>
      <c r="CU2394" s="197"/>
      <c r="CV2394" s="197"/>
      <c r="CW2394" s="197"/>
      <c r="CX2394" s="959"/>
      <c r="CY2394" s="959"/>
      <c r="CZ2394" s="959"/>
      <c r="DA2394" s="959"/>
      <c r="DB2394" s="959"/>
      <c r="DC2394" s="891">
        <v>8235</v>
      </c>
      <c r="DD2394" s="891" t="s">
        <v>4367</v>
      </c>
      <c r="DE2394" s="891" t="s">
        <v>423</v>
      </c>
      <c r="DF2394" s="891">
        <v>5</v>
      </c>
      <c r="DG2394" s="959"/>
      <c r="DH2394" s="959"/>
      <c r="ER2394" s="905">
        <v>8134</v>
      </c>
      <c r="ES2394" s="906" t="s">
        <v>2633</v>
      </c>
      <c r="ET2394" s="2686">
        <v>9</v>
      </c>
      <c r="EV2394" s="985"/>
      <c r="EW2394" s="985"/>
      <c r="EX2394" s="387"/>
      <c r="EY2394" s="939"/>
      <c r="EZ2394" s="886"/>
    </row>
    <row r="2395" spans="88:156">
      <c r="CJ2395" s="197"/>
      <c r="CK2395" s="197"/>
      <c r="CL2395" s="197"/>
      <c r="CM2395" s="213"/>
      <c r="CN2395" s="213"/>
      <c r="CO2395" s="197"/>
      <c r="CP2395" s="197"/>
      <c r="CQ2395" s="197"/>
      <c r="CR2395" s="197"/>
      <c r="CS2395" s="197"/>
      <c r="CT2395" s="197"/>
      <c r="CU2395" s="197"/>
      <c r="CV2395" s="197"/>
      <c r="CW2395" s="197"/>
      <c r="CX2395" s="959"/>
      <c r="CY2395" s="959"/>
      <c r="CZ2395" s="959"/>
      <c r="DA2395" s="959"/>
      <c r="DB2395" s="959"/>
      <c r="DC2395" s="891">
        <v>8236</v>
      </c>
      <c r="DD2395" s="891" t="s">
        <v>4368</v>
      </c>
      <c r="DE2395" s="891" t="s">
        <v>417</v>
      </c>
      <c r="DF2395" s="891">
        <v>5</v>
      </c>
      <c r="DG2395" s="959"/>
      <c r="DH2395" s="959"/>
      <c r="ER2395" s="905">
        <v>8135</v>
      </c>
      <c r="ES2395" s="906" t="s">
        <v>2634</v>
      </c>
      <c r="ET2395" s="2686">
        <v>9</v>
      </c>
      <c r="EV2395" s="985"/>
      <c r="EW2395" s="985"/>
      <c r="EX2395" s="387"/>
      <c r="EY2395" s="939"/>
      <c r="EZ2395" s="886"/>
    </row>
    <row r="2396" spans="88:156">
      <c r="CJ2396" s="197"/>
      <c r="CK2396" s="197"/>
      <c r="CL2396" s="197"/>
      <c r="CM2396" s="213"/>
      <c r="CN2396" s="213"/>
      <c r="CO2396" s="197"/>
      <c r="CP2396" s="197"/>
      <c r="CQ2396" s="197"/>
      <c r="CR2396" s="197"/>
      <c r="CS2396" s="197"/>
      <c r="CT2396" s="197"/>
      <c r="CU2396" s="197"/>
      <c r="CV2396" s="197"/>
      <c r="CW2396" s="197"/>
      <c r="CX2396" s="959"/>
      <c r="CY2396" s="959"/>
      <c r="CZ2396" s="959"/>
      <c r="DA2396" s="959"/>
      <c r="DB2396" s="959"/>
      <c r="DC2396" s="891">
        <v>8237</v>
      </c>
      <c r="DD2396" s="891" t="s">
        <v>4369</v>
      </c>
      <c r="DE2396" s="891" t="s">
        <v>423</v>
      </c>
      <c r="DF2396" s="891">
        <v>5</v>
      </c>
      <c r="DG2396" s="959"/>
      <c r="DH2396" s="959"/>
      <c r="ER2396" s="905">
        <v>8136</v>
      </c>
      <c r="ES2396" s="906" t="s">
        <v>2635</v>
      </c>
      <c r="ET2396" s="2686">
        <v>9</v>
      </c>
      <c r="EV2396" s="985"/>
      <c r="EW2396" s="985"/>
      <c r="EX2396" s="387"/>
      <c r="EY2396" s="939"/>
      <c r="EZ2396" s="886"/>
    </row>
    <row r="2397" spans="88:156">
      <c r="CJ2397" s="197"/>
      <c r="CK2397" s="197"/>
      <c r="CL2397" s="197"/>
      <c r="CM2397" s="213"/>
      <c r="CN2397" s="213"/>
      <c r="CO2397" s="197"/>
      <c r="CP2397" s="197"/>
      <c r="CQ2397" s="197"/>
      <c r="CR2397" s="197"/>
      <c r="CS2397" s="197"/>
      <c r="CT2397" s="197"/>
      <c r="CU2397" s="197"/>
      <c r="CV2397" s="197"/>
      <c r="CW2397" s="197"/>
      <c r="CX2397" s="959"/>
      <c r="CY2397" s="959"/>
      <c r="CZ2397" s="959"/>
      <c r="DA2397" s="959"/>
      <c r="DB2397" s="959"/>
      <c r="DC2397" s="891">
        <v>8241</v>
      </c>
      <c r="DD2397" s="891" t="s">
        <v>4370</v>
      </c>
      <c r="DE2397" s="891" t="s">
        <v>432</v>
      </c>
      <c r="DF2397" s="891">
        <v>5</v>
      </c>
      <c r="DG2397" s="959"/>
      <c r="DH2397" s="959"/>
      <c r="ER2397" s="905">
        <v>8137</v>
      </c>
      <c r="ES2397" s="906" t="s">
        <v>2636</v>
      </c>
      <c r="ET2397" s="2686">
        <v>9</v>
      </c>
      <c r="EV2397" s="985"/>
      <c r="EW2397" s="985"/>
      <c r="EX2397" s="387"/>
      <c r="EY2397" s="939"/>
      <c r="EZ2397" s="886"/>
    </row>
    <row r="2398" spans="88:156">
      <c r="CJ2398" s="197"/>
      <c r="CK2398" s="197"/>
      <c r="CL2398" s="197"/>
      <c r="CM2398" s="213"/>
      <c r="CN2398" s="213"/>
      <c r="CO2398" s="197"/>
      <c r="CP2398" s="197"/>
      <c r="CQ2398" s="197"/>
      <c r="CR2398" s="197"/>
      <c r="CS2398" s="197"/>
      <c r="CT2398" s="197"/>
      <c r="CU2398" s="197"/>
      <c r="CV2398" s="197"/>
      <c r="CW2398" s="197"/>
      <c r="CX2398" s="959"/>
      <c r="CY2398" s="959"/>
      <c r="CZ2398" s="959"/>
      <c r="DA2398" s="959"/>
      <c r="DB2398" s="959"/>
      <c r="DC2398" s="891">
        <v>8242</v>
      </c>
      <c r="DD2398" s="891" t="s">
        <v>4371</v>
      </c>
      <c r="DE2398" s="891" t="s">
        <v>433</v>
      </c>
      <c r="DF2398" s="891">
        <v>6</v>
      </c>
      <c r="DG2398" s="959"/>
      <c r="DH2398" s="959"/>
      <c r="ER2398" s="905">
        <v>8138</v>
      </c>
      <c r="ES2398" s="906" t="s">
        <v>286</v>
      </c>
      <c r="ET2398" s="2686">
        <v>9</v>
      </c>
      <c r="EV2398" s="985"/>
      <c r="EW2398" s="985"/>
      <c r="EX2398" s="387"/>
      <c r="EY2398" s="939"/>
      <c r="EZ2398" s="886"/>
    </row>
    <row r="2399" spans="88:156">
      <c r="CJ2399" s="197"/>
      <c r="CK2399" s="197"/>
      <c r="CL2399" s="197"/>
      <c r="CM2399" s="213"/>
      <c r="CN2399" s="213"/>
      <c r="CO2399" s="197"/>
      <c r="CP2399" s="197"/>
      <c r="CQ2399" s="197"/>
      <c r="CR2399" s="197"/>
      <c r="CS2399" s="197"/>
      <c r="CT2399" s="197"/>
      <c r="CU2399" s="197"/>
      <c r="CV2399" s="197"/>
      <c r="CW2399" s="197"/>
      <c r="CX2399" s="959"/>
      <c r="CY2399" s="959"/>
      <c r="CZ2399" s="959"/>
      <c r="DA2399" s="959"/>
      <c r="DB2399" s="959"/>
      <c r="DC2399" s="891">
        <v>8243</v>
      </c>
      <c r="DD2399" s="891" t="s">
        <v>4372</v>
      </c>
      <c r="DE2399" s="891" t="s">
        <v>427</v>
      </c>
      <c r="DF2399" s="891">
        <v>6</v>
      </c>
      <c r="DG2399" s="959"/>
      <c r="DH2399" s="959"/>
      <c r="ER2399" s="905">
        <v>8142</v>
      </c>
      <c r="ES2399" s="906" t="s">
        <v>287</v>
      </c>
      <c r="ET2399" s="2686">
        <v>9</v>
      </c>
      <c r="EV2399" s="985"/>
      <c r="EW2399" s="985"/>
      <c r="EX2399" s="387"/>
      <c r="EY2399" s="939"/>
      <c r="EZ2399" s="886"/>
    </row>
    <row r="2400" spans="88:156">
      <c r="CJ2400" s="197"/>
      <c r="CK2400" s="197"/>
      <c r="CL2400" s="197"/>
      <c r="CM2400" s="213"/>
      <c r="CN2400" s="213"/>
      <c r="CO2400" s="197"/>
      <c r="CP2400" s="197"/>
      <c r="CQ2400" s="197"/>
      <c r="CR2400" s="197"/>
      <c r="CS2400" s="197"/>
      <c r="CT2400" s="197"/>
      <c r="CU2400" s="197"/>
      <c r="CV2400" s="197"/>
      <c r="CW2400" s="197"/>
      <c r="CX2400" s="959"/>
      <c r="CY2400" s="959"/>
      <c r="CZ2400" s="959"/>
      <c r="DA2400" s="959"/>
      <c r="DB2400" s="959"/>
      <c r="DC2400" s="891">
        <v>8244</v>
      </c>
      <c r="DD2400" s="891" t="s">
        <v>4373</v>
      </c>
      <c r="DE2400" s="891" t="s">
        <v>412</v>
      </c>
      <c r="DF2400" s="891">
        <v>6</v>
      </c>
      <c r="DG2400" s="959"/>
      <c r="DH2400" s="959"/>
      <c r="ER2400" s="905">
        <v>8143</v>
      </c>
      <c r="ES2400" s="906" t="s">
        <v>288</v>
      </c>
      <c r="ET2400" s="2686">
        <v>4</v>
      </c>
      <c r="EV2400" s="985"/>
      <c r="EW2400" s="985"/>
      <c r="EX2400" s="387"/>
      <c r="EY2400" s="939"/>
      <c r="EZ2400" s="886"/>
    </row>
    <row r="2401" spans="88:156">
      <c r="CJ2401" s="197"/>
      <c r="CK2401" s="197"/>
      <c r="CL2401" s="197"/>
      <c r="CM2401" s="213"/>
      <c r="CN2401" s="213"/>
      <c r="CO2401" s="197"/>
      <c r="CP2401" s="197"/>
      <c r="CQ2401" s="197"/>
      <c r="CR2401" s="197"/>
      <c r="CS2401" s="197"/>
      <c r="CT2401" s="197"/>
      <c r="CU2401" s="197"/>
      <c r="CV2401" s="197"/>
      <c r="CW2401" s="197"/>
      <c r="CX2401" s="959"/>
      <c r="CY2401" s="959"/>
      <c r="CZ2401" s="959"/>
      <c r="DA2401" s="959"/>
      <c r="DB2401" s="959"/>
      <c r="DC2401" s="891">
        <v>8245</v>
      </c>
      <c r="DD2401" s="891" t="s">
        <v>4374</v>
      </c>
      <c r="DE2401" s="891" t="s">
        <v>2808</v>
      </c>
      <c r="DF2401" s="891">
        <v>5</v>
      </c>
      <c r="DG2401" s="959"/>
      <c r="DH2401" s="959"/>
      <c r="ER2401" s="905">
        <v>8144</v>
      </c>
      <c r="ES2401" s="906" t="s">
        <v>2642</v>
      </c>
      <c r="ET2401" s="2686">
        <v>4</v>
      </c>
      <c r="EV2401" s="985"/>
      <c r="EW2401" s="985"/>
      <c r="EX2401" s="387"/>
      <c r="EY2401" s="939"/>
      <c r="EZ2401" s="886"/>
    </row>
    <row r="2402" spans="88:156">
      <c r="CJ2402" s="197"/>
      <c r="CK2402" s="197"/>
      <c r="CL2402" s="197"/>
      <c r="CM2402" s="213"/>
      <c r="CN2402" s="213"/>
      <c r="CO2402" s="197"/>
      <c r="CP2402" s="197"/>
      <c r="CQ2402" s="197"/>
      <c r="CR2402" s="197"/>
      <c r="CS2402" s="197"/>
      <c r="CT2402" s="197"/>
      <c r="CU2402" s="197"/>
      <c r="CV2402" s="197"/>
      <c r="CW2402" s="197"/>
      <c r="CX2402" s="959"/>
      <c r="CY2402" s="959"/>
      <c r="CZ2402" s="959"/>
      <c r="DA2402" s="959"/>
      <c r="DB2402" s="959"/>
      <c r="DC2402" s="891">
        <v>8246</v>
      </c>
      <c r="DD2402" s="891" t="s">
        <v>4375</v>
      </c>
      <c r="DE2402" s="891" t="s">
        <v>423</v>
      </c>
      <c r="DF2402" s="891">
        <v>5</v>
      </c>
      <c r="DG2402" s="959"/>
      <c r="DH2402" s="959"/>
      <c r="ER2402" s="905">
        <v>8145</v>
      </c>
      <c r="ES2402" s="906" t="s">
        <v>289</v>
      </c>
      <c r="ET2402" s="2686">
        <v>9</v>
      </c>
      <c r="EV2402" s="985"/>
      <c r="EW2402" s="985"/>
      <c r="EX2402" s="387"/>
      <c r="EY2402" s="939"/>
      <c r="EZ2402" s="886"/>
    </row>
    <row r="2403" spans="88:156">
      <c r="CJ2403" s="197"/>
      <c r="CK2403" s="197"/>
      <c r="CL2403" s="197"/>
      <c r="CM2403" s="213"/>
      <c r="CN2403" s="213"/>
      <c r="CO2403" s="197"/>
      <c r="CP2403" s="197"/>
      <c r="CQ2403" s="197"/>
      <c r="CR2403" s="197"/>
      <c r="CS2403" s="197"/>
      <c r="CT2403" s="197"/>
      <c r="CU2403" s="197"/>
      <c r="CV2403" s="197"/>
      <c r="CW2403" s="197"/>
      <c r="CX2403" s="959"/>
      <c r="CY2403" s="959"/>
      <c r="CZ2403" s="959"/>
      <c r="DA2403" s="959"/>
      <c r="DB2403" s="959"/>
      <c r="DC2403" s="891">
        <v>8247</v>
      </c>
      <c r="DD2403" s="891" t="s">
        <v>4376</v>
      </c>
      <c r="DE2403" s="891" t="s">
        <v>423</v>
      </c>
      <c r="DF2403" s="891">
        <v>5</v>
      </c>
      <c r="DG2403" s="959"/>
      <c r="DH2403" s="959"/>
      <c r="ER2403" s="905">
        <v>8146</v>
      </c>
      <c r="ES2403" s="906" t="s">
        <v>2644</v>
      </c>
      <c r="ET2403" s="2686">
        <v>9</v>
      </c>
      <c r="EV2403" s="985"/>
      <c r="EW2403" s="985"/>
      <c r="EX2403" s="387"/>
      <c r="EY2403" s="939"/>
      <c r="EZ2403" s="886"/>
    </row>
    <row r="2404" spans="88:156">
      <c r="CJ2404" s="197"/>
      <c r="CK2404" s="197"/>
      <c r="CL2404" s="197"/>
      <c r="CM2404" s="213"/>
      <c r="CN2404" s="213"/>
      <c r="CO2404" s="197"/>
      <c r="CP2404" s="197"/>
      <c r="CQ2404" s="197"/>
      <c r="CR2404" s="197"/>
      <c r="CS2404" s="197"/>
      <c r="CT2404" s="197"/>
      <c r="CU2404" s="197"/>
      <c r="CV2404" s="197"/>
      <c r="CW2404" s="197"/>
      <c r="CX2404" s="959"/>
      <c r="CY2404" s="959"/>
      <c r="CZ2404" s="959"/>
      <c r="DA2404" s="959"/>
      <c r="DB2404" s="959"/>
      <c r="DC2404" s="891">
        <v>8248</v>
      </c>
      <c r="DD2404" s="891" t="s">
        <v>4377</v>
      </c>
      <c r="DE2404" s="891" t="s">
        <v>418</v>
      </c>
      <c r="DF2404" s="891">
        <v>5</v>
      </c>
      <c r="DG2404" s="959"/>
      <c r="DH2404" s="959"/>
      <c r="ER2404" s="905">
        <v>8151</v>
      </c>
      <c r="ES2404" s="906" t="s">
        <v>2640</v>
      </c>
      <c r="ET2404" s="2686">
        <v>9</v>
      </c>
      <c r="EV2404" s="985"/>
      <c r="EW2404" s="985"/>
      <c r="EX2404" s="387"/>
      <c r="EY2404" s="939"/>
      <c r="EZ2404" s="886"/>
    </row>
    <row r="2405" spans="88:156">
      <c r="CJ2405" s="197"/>
      <c r="CK2405" s="197"/>
      <c r="CL2405" s="197"/>
      <c r="CM2405" s="213"/>
      <c r="CN2405" s="213"/>
      <c r="CO2405" s="197"/>
      <c r="CP2405" s="197"/>
      <c r="CQ2405" s="197"/>
      <c r="CR2405" s="197"/>
      <c r="CS2405" s="197"/>
      <c r="CT2405" s="197"/>
      <c r="CU2405" s="197"/>
      <c r="CV2405" s="197"/>
      <c r="CW2405" s="197"/>
      <c r="CX2405" s="959"/>
      <c r="CY2405" s="959"/>
      <c r="CZ2405" s="959"/>
      <c r="DA2405" s="959"/>
      <c r="DB2405" s="959"/>
      <c r="DC2405" s="891">
        <v>8250</v>
      </c>
      <c r="DD2405" s="891" t="s">
        <v>4378</v>
      </c>
      <c r="DE2405" s="891" t="s">
        <v>406</v>
      </c>
      <c r="DF2405" s="891">
        <v>5</v>
      </c>
      <c r="DG2405" s="959"/>
      <c r="DH2405" s="959"/>
      <c r="ER2405" s="905">
        <v>8152</v>
      </c>
      <c r="ES2405" s="906" t="s">
        <v>2645</v>
      </c>
      <c r="ET2405" s="2686">
        <v>4</v>
      </c>
      <c r="EV2405" s="985"/>
      <c r="EW2405" s="985"/>
      <c r="EX2405" s="387"/>
      <c r="EY2405" s="939"/>
      <c r="EZ2405" s="886"/>
    </row>
    <row r="2406" spans="88:156">
      <c r="CJ2406" s="197"/>
      <c r="CK2406" s="197"/>
      <c r="CL2406" s="197"/>
      <c r="CM2406" s="213"/>
      <c r="CN2406" s="213"/>
      <c r="CO2406" s="197"/>
      <c r="CP2406" s="197"/>
      <c r="CQ2406" s="197"/>
      <c r="CR2406" s="197"/>
      <c r="CS2406" s="197"/>
      <c r="CT2406" s="197"/>
      <c r="CU2406" s="197"/>
      <c r="CV2406" s="197"/>
      <c r="CW2406" s="197"/>
      <c r="CX2406" s="959"/>
      <c r="CY2406" s="959"/>
      <c r="CZ2406" s="959"/>
      <c r="DA2406" s="959"/>
      <c r="DB2406" s="959"/>
      <c r="DC2406" s="891">
        <v>8251</v>
      </c>
      <c r="DD2406" s="891" t="s">
        <v>4378</v>
      </c>
      <c r="DE2406" s="891" t="s">
        <v>417</v>
      </c>
      <c r="DF2406" s="891">
        <v>6</v>
      </c>
      <c r="DG2406" s="959"/>
      <c r="DH2406" s="959"/>
      <c r="ER2406" s="905">
        <v>8154</v>
      </c>
      <c r="ES2406" s="906" t="s">
        <v>2647</v>
      </c>
      <c r="ET2406" s="2686">
        <v>9</v>
      </c>
      <c r="EV2406" s="985"/>
      <c r="EW2406" s="985"/>
      <c r="EX2406" s="387"/>
      <c r="EY2406" s="939"/>
      <c r="EZ2406" s="886"/>
    </row>
    <row r="2407" spans="88:156">
      <c r="CJ2407" s="197"/>
      <c r="CK2407" s="197"/>
      <c r="CL2407" s="197"/>
      <c r="CM2407" s="213"/>
      <c r="CN2407" s="213"/>
      <c r="CO2407" s="197"/>
      <c r="CP2407" s="197"/>
      <c r="CQ2407" s="197"/>
      <c r="CR2407" s="197"/>
      <c r="CS2407" s="197"/>
      <c r="CT2407" s="197"/>
      <c r="CU2407" s="197"/>
      <c r="CV2407" s="197"/>
      <c r="CW2407" s="197"/>
      <c r="CX2407" s="959"/>
      <c r="CY2407" s="959"/>
      <c r="CZ2407" s="959"/>
      <c r="DA2407" s="959"/>
      <c r="DB2407" s="959"/>
      <c r="DC2407" s="891">
        <v>8252</v>
      </c>
      <c r="DD2407" s="891" t="s">
        <v>4379</v>
      </c>
      <c r="DE2407" s="891" t="s">
        <v>406</v>
      </c>
      <c r="DF2407" s="891">
        <v>6</v>
      </c>
      <c r="DG2407" s="959"/>
      <c r="DH2407" s="959"/>
      <c r="ER2407" s="905">
        <v>8156</v>
      </c>
      <c r="ES2407" s="906" t="s">
        <v>2649</v>
      </c>
      <c r="ET2407" s="2686">
        <v>9</v>
      </c>
      <c r="EV2407" s="985"/>
      <c r="EW2407" s="985"/>
      <c r="EX2407" s="387"/>
      <c r="EY2407" s="939"/>
      <c r="EZ2407" s="886"/>
    </row>
    <row r="2408" spans="88:156">
      <c r="CJ2408" s="197"/>
      <c r="CK2408" s="197"/>
      <c r="CL2408" s="197"/>
      <c r="CM2408" s="213"/>
      <c r="CN2408" s="213"/>
      <c r="CO2408" s="197"/>
      <c r="CP2408" s="197"/>
      <c r="CQ2408" s="197"/>
      <c r="CR2408" s="197"/>
      <c r="CS2408" s="197"/>
      <c r="CT2408" s="197"/>
      <c r="CU2408" s="197"/>
      <c r="CV2408" s="197"/>
      <c r="CW2408" s="197"/>
      <c r="CX2408" s="959"/>
      <c r="CY2408" s="959"/>
      <c r="CZ2408" s="959"/>
      <c r="DA2408" s="959"/>
      <c r="DB2408" s="959"/>
      <c r="DC2408" s="891">
        <v>8253</v>
      </c>
      <c r="DD2408" s="891" t="s">
        <v>4380</v>
      </c>
      <c r="DE2408" s="891" t="s">
        <v>412</v>
      </c>
      <c r="DF2408" s="891">
        <v>6</v>
      </c>
      <c r="DG2408" s="959"/>
      <c r="DH2408" s="959"/>
      <c r="ER2408" s="905">
        <v>8157</v>
      </c>
      <c r="ES2408" s="906" t="s">
        <v>2650</v>
      </c>
      <c r="ET2408" s="2686">
        <v>9</v>
      </c>
      <c r="EV2408" s="985"/>
      <c r="EW2408" s="985"/>
      <c r="EX2408" s="387"/>
      <c r="EY2408" s="939"/>
      <c r="EZ2408" s="886"/>
    </row>
    <row r="2409" spans="88:156">
      <c r="CJ2409" s="197"/>
      <c r="CK2409" s="197"/>
      <c r="CL2409" s="197"/>
      <c r="CM2409" s="213"/>
      <c r="CN2409" s="213"/>
      <c r="CO2409" s="197"/>
      <c r="CP2409" s="197"/>
      <c r="CQ2409" s="197"/>
      <c r="CR2409" s="197"/>
      <c r="CS2409" s="197"/>
      <c r="CT2409" s="197"/>
      <c r="CU2409" s="197"/>
      <c r="CV2409" s="197"/>
      <c r="CW2409" s="197"/>
      <c r="CX2409" s="959"/>
      <c r="CY2409" s="959"/>
      <c r="CZ2409" s="959"/>
      <c r="DA2409" s="959"/>
      <c r="DB2409" s="959"/>
      <c r="DC2409" s="891">
        <v>8254</v>
      </c>
      <c r="DD2409" s="891" t="s">
        <v>4381</v>
      </c>
      <c r="DE2409" s="891" t="s">
        <v>423</v>
      </c>
      <c r="DF2409" s="891">
        <v>6</v>
      </c>
      <c r="DG2409" s="959"/>
      <c r="DH2409" s="959"/>
      <c r="ER2409" s="905">
        <v>8161</v>
      </c>
      <c r="ES2409" s="906" t="s">
        <v>2651</v>
      </c>
      <c r="ET2409" s="2686">
        <v>9</v>
      </c>
      <c r="EV2409" s="985"/>
      <c r="EW2409" s="985"/>
      <c r="EX2409" s="387"/>
      <c r="EY2409" s="939"/>
      <c r="EZ2409" s="886"/>
    </row>
    <row r="2410" spans="88:156">
      <c r="CJ2410" s="197"/>
      <c r="CK2410" s="197"/>
      <c r="CL2410" s="197"/>
      <c r="CM2410" s="213"/>
      <c r="CN2410" s="213"/>
      <c r="CO2410" s="197"/>
      <c r="CP2410" s="197"/>
      <c r="CQ2410" s="197"/>
      <c r="CR2410" s="197"/>
      <c r="CS2410" s="197"/>
      <c r="CT2410" s="197"/>
      <c r="CU2410" s="197"/>
      <c r="CV2410" s="197"/>
      <c r="CW2410" s="197"/>
      <c r="CX2410" s="959"/>
      <c r="CY2410" s="959"/>
      <c r="CZ2410" s="959"/>
      <c r="DA2410" s="959"/>
      <c r="DB2410" s="959"/>
      <c r="DC2410" s="891">
        <v>8255</v>
      </c>
      <c r="DD2410" s="891" t="s">
        <v>4382</v>
      </c>
      <c r="DE2410" s="891" t="s">
        <v>428</v>
      </c>
      <c r="DF2410" s="891">
        <v>6</v>
      </c>
      <c r="DG2410" s="959"/>
      <c r="DH2410" s="959"/>
      <c r="ER2410" s="905">
        <v>8162</v>
      </c>
      <c r="ES2410" s="906" t="s">
        <v>2652</v>
      </c>
      <c r="ET2410" s="2686">
        <v>9</v>
      </c>
      <c r="EV2410" s="985"/>
      <c r="EW2410" s="985"/>
      <c r="EX2410" s="387"/>
      <c r="EY2410" s="939"/>
      <c r="EZ2410" s="886"/>
    </row>
    <row r="2411" spans="88:156">
      <c r="CJ2411" s="197"/>
      <c r="CK2411" s="197"/>
      <c r="CL2411" s="197"/>
      <c r="CM2411" s="213"/>
      <c r="CN2411" s="213"/>
      <c r="CO2411" s="197"/>
      <c r="CP2411" s="197"/>
      <c r="CQ2411" s="197"/>
      <c r="CR2411" s="197"/>
      <c r="CS2411" s="197"/>
      <c r="CT2411" s="197"/>
      <c r="CU2411" s="197"/>
      <c r="CV2411" s="197"/>
      <c r="CW2411" s="197"/>
      <c r="CX2411" s="959"/>
      <c r="CY2411" s="959"/>
      <c r="CZ2411" s="959"/>
      <c r="DA2411" s="959"/>
      <c r="DB2411" s="959"/>
      <c r="DC2411" s="891">
        <v>8256</v>
      </c>
      <c r="DD2411" s="891" t="s">
        <v>4383</v>
      </c>
      <c r="DE2411" s="891" t="s">
        <v>419</v>
      </c>
      <c r="DF2411" s="891">
        <v>6</v>
      </c>
      <c r="DG2411" s="959"/>
      <c r="DH2411" s="959"/>
      <c r="ER2411" s="905">
        <v>8163</v>
      </c>
      <c r="ES2411" s="906" t="s">
        <v>2653</v>
      </c>
      <c r="ET2411" s="2686">
        <v>9</v>
      </c>
      <c r="EV2411" s="985"/>
      <c r="EW2411" s="985"/>
      <c r="EX2411" s="387"/>
      <c r="EY2411" s="939"/>
      <c r="EZ2411" s="886"/>
    </row>
    <row r="2412" spans="88:156">
      <c r="CJ2412" s="197"/>
      <c r="CK2412" s="197"/>
      <c r="CL2412" s="197"/>
      <c r="CM2412" s="213"/>
      <c r="CN2412" s="213"/>
      <c r="CO2412" s="197"/>
      <c r="CP2412" s="197"/>
      <c r="CQ2412" s="197"/>
      <c r="CR2412" s="197"/>
      <c r="CS2412" s="197"/>
      <c r="CT2412" s="197"/>
      <c r="CU2412" s="197"/>
      <c r="CV2412" s="197"/>
      <c r="CW2412" s="197"/>
      <c r="CX2412" s="959"/>
      <c r="CY2412" s="959"/>
      <c r="CZ2412" s="959"/>
      <c r="DA2412" s="959"/>
      <c r="DB2412" s="959"/>
      <c r="DC2412" s="891">
        <v>8257</v>
      </c>
      <c r="DD2412" s="891" t="s">
        <v>4384</v>
      </c>
      <c r="DE2412" s="891" t="s">
        <v>428</v>
      </c>
      <c r="DF2412" s="891">
        <v>6</v>
      </c>
      <c r="DG2412" s="959"/>
      <c r="DH2412" s="959"/>
      <c r="ER2412" s="905">
        <v>8164</v>
      </c>
      <c r="ES2412" s="906" t="s">
        <v>2654</v>
      </c>
      <c r="ET2412" s="2686">
        <v>6</v>
      </c>
      <c r="EV2412" s="985"/>
      <c r="EW2412" s="985"/>
      <c r="EX2412" s="387"/>
      <c r="EY2412" s="939"/>
      <c r="EZ2412" s="886"/>
    </row>
    <row r="2413" spans="88:156">
      <c r="CJ2413" s="197"/>
      <c r="CK2413" s="197"/>
      <c r="CL2413" s="197"/>
      <c r="CM2413" s="213"/>
      <c r="CN2413" s="213"/>
      <c r="CO2413" s="197"/>
      <c r="CP2413" s="197"/>
      <c r="CQ2413" s="197"/>
      <c r="CR2413" s="197"/>
      <c r="CS2413" s="197"/>
      <c r="CT2413" s="197"/>
      <c r="CU2413" s="197"/>
      <c r="CV2413" s="197"/>
      <c r="CW2413" s="197"/>
      <c r="CX2413" s="959"/>
      <c r="CY2413" s="959"/>
      <c r="CZ2413" s="959"/>
      <c r="DA2413" s="959"/>
      <c r="DB2413" s="959"/>
      <c r="DC2413" s="891">
        <v>8258</v>
      </c>
      <c r="DD2413" s="891" t="s">
        <v>4385</v>
      </c>
      <c r="DE2413" s="891" t="s">
        <v>406</v>
      </c>
      <c r="DF2413" s="891">
        <v>6</v>
      </c>
      <c r="DG2413" s="959"/>
      <c r="DH2413" s="959"/>
      <c r="ER2413" s="905">
        <v>8171</v>
      </c>
      <c r="ES2413" s="906" t="s">
        <v>290</v>
      </c>
      <c r="ET2413" s="2686">
        <v>6</v>
      </c>
      <c r="EV2413" s="985"/>
      <c r="EW2413" s="985"/>
      <c r="EX2413" s="387"/>
      <c r="EY2413" s="939"/>
      <c r="EZ2413" s="886"/>
    </row>
    <row r="2414" spans="88:156">
      <c r="CJ2414" s="197"/>
      <c r="CK2414" s="197"/>
      <c r="CL2414" s="197"/>
      <c r="CM2414" s="213"/>
      <c r="CN2414" s="213"/>
      <c r="CO2414" s="197"/>
      <c r="CP2414" s="197"/>
      <c r="CQ2414" s="197"/>
      <c r="CR2414" s="197"/>
      <c r="CS2414" s="197"/>
      <c r="CT2414" s="197"/>
      <c r="CU2414" s="197"/>
      <c r="CV2414" s="197"/>
      <c r="CW2414" s="197"/>
      <c r="CX2414" s="959"/>
      <c r="CY2414" s="959"/>
      <c r="CZ2414" s="959"/>
      <c r="DA2414" s="959"/>
      <c r="DB2414" s="959"/>
      <c r="DC2414" s="891">
        <v>8261</v>
      </c>
      <c r="DD2414" s="891" t="s">
        <v>4386</v>
      </c>
      <c r="DE2414" s="891" t="s">
        <v>435</v>
      </c>
      <c r="DF2414" s="891">
        <v>6</v>
      </c>
      <c r="DG2414" s="959"/>
      <c r="DH2414" s="959"/>
      <c r="ER2414" s="905">
        <v>8171</v>
      </c>
      <c r="ES2414" s="906" t="s">
        <v>291</v>
      </c>
      <c r="ET2414" s="2686">
        <v>6</v>
      </c>
      <c r="EV2414" s="985"/>
      <c r="EW2414" s="985"/>
      <c r="EX2414" s="387"/>
      <c r="EY2414" s="939"/>
      <c r="EZ2414" s="886"/>
    </row>
    <row r="2415" spans="88:156">
      <c r="CJ2415" s="197"/>
      <c r="CK2415" s="197"/>
      <c r="CL2415" s="197"/>
      <c r="CM2415" s="213"/>
      <c r="CN2415" s="213"/>
      <c r="CO2415" s="197"/>
      <c r="CP2415" s="197"/>
      <c r="CQ2415" s="197"/>
      <c r="CR2415" s="197"/>
      <c r="CS2415" s="197"/>
      <c r="CT2415" s="197"/>
      <c r="CU2415" s="197"/>
      <c r="CV2415" s="197"/>
      <c r="CW2415" s="197"/>
      <c r="CX2415" s="959"/>
      <c r="CY2415" s="959"/>
      <c r="CZ2415" s="959"/>
      <c r="DA2415" s="959"/>
      <c r="DB2415" s="959"/>
      <c r="DC2415" s="891">
        <v>8262</v>
      </c>
      <c r="DD2415" s="891" t="s">
        <v>4387</v>
      </c>
      <c r="DE2415" s="891" t="s">
        <v>428</v>
      </c>
      <c r="DF2415" s="891">
        <v>6</v>
      </c>
      <c r="DG2415" s="959"/>
      <c r="DH2415" s="959"/>
      <c r="ER2415" s="905">
        <v>8172</v>
      </c>
      <c r="ES2415" s="970" t="s">
        <v>292</v>
      </c>
      <c r="ET2415" s="2686">
        <v>6</v>
      </c>
      <c r="EV2415" s="985"/>
      <c r="EW2415" s="985"/>
      <c r="EX2415" s="387"/>
      <c r="EY2415" s="939"/>
      <c r="EZ2415" s="886"/>
    </row>
    <row r="2416" spans="88:156">
      <c r="CJ2416" s="197"/>
      <c r="CK2416" s="197"/>
      <c r="CL2416" s="197"/>
      <c r="CM2416" s="213"/>
      <c r="CN2416" s="213"/>
      <c r="CO2416" s="197"/>
      <c r="CP2416" s="197"/>
      <c r="CQ2416" s="197"/>
      <c r="CR2416" s="197"/>
      <c r="CS2416" s="197"/>
      <c r="CT2416" s="197"/>
      <c r="CU2416" s="197"/>
      <c r="CV2416" s="197"/>
      <c r="CW2416" s="197"/>
      <c r="CX2416" s="959"/>
      <c r="CY2416" s="959"/>
      <c r="CZ2416" s="959"/>
      <c r="DA2416" s="959"/>
      <c r="DB2416" s="959"/>
      <c r="DC2416" s="891">
        <v>8263</v>
      </c>
      <c r="DD2416" s="891" t="s">
        <v>4388</v>
      </c>
      <c r="DE2416" s="891" t="s">
        <v>431</v>
      </c>
      <c r="DF2416" s="891">
        <v>6</v>
      </c>
      <c r="DG2416" s="959"/>
      <c r="DH2416" s="959"/>
      <c r="ER2416" s="905">
        <v>8173</v>
      </c>
      <c r="ES2416" s="970" t="s">
        <v>293</v>
      </c>
      <c r="ET2416" s="2686">
        <v>9</v>
      </c>
      <c r="EV2416" s="985"/>
      <c r="EW2416" s="985"/>
      <c r="EX2416" s="387"/>
      <c r="EY2416" s="939"/>
      <c r="EZ2416" s="886"/>
    </row>
    <row r="2417" spans="88:156">
      <c r="CJ2417" s="197"/>
      <c r="CK2417" s="197"/>
      <c r="CL2417" s="197"/>
      <c r="CM2417" s="213"/>
      <c r="CN2417" s="213"/>
      <c r="CO2417" s="197"/>
      <c r="CP2417" s="197"/>
      <c r="CQ2417" s="197"/>
      <c r="CR2417" s="197"/>
      <c r="CS2417" s="197"/>
      <c r="CT2417" s="197"/>
      <c r="CU2417" s="197"/>
      <c r="CV2417" s="197"/>
      <c r="CW2417" s="197"/>
      <c r="CX2417" s="959"/>
      <c r="CY2417" s="959"/>
      <c r="CZ2417" s="959"/>
      <c r="DA2417" s="959"/>
      <c r="DB2417" s="959"/>
      <c r="DC2417" s="891">
        <v>8264</v>
      </c>
      <c r="DD2417" s="891" t="s">
        <v>4389</v>
      </c>
      <c r="DE2417" s="891" t="s">
        <v>419</v>
      </c>
      <c r="DF2417" s="891">
        <v>6</v>
      </c>
      <c r="DG2417" s="959"/>
      <c r="DH2417" s="959"/>
      <c r="ER2417" s="905">
        <v>8174</v>
      </c>
      <c r="ES2417" s="906" t="s">
        <v>2656</v>
      </c>
      <c r="ET2417" s="2686">
        <v>6</v>
      </c>
      <c r="EV2417" s="985"/>
      <c r="EW2417" s="985"/>
      <c r="EX2417" s="387"/>
      <c r="EY2417" s="939"/>
      <c r="EZ2417" s="886"/>
    </row>
    <row r="2418" spans="88:156">
      <c r="CJ2418" s="197"/>
      <c r="CK2418" s="197"/>
      <c r="CL2418" s="197"/>
      <c r="CM2418" s="213"/>
      <c r="CN2418" s="213"/>
      <c r="CO2418" s="197"/>
      <c r="CP2418" s="197"/>
      <c r="CQ2418" s="197"/>
      <c r="CR2418" s="197"/>
      <c r="CS2418" s="197"/>
      <c r="CT2418" s="197"/>
      <c r="CU2418" s="197"/>
      <c r="CV2418" s="197"/>
      <c r="CW2418" s="197"/>
      <c r="CX2418" s="959"/>
      <c r="CY2418" s="959"/>
      <c r="CZ2418" s="959"/>
      <c r="DA2418" s="959"/>
      <c r="DB2418" s="959"/>
      <c r="DC2418" s="891">
        <v>8265</v>
      </c>
      <c r="DD2418" s="891" t="s">
        <v>4390</v>
      </c>
      <c r="DE2418" s="891" t="s">
        <v>410</v>
      </c>
      <c r="DF2418" s="891">
        <v>6</v>
      </c>
      <c r="DG2418" s="959"/>
      <c r="DH2418" s="959"/>
      <c r="ER2418" s="905">
        <v>8175</v>
      </c>
      <c r="ES2418" s="906" t="s">
        <v>2658</v>
      </c>
      <c r="ET2418" s="2686">
        <v>6</v>
      </c>
      <c r="EV2418" s="985"/>
      <c r="EW2418" s="985"/>
      <c r="EX2418" s="387"/>
      <c r="EY2418" s="939"/>
      <c r="EZ2418" s="886"/>
    </row>
    <row r="2419" spans="88:156">
      <c r="CJ2419" s="197"/>
      <c r="CK2419" s="197"/>
      <c r="CL2419" s="197"/>
      <c r="CM2419" s="213"/>
      <c r="CN2419" s="213"/>
      <c r="CO2419" s="197"/>
      <c r="CP2419" s="197"/>
      <c r="CQ2419" s="197"/>
      <c r="CR2419" s="197"/>
      <c r="CS2419" s="197"/>
      <c r="CT2419" s="197"/>
      <c r="CU2419" s="197"/>
      <c r="CV2419" s="197"/>
      <c r="CW2419" s="197"/>
      <c r="CX2419" s="959"/>
      <c r="CY2419" s="959"/>
      <c r="CZ2419" s="959"/>
      <c r="DA2419" s="959"/>
      <c r="DB2419" s="959"/>
      <c r="DC2419" s="891">
        <v>8271</v>
      </c>
      <c r="DD2419" s="891" t="s">
        <v>4391</v>
      </c>
      <c r="DE2419" s="891" t="s">
        <v>421</v>
      </c>
      <c r="DF2419" s="891">
        <v>5</v>
      </c>
      <c r="DG2419" s="959"/>
      <c r="DH2419" s="959"/>
      <c r="ER2419" s="905">
        <v>8181</v>
      </c>
      <c r="ES2419" s="906" t="s">
        <v>2659</v>
      </c>
      <c r="ET2419" s="2686">
        <v>9</v>
      </c>
      <c r="EV2419" s="985"/>
      <c r="EW2419" s="985"/>
      <c r="EX2419" s="387"/>
      <c r="EY2419" s="939"/>
      <c r="EZ2419" s="886"/>
    </row>
    <row r="2420" spans="88:156">
      <c r="CJ2420" s="197"/>
      <c r="CK2420" s="197"/>
      <c r="CL2420" s="197"/>
      <c r="CM2420" s="213"/>
      <c r="CN2420" s="213"/>
      <c r="CO2420" s="197"/>
      <c r="CP2420" s="197"/>
      <c r="CQ2420" s="197"/>
      <c r="CR2420" s="197"/>
      <c r="CS2420" s="197"/>
      <c r="CT2420" s="197"/>
      <c r="CU2420" s="197"/>
      <c r="CV2420" s="197"/>
      <c r="CW2420" s="197"/>
      <c r="CX2420" s="959"/>
      <c r="CY2420" s="959"/>
      <c r="CZ2420" s="959"/>
      <c r="DA2420" s="959"/>
      <c r="DB2420" s="959"/>
      <c r="DC2420" s="891">
        <v>8272</v>
      </c>
      <c r="DD2420" s="891" t="s">
        <v>4392</v>
      </c>
      <c r="DE2420" s="891" t="s">
        <v>432</v>
      </c>
      <c r="DF2420" s="891">
        <v>6</v>
      </c>
      <c r="DG2420" s="959"/>
      <c r="DH2420" s="959"/>
      <c r="ER2420" s="905">
        <v>8182</v>
      </c>
      <c r="ES2420" s="905" t="s">
        <v>294</v>
      </c>
      <c r="ET2420" s="2686">
        <v>9</v>
      </c>
      <c r="EV2420" s="985"/>
      <c r="EW2420" s="985"/>
      <c r="EX2420" s="387"/>
      <c r="EY2420" s="939"/>
      <c r="EZ2420" s="886"/>
    </row>
    <row r="2421" spans="88:156">
      <c r="CJ2421" s="197"/>
      <c r="CK2421" s="197"/>
      <c r="CL2421" s="197"/>
      <c r="CM2421" s="213"/>
      <c r="CN2421" s="213"/>
      <c r="CO2421" s="197"/>
      <c r="CP2421" s="197"/>
      <c r="CQ2421" s="197"/>
      <c r="CR2421" s="197"/>
      <c r="CS2421" s="197"/>
      <c r="CT2421" s="197"/>
      <c r="CU2421" s="197"/>
      <c r="CV2421" s="197"/>
      <c r="CW2421" s="197"/>
      <c r="CX2421" s="959"/>
      <c r="CY2421" s="959"/>
      <c r="CZ2421" s="959"/>
      <c r="DA2421" s="959"/>
      <c r="DB2421" s="959"/>
      <c r="DC2421" s="891">
        <v>8273</v>
      </c>
      <c r="DD2421" s="891" t="s">
        <v>4393</v>
      </c>
      <c r="DE2421" s="891" t="s">
        <v>433</v>
      </c>
      <c r="DF2421" s="891">
        <v>6</v>
      </c>
      <c r="DG2421" s="959"/>
      <c r="DH2421" s="959"/>
      <c r="ER2421" s="905">
        <v>8183</v>
      </c>
      <c r="ES2421" s="906" t="s">
        <v>2661</v>
      </c>
      <c r="ET2421" s="2686">
        <v>9</v>
      </c>
      <c r="EV2421" s="985"/>
      <c r="EW2421" s="985"/>
      <c r="EX2421" s="387"/>
      <c r="EY2421" s="939"/>
      <c r="EZ2421" s="886"/>
    </row>
    <row r="2422" spans="88:156">
      <c r="CJ2422" s="197"/>
      <c r="CK2422" s="197"/>
      <c r="CL2422" s="197"/>
      <c r="CM2422" s="213"/>
      <c r="CN2422" s="213"/>
      <c r="CO2422" s="197"/>
      <c r="CP2422" s="197"/>
      <c r="CQ2422" s="197"/>
      <c r="CR2422" s="197"/>
      <c r="CS2422" s="197"/>
      <c r="CT2422" s="197"/>
      <c r="CU2422" s="197"/>
      <c r="CV2422" s="197"/>
      <c r="CW2422" s="197"/>
      <c r="CX2422" s="959"/>
      <c r="CY2422" s="959"/>
      <c r="CZ2422" s="959"/>
      <c r="DA2422" s="959"/>
      <c r="DB2422" s="959"/>
      <c r="DC2422" s="891">
        <v>8274</v>
      </c>
      <c r="DD2422" s="891" t="s">
        <v>4394</v>
      </c>
      <c r="DE2422" s="891" t="s">
        <v>419</v>
      </c>
      <c r="DF2422" s="891">
        <v>6</v>
      </c>
      <c r="DG2422" s="959"/>
      <c r="DH2422" s="959"/>
      <c r="ER2422" s="905">
        <v>8184</v>
      </c>
      <c r="ES2422" s="970" t="s">
        <v>295</v>
      </c>
      <c r="ET2422" s="2686">
        <v>6</v>
      </c>
      <c r="EV2422" s="985"/>
      <c r="EW2422" s="985"/>
      <c r="EX2422" s="387"/>
      <c r="EY2422" s="939"/>
      <c r="EZ2422" s="886"/>
    </row>
    <row r="2423" spans="88:156">
      <c r="CJ2423" s="197"/>
      <c r="CK2423" s="197"/>
      <c r="CL2423" s="197"/>
      <c r="CM2423" s="213"/>
      <c r="CN2423" s="213"/>
      <c r="CO2423" s="197"/>
      <c r="CP2423" s="197"/>
      <c r="CQ2423" s="197"/>
      <c r="CR2423" s="197"/>
      <c r="CS2423" s="197"/>
      <c r="CT2423" s="197"/>
      <c r="CU2423" s="197"/>
      <c r="CV2423" s="197"/>
      <c r="CW2423" s="197"/>
      <c r="CX2423" s="959"/>
      <c r="CY2423" s="959"/>
      <c r="CZ2423" s="959"/>
      <c r="DA2423" s="959"/>
      <c r="DB2423" s="959"/>
      <c r="DC2423" s="891">
        <v>8275</v>
      </c>
      <c r="DD2423" s="891" t="s">
        <v>1241</v>
      </c>
      <c r="DE2423" s="891" t="s">
        <v>406</v>
      </c>
      <c r="DF2423" s="891">
        <v>6</v>
      </c>
      <c r="DG2423" s="959"/>
      <c r="DH2423" s="959"/>
      <c r="ER2423" s="905">
        <v>8191</v>
      </c>
      <c r="ES2423" s="906" t="s">
        <v>296</v>
      </c>
      <c r="ET2423" s="2686">
        <v>9</v>
      </c>
      <c r="EV2423" s="985"/>
      <c r="EW2423" s="985"/>
      <c r="EX2423" s="387"/>
      <c r="EY2423" s="939"/>
      <c r="EZ2423" s="886"/>
    </row>
    <row r="2424" spans="88:156">
      <c r="CJ2424" s="197"/>
      <c r="CK2424" s="197"/>
      <c r="CL2424" s="197"/>
      <c r="CM2424" s="213"/>
      <c r="CN2424" s="213"/>
      <c r="CO2424" s="197"/>
      <c r="CP2424" s="197"/>
      <c r="CQ2424" s="197"/>
      <c r="CR2424" s="197"/>
      <c r="CS2424" s="197"/>
      <c r="CT2424" s="197"/>
      <c r="CU2424" s="197"/>
      <c r="CV2424" s="197"/>
      <c r="CW2424" s="197"/>
      <c r="CX2424" s="959"/>
      <c r="CY2424" s="959"/>
      <c r="CZ2424" s="959"/>
      <c r="DA2424" s="959"/>
      <c r="DB2424" s="959"/>
      <c r="DC2424" s="891">
        <v>8281</v>
      </c>
      <c r="DD2424" s="891" t="s">
        <v>1242</v>
      </c>
      <c r="DE2424" s="891" t="s">
        <v>428</v>
      </c>
      <c r="DF2424" s="891">
        <v>6</v>
      </c>
      <c r="DG2424" s="959"/>
      <c r="DH2424" s="959"/>
      <c r="ER2424" s="905">
        <v>8192</v>
      </c>
      <c r="ES2424" s="906" t="s">
        <v>24</v>
      </c>
      <c r="ET2424" s="2686">
        <v>6</v>
      </c>
      <c r="EV2424" s="985"/>
      <c r="EW2424" s="985"/>
      <c r="EX2424" s="387"/>
      <c r="EY2424" s="939"/>
      <c r="EZ2424" s="886"/>
    </row>
    <row r="2425" spans="88:156">
      <c r="CJ2425" s="197"/>
      <c r="CK2425" s="197"/>
      <c r="CL2425" s="197"/>
      <c r="CM2425" s="213"/>
      <c r="CN2425" s="213"/>
      <c r="CO2425" s="197"/>
      <c r="CP2425" s="197"/>
      <c r="CQ2425" s="197"/>
      <c r="CR2425" s="197"/>
      <c r="CS2425" s="197"/>
      <c r="CT2425" s="197"/>
      <c r="CU2425" s="197"/>
      <c r="CV2425" s="197"/>
      <c r="CW2425" s="197"/>
      <c r="CX2425" s="959"/>
      <c r="CY2425" s="959"/>
      <c r="CZ2425" s="959"/>
      <c r="DA2425" s="959"/>
      <c r="DB2425" s="959"/>
      <c r="DC2425" s="891">
        <v>8282</v>
      </c>
      <c r="DD2425" s="891" t="s">
        <v>1243</v>
      </c>
      <c r="DE2425" s="891" t="s">
        <v>406</v>
      </c>
      <c r="DF2425" s="891">
        <v>6</v>
      </c>
      <c r="DG2425" s="959"/>
      <c r="DH2425" s="959"/>
      <c r="ER2425" s="905">
        <v>8193</v>
      </c>
      <c r="ES2425" s="906" t="s">
        <v>25</v>
      </c>
      <c r="ET2425" s="2686">
        <v>9</v>
      </c>
      <c r="EV2425" s="985"/>
      <c r="EW2425" s="985"/>
      <c r="EX2425" s="387"/>
      <c r="EY2425" s="939"/>
      <c r="EZ2425" s="886"/>
    </row>
    <row r="2426" spans="88:156">
      <c r="CJ2426" s="197"/>
      <c r="CK2426" s="197"/>
      <c r="CL2426" s="197"/>
      <c r="CM2426" s="213"/>
      <c r="CN2426" s="213"/>
      <c r="CO2426" s="197"/>
      <c r="CP2426" s="197"/>
      <c r="CQ2426" s="197"/>
      <c r="CR2426" s="197"/>
      <c r="CS2426" s="197"/>
      <c r="CT2426" s="197"/>
      <c r="CU2426" s="197"/>
      <c r="CV2426" s="197"/>
      <c r="CW2426" s="197"/>
      <c r="CX2426" s="959"/>
      <c r="CY2426" s="959"/>
      <c r="CZ2426" s="959"/>
      <c r="DA2426" s="959"/>
      <c r="DB2426" s="959"/>
      <c r="DC2426" s="891">
        <v>8283</v>
      </c>
      <c r="DD2426" s="891" t="s">
        <v>1244</v>
      </c>
      <c r="DE2426" s="891" t="s">
        <v>434</v>
      </c>
      <c r="DF2426" s="891">
        <v>6</v>
      </c>
      <c r="DG2426" s="959"/>
      <c r="DH2426" s="959"/>
      <c r="ER2426" s="905">
        <v>8194</v>
      </c>
      <c r="ES2426" s="906" t="s">
        <v>26</v>
      </c>
      <c r="ET2426" s="2686">
        <v>9</v>
      </c>
      <c r="EV2426" s="985"/>
      <c r="EW2426" s="985"/>
      <c r="EX2426" s="387"/>
      <c r="EY2426" s="939"/>
      <c r="EZ2426" s="886"/>
    </row>
    <row r="2427" spans="88:156">
      <c r="CJ2427" s="197"/>
      <c r="CK2427" s="197"/>
      <c r="CL2427" s="197"/>
      <c r="CM2427" s="213"/>
      <c r="CN2427" s="213"/>
      <c r="CO2427" s="197"/>
      <c r="CP2427" s="197"/>
      <c r="CQ2427" s="197"/>
      <c r="CR2427" s="197"/>
      <c r="CS2427" s="197"/>
      <c r="CT2427" s="197"/>
      <c r="CU2427" s="197"/>
      <c r="CV2427" s="197"/>
      <c r="CW2427" s="197"/>
      <c r="CX2427" s="959"/>
      <c r="CY2427" s="959"/>
      <c r="CZ2427" s="959"/>
      <c r="DA2427" s="959"/>
      <c r="DB2427" s="959"/>
      <c r="DC2427" s="891">
        <v>8284</v>
      </c>
      <c r="DD2427" s="891" t="s">
        <v>1245</v>
      </c>
      <c r="DE2427" s="891" t="s">
        <v>428</v>
      </c>
      <c r="DF2427" s="891">
        <v>6</v>
      </c>
      <c r="DG2427" s="959"/>
      <c r="DH2427" s="959"/>
      <c r="ER2427" s="905">
        <v>8195</v>
      </c>
      <c r="ES2427" s="906" t="s">
        <v>27</v>
      </c>
      <c r="ET2427" s="2686">
        <v>6</v>
      </c>
      <c r="EV2427" s="985"/>
      <c r="EW2427" s="985"/>
      <c r="EX2427" s="387"/>
      <c r="EY2427" s="939"/>
      <c r="EZ2427" s="886"/>
    </row>
    <row r="2428" spans="88:156">
      <c r="CJ2428" s="197"/>
      <c r="CK2428" s="197"/>
      <c r="CL2428" s="197"/>
      <c r="CM2428" s="213"/>
      <c r="CN2428" s="213"/>
      <c r="CO2428" s="197"/>
      <c r="CP2428" s="197"/>
      <c r="CQ2428" s="197"/>
      <c r="CR2428" s="197"/>
      <c r="CS2428" s="197"/>
      <c r="CT2428" s="197"/>
      <c r="CU2428" s="197"/>
      <c r="CV2428" s="197"/>
      <c r="CW2428" s="197"/>
      <c r="CX2428" s="959"/>
      <c r="CY2428" s="959"/>
      <c r="CZ2428" s="959"/>
      <c r="DA2428" s="959"/>
      <c r="DB2428" s="959"/>
      <c r="DC2428" s="891">
        <v>8285</v>
      </c>
      <c r="DD2428" s="891" t="s">
        <v>1246</v>
      </c>
      <c r="DE2428" s="891" t="s">
        <v>412</v>
      </c>
      <c r="DF2428" s="891">
        <v>6</v>
      </c>
      <c r="DG2428" s="959"/>
      <c r="DH2428" s="959"/>
      <c r="ER2428" s="905">
        <v>8196</v>
      </c>
      <c r="ES2428" s="906" t="s">
        <v>28</v>
      </c>
      <c r="ET2428" s="2686">
        <v>9</v>
      </c>
      <c r="EV2428" s="985"/>
      <c r="EW2428" s="985"/>
      <c r="EX2428" s="387"/>
      <c r="EY2428" s="939"/>
      <c r="EZ2428" s="886"/>
    </row>
    <row r="2429" spans="88:156">
      <c r="CJ2429" s="197"/>
      <c r="CK2429" s="197"/>
      <c r="CL2429" s="197"/>
      <c r="CM2429" s="213"/>
      <c r="CN2429" s="213"/>
      <c r="CO2429" s="197"/>
      <c r="CP2429" s="197"/>
      <c r="CQ2429" s="197"/>
      <c r="CR2429" s="197"/>
      <c r="CS2429" s="197"/>
      <c r="CT2429" s="197"/>
      <c r="CU2429" s="197"/>
      <c r="CV2429" s="197"/>
      <c r="CW2429" s="197"/>
      <c r="CX2429" s="959"/>
      <c r="CY2429" s="959"/>
      <c r="CZ2429" s="959"/>
      <c r="DA2429" s="959"/>
      <c r="DB2429" s="959"/>
      <c r="DC2429" s="891">
        <v>8286</v>
      </c>
      <c r="DD2429" s="891" t="s">
        <v>1247</v>
      </c>
      <c r="DE2429" s="891" t="s">
        <v>420</v>
      </c>
      <c r="DF2429" s="891">
        <v>6</v>
      </c>
      <c r="DG2429" s="959"/>
      <c r="DH2429" s="959"/>
      <c r="ER2429" s="905">
        <v>8200</v>
      </c>
      <c r="ES2429" s="906" t="s">
        <v>419</v>
      </c>
      <c r="ET2429" s="2686">
        <v>7</v>
      </c>
      <c r="EV2429" s="985"/>
      <c r="EW2429" s="985"/>
      <c r="EX2429" s="387"/>
      <c r="EY2429" s="939"/>
      <c r="EZ2429" s="886"/>
    </row>
    <row r="2430" spans="88:156">
      <c r="CJ2430" s="197"/>
      <c r="CK2430" s="197"/>
      <c r="CL2430" s="197"/>
      <c r="CM2430" s="213"/>
      <c r="CN2430" s="213"/>
      <c r="CO2430" s="197"/>
      <c r="CP2430" s="197"/>
      <c r="CQ2430" s="197"/>
      <c r="CR2430" s="197"/>
      <c r="CS2430" s="197"/>
      <c r="CT2430" s="197"/>
      <c r="CU2430" s="197"/>
      <c r="CV2430" s="197"/>
      <c r="CW2430" s="197"/>
      <c r="CX2430" s="959"/>
      <c r="CY2430" s="959"/>
      <c r="CZ2430" s="959"/>
      <c r="DA2430" s="959"/>
      <c r="DB2430" s="959"/>
      <c r="DC2430" s="891">
        <v>8291</v>
      </c>
      <c r="DD2430" s="891" t="s">
        <v>1248</v>
      </c>
      <c r="DE2430" s="891" t="s">
        <v>404</v>
      </c>
      <c r="DF2430" s="891">
        <v>6</v>
      </c>
      <c r="DG2430" s="959"/>
      <c r="DH2430" s="959"/>
      <c r="ER2430" s="905">
        <v>8220</v>
      </c>
      <c r="ES2430" s="906" t="s">
        <v>297</v>
      </c>
      <c r="ET2430" s="2686">
        <v>6</v>
      </c>
      <c r="EV2430" s="985"/>
      <c r="EW2430" s="985"/>
      <c r="EX2430" s="387"/>
      <c r="EY2430" s="939"/>
      <c r="EZ2430" s="886"/>
    </row>
    <row r="2431" spans="88:156">
      <c r="CJ2431" s="197"/>
      <c r="CK2431" s="197"/>
      <c r="CL2431" s="197"/>
      <c r="CM2431" s="213"/>
      <c r="CN2431" s="213"/>
      <c r="CO2431" s="197"/>
      <c r="CP2431" s="197"/>
      <c r="CQ2431" s="197"/>
      <c r="CR2431" s="197"/>
      <c r="CS2431" s="197"/>
      <c r="CT2431" s="197"/>
      <c r="CU2431" s="197"/>
      <c r="CV2431" s="197"/>
      <c r="CW2431" s="197"/>
      <c r="CX2431" s="959"/>
      <c r="CY2431" s="959"/>
      <c r="CZ2431" s="959"/>
      <c r="DA2431" s="959"/>
      <c r="DB2431" s="959"/>
      <c r="DC2431" s="891">
        <v>8292</v>
      </c>
      <c r="DD2431" s="891" t="s">
        <v>1249</v>
      </c>
      <c r="DE2431" s="891" t="s">
        <v>428</v>
      </c>
      <c r="DF2431" s="891">
        <v>6</v>
      </c>
      <c r="DG2431" s="959"/>
      <c r="DH2431" s="959"/>
      <c r="ER2431" s="905">
        <v>8225</v>
      </c>
      <c r="ES2431" s="906" t="s">
        <v>32</v>
      </c>
      <c r="ET2431" s="2686">
        <v>9</v>
      </c>
      <c r="EV2431" s="985"/>
      <c r="EW2431" s="985"/>
      <c r="EX2431" s="387"/>
      <c r="EY2431" s="939"/>
      <c r="EZ2431" s="886"/>
    </row>
    <row r="2432" spans="88:156">
      <c r="CJ2432" s="197"/>
      <c r="CK2432" s="197"/>
      <c r="CL2432" s="197"/>
      <c r="CM2432" s="213"/>
      <c r="CN2432" s="213"/>
      <c r="CO2432" s="197"/>
      <c r="CP2432" s="197"/>
      <c r="CQ2432" s="197"/>
      <c r="CR2432" s="197"/>
      <c r="CS2432" s="197"/>
      <c r="CT2432" s="197"/>
      <c r="CU2432" s="197"/>
      <c r="CV2432" s="197"/>
      <c r="CW2432" s="197"/>
      <c r="CX2432" s="959"/>
      <c r="CY2432" s="959"/>
      <c r="CZ2432" s="959"/>
      <c r="DA2432" s="959"/>
      <c r="DB2432" s="959"/>
      <c r="DC2432" s="891">
        <v>8293</v>
      </c>
      <c r="DD2432" s="891" t="s">
        <v>1250</v>
      </c>
      <c r="DE2432" s="891" t="s">
        <v>428</v>
      </c>
      <c r="DF2432" s="891">
        <v>6</v>
      </c>
      <c r="DG2432" s="959"/>
      <c r="DH2432" s="959"/>
      <c r="ER2432" s="905">
        <v>8226</v>
      </c>
      <c r="ES2432" s="906" t="s">
        <v>2852</v>
      </c>
      <c r="ET2432" s="2686">
        <v>6</v>
      </c>
      <c r="EV2432" s="985"/>
      <c r="EW2432" s="985"/>
      <c r="EX2432" s="387"/>
      <c r="EY2432" s="939"/>
      <c r="EZ2432" s="886"/>
    </row>
    <row r="2433" spans="88:156">
      <c r="CJ2433" s="197"/>
      <c r="CK2433" s="197"/>
      <c r="CL2433" s="197"/>
      <c r="CM2433" s="213"/>
      <c r="CN2433" s="213"/>
      <c r="CO2433" s="197"/>
      <c r="CP2433" s="197"/>
      <c r="CQ2433" s="197"/>
      <c r="CR2433" s="197"/>
      <c r="CS2433" s="197"/>
      <c r="CT2433" s="197"/>
      <c r="CU2433" s="197"/>
      <c r="CV2433" s="197"/>
      <c r="CW2433" s="197"/>
      <c r="CX2433" s="959"/>
      <c r="CY2433" s="959"/>
      <c r="CZ2433" s="959"/>
      <c r="DA2433" s="959"/>
      <c r="DB2433" s="959"/>
      <c r="DC2433" s="891">
        <v>8294</v>
      </c>
      <c r="DD2433" s="891" t="s">
        <v>1251</v>
      </c>
      <c r="DE2433" s="891" t="s">
        <v>433</v>
      </c>
      <c r="DF2433" s="891">
        <v>6</v>
      </c>
      <c r="DG2433" s="959"/>
      <c r="DH2433" s="959"/>
      <c r="ER2433" s="905">
        <v>8227</v>
      </c>
      <c r="ES2433" s="906" t="s">
        <v>2853</v>
      </c>
      <c r="ET2433" s="2686">
        <v>9</v>
      </c>
      <c r="EV2433" s="985"/>
      <c r="EW2433" s="985"/>
      <c r="EX2433" s="387"/>
      <c r="EY2433" s="939"/>
      <c r="EZ2433" s="886"/>
    </row>
    <row r="2434" spans="88:156">
      <c r="CJ2434" s="197"/>
      <c r="CK2434" s="197"/>
      <c r="CL2434" s="197"/>
      <c r="CM2434" s="213"/>
      <c r="CN2434" s="213"/>
      <c r="CO2434" s="197"/>
      <c r="CP2434" s="197"/>
      <c r="CQ2434" s="197"/>
      <c r="CR2434" s="197"/>
      <c r="CS2434" s="197"/>
      <c r="CT2434" s="197"/>
      <c r="CU2434" s="197"/>
      <c r="CV2434" s="197"/>
      <c r="CW2434" s="197"/>
      <c r="CX2434" s="959"/>
      <c r="CY2434" s="959"/>
      <c r="CZ2434" s="959"/>
      <c r="DA2434" s="959"/>
      <c r="DB2434" s="959"/>
      <c r="DC2434" s="891">
        <v>8295</v>
      </c>
      <c r="DD2434" s="891" t="s">
        <v>1252</v>
      </c>
      <c r="DE2434" s="891" t="s">
        <v>432</v>
      </c>
      <c r="DF2434" s="891">
        <v>6</v>
      </c>
      <c r="DG2434" s="959"/>
      <c r="DH2434" s="959"/>
      <c r="ER2434" s="905">
        <v>8228</v>
      </c>
      <c r="ES2434" s="906" t="s">
        <v>298</v>
      </c>
      <c r="ET2434" s="2686">
        <v>9</v>
      </c>
      <c r="EV2434" s="985"/>
      <c r="EW2434" s="985"/>
      <c r="EX2434" s="387"/>
      <c r="EY2434" s="939"/>
      <c r="EZ2434" s="886"/>
    </row>
    <row r="2435" spans="88:156">
      <c r="CJ2435" s="197"/>
      <c r="CK2435" s="197"/>
      <c r="CL2435" s="197"/>
      <c r="CM2435" s="213"/>
      <c r="CN2435" s="213"/>
      <c r="CO2435" s="197"/>
      <c r="CP2435" s="197"/>
      <c r="CQ2435" s="197"/>
      <c r="CR2435" s="197"/>
      <c r="CS2435" s="197"/>
      <c r="CT2435" s="197"/>
      <c r="CU2435" s="197"/>
      <c r="CV2435" s="197"/>
      <c r="CW2435" s="197"/>
      <c r="CX2435" s="959"/>
      <c r="CY2435" s="959"/>
      <c r="CZ2435" s="959"/>
      <c r="DA2435" s="959"/>
      <c r="DB2435" s="959"/>
      <c r="DC2435" s="891">
        <v>8296</v>
      </c>
      <c r="DD2435" s="891" t="s">
        <v>1253</v>
      </c>
      <c r="DE2435" s="891" t="s">
        <v>432</v>
      </c>
      <c r="DF2435" s="891">
        <v>6</v>
      </c>
      <c r="DG2435" s="959"/>
      <c r="DH2435" s="959"/>
      <c r="ER2435" s="905">
        <v>8229</v>
      </c>
      <c r="ES2435" s="906" t="s">
        <v>299</v>
      </c>
      <c r="ET2435" s="2686">
        <v>6</v>
      </c>
      <c r="EV2435" s="985"/>
      <c r="EW2435" s="985"/>
      <c r="EX2435" s="387"/>
      <c r="EY2435" s="939"/>
      <c r="EZ2435" s="886"/>
    </row>
    <row r="2436" spans="88:156">
      <c r="CJ2436" s="197"/>
      <c r="CK2436" s="197"/>
      <c r="CL2436" s="197"/>
      <c r="CM2436" s="213"/>
      <c r="CN2436" s="213"/>
      <c r="CO2436" s="197"/>
      <c r="CP2436" s="197"/>
      <c r="CQ2436" s="197"/>
      <c r="CR2436" s="197"/>
      <c r="CS2436" s="197"/>
      <c r="CT2436" s="197"/>
      <c r="CU2436" s="197"/>
      <c r="CV2436" s="197"/>
      <c r="CW2436" s="197"/>
      <c r="CX2436" s="959"/>
      <c r="CY2436" s="959"/>
      <c r="CZ2436" s="959"/>
      <c r="DA2436" s="959"/>
      <c r="DB2436" s="959"/>
      <c r="DC2436" s="891">
        <v>8297</v>
      </c>
      <c r="DD2436" s="891" t="s">
        <v>1254</v>
      </c>
      <c r="DE2436" s="891" t="s">
        <v>432</v>
      </c>
      <c r="DF2436" s="891">
        <v>6</v>
      </c>
      <c r="DG2436" s="959"/>
      <c r="DH2436" s="959"/>
      <c r="ER2436" s="905">
        <v>8229</v>
      </c>
      <c r="ES2436" s="906" t="s">
        <v>2855</v>
      </c>
      <c r="ET2436" s="2686">
        <v>6</v>
      </c>
      <c r="EV2436" s="985"/>
      <c r="EW2436" s="985"/>
      <c r="EX2436" s="387"/>
      <c r="EY2436" s="939"/>
      <c r="EZ2436" s="886"/>
    </row>
    <row r="2437" spans="88:156">
      <c r="CJ2437" s="197"/>
      <c r="CK2437" s="197"/>
      <c r="CL2437" s="197"/>
      <c r="CM2437" s="213"/>
      <c r="CN2437" s="213"/>
      <c r="CO2437" s="197"/>
      <c r="CP2437" s="197"/>
      <c r="CQ2437" s="197"/>
      <c r="CR2437" s="197"/>
      <c r="CS2437" s="197"/>
      <c r="CT2437" s="197"/>
      <c r="CU2437" s="197"/>
      <c r="CV2437" s="197"/>
      <c r="CW2437" s="197"/>
      <c r="CX2437" s="959"/>
      <c r="CY2437" s="959"/>
      <c r="CZ2437" s="959"/>
      <c r="DA2437" s="959"/>
      <c r="DB2437" s="959"/>
      <c r="DC2437" s="891">
        <v>8300</v>
      </c>
      <c r="DD2437" s="891" t="s">
        <v>1255</v>
      </c>
      <c r="DE2437" s="891" t="s">
        <v>432</v>
      </c>
      <c r="DF2437" s="891">
        <v>6</v>
      </c>
      <c r="DG2437" s="959"/>
      <c r="DH2437" s="959"/>
      <c r="ER2437" s="905">
        <v>8230</v>
      </c>
      <c r="ES2437" s="906" t="s">
        <v>2856</v>
      </c>
      <c r="ET2437" s="2686">
        <v>9</v>
      </c>
      <c r="EV2437" s="985"/>
      <c r="EW2437" s="985"/>
      <c r="EX2437" s="387"/>
      <c r="EY2437" s="939"/>
      <c r="EZ2437" s="886"/>
    </row>
    <row r="2438" spans="88:156">
      <c r="CJ2438" s="197"/>
      <c r="CK2438" s="197"/>
      <c r="CL2438" s="197"/>
      <c r="CM2438" s="213"/>
      <c r="CN2438" s="213"/>
      <c r="CO2438" s="197"/>
      <c r="CP2438" s="197"/>
      <c r="CQ2438" s="197"/>
      <c r="CR2438" s="197"/>
      <c r="CS2438" s="197"/>
      <c r="CT2438" s="197"/>
      <c r="CU2438" s="197"/>
      <c r="CV2438" s="197"/>
      <c r="CW2438" s="197"/>
      <c r="CX2438" s="959"/>
      <c r="CY2438" s="959"/>
      <c r="CZ2438" s="959"/>
      <c r="DA2438" s="959"/>
      <c r="DB2438" s="959"/>
      <c r="DC2438" s="891">
        <v>8308</v>
      </c>
      <c r="DD2438" s="891" t="s">
        <v>1256</v>
      </c>
      <c r="DE2438" s="891" t="s">
        <v>432</v>
      </c>
      <c r="DF2438" s="891">
        <v>6</v>
      </c>
      <c r="DG2438" s="959"/>
      <c r="DH2438" s="959"/>
      <c r="ER2438" s="905">
        <v>8233</v>
      </c>
      <c r="ES2438" s="906" t="s">
        <v>4366</v>
      </c>
      <c r="ET2438" s="2686">
        <v>9</v>
      </c>
      <c r="EV2438" s="985"/>
      <c r="EW2438" s="985"/>
      <c r="EX2438" s="387"/>
      <c r="EY2438" s="939"/>
      <c r="EZ2438" s="886"/>
    </row>
    <row r="2439" spans="88:156">
      <c r="CJ2439" s="197"/>
      <c r="CK2439" s="197"/>
      <c r="CL2439" s="197"/>
      <c r="CM2439" s="213"/>
      <c r="CN2439" s="213"/>
      <c r="CO2439" s="197"/>
      <c r="CP2439" s="197"/>
      <c r="CQ2439" s="197"/>
      <c r="CR2439" s="197"/>
      <c r="CS2439" s="197"/>
      <c r="CT2439" s="197"/>
      <c r="CU2439" s="197"/>
      <c r="CV2439" s="197"/>
      <c r="CW2439" s="197"/>
      <c r="CX2439" s="959"/>
      <c r="CY2439" s="959"/>
      <c r="CZ2439" s="959"/>
      <c r="DA2439" s="959"/>
      <c r="DB2439" s="959"/>
      <c r="DC2439" s="891">
        <v>8311</v>
      </c>
      <c r="DD2439" s="891" t="s">
        <v>1257</v>
      </c>
      <c r="DE2439" s="891" t="s">
        <v>432</v>
      </c>
      <c r="DF2439" s="891">
        <v>6</v>
      </c>
      <c r="DG2439" s="959"/>
      <c r="DH2439" s="959"/>
      <c r="ER2439" s="905">
        <v>8236</v>
      </c>
      <c r="ES2439" s="905" t="s">
        <v>300</v>
      </c>
      <c r="ET2439" s="2686">
        <v>9</v>
      </c>
      <c r="EV2439" s="985"/>
      <c r="EW2439" s="985"/>
      <c r="EX2439" s="387"/>
      <c r="EY2439" s="939"/>
      <c r="EZ2439" s="886"/>
    </row>
    <row r="2440" spans="88:156">
      <c r="CJ2440" s="197"/>
      <c r="CK2440" s="197"/>
      <c r="CL2440" s="197"/>
      <c r="CM2440" s="213"/>
      <c r="CN2440" s="213"/>
      <c r="CO2440" s="197"/>
      <c r="CP2440" s="197"/>
      <c r="CQ2440" s="197"/>
      <c r="CR2440" s="197"/>
      <c r="CS2440" s="197"/>
      <c r="CT2440" s="197"/>
      <c r="CU2440" s="197"/>
      <c r="CV2440" s="197"/>
      <c r="CW2440" s="197"/>
      <c r="CX2440" s="959"/>
      <c r="CY2440" s="959"/>
      <c r="CZ2440" s="959"/>
      <c r="DA2440" s="959"/>
      <c r="DB2440" s="959"/>
      <c r="DC2440" s="891">
        <v>8312</v>
      </c>
      <c r="DD2440" s="891" t="s">
        <v>1258</v>
      </c>
      <c r="DE2440" s="891" t="s">
        <v>432</v>
      </c>
      <c r="DF2440" s="891">
        <v>6</v>
      </c>
      <c r="DG2440" s="959"/>
      <c r="DH2440" s="959"/>
      <c r="ER2440" s="905">
        <v>8237</v>
      </c>
      <c r="ES2440" s="906" t="s">
        <v>4369</v>
      </c>
      <c r="ET2440" s="2686">
        <v>9</v>
      </c>
      <c r="EV2440" s="985"/>
      <c r="EW2440" s="985"/>
      <c r="EX2440" s="387"/>
      <c r="EY2440" s="939"/>
      <c r="EZ2440" s="886"/>
    </row>
    <row r="2441" spans="88:156">
      <c r="CJ2441" s="197"/>
      <c r="CK2441" s="197"/>
      <c r="CL2441" s="197"/>
      <c r="CM2441" s="213"/>
      <c r="CN2441" s="213"/>
      <c r="CO2441" s="197"/>
      <c r="CP2441" s="197"/>
      <c r="CQ2441" s="197"/>
      <c r="CR2441" s="197"/>
      <c r="CS2441" s="197"/>
      <c r="CT2441" s="197"/>
      <c r="CU2441" s="197"/>
      <c r="CV2441" s="197"/>
      <c r="CW2441" s="197"/>
      <c r="CX2441" s="959"/>
      <c r="CY2441" s="959"/>
      <c r="CZ2441" s="959"/>
      <c r="DA2441" s="959"/>
      <c r="DB2441" s="959"/>
      <c r="DC2441" s="891">
        <v>8313</v>
      </c>
      <c r="DD2441" s="891" t="s">
        <v>1259</v>
      </c>
      <c r="DE2441" s="891" t="s">
        <v>432</v>
      </c>
      <c r="DF2441" s="891">
        <v>6</v>
      </c>
      <c r="DG2441" s="959"/>
      <c r="DH2441" s="959"/>
      <c r="ER2441" s="905">
        <v>8241</v>
      </c>
      <c r="ES2441" s="906" t="s">
        <v>4370</v>
      </c>
      <c r="ET2441" s="2686">
        <v>9</v>
      </c>
      <c r="EV2441" s="985"/>
      <c r="EW2441" s="985"/>
      <c r="EX2441" s="387"/>
      <c r="EY2441" s="939"/>
      <c r="EZ2441" s="886"/>
    </row>
    <row r="2442" spans="88:156">
      <c r="CJ2442" s="197"/>
      <c r="CK2442" s="197"/>
      <c r="CL2442" s="197"/>
      <c r="CM2442" s="213"/>
      <c r="CN2442" s="213"/>
      <c r="CO2442" s="197"/>
      <c r="CP2442" s="197"/>
      <c r="CQ2442" s="197"/>
      <c r="CR2442" s="197"/>
      <c r="CS2442" s="197"/>
      <c r="CT2442" s="197"/>
      <c r="CU2442" s="197"/>
      <c r="CV2442" s="197"/>
      <c r="CW2442" s="197"/>
      <c r="CX2442" s="959"/>
      <c r="CY2442" s="959"/>
      <c r="CZ2442" s="959"/>
      <c r="DA2442" s="959"/>
      <c r="DB2442" s="959"/>
      <c r="DC2442" s="891">
        <v>8314</v>
      </c>
      <c r="DD2442" s="891" t="s">
        <v>1260</v>
      </c>
      <c r="DE2442" s="891" t="s">
        <v>432</v>
      </c>
      <c r="DF2442" s="891">
        <v>6</v>
      </c>
      <c r="DG2442" s="959"/>
      <c r="DH2442" s="959"/>
      <c r="ER2442" s="905">
        <v>8242</v>
      </c>
      <c r="ES2442" s="906" t="s">
        <v>1642</v>
      </c>
      <c r="ET2442" s="2686">
        <v>9</v>
      </c>
      <c r="EV2442" s="985"/>
      <c r="EW2442" s="985"/>
      <c r="EX2442" s="387"/>
      <c r="EY2442" s="939"/>
      <c r="EZ2442" s="886"/>
    </row>
    <row r="2443" spans="88:156">
      <c r="CJ2443" s="197"/>
      <c r="CK2443" s="197"/>
      <c r="CL2443" s="197"/>
      <c r="CM2443" s="213"/>
      <c r="CN2443" s="213"/>
      <c r="CO2443" s="197"/>
      <c r="CP2443" s="197"/>
      <c r="CQ2443" s="197"/>
      <c r="CR2443" s="197"/>
      <c r="CS2443" s="197"/>
      <c r="CT2443" s="197"/>
      <c r="CU2443" s="197"/>
      <c r="CV2443" s="197"/>
      <c r="CW2443" s="197"/>
      <c r="CX2443" s="959"/>
      <c r="CY2443" s="959"/>
      <c r="CZ2443" s="959"/>
      <c r="DA2443" s="959"/>
      <c r="DB2443" s="959"/>
      <c r="DC2443" s="891">
        <v>8315</v>
      </c>
      <c r="DD2443" s="891" t="s">
        <v>1261</v>
      </c>
      <c r="DE2443" s="891" t="s">
        <v>402</v>
      </c>
      <c r="DF2443" s="891">
        <v>6</v>
      </c>
      <c r="DG2443" s="959"/>
      <c r="DH2443" s="959"/>
      <c r="ER2443" s="905">
        <v>8242</v>
      </c>
      <c r="ES2443" s="906" t="s">
        <v>4371</v>
      </c>
      <c r="ET2443" s="2686">
        <v>9</v>
      </c>
      <c r="EV2443" s="985"/>
      <c r="EW2443" s="985"/>
      <c r="EX2443" s="387"/>
      <c r="EY2443" s="939"/>
      <c r="EZ2443" s="886"/>
    </row>
    <row r="2444" spans="88:156">
      <c r="CJ2444" s="197"/>
      <c r="CK2444" s="197"/>
      <c r="CL2444" s="197"/>
      <c r="CM2444" s="213"/>
      <c r="CN2444" s="213"/>
      <c r="CO2444" s="197"/>
      <c r="CP2444" s="197"/>
      <c r="CQ2444" s="197"/>
      <c r="CR2444" s="197"/>
      <c r="CS2444" s="197"/>
      <c r="CT2444" s="197"/>
      <c r="CU2444" s="197"/>
      <c r="CV2444" s="197"/>
      <c r="CW2444" s="197"/>
      <c r="CX2444" s="959"/>
      <c r="CY2444" s="959"/>
      <c r="CZ2444" s="959"/>
      <c r="DA2444" s="959"/>
      <c r="DB2444" s="959"/>
      <c r="DC2444" s="891">
        <v>8316</v>
      </c>
      <c r="DD2444" s="891" t="s">
        <v>1262</v>
      </c>
      <c r="DE2444" s="891" t="s">
        <v>418</v>
      </c>
      <c r="DF2444" s="891">
        <v>6</v>
      </c>
      <c r="DG2444" s="959"/>
      <c r="DH2444" s="959"/>
      <c r="ER2444" s="905">
        <v>8243</v>
      </c>
      <c r="ES2444" s="906" t="s">
        <v>4372</v>
      </c>
      <c r="ET2444" s="2686">
        <v>9</v>
      </c>
      <c r="EV2444" s="985"/>
      <c r="EW2444" s="985"/>
      <c r="EX2444" s="387"/>
      <c r="EY2444" s="939"/>
      <c r="EZ2444" s="886"/>
    </row>
    <row r="2445" spans="88:156">
      <c r="CJ2445" s="197"/>
      <c r="CK2445" s="197"/>
      <c r="CL2445" s="197"/>
      <c r="CM2445" s="213"/>
      <c r="CN2445" s="213"/>
      <c r="CO2445" s="197"/>
      <c r="CP2445" s="197"/>
      <c r="CQ2445" s="197"/>
      <c r="CR2445" s="197"/>
      <c r="CS2445" s="197"/>
      <c r="CT2445" s="197"/>
      <c r="CU2445" s="197"/>
      <c r="CV2445" s="197"/>
      <c r="CW2445" s="197"/>
      <c r="CX2445" s="959"/>
      <c r="CY2445" s="959"/>
      <c r="CZ2445" s="959"/>
      <c r="DA2445" s="959"/>
      <c r="DB2445" s="959"/>
      <c r="DC2445" s="891">
        <v>8317</v>
      </c>
      <c r="DD2445" s="891" t="s">
        <v>1263</v>
      </c>
      <c r="DE2445" s="891" t="s">
        <v>418</v>
      </c>
      <c r="DF2445" s="891">
        <v>6</v>
      </c>
      <c r="DG2445" s="959"/>
      <c r="DH2445" s="959"/>
      <c r="ER2445" s="905">
        <v>8244</v>
      </c>
      <c r="ES2445" s="906" t="s">
        <v>4373</v>
      </c>
      <c r="ET2445" s="2686">
        <v>9</v>
      </c>
      <c r="EV2445" s="985"/>
      <c r="EW2445" s="985"/>
      <c r="EX2445" s="387"/>
      <c r="EY2445" s="939"/>
      <c r="EZ2445" s="886"/>
    </row>
    <row r="2446" spans="88:156">
      <c r="CJ2446" s="197"/>
      <c r="CK2446" s="197"/>
      <c r="CL2446" s="197"/>
      <c r="CM2446" s="213"/>
      <c r="CN2446" s="213"/>
      <c r="CO2446" s="197"/>
      <c r="CP2446" s="197"/>
      <c r="CQ2446" s="197"/>
      <c r="CR2446" s="197"/>
      <c r="CS2446" s="197"/>
      <c r="CT2446" s="197"/>
      <c r="CU2446" s="197"/>
      <c r="CV2446" s="197"/>
      <c r="CW2446" s="197"/>
      <c r="CX2446" s="959"/>
      <c r="CY2446" s="959"/>
      <c r="CZ2446" s="959"/>
      <c r="DA2446" s="959"/>
      <c r="DB2446" s="959"/>
      <c r="DC2446" s="891">
        <v>8318</v>
      </c>
      <c r="DD2446" s="891" t="s">
        <v>1264</v>
      </c>
      <c r="DE2446" s="891" t="s">
        <v>434</v>
      </c>
      <c r="DF2446" s="891">
        <v>6</v>
      </c>
      <c r="DG2446" s="959"/>
      <c r="DH2446" s="959"/>
      <c r="ER2446" s="905">
        <v>8245</v>
      </c>
      <c r="ES2446" s="906" t="s">
        <v>1643</v>
      </c>
      <c r="ET2446" s="2686">
        <v>9</v>
      </c>
      <c r="EV2446" s="985"/>
      <c r="EW2446" s="985"/>
      <c r="EX2446" s="387"/>
      <c r="EY2446" s="939"/>
      <c r="EZ2446" s="886"/>
    </row>
    <row r="2447" spans="88:156">
      <c r="CJ2447" s="197"/>
      <c r="CK2447" s="197"/>
      <c r="CL2447" s="197"/>
      <c r="CM2447" s="213"/>
      <c r="CN2447" s="213"/>
      <c r="CO2447" s="197"/>
      <c r="CP2447" s="197"/>
      <c r="CQ2447" s="197"/>
      <c r="CR2447" s="197"/>
      <c r="CS2447" s="197"/>
      <c r="CT2447" s="197"/>
      <c r="CU2447" s="197"/>
      <c r="CV2447" s="197"/>
      <c r="CW2447" s="197"/>
      <c r="CX2447" s="959"/>
      <c r="CY2447" s="959"/>
      <c r="CZ2447" s="959"/>
      <c r="DA2447" s="959"/>
      <c r="DB2447" s="959"/>
      <c r="DC2447" s="891">
        <v>8319</v>
      </c>
      <c r="DD2447" s="891" t="s">
        <v>1265</v>
      </c>
      <c r="DE2447" s="891" t="s">
        <v>2808</v>
      </c>
      <c r="DF2447" s="891">
        <v>6</v>
      </c>
      <c r="DG2447" s="959"/>
      <c r="DH2447" s="959"/>
      <c r="ER2447" s="905">
        <v>8245</v>
      </c>
      <c r="ES2447" s="906" t="s">
        <v>4374</v>
      </c>
      <c r="ET2447" s="2686">
        <v>9</v>
      </c>
      <c r="EV2447" s="985"/>
      <c r="EW2447" s="985"/>
      <c r="EX2447" s="387"/>
      <c r="EY2447" s="939"/>
      <c r="EZ2447" s="886"/>
    </row>
    <row r="2448" spans="88:156">
      <c r="CJ2448" s="197"/>
      <c r="CK2448" s="197"/>
      <c r="CL2448" s="197"/>
      <c r="CM2448" s="213"/>
      <c r="CN2448" s="213"/>
      <c r="CO2448" s="197"/>
      <c r="CP2448" s="197"/>
      <c r="CQ2448" s="197"/>
      <c r="CR2448" s="197"/>
      <c r="CS2448" s="197"/>
      <c r="CT2448" s="197"/>
      <c r="CU2448" s="197"/>
      <c r="CV2448" s="197"/>
      <c r="CW2448" s="197"/>
      <c r="CX2448" s="959"/>
      <c r="CY2448" s="959"/>
      <c r="CZ2448" s="959"/>
      <c r="DA2448" s="959"/>
      <c r="DB2448" s="959"/>
      <c r="DC2448" s="891">
        <v>8321</v>
      </c>
      <c r="DD2448" s="891" t="s">
        <v>1266</v>
      </c>
      <c r="DE2448" s="891" t="s">
        <v>412</v>
      </c>
      <c r="DF2448" s="891">
        <v>6</v>
      </c>
      <c r="DG2448" s="959"/>
      <c r="DH2448" s="959"/>
      <c r="ER2448" s="905">
        <v>8246</v>
      </c>
      <c r="ES2448" s="906" t="s">
        <v>4375</v>
      </c>
      <c r="ET2448" s="2686">
        <v>9</v>
      </c>
      <c r="EV2448" s="985"/>
      <c r="EW2448" s="985"/>
      <c r="EX2448" s="387"/>
      <c r="EY2448" s="939"/>
      <c r="EZ2448" s="886"/>
    </row>
    <row r="2449" spans="88:156">
      <c r="CJ2449" s="197"/>
      <c r="CK2449" s="197"/>
      <c r="CL2449" s="197"/>
      <c r="CM2449" s="213"/>
      <c r="CN2449" s="213"/>
      <c r="CO2449" s="197"/>
      <c r="CP2449" s="197"/>
      <c r="CQ2449" s="197"/>
      <c r="CR2449" s="197"/>
      <c r="CS2449" s="197"/>
      <c r="CT2449" s="197"/>
      <c r="CU2449" s="197"/>
      <c r="CV2449" s="197"/>
      <c r="CW2449" s="197"/>
      <c r="CX2449" s="959"/>
      <c r="CY2449" s="959"/>
      <c r="CZ2449" s="959"/>
      <c r="DA2449" s="959"/>
      <c r="DB2449" s="959"/>
      <c r="DC2449" s="891">
        <v>8330</v>
      </c>
      <c r="DD2449" s="891" t="s">
        <v>1267</v>
      </c>
      <c r="DE2449" s="891" t="s">
        <v>435</v>
      </c>
      <c r="DF2449" s="891">
        <v>6</v>
      </c>
      <c r="DG2449" s="959"/>
      <c r="DH2449" s="959"/>
      <c r="ER2449" s="905">
        <v>8247</v>
      </c>
      <c r="ES2449" s="906" t="s">
        <v>4376</v>
      </c>
      <c r="ET2449" s="2686">
        <v>9</v>
      </c>
      <c r="EV2449" s="985"/>
      <c r="EW2449" s="985"/>
      <c r="EX2449" s="387"/>
      <c r="EY2449" s="939"/>
      <c r="EZ2449" s="886"/>
    </row>
    <row r="2450" spans="88:156">
      <c r="CJ2450" s="197"/>
      <c r="CK2450" s="197"/>
      <c r="CL2450" s="197"/>
      <c r="CM2450" s="213"/>
      <c r="CN2450" s="213"/>
      <c r="CO2450" s="197"/>
      <c r="CP2450" s="197"/>
      <c r="CQ2450" s="197"/>
      <c r="CR2450" s="197"/>
      <c r="CS2450" s="197"/>
      <c r="CT2450" s="197"/>
      <c r="CU2450" s="197"/>
      <c r="CV2450" s="197"/>
      <c r="CW2450" s="197"/>
      <c r="CX2450" s="959"/>
      <c r="CY2450" s="959"/>
      <c r="CZ2450" s="959"/>
      <c r="DA2450" s="959"/>
      <c r="DB2450" s="959"/>
      <c r="DC2450" s="891">
        <v>8341</v>
      </c>
      <c r="DD2450" s="891" t="s">
        <v>1268</v>
      </c>
      <c r="DE2450" s="891" t="s">
        <v>423</v>
      </c>
      <c r="DF2450" s="891">
        <v>6</v>
      </c>
      <c r="DG2450" s="959"/>
      <c r="DH2450" s="959"/>
      <c r="ER2450" s="905">
        <v>8248</v>
      </c>
      <c r="ES2450" s="906" t="s">
        <v>1644</v>
      </c>
      <c r="ET2450" s="2686">
        <v>9</v>
      </c>
      <c r="EV2450" s="985"/>
      <c r="EW2450" s="985"/>
      <c r="EX2450" s="387"/>
      <c r="EY2450" s="939"/>
      <c r="EZ2450" s="886"/>
    </row>
    <row r="2451" spans="88:156">
      <c r="CJ2451" s="197"/>
      <c r="CK2451" s="197"/>
      <c r="CL2451" s="197"/>
      <c r="CM2451" s="213"/>
      <c r="CN2451" s="213"/>
      <c r="CO2451" s="197"/>
      <c r="CP2451" s="197"/>
      <c r="CQ2451" s="197"/>
      <c r="CR2451" s="197"/>
      <c r="CS2451" s="197"/>
      <c r="CT2451" s="197"/>
      <c r="CU2451" s="197"/>
      <c r="CV2451" s="197"/>
      <c r="CW2451" s="197"/>
      <c r="CX2451" s="959"/>
      <c r="CY2451" s="959"/>
      <c r="CZ2451" s="959"/>
      <c r="DA2451" s="959"/>
      <c r="DB2451" s="959"/>
      <c r="DC2451" s="891">
        <v>8342</v>
      </c>
      <c r="DD2451" s="891" t="s">
        <v>1269</v>
      </c>
      <c r="DE2451" s="891" t="s">
        <v>2807</v>
      </c>
      <c r="DF2451" s="891">
        <v>6</v>
      </c>
      <c r="DG2451" s="959"/>
      <c r="DH2451" s="959"/>
      <c r="ER2451" s="905">
        <v>8248</v>
      </c>
      <c r="ES2451" s="906" t="s">
        <v>1645</v>
      </c>
      <c r="ET2451" s="2686">
        <v>9</v>
      </c>
      <c r="EV2451" s="985"/>
      <c r="EW2451" s="985"/>
      <c r="EX2451" s="387"/>
      <c r="EY2451" s="939"/>
      <c r="EZ2451" s="886"/>
    </row>
    <row r="2452" spans="88:156">
      <c r="CJ2452" s="197"/>
      <c r="CK2452" s="197"/>
      <c r="CL2452" s="197"/>
      <c r="CM2452" s="213"/>
      <c r="CN2452" s="213"/>
      <c r="CO2452" s="197"/>
      <c r="CP2452" s="197"/>
      <c r="CQ2452" s="197"/>
      <c r="CR2452" s="197"/>
      <c r="CS2452" s="197"/>
      <c r="CT2452" s="197"/>
      <c r="CU2452" s="197"/>
      <c r="CV2452" s="197"/>
      <c r="CW2452" s="197"/>
      <c r="CX2452" s="959"/>
      <c r="CY2452" s="959"/>
      <c r="CZ2452" s="959"/>
      <c r="DA2452" s="959"/>
      <c r="DB2452" s="959"/>
      <c r="DC2452" s="891">
        <v>8344</v>
      </c>
      <c r="DD2452" s="891" t="s">
        <v>1270</v>
      </c>
      <c r="DE2452" s="891" t="s">
        <v>406</v>
      </c>
      <c r="DF2452" s="891">
        <v>6</v>
      </c>
      <c r="DG2452" s="959"/>
      <c r="DH2452" s="959"/>
      <c r="ER2452" s="905">
        <v>8251</v>
      </c>
      <c r="ES2452" s="906" t="s">
        <v>1646</v>
      </c>
      <c r="ET2452" s="2686">
        <v>9</v>
      </c>
      <c r="EV2452" s="985"/>
      <c r="EW2452" s="985"/>
      <c r="EX2452" s="387"/>
      <c r="EY2452" s="939"/>
      <c r="EZ2452" s="886"/>
    </row>
    <row r="2453" spans="88:156">
      <c r="CJ2453" s="197"/>
      <c r="CK2453" s="197"/>
      <c r="CL2453" s="197"/>
      <c r="CM2453" s="213"/>
      <c r="CN2453" s="213"/>
      <c r="CO2453" s="197"/>
      <c r="CP2453" s="197"/>
      <c r="CQ2453" s="197"/>
      <c r="CR2453" s="197"/>
      <c r="CS2453" s="197"/>
      <c r="CT2453" s="197"/>
      <c r="CU2453" s="197"/>
      <c r="CV2453" s="197"/>
      <c r="CW2453" s="197"/>
      <c r="CX2453" s="959"/>
      <c r="CY2453" s="959"/>
      <c r="CZ2453" s="959"/>
      <c r="DA2453" s="959"/>
      <c r="DB2453" s="959"/>
      <c r="DC2453" s="891">
        <v>8345</v>
      </c>
      <c r="DD2453" s="891" t="s">
        <v>1271</v>
      </c>
      <c r="DE2453" s="891" t="s">
        <v>410</v>
      </c>
      <c r="DF2453" s="891">
        <v>6</v>
      </c>
      <c r="DG2453" s="959"/>
      <c r="DH2453" s="959"/>
      <c r="ER2453" s="905">
        <v>8252</v>
      </c>
      <c r="ES2453" s="906" t="s">
        <v>4379</v>
      </c>
      <c r="ET2453" s="2686">
        <v>9</v>
      </c>
      <c r="EV2453" s="985"/>
      <c r="EW2453" s="985"/>
      <c r="EX2453" s="387"/>
      <c r="EY2453" s="939"/>
      <c r="EZ2453" s="886"/>
    </row>
    <row r="2454" spans="88:156">
      <c r="CJ2454" s="197"/>
      <c r="CK2454" s="197"/>
      <c r="CL2454" s="197"/>
      <c r="CM2454" s="213"/>
      <c r="CN2454" s="213"/>
      <c r="CO2454" s="197"/>
      <c r="CP2454" s="197"/>
      <c r="CQ2454" s="197"/>
      <c r="CR2454" s="197"/>
      <c r="CS2454" s="197"/>
      <c r="CT2454" s="197"/>
      <c r="CU2454" s="197"/>
      <c r="CV2454" s="197"/>
      <c r="CW2454" s="197"/>
      <c r="CX2454" s="959"/>
      <c r="CY2454" s="959"/>
      <c r="CZ2454" s="959"/>
      <c r="DA2454" s="959"/>
      <c r="DB2454" s="959"/>
      <c r="DC2454" s="891">
        <v>8346</v>
      </c>
      <c r="DD2454" s="891" t="s">
        <v>1272</v>
      </c>
      <c r="DE2454" s="891" t="s">
        <v>421</v>
      </c>
      <c r="DF2454" s="891">
        <v>6</v>
      </c>
      <c r="DG2454" s="959"/>
      <c r="DH2454" s="959"/>
      <c r="ER2454" s="905">
        <v>8253</v>
      </c>
      <c r="ES2454" s="906" t="s">
        <v>4380</v>
      </c>
      <c r="ET2454" s="2686">
        <v>9</v>
      </c>
      <c r="EV2454" s="985"/>
      <c r="EW2454" s="985"/>
      <c r="EX2454" s="387"/>
      <c r="EY2454" s="939"/>
      <c r="EZ2454" s="886"/>
    </row>
    <row r="2455" spans="88:156">
      <c r="CJ2455" s="197"/>
      <c r="CK2455" s="197"/>
      <c r="CL2455" s="197"/>
      <c r="CM2455" s="213"/>
      <c r="CN2455" s="213"/>
      <c r="CO2455" s="197"/>
      <c r="CP2455" s="197"/>
      <c r="CQ2455" s="197"/>
      <c r="CR2455" s="197"/>
      <c r="CS2455" s="197"/>
      <c r="CT2455" s="197"/>
      <c r="CU2455" s="197"/>
      <c r="CV2455" s="197"/>
      <c r="CW2455" s="197"/>
      <c r="CX2455" s="959"/>
      <c r="CY2455" s="959"/>
      <c r="CZ2455" s="959"/>
      <c r="DA2455" s="959"/>
      <c r="DB2455" s="959"/>
      <c r="DC2455" s="891">
        <v>8347</v>
      </c>
      <c r="DD2455" s="891" t="s">
        <v>1273</v>
      </c>
      <c r="DE2455" s="891" t="s">
        <v>418</v>
      </c>
      <c r="DF2455" s="891">
        <v>6</v>
      </c>
      <c r="DG2455" s="959"/>
      <c r="DH2455" s="959"/>
      <c r="ER2455" s="905">
        <v>8254</v>
      </c>
      <c r="ES2455" s="906" t="s">
        <v>1647</v>
      </c>
      <c r="ET2455" s="2686">
        <v>9</v>
      </c>
      <c r="EV2455" s="985"/>
      <c r="EW2455" s="985"/>
      <c r="EX2455" s="387"/>
      <c r="EY2455" s="939"/>
      <c r="EZ2455" s="886"/>
    </row>
    <row r="2456" spans="88:156">
      <c r="CJ2456" s="197"/>
      <c r="CK2456" s="197"/>
      <c r="CL2456" s="197"/>
      <c r="CM2456" s="213"/>
      <c r="CN2456" s="213"/>
      <c r="CO2456" s="197"/>
      <c r="CP2456" s="197"/>
      <c r="CQ2456" s="197"/>
      <c r="CR2456" s="197"/>
      <c r="CS2456" s="197"/>
      <c r="CT2456" s="197"/>
      <c r="CU2456" s="197"/>
      <c r="CV2456" s="197"/>
      <c r="CW2456" s="197"/>
      <c r="CX2456" s="959"/>
      <c r="CY2456" s="959"/>
      <c r="CZ2456" s="959"/>
      <c r="DA2456" s="959"/>
      <c r="DB2456" s="959"/>
      <c r="DC2456" s="891">
        <v>8348</v>
      </c>
      <c r="DD2456" s="891" t="s">
        <v>1274</v>
      </c>
      <c r="DE2456" s="891" t="s">
        <v>418</v>
      </c>
      <c r="DF2456" s="891">
        <v>6</v>
      </c>
      <c r="DG2456" s="959"/>
      <c r="DH2456" s="959"/>
      <c r="ER2456" s="905">
        <v>8254</v>
      </c>
      <c r="ES2456" s="906" t="s">
        <v>4381</v>
      </c>
      <c r="ET2456" s="2686">
        <v>9</v>
      </c>
      <c r="EV2456" s="985"/>
      <c r="EW2456" s="985"/>
      <c r="EX2456" s="387"/>
      <c r="EY2456" s="939"/>
      <c r="EZ2456" s="886"/>
    </row>
    <row r="2457" spans="88:156">
      <c r="CJ2457" s="197"/>
      <c r="CK2457" s="197"/>
      <c r="CL2457" s="197"/>
      <c r="CM2457" s="213"/>
      <c r="CN2457" s="213"/>
      <c r="CO2457" s="197"/>
      <c r="CP2457" s="197"/>
      <c r="CQ2457" s="197"/>
      <c r="CR2457" s="197"/>
      <c r="CS2457" s="197"/>
      <c r="CT2457" s="197"/>
      <c r="CU2457" s="197"/>
      <c r="CV2457" s="197"/>
      <c r="CW2457" s="197"/>
      <c r="CX2457" s="959"/>
      <c r="CY2457" s="959"/>
      <c r="CZ2457" s="959"/>
      <c r="DA2457" s="959"/>
      <c r="DB2457" s="959"/>
      <c r="DC2457" s="891">
        <v>8349</v>
      </c>
      <c r="DD2457" s="891" t="s">
        <v>1275</v>
      </c>
      <c r="DE2457" s="891" t="s">
        <v>418</v>
      </c>
      <c r="DF2457" s="891">
        <v>6</v>
      </c>
      <c r="DG2457" s="959"/>
      <c r="DH2457" s="959"/>
      <c r="ER2457" s="905">
        <v>8255</v>
      </c>
      <c r="ES2457" s="906" t="s">
        <v>1648</v>
      </c>
      <c r="ET2457" s="2686">
        <v>9</v>
      </c>
      <c r="EV2457" s="985"/>
      <c r="EW2457" s="985"/>
      <c r="EX2457" s="387"/>
      <c r="EY2457" s="939"/>
      <c r="EZ2457" s="886"/>
    </row>
    <row r="2458" spans="88:156">
      <c r="CJ2458" s="197"/>
      <c r="CK2458" s="197"/>
      <c r="CL2458" s="197"/>
      <c r="CM2458" s="213"/>
      <c r="CN2458" s="213"/>
      <c r="CO2458" s="197"/>
      <c r="CP2458" s="197"/>
      <c r="CQ2458" s="197"/>
      <c r="CR2458" s="197"/>
      <c r="CS2458" s="197"/>
      <c r="CT2458" s="197"/>
      <c r="CU2458" s="197"/>
      <c r="CV2458" s="197"/>
      <c r="CW2458" s="197"/>
      <c r="CX2458" s="959"/>
      <c r="CY2458" s="959"/>
      <c r="CZ2458" s="959"/>
      <c r="DA2458" s="959"/>
      <c r="DB2458" s="959"/>
      <c r="DC2458" s="891">
        <v>8351</v>
      </c>
      <c r="DD2458" s="891" t="s">
        <v>1276</v>
      </c>
      <c r="DE2458" s="891" t="s">
        <v>404</v>
      </c>
      <c r="DF2458" s="891">
        <v>6</v>
      </c>
      <c r="DG2458" s="959"/>
      <c r="DH2458" s="959"/>
      <c r="ER2458" s="905">
        <v>8256</v>
      </c>
      <c r="ES2458" s="906" t="s">
        <v>1649</v>
      </c>
      <c r="ET2458" s="2686">
        <v>9</v>
      </c>
      <c r="EV2458" s="985"/>
      <c r="EW2458" s="985"/>
      <c r="EX2458" s="387"/>
      <c r="EY2458" s="939"/>
      <c r="EZ2458" s="886"/>
    </row>
    <row r="2459" spans="88:156">
      <c r="CJ2459" s="197"/>
      <c r="CK2459" s="197"/>
      <c r="CL2459" s="197"/>
      <c r="CM2459" s="213"/>
      <c r="CN2459" s="213"/>
      <c r="CO2459" s="197"/>
      <c r="CP2459" s="197"/>
      <c r="CQ2459" s="197"/>
      <c r="CR2459" s="197"/>
      <c r="CS2459" s="197"/>
      <c r="CT2459" s="197"/>
      <c r="CU2459" s="197"/>
      <c r="CV2459" s="197"/>
      <c r="CW2459" s="197"/>
      <c r="CX2459" s="959"/>
      <c r="CY2459" s="959"/>
      <c r="CZ2459" s="959"/>
      <c r="DA2459" s="959"/>
      <c r="DB2459" s="959"/>
      <c r="DC2459" s="891">
        <v>8352</v>
      </c>
      <c r="DD2459" s="891" t="s">
        <v>1277</v>
      </c>
      <c r="DE2459" s="891" t="s">
        <v>432</v>
      </c>
      <c r="DF2459" s="891">
        <v>6</v>
      </c>
      <c r="DG2459" s="959"/>
      <c r="DH2459" s="959"/>
      <c r="ER2459" s="905">
        <v>8256</v>
      </c>
      <c r="ES2459" s="906" t="s">
        <v>4383</v>
      </c>
      <c r="ET2459" s="2686">
        <v>9</v>
      </c>
      <c r="EV2459" s="985"/>
      <c r="EW2459" s="985"/>
      <c r="EX2459" s="387"/>
      <c r="EY2459" s="939"/>
      <c r="EZ2459" s="886"/>
    </row>
    <row r="2460" spans="88:156">
      <c r="CJ2460" s="197"/>
      <c r="CK2460" s="197"/>
      <c r="CL2460" s="197"/>
      <c r="CM2460" s="213"/>
      <c r="CN2460" s="213"/>
      <c r="CO2460" s="197"/>
      <c r="CP2460" s="197"/>
      <c r="CQ2460" s="197"/>
      <c r="CR2460" s="197"/>
      <c r="CS2460" s="197"/>
      <c r="CT2460" s="197"/>
      <c r="CU2460" s="197"/>
      <c r="CV2460" s="197"/>
      <c r="CW2460" s="197"/>
      <c r="CX2460" s="959"/>
      <c r="CY2460" s="959"/>
      <c r="CZ2460" s="959"/>
      <c r="DA2460" s="959"/>
      <c r="DB2460" s="959"/>
      <c r="DC2460" s="891">
        <v>8353</v>
      </c>
      <c r="DD2460" s="891" t="s">
        <v>1278</v>
      </c>
      <c r="DE2460" s="891" t="s">
        <v>431</v>
      </c>
      <c r="DF2460" s="891">
        <v>6</v>
      </c>
      <c r="DG2460" s="959"/>
      <c r="DH2460" s="959"/>
      <c r="ER2460" s="905">
        <v>8257</v>
      </c>
      <c r="ES2460" s="905" t="s">
        <v>1650</v>
      </c>
      <c r="ET2460" s="2686">
        <v>9</v>
      </c>
      <c r="EV2460" s="985"/>
      <c r="EW2460" s="985"/>
      <c r="EX2460" s="387"/>
      <c r="EY2460" s="939"/>
      <c r="EZ2460" s="886"/>
    </row>
    <row r="2461" spans="88:156">
      <c r="CJ2461" s="197"/>
      <c r="CK2461" s="197"/>
      <c r="CL2461" s="197"/>
      <c r="CM2461" s="213"/>
      <c r="CN2461" s="213"/>
      <c r="CO2461" s="197"/>
      <c r="CP2461" s="197"/>
      <c r="CQ2461" s="197"/>
      <c r="CR2461" s="197"/>
      <c r="CS2461" s="197"/>
      <c r="CT2461" s="197"/>
      <c r="CU2461" s="197"/>
      <c r="CV2461" s="197"/>
      <c r="CW2461" s="197"/>
      <c r="CX2461" s="959"/>
      <c r="CY2461" s="959"/>
      <c r="CZ2461" s="959"/>
      <c r="DA2461" s="959"/>
      <c r="DB2461" s="959"/>
      <c r="DC2461" s="891">
        <v>8354</v>
      </c>
      <c r="DD2461" s="891" t="s">
        <v>1279</v>
      </c>
      <c r="DE2461" s="891" t="s">
        <v>432</v>
      </c>
      <c r="DF2461" s="891">
        <v>6</v>
      </c>
      <c r="DG2461" s="959"/>
      <c r="DH2461" s="959"/>
      <c r="ER2461" s="905">
        <v>8258</v>
      </c>
      <c r="ES2461" s="906" t="s">
        <v>4385</v>
      </c>
      <c r="ET2461" s="2686">
        <v>9</v>
      </c>
      <c r="EV2461" s="985"/>
      <c r="EW2461" s="985"/>
      <c r="EX2461" s="387"/>
      <c r="EY2461" s="939"/>
      <c r="EZ2461" s="886"/>
    </row>
    <row r="2462" spans="88:156">
      <c r="CJ2462" s="197"/>
      <c r="CK2462" s="197"/>
      <c r="CL2462" s="197"/>
      <c r="CM2462" s="213"/>
      <c r="CN2462" s="213"/>
      <c r="CO2462" s="197"/>
      <c r="CP2462" s="197"/>
      <c r="CQ2462" s="197"/>
      <c r="CR2462" s="197"/>
      <c r="CS2462" s="197"/>
      <c r="CT2462" s="197"/>
      <c r="CU2462" s="197"/>
      <c r="CV2462" s="197"/>
      <c r="CW2462" s="197"/>
      <c r="CX2462" s="959"/>
      <c r="CY2462" s="959"/>
      <c r="CZ2462" s="959"/>
      <c r="DA2462" s="959"/>
      <c r="DB2462" s="959"/>
      <c r="DC2462" s="891">
        <v>8355</v>
      </c>
      <c r="DD2462" s="891" t="s">
        <v>1280</v>
      </c>
      <c r="DE2462" s="891" t="s">
        <v>2808</v>
      </c>
      <c r="DF2462" s="891">
        <v>6</v>
      </c>
      <c r="DG2462" s="959"/>
      <c r="DH2462" s="959"/>
      <c r="ER2462" s="905">
        <v>8261</v>
      </c>
      <c r="ES2462" s="905" t="s">
        <v>1651</v>
      </c>
      <c r="ET2462" s="2686">
        <v>9</v>
      </c>
      <c r="EV2462" s="985"/>
      <c r="EW2462" s="985"/>
      <c r="EX2462" s="387"/>
      <c r="EY2462" s="939"/>
      <c r="EZ2462" s="886"/>
    </row>
    <row r="2463" spans="88:156">
      <c r="CJ2463" s="197"/>
      <c r="CK2463" s="197"/>
      <c r="CL2463" s="197"/>
      <c r="CM2463" s="213"/>
      <c r="CN2463" s="213"/>
      <c r="CO2463" s="197"/>
      <c r="CP2463" s="197"/>
      <c r="CQ2463" s="197"/>
      <c r="CR2463" s="197"/>
      <c r="CS2463" s="197"/>
      <c r="CT2463" s="197"/>
      <c r="CU2463" s="197"/>
      <c r="CV2463" s="197"/>
      <c r="CW2463" s="197"/>
      <c r="CX2463" s="959"/>
      <c r="CY2463" s="959"/>
      <c r="CZ2463" s="959"/>
      <c r="DA2463" s="959"/>
      <c r="DB2463" s="959"/>
      <c r="DC2463" s="891">
        <v>8356</v>
      </c>
      <c r="DD2463" s="891" t="s">
        <v>1281</v>
      </c>
      <c r="DE2463" s="891" t="s">
        <v>402</v>
      </c>
      <c r="DF2463" s="891">
        <v>6</v>
      </c>
      <c r="DG2463" s="959"/>
      <c r="DH2463" s="959"/>
      <c r="ER2463" s="905">
        <v>8263</v>
      </c>
      <c r="ES2463" s="906" t="s">
        <v>4388</v>
      </c>
      <c r="ET2463" s="2686">
        <v>9</v>
      </c>
      <c r="EV2463" s="985"/>
      <c r="EW2463" s="985"/>
      <c r="EX2463" s="387"/>
      <c r="EY2463" s="939"/>
      <c r="EZ2463" s="886"/>
    </row>
    <row r="2464" spans="88:156">
      <c r="CJ2464" s="197"/>
      <c r="CK2464" s="197"/>
      <c r="CL2464" s="197"/>
      <c r="CM2464" s="213"/>
      <c r="CN2464" s="213"/>
      <c r="CO2464" s="197"/>
      <c r="CP2464" s="197"/>
      <c r="CQ2464" s="197"/>
      <c r="CR2464" s="197"/>
      <c r="CS2464" s="197"/>
      <c r="CT2464" s="197"/>
      <c r="CU2464" s="197"/>
      <c r="CV2464" s="197"/>
      <c r="CW2464" s="197"/>
      <c r="CX2464" s="959"/>
      <c r="CY2464" s="959"/>
      <c r="CZ2464" s="959"/>
      <c r="DA2464" s="959"/>
      <c r="DB2464" s="959"/>
      <c r="DC2464" s="891">
        <v>8357</v>
      </c>
      <c r="DD2464" s="891" t="s">
        <v>1282</v>
      </c>
      <c r="DE2464" s="891" t="s">
        <v>417</v>
      </c>
      <c r="DF2464" s="891">
        <v>6</v>
      </c>
      <c r="DG2464" s="959"/>
      <c r="DH2464" s="959"/>
      <c r="ER2464" s="905">
        <v>8264</v>
      </c>
      <c r="ES2464" s="906" t="s">
        <v>4389</v>
      </c>
      <c r="ET2464" s="2686">
        <v>9</v>
      </c>
      <c r="EV2464" s="985"/>
      <c r="EW2464" s="985"/>
      <c r="EX2464" s="387"/>
      <c r="EY2464" s="939"/>
      <c r="EZ2464" s="886"/>
    </row>
    <row r="2465" spans="88:156">
      <c r="CJ2465" s="197"/>
      <c r="CK2465" s="197"/>
      <c r="CL2465" s="197"/>
      <c r="CM2465" s="213"/>
      <c r="CN2465" s="213"/>
      <c r="CO2465" s="197"/>
      <c r="CP2465" s="197"/>
      <c r="CQ2465" s="197"/>
      <c r="CR2465" s="197"/>
      <c r="CS2465" s="197"/>
      <c r="CT2465" s="197"/>
      <c r="CU2465" s="197"/>
      <c r="CV2465" s="197"/>
      <c r="CW2465" s="197"/>
      <c r="CX2465" s="959"/>
      <c r="CY2465" s="959"/>
      <c r="CZ2465" s="959"/>
      <c r="DA2465" s="959"/>
      <c r="DB2465" s="959"/>
      <c r="DC2465" s="891">
        <v>8360</v>
      </c>
      <c r="DD2465" s="891" t="s">
        <v>1283</v>
      </c>
      <c r="DE2465" s="891" t="s">
        <v>431</v>
      </c>
      <c r="DF2465" s="891">
        <v>6</v>
      </c>
      <c r="DG2465" s="959"/>
      <c r="DH2465" s="959"/>
      <c r="ER2465" s="905">
        <v>8265</v>
      </c>
      <c r="ES2465" s="906" t="s">
        <v>4390</v>
      </c>
      <c r="ET2465" s="2686">
        <v>9</v>
      </c>
      <c r="EV2465" s="985"/>
      <c r="EW2465" s="985"/>
      <c r="EX2465" s="387"/>
      <c r="EY2465" s="939"/>
      <c r="EZ2465" s="886"/>
    </row>
    <row r="2466" spans="88:156">
      <c r="CJ2466" s="197"/>
      <c r="CK2466" s="197"/>
      <c r="CL2466" s="197"/>
      <c r="CM2466" s="213"/>
      <c r="CN2466" s="213"/>
      <c r="CO2466" s="197"/>
      <c r="CP2466" s="197"/>
      <c r="CQ2466" s="197"/>
      <c r="CR2466" s="197"/>
      <c r="CS2466" s="197"/>
      <c r="CT2466" s="197"/>
      <c r="CU2466" s="197"/>
      <c r="CV2466" s="197"/>
      <c r="CW2466" s="197"/>
      <c r="CX2466" s="959"/>
      <c r="CY2466" s="959"/>
      <c r="CZ2466" s="959"/>
      <c r="DA2466" s="959"/>
      <c r="DB2466" s="959"/>
      <c r="DC2466" s="891">
        <v>8371</v>
      </c>
      <c r="DD2466" s="891" t="s">
        <v>1284</v>
      </c>
      <c r="DE2466" s="891" t="s">
        <v>435</v>
      </c>
      <c r="DF2466" s="891">
        <v>6</v>
      </c>
      <c r="DG2466" s="959"/>
      <c r="DH2466" s="959"/>
      <c r="ER2466" s="905">
        <v>8271</v>
      </c>
      <c r="ES2466" s="906" t="s">
        <v>4391</v>
      </c>
      <c r="ET2466" s="2686">
        <v>9</v>
      </c>
      <c r="EV2466" s="985"/>
      <c r="EW2466" s="985"/>
      <c r="EX2466" s="387"/>
      <c r="EY2466" s="939"/>
      <c r="EZ2466" s="886"/>
    </row>
    <row r="2467" spans="88:156">
      <c r="CJ2467" s="197"/>
      <c r="CK2467" s="197"/>
      <c r="CL2467" s="197"/>
      <c r="CM2467" s="213"/>
      <c r="CN2467" s="213"/>
      <c r="CO2467" s="197"/>
      <c r="CP2467" s="197"/>
      <c r="CQ2467" s="197"/>
      <c r="CR2467" s="197"/>
      <c r="CS2467" s="197"/>
      <c r="CT2467" s="197"/>
      <c r="CU2467" s="197"/>
      <c r="CV2467" s="197"/>
      <c r="CW2467" s="197"/>
      <c r="CX2467" s="959"/>
      <c r="CY2467" s="959"/>
      <c r="CZ2467" s="959"/>
      <c r="DA2467" s="959"/>
      <c r="DB2467" s="959"/>
      <c r="DC2467" s="891">
        <v>8372</v>
      </c>
      <c r="DD2467" s="891" t="s">
        <v>1285</v>
      </c>
      <c r="DE2467" s="891" t="s">
        <v>418</v>
      </c>
      <c r="DF2467" s="891">
        <v>6</v>
      </c>
      <c r="DG2467" s="959"/>
      <c r="DH2467" s="959"/>
      <c r="ER2467" s="905">
        <v>8272</v>
      </c>
      <c r="ES2467" s="906" t="s">
        <v>1652</v>
      </c>
      <c r="ET2467" s="2686">
        <v>9</v>
      </c>
      <c r="EV2467" s="985"/>
      <c r="EW2467" s="985"/>
      <c r="EX2467" s="387"/>
      <c r="EY2467" s="939"/>
      <c r="EZ2467" s="886"/>
    </row>
    <row r="2468" spans="88:156">
      <c r="CJ2468" s="197"/>
      <c r="CK2468" s="197"/>
      <c r="CL2468" s="197"/>
      <c r="CM2468" s="213"/>
      <c r="CN2468" s="213"/>
      <c r="CO2468" s="197"/>
      <c r="CP2468" s="197"/>
      <c r="CQ2468" s="197"/>
      <c r="CR2468" s="197"/>
      <c r="CS2468" s="197"/>
      <c r="CT2468" s="197"/>
      <c r="CU2468" s="197"/>
      <c r="CV2468" s="197"/>
      <c r="CW2468" s="197"/>
      <c r="CX2468" s="959"/>
      <c r="CY2468" s="959"/>
      <c r="CZ2468" s="959"/>
      <c r="DA2468" s="959"/>
      <c r="DB2468" s="959"/>
      <c r="DC2468" s="891">
        <v>8373</v>
      </c>
      <c r="DD2468" s="891" t="s">
        <v>1286</v>
      </c>
      <c r="DE2468" s="891" t="s">
        <v>421</v>
      </c>
      <c r="DF2468" s="891">
        <v>6</v>
      </c>
      <c r="DG2468" s="959"/>
      <c r="DH2468" s="959"/>
      <c r="ER2468" s="905">
        <v>8272</v>
      </c>
      <c r="ES2468" s="906" t="s">
        <v>1653</v>
      </c>
      <c r="ET2468" s="2686">
        <v>9</v>
      </c>
      <c r="EV2468" s="985"/>
      <c r="EW2468" s="985"/>
      <c r="EX2468" s="387"/>
      <c r="EY2468" s="939"/>
      <c r="EZ2468" s="886"/>
    </row>
    <row r="2469" spans="88:156">
      <c r="CJ2469" s="197"/>
      <c r="CK2469" s="197"/>
      <c r="CL2469" s="197"/>
      <c r="CM2469" s="213"/>
      <c r="CN2469" s="213"/>
      <c r="CO2469" s="197"/>
      <c r="CP2469" s="197"/>
      <c r="CQ2469" s="197"/>
      <c r="CR2469" s="197"/>
      <c r="CS2469" s="197"/>
      <c r="CT2469" s="197"/>
      <c r="CU2469" s="197"/>
      <c r="CV2469" s="197"/>
      <c r="CW2469" s="197"/>
      <c r="CX2469" s="959"/>
      <c r="CY2469" s="959"/>
      <c r="CZ2469" s="959"/>
      <c r="DA2469" s="959"/>
      <c r="DB2469" s="959"/>
      <c r="DC2469" s="891">
        <v>8380</v>
      </c>
      <c r="DD2469" s="891" t="s">
        <v>1287</v>
      </c>
      <c r="DE2469" s="891" t="s">
        <v>406</v>
      </c>
      <c r="DF2469" s="891">
        <v>6</v>
      </c>
      <c r="DG2469" s="959"/>
      <c r="DH2469" s="959"/>
      <c r="ER2469" s="905">
        <v>8272</v>
      </c>
      <c r="ES2469" s="906" t="s">
        <v>1654</v>
      </c>
      <c r="ET2469" s="2686">
        <v>9</v>
      </c>
      <c r="EV2469" s="988"/>
      <c r="EW2469" s="985"/>
      <c r="EX2469" s="387"/>
      <c r="EY2469" s="939"/>
      <c r="EZ2469" s="886"/>
    </row>
    <row r="2470" spans="88:156">
      <c r="CJ2470" s="197"/>
      <c r="CK2470" s="197"/>
      <c r="CL2470" s="197"/>
      <c r="CM2470" s="213"/>
      <c r="CN2470" s="213"/>
      <c r="CO2470" s="197"/>
      <c r="CP2470" s="197"/>
      <c r="CQ2470" s="197"/>
      <c r="CR2470" s="197"/>
      <c r="CS2470" s="197"/>
      <c r="CT2470" s="197"/>
      <c r="CU2470" s="197"/>
      <c r="CV2470" s="197"/>
      <c r="CW2470" s="197"/>
      <c r="CX2470" s="959"/>
      <c r="CY2470" s="959"/>
      <c r="CZ2470" s="959"/>
      <c r="DA2470" s="959"/>
      <c r="DB2470" s="959"/>
      <c r="DC2470" s="891">
        <v>8391</v>
      </c>
      <c r="DD2470" s="891" t="s">
        <v>1288</v>
      </c>
      <c r="DE2470" s="891" t="s">
        <v>2808</v>
      </c>
      <c r="DF2470" s="891">
        <v>6</v>
      </c>
      <c r="DG2470" s="959"/>
      <c r="DH2470" s="959"/>
      <c r="ER2470" s="905">
        <v>8272</v>
      </c>
      <c r="ES2470" s="906" t="s">
        <v>1655</v>
      </c>
      <c r="ET2470" s="2686">
        <v>9</v>
      </c>
      <c r="EV2470" s="985"/>
      <c r="EW2470" s="985"/>
      <c r="EX2470" s="387"/>
      <c r="EY2470" s="939"/>
      <c r="EZ2470" s="886"/>
    </row>
    <row r="2471" spans="88:156">
      <c r="CJ2471" s="197"/>
      <c r="CK2471" s="197"/>
      <c r="CL2471" s="197"/>
      <c r="CM2471" s="213"/>
      <c r="CN2471" s="213"/>
      <c r="CO2471" s="197"/>
      <c r="CP2471" s="197"/>
      <c r="CQ2471" s="197"/>
      <c r="CR2471" s="197"/>
      <c r="CS2471" s="197"/>
      <c r="CT2471" s="197"/>
      <c r="CU2471" s="197"/>
      <c r="CV2471" s="197"/>
      <c r="CW2471" s="197"/>
      <c r="CX2471" s="959"/>
      <c r="CY2471" s="959"/>
      <c r="CZ2471" s="959"/>
      <c r="DA2471" s="959"/>
      <c r="DB2471" s="959"/>
      <c r="DC2471" s="891">
        <v>8392</v>
      </c>
      <c r="DD2471" s="891" t="s">
        <v>1289</v>
      </c>
      <c r="DE2471" s="891" t="s">
        <v>432</v>
      </c>
      <c r="DF2471" s="891">
        <v>6</v>
      </c>
      <c r="DG2471" s="959"/>
      <c r="DH2471" s="959"/>
      <c r="ER2471" s="905">
        <v>8272</v>
      </c>
      <c r="ES2471" s="906" t="s">
        <v>4392</v>
      </c>
      <c r="ET2471" s="2686">
        <v>9</v>
      </c>
      <c r="EV2471" s="985"/>
      <c r="EW2471" s="985"/>
      <c r="EX2471" s="387"/>
      <c r="EY2471" s="939"/>
      <c r="EZ2471" s="886"/>
    </row>
    <row r="2472" spans="88:156">
      <c r="CJ2472" s="197"/>
      <c r="CK2472" s="197"/>
      <c r="CL2472" s="197"/>
      <c r="CM2472" s="213"/>
      <c r="CN2472" s="213"/>
      <c r="CO2472" s="197"/>
      <c r="CP2472" s="197"/>
      <c r="CQ2472" s="197"/>
      <c r="CR2472" s="197"/>
      <c r="CS2472" s="197"/>
      <c r="CT2472" s="197"/>
      <c r="CU2472" s="197"/>
      <c r="CV2472" s="197"/>
      <c r="CW2472" s="197"/>
      <c r="CX2472" s="959"/>
      <c r="CY2472" s="959"/>
      <c r="CZ2472" s="959"/>
      <c r="DA2472" s="959"/>
      <c r="DB2472" s="959"/>
      <c r="DC2472" s="891">
        <v>8393</v>
      </c>
      <c r="DD2472" s="891" t="s">
        <v>1290</v>
      </c>
      <c r="DE2472" s="891" t="s">
        <v>406</v>
      </c>
      <c r="DF2472" s="891">
        <v>6</v>
      </c>
      <c r="DG2472" s="959"/>
      <c r="DH2472" s="959"/>
      <c r="ER2472" s="905">
        <v>8273</v>
      </c>
      <c r="ES2472" s="906" t="s">
        <v>4393</v>
      </c>
      <c r="ET2472" s="2686">
        <v>9</v>
      </c>
      <c r="EV2472" s="985"/>
      <c r="EW2472" s="985"/>
      <c r="EX2472" s="387"/>
      <c r="EY2472" s="939"/>
      <c r="EZ2472" s="886"/>
    </row>
    <row r="2473" spans="88:156">
      <c r="CJ2473" s="197"/>
      <c r="CK2473" s="197"/>
      <c r="CL2473" s="197"/>
      <c r="CM2473" s="213"/>
      <c r="CN2473" s="213"/>
      <c r="CO2473" s="197"/>
      <c r="CP2473" s="197"/>
      <c r="CQ2473" s="197"/>
      <c r="CR2473" s="197"/>
      <c r="CS2473" s="197"/>
      <c r="CT2473" s="197"/>
      <c r="CU2473" s="197"/>
      <c r="CV2473" s="197"/>
      <c r="CW2473" s="197"/>
      <c r="CX2473" s="959"/>
      <c r="CY2473" s="959"/>
      <c r="CZ2473" s="959"/>
      <c r="DA2473" s="959"/>
      <c r="DB2473" s="959"/>
      <c r="DC2473" s="891">
        <v>8394</v>
      </c>
      <c r="DD2473" s="891" t="s">
        <v>1291</v>
      </c>
      <c r="DE2473" s="891" t="s">
        <v>406</v>
      </c>
      <c r="DF2473" s="891">
        <v>6</v>
      </c>
      <c r="DG2473" s="959"/>
      <c r="DH2473" s="959"/>
      <c r="ER2473" s="905">
        <v>8274</v>
      </c>
      <c r="ES2473" s="906" t="s">
        <v>4394</v>
      </c>
      <c r="ET2473" s="2686">
        <v>9</v>
      </c>
      <c r="EV2473" s="985"/>
      <c r="EW2473" s="985"/>
      <c r="EX2473" s="387"/>
      <c r="EY2473" s="939"/>
      <c r="EZ2473" s="886"/>
    </row>
    <row r="2474" spans="88:156">
      <c r="CJ2474" s="197"/>
      <c r="CK2474" s="197"/>
      <c r="CL2474" s="197"/>
      <c r="CM2474" s="213"/>
      <c r="CN2474" s="213"/>
      <c r="CO2474" s="197"/>
      <c r="CP2474" s="197"/>
      <c r="CQ2474" s="197"/>
      <c r="CR2474" s="197"/>
      <c r="CS2474" s="197"/>
      <c r="CT2474" s="197"/>
      <c r="CU2474" s="197"/>
      <c r="CV2474" s="197"/>
      <c r="CW2474" s="197"/>
      <c r="CX2474" s="959"/>
      <c r="CY2474" s="959"/>
      <c r="CZ2474" s="959"/>
      <c r="DA2474" s="959"/>
      <c r="DB2474" s="959"/>
      <c r="DC2474" s="891">
        <v>8395</v>
      </c>
      <c r="DD2474" s="891" t="s">
        <v>1292</v>
      </c>
      <c r="DE2474" s="891" t="s">
        <v>419</v>
      </c>
      <c r="DF2474" s="891">
        <v>6</v>
      </c>
      <c r="DG2474" s="959"/>
      <c r="DH2474" s="959"/>
      <c r="ER2474" s="905">
        <v>8275</v>
      </c>
      <c r="ES2474" s="906" t="s">
        <v>1241</v>
      </c>
      <c r="ET2474" s="2686">
        <v>9</v>
      </c>
      <c r="EV2474" s="985"/>
      <c r="EW2474" s="985"/>
      <c r="EX2474" s="387"/>
      <c r="EY2474" s="939"/>
      <c r="EZ2474" s="886"/>
    </row>
    <row r="2475" spans="88:156">
      <c r="CJ2475" s="197"/>
      <c r="CK2475" s="197"/>
      <c r="CL2475" s="197"/>
      <c r="CM2475" s="213"/>
      <c r="CN2475" s="213"/>
      <c r="CO2475" s="197"/>
      <c r="CP2475" s="197"/>
      <c r="CQ2475" s="197"/>
      <c r="CR2475" s="197"/>
      <c r="CS2475" s="197"/>
      <c r="CT2475" s="197"/>
      <c r="CU2475" s="197"/>
      <c r="CV2475" s="197"/>
      <c r="CW2475" s="197"/>
      <c r="CX2475" s="959"/>
      <c r="CY2475" s="959"/>
      <c r="CZ2475" s="959"/>
      <c r="DA2475" s="959"/>
      <c r="DB2475" s="959"/>
      <c r="DC2475" s="891">
        <v>8400</v>
      </c>
      <c r="DD2475" s="891" t="s">
        <v>1293</v>
      </c>
      <c r="DE2475" s="891" t="s">
        <v>434</v>
      </c>
      <c r="DF2475" s="891">
        <v>6</v>
      </c>
      <c r="DG2475" s="959"/>
      <c r="DH2475" s="959"/>
      <c r="ER2475" s="905">
        <v>8281</v>
      </c>
      <c r="ES2475" s="906" t="s">
        <v>1242</v>
      </c>
      <c r="ET2475" s="2686">
        <v>9</v>
      </c>
      <c r="EV2475" s="985"/>
      <c r="EW2475" s="985"/>
      <c r="EX2475" s="387"/>
      <c r="EY2475" s="939"/>
      <c r="EZ2475" s="886"/>
    </row>
    <row r="2476" spans="88:156">
      <c r="CJ2476" s="197"/>
      <c r="CK2476" s="197"/>
      <c r="CL2476" s="197"/>
      <c r="CM2476" s="213"/>
      <c r="CN2476" s="213"/>
      <c r="CO2476" s="197"/>
      <c r="CP2476" s="197"/>
      <c r="CQ2476" s="197"/>
      <c r="CR2476" s="197"/>
      <c r="CS2476" s="197"/>
      <c r="CT2476" s="197"/>
      <c r="CU2476" s="197"/>
      <c r="CV2476" s="197"/>
      <c r="CW2476" s="197"/>
      <c r="CX2476" s="959"/>
      <c r="CY2476" s="959"/>
      <c r="CZ2476" s="959"/>
      <c r="DA2476" s="959"/>
      <c r="DB2476" s="959"/>
      <c r="DC2476" s="891">
        <v>8409</v>
      </c>
      <c r="DD2476" s="891" t="s">
        <v>1294</v>
      </c>
      <c r="DE2476" s="891" t="s">
        <v>432</v>
      </c>
      <c r="DF2476" s="891">
        <v>6</v>
      </c>
      <c r="DG2476" s="959"/>
      <c r="DH2476" s="959"/>
      <c r="ER2476" s="905">
        <v>8282</v>
      </c>
      <c r="ES2476" s="906" t="s">
        <v>1243</v>
      </c>
      <c r="ET2476" s="2686">
        <v>9</v>
      </c>
      <c r="EV2476" s="985"/>
      <c r="EW2476" s="985"/>
      <c r="EX2476" s="387"/>
      <c r="EY2476" s="939"/>
      <c r="EZ2476" s="886"/>
    </row>
    <row r="2477" spans="88:156">
      <c r="CJ2477" s="197"/>
      <c r="CK2477" s="197"/>
      <c r="CL2477" s="197"/>
      <c r="CM2477" s="213"/>
      <c r="CN2477" s="213"/>
      <c r="CO2477" s="197"/>
      <c r="CP2477" s="197"/>
      <c r="CQ2477" s="197"/>
      <c r="CR2477" s="197"/>
      <c r="CS2477" s="197"/>
      <c r="CT2477" s="197"/>
      <c r="CU2477" s="197"/>
      <c r="CV2477" s="197"/>
      <c r="CW2477" s="197"/>
      <c r="CX2477" s="959"/>
      <c r="CY2477" s="959"/>
      <c r="CZ2477" s="959"/>
      <c r="DA2477" s="959"/>
      <c r="DB2477" s="959"/>
      <c r="DC2477" s="891">
        <v>8411</v>
      </c>
      <c r="DD2477" s="891" t="s">
        <v>1295</v>
      </c>
      <c r="DE2477" s="891" t="s">
        <v>421</v>
      </c>
      <c r="DF2477" s="891">
        <v>5</v>
      </c>
      <c r="DG2477" s="959"/>
      <c r="DH2477" s="959"/>
      <c r="ER2477" s="905">
        <v>8283</v>
      </c>
      <c r="ES2477" s="906" t="s">
        <v>1244</v>
      </c>
      <c r="ET2477" s="2686">
        <v>9</v>
      </c>
      <c r="EV2477" s="985"/>
      <c r="EW2477" s="985"/>
      <c r="EX2477" s="387"/>
      <c r="EY2477" s="939"/>
      <c r="EZ2477" s="886"/>
    </row>
    <row r="2478" spans="88:156">
      <c r="CJ2478" s="197"/>
      <c r="CK2478" s="197"/>
      <c r="CL2478" s="197"/>
      <c r="CM2478" s="213"/>
      <c r="CN2478" s="213"/>
      <c r="CO2478" s="197"/>
      <c r="CP2478" s="197"/>
      <c r="CQ2478" s="197"/>
      <c r="CR2478" s="197"/>
      <c r="CS2478" s="197"/>
      <c r="CT2478" s="197"/>
      <c r="CU2478" s="197"/>
      <c r="CV2478" s="197"/>
      <c r="CW2478" s="197"/>
      <c r="CX2478" s="959"/>
      <c r="CY2478" s="959"/>
      <c r="CZ2478" s="959"/>
      <c r="DA2478" s="959"/>
      <c r="DB2478" s="959"/>
      <c r="DC2478" s="891">
        <v>8412</v>
      </c>
      <c r="DD2478" s="891" t="s">
        <v>1296</v>
      </c>
      <c r="DE2478" s="891" t="s">
        <v>432</v>
      </c>
      <c r="DF2478" s="891">
        <v>5</v>
      </c>
      <c r="DG2478" s="959"/>
      <c r="DH2478" s="959"/>
      <c r="ER2478" s="905">
        <v>8284</v>
      </c>
      <c r="ES2478" s="906" t="s">
        <v>1246</v>
      </c>
      <c r="ET2478" s="2686">
        <v>9</v>
      </c>
      <c r="EV2478" s="985"/>
      <c r="EW2478" s="985"/>
      <c r="EX2478" s="387"/>
      <c r="EY2478" s="939"/>
      <c r="EZ2478" s="886"/>
    </row>
    <row r="2479" spans="88:156">
      <c r="CJ2479" s="197"/>
      <c r="CK2479" s="197"/>
      <c r="CL2479" s="197"/>
      <c r="CM2479" s="213"/>
      <c r="CN2479" s="213"/>
      <c r="CO2479" s="197"/>
      <c r="CP2479" s="197"/>
      <c r="CQ2479" s="197"/>
      <c r="CR2479" s="197"/>
      <c r="CS2479" s="197"/>
      <c r="CT2479" s="197"/>
      <c r="CU2479" s="197"/>
      <c r="CV2479" s="197"/>
      <c r="CW2479" s="197"/>
      <c r="CX2479" s="959"/>
      <c r="CY2479" s="959"/>
      <c r="CZ2479" s="959"/>
      <c r="DA2479" s="959"/>
      <c r="DB2479" s="959"/>
      <c r="DC2479" s="891">
        <v>8413</v>
      </c>
      <c r="DD2479" s="891" t="s">
        <v>1297</v>
      </c>
      <c r="DE2479" s="891" t="s">
        <v>410</v>
      </c>
      <c r="DF2479" s="891">
        <v>6</v>
      </c>
      <c r="DG2479" s="959"/>
      <c r="DH2479" s="959"/>
      <c r="ER2479" s="905">
        <v>8284</v>
      </c>
      <c r="ES2479" s="906" t="s">
        <v>1245</v>
      </c>
      <c r="ET2479" s="2686">
        <v>9</v>
      </c>
      <c r="EV2479" s="985"/>
      <c r="EW2479" s="985"/>
      <c r="EX2479" s="387"/>
      <c r="EY2479" s="939"/>
      <c r="EZ2479" s="886"/>
    </row>
    <row r="2480" spans="88:156">
      <c r="CJ2480" s="197"/>
      <c r="CK2480" s="197"/>
      <c r="CL2480" s="197"/>
      <c r="CM2480" s="213"/>
      <c r="CN2480" s="213"/>
      <c r="CO2480" s="197"/>
      <c r="CP2480" s="197"/>
      <c r="CQ2480" s="197"/>
      <c r="CR2480" s="197"/>
      <c r="CS2480" s="197"/>
      <c r="CT2480" s="197"/>
      <c r="CU2480" s="197"/>
      <c r="CV2480" s="197"/>
      <c r="CW2480" s="197"/>
      <c r="CX2480" s="959"/>
      <c r="CY2480" s="959"/>
      <c r="CZ2480" s="959"/>
      <c r="DA2480" s="959"/>
      <c r="DB2480" s="959"/>
      <c r="DC2480" s="891">
        <v>8414</v>
      </c>
      <c r="DD2480" s="891" t="s">
        <v>1298</v>
      </c>
      <c r="DE2480" s="891" t="s">
        <v>404</v>
      </c>
      <c r="DF2480" s="891">
        <v>6</v>
      </c>
      <c r="DG2480" s="959"/>
      <c r="DH2480" s="959"/>
      <c r="ER2480" s="905">
        <v>8286</v>
      </c>
      <c r="ES2480" s="906" t="s">
        <v>1247</v>
      </c>
      <c r="ET2480" s="2686">
        <v>9</v>
      </c>
      <c r="EV2480" s="985"/>
      <c r="EW2480" s="985"/>
      <c r="EX2480" s="387"/>
      <c r="EY2480" s="939"/>
      <c r="EZ2480" s="886"/>
    </row>
    <row r="2481" spans="88:156">
      <c r="CJ2481" s="197"/>
      <c r="CK2481" s="197"/>
      <c r="CL2481" s="197"/>
      <c r="CM2481" s="213"/>
      <c r="CN2481" s="213"/>
      <c r="CO2481" s="197"/>
      <c r="CP2481" s="197"/>
      <c r="CQ2481" s="197"/>
      <c r="CR2481" s="197"/>
      <c r="CS2481" s="197"/>
      <c r="CT2481" s="197"/>
      <c r="CU2481" s="197"/>
      <c r="CV2481" s="197"/>
      <c r="CW2481" s="197"/>
      <c r="CX2481" s="959"/>
      <c r="CY2481" s="959"/>
      <c r="CZ2481" s="959"/>
      <c r="DA2481" s="959"/>
      <c r="DB2481" s="959"/>
      <c r="DC2481" s="891">
        <v>8415</v>
      </c>
      <c r="DD2481" s="891" t="s">
        <v>1299</v>
      </c>
      <c r="DE2481" s="891" t="s">
        <v>412</v>
      </c>
      <c r="DF2481" s="891">
        <v>6</v>
      </c>
      <c r="DG2481" s="959"/>
      <c r="DH2481" s="959"/>
      <c r="ER2481" s="905">
        <v>8291</v>
      </c>
      <c r="ES2481" s="906" t="s">
        <v>1656</v>
      </c>
      <c r="ET2481" s="2686">
        <v>9</v>
      </c>
      <c r="EV2481" s="985"/>
      <c r="EW2481" s="985"/>
      <c r="EX2481" s="387"/>
      <c r="EY2481" s="939"/>
      <c r="EZ2481" s="886"/>
    </row>
    <row r="2482" spans="88:156">
      <c r="CJ2482" s="197"/>
      <c r="CK2482" s="197"/>
      <c r="CL2482" s="197"/>
      <c r="CM2482" s="213"/>
      <c r="CN2482" s="213"/>
      <c r="CO2482" s="197"/>
      <c r="CP2482" s="197"/>
      <c r="CQ2482" s="197"/>
      <c r="CR2482" s="197"/>
      <c r="CS2482" s="197"/>
      <c r="CT2482" s="197"/>
      <c r="CU2482" s="197"/>
      <c r="CV2482" s="197"/>
      <c r="CW2482" s="197"/>
      <c r="CX2482" s="959"/>
      <c r="CY2482" s="959"/>
      <c r="CZ2482" s="959"/>
      <c r="DA2482" s="959"/>
      <c r="DB2482" s="959"/>
      <c r="DC2482" s="891">
        <v>8416</v>
      </c>
      <c r="DD2482" s="891" t="s">
        <v>1300</v>
      </c>
      <c r="DE2482" s="891" t="s">
        <v>420</v>
      </c>
      <c r="DF2482" s="891">
        <v>6</v>
      </c>
      <c r="DG2482" s="959"/>
      <c r="DH2482" s="959"/>
      <c r="ER2482" s="905">
        <v>8291</v>
      </c>
      <c r="ES2482" s="906" t="s">
        <v>1657</v>
      </c>
      <c r="ET2482" s="2686">
        <v>9</v>
      </c>
      <c r="EV2482" s="985"/>
      <c r="EW2482" s="985"/>
      <c r="EX2482" s="387"/>
      <c r="EY2482" s="939"/>
      <c r="EZ2482" s="886"/>
    </row>
    <row r="2483" spans="88:156">
      <c r="CJ2483" s="197"/>
      <c r="CK2483" s="197"/>
      <c r="CL2483" s="197"/>
      <c r="CM2483" s="213"/>
      <c r="CN2483" s="213"/>
      <c r="CO2483" s="197"/>
      <c r="CP2483" s="197"/>
      <c r="CQ2483" s="197"/>
      <c r="CR2483" s="197"/>
      <c r="CS2483" s="197"/>
      <c r="CT2483" s="197"/>
      <c r="CU2483" s="197"/>
      <c r="CV2483" s="197"/>
      <c r="CW2483" s="197"/>
      <c r="CX2483" s="959"/>
      <c r="CY2483" s="959"/>
      <c r="CZ2483" s="959"/>
      <c r="DA2483" s="959"/>
      <c r="DB2483" s="959"/>
      <c r="DC2483" s="891">
        <v>8417</v>
      </c>
      <c r="DD2483" s="891" t="s">
        <v>1301</v>
      </c>
      <c r="DE2483" s="891" t="s">
        <v>421</v>
      </c>
      <c r="DF2483" s="891">
        <v>6</v>
      </c>
      <c r="DG2483" s="959"/>
      <c r="DH2483" s="959"/>
      <c r="ER2483" s="905">
        <v>8291</v>
      </c>
      <c r="ES2483" s="906" t="s">
        <v>1658</v>
      </c>
      <c r="ET2483" s="2686">
        <v>9</v>
      </c>
      <c r="EV2483" s="985"/>
      <c r="EW2483" s="985"/>
      <c r="EX2483" s="387"/>
      <c r="EY2483" s="939"/>
      <c r="EZ2483" s="886"/>
    </row>
    <row r="2484" spans="88:156">
      <c r="CJ2484" s="197"/>
      <c r="CK2484" s="197"/>
      <c r="CL2484" s="197"/>
      <c r="CM2484" s="213"/>
      <c r="CN2484" s="213"/>
      <c r="CO2484" s="197"/>
      <c r="CP2484" s="197"/>
      <c r="CQ2484" s="197"/>
      <c r="CR2484" s="197"/>
      <c r="CS2484" s="197"/>
      <c r="CT2484" s="197"/>
      <c r="CU2484" s="197"/>
      <c r="CV2484" s="197"/>
      <c r="CW2484" s="197"/>
      <c r="CX2484" s="959"/>
      <c r="CY2484" s="959"/>
      <c r="CZ2484" s="959"/>
      <c r="DA2484" s="959"/>
      <c r="DB2484" s="959"/>
      <c r="DC2484" s="891">
        <v>8418</v>
      </c>
      <c r="DD2484" s="891" t="s">
        <v>1302</v>
      </c>
      <c r="DE2484" s="891" t="s">
        <v>423</v>
      </c>
      <c r="DF2484" s="891">
        <v>6</v>
      </c>
      <c r="DG2484" s="959"/>
      <c r="DH2484" s="959"/>
      <c r="ER2484" s="905">
        <v>8291</v>
      </c>
      <c r="ES2484" s="906" t="s">
        <v>1248</v>
      </c>
      <c r="ET2484" s="2686">
        <v>9</v>
      </c>
      <c r="EV2484" s="985"/>
      <c r="EW2484" s="985"/>
      <c r="EX2484" s="387"/>
      <c r="EY2484" s="939"/>
      <c r="EZ2484" s="886"/>
    </row>
    <row r="2485" spans="88:156">
      <c r="CJ2485" s="197"/>
      <c r="CK2485" s="197"/>
      <c r="CL2485" s="197"/>
      <c r="CM2485" s="213"/>
      <c r="CN2485" s="213"/>
      <c r="CO2485" s="197"/>
      <c r="CP2485" s="197"/>
      <c r="CQ2485" s="197"/>
      <c r="CR2485" s="197"/>
      <c r="CS2485" s="197"/>
      <c r="CT2485" s="197"/>
      <c r="CU2485" s="197"/>
      <c r="CV2485" s="197"/>
      <c r="CW2485" s="197"/>
      <c r="CX2485" s="959"/>
      <c r="CY2485" s="959"/>
      <c r="CZ2485" s="959"/>
      <c r="DA2485" s="959"/>
      <c r="DB2485" s="959"/>
      <c r="DC2485" s="891">
        <v>8419</v>
      </c>
      <c r="DD2485" s="891" t="s">
        <v>1303</v>
      </c>
      <c r="DE2485" s="891" t="s">
        <v>435</v>
      </c>
      <c r="DF2485" s="891">
        <v>6</v>
      </c>
      <c r="DG2485" s="959"/>
      <c r="DH2485" s="959"/>
      <c r="ER2485" s="905">
        <v>8292</v>
      </c>
      <c r="ES2485" s="906" t="s">
        <v>1249</v>
      </c>
      <c r="ET2485" s="2686">
        <v>9</v>
      </c>
      <c r="EV2485" s="985"/>
      <c r="EW2485" s="985"/>
      <c r="EX2485" s="387"/>
      <c r="EY2485" s="939"/>
      <c r="EZ2485" s="886"/>
    </row>
    <row r="2486" spans="88:156">
      <c r="CJ2486" s="197"/>
      <c r="CK2486" s="197"/>
      <c r="CL2486" s="197"/>
      <c r="CM2486" s="213"/>
      <c r="CN2486" s="213"/>
      <c r="CO2486" s="197"/>
      <c r="CP2486" s="197"/>
      <c r="CQ2486" s="197"/>
      <c r="CR2486" s="197"/>
      <c r="CS2486" s="197"/>
      <c r="CT2486" s="197"/>
      <c r="CU2486" s="197"/>
      <c r="CV2486" s="197"/>
      <c r="CW2486" s="197"/>
      <c r="CX2486" s="959"/>
      <c r="CY2486" s="959"/>
      <c r="CZ2486" s="959"/>
      <c r="DA2486" s="959"/>
      <c r="DB2486" s="959"/>
      <c r="DC2486" s="891">
        <v>8420</v>
      </c>
      <c r="DD2486" s="891" t="s">
        <v>1298</v>
      </c>
      <c r="DE2486" s="891" t="s">
        <v>428</v>
      </c>
      <c r="DF2486" s="891">
        <v>6</v>
      </c>
      <c r="DG2486" s="959"/>
      <c r="DH2486" s="959"/>
      <c r="ER2486" s="905">
        <v>8294</v>
      </c>
      <c r="ES2486" s="906" t="s">
        <v>1251</v>
      </c>
      <c r="ET2486" s="2686">
        <v>9</v>
      </c>
      <c r="EV2486" s="985"/>
      <c r="EW2486" s="985"/>
      <c r="EX2486" s="387"/>
      <c r="EY2486" s="939"/>
      <c r="EZ2486" s="886"/>
    </row>
    <row r="2487" spans="88:156">
      <c r="CJ2487" s="197"/>
      <c r="CK2487" s="197"/>
      <c r="CL2487" s="197"/>
      <c r="CM2487" s="213"/>
      <c r="CN2487" s="213"/>
      <c r="CO2487" s="197"/>
      <c r="CP2487" s="197"/>
      <c r="CQ2487" s="197"/>
      <c r="CR2487" s="197"/>
      <c r="CS2487" s="197"/>
      <c r="CT2487" s="197"/>
      <c r="CU2487" s="197"/>
      <c r="CV2487" s="197"/>
      <c r="CW2487" s="197"/>
      <c r="CX2487" s="959"/>
      <c r="CY2487" s="959"/>
      <c r="CZ2487" s="959"/>
      <c r="DA2487" s="959"/>
      <c r="DB2487" s="959"/>
      <c r="DC2487" s="891">
        <v>8422</v>
      </c>
      <c r="DD2487" s="891" t="s">
        <v>1304</v>
      </c>
      <c r="DE2487" s="891" t="s">
        <v>433</v>
      </c>
      <c r="DF2487" s="891">
        <v>6</v>
      </c>
      <c r="DG2487" s="959"/>
      <c r="DH2487" s="959"/>
      <c r="ER2487" s="905">
        <v>8294</v>
      </c>
      <c r="ES2487" s="906" t="s">
        <v>1250</v>
      </c>
      <c r="ET2487" s="2686">
        <v>9</v>
      </c>
      <c r="EV2487" s="985"/>
      <c r="EW2487" s="985"/>
      <c r="EX2487" s="387"/>
      <c r="EY2487" s="939"/>
      <c r="EZ2487" s="886"/>
    </row>
    <row r="2488" spans="88:156">
      <c r="CJ2488" s="197"/>
      <c r="CK2488" s="197"/>
      <c r="CL2488" s="197"/>
      <c r="CM2488" s="213"/>
      <c r="CN2488" s="213"/>
      <c r="CO2488" s="197"/>
      <c r="CP2488" s="197"/>
      <c r="CQ2488" s="197"/>
      <c r="CR2488" s="197"/>
      <c r="CS2488" s="197"/>
      <c r="CT2488" s="197"/>
      <c r="CU2488" s="197"/>
      <c r="CV2488" s="197"/>
      <c r="CW2488" s="197"/>
      <c r="CX2488" s="959"/>
      <c r="CY2488" s="959"/>
      <c r="CZ2488" s="959"/>
      <c r="DA2488" s="959"/>
      <c r="DB2488" s="959"/>
      <c r="DC2488" s="891">
        <v>8423</v>
      </c>
      <c r="DD2488" s="891" t="s">
        <v>1305</v>
      </c>
      <c r="DE2488" s="891" t="s">
        <v>417</v>
      </c>
      <c r="DF2488" s="891">
        <v>6</v>
      </c>
      <c r="DG2488" s="959"/>
      <c r="DH2488" s="959"/>
      <c r="ER2488" s="905">
        <v>8295</v>
      </c>
      <c r="ES2488" s="906" t="s">
        <v>1252</v>
      </c>
      <c r="ET2488" s="2686">
        <v>9</v>
      </c>
      <c r="EV2488" s="985"/>
      <c r="EW2488" s="985"/>
      <c r="EX2488" s="387"/>
      <c r="EY2488" s="939"/>
      <c r="EZ2488" s="886"/>
    </row>
    <row r="2489" spans="88:156">
      <c r="CJ2489" s="197"/>
      <c r="CK2489" s="197"/>
      <c r="CL2489" s="197"/>
      <c r="CM2489" s="213"/>
      <c r="CN2489" s="213"/>
      <c r="CO2489" s="197"/>
      <c r="CP2489" s="197"/>
      <c r="CQ2489" s="197"/>
      <c r="CR2489" s="197"/>
      <c r="CS2489" s="197"/>
      <c r="CT2489" s="197"/>
      <c r="CU2489" s="197"/>
      <c r="CV2489" s="197"/>
      <c r="CW2489" s="197"/>
      <c r="CX2489" s="959"/>
      <c r="CY2489" s="959"/>
      <c r="CZ2489" s="959"/>
      <c r="DA2489" s="959"/>
      <c r="DB2489" s="959"/>
      <c r="DC2489" s="891">
        <v>8424</v>
      </c>
      <c r="DD2489" s="891" t="s">
        <v>1306</v>
      </c>
      <c r="DE2489" s="891" t="s">
        <v>435</v>
      </c>
      <c r="DF2489" s="891">
        <v>6</v>
      </c>
      <c r="DG2489" s="959"/>
      <c r="DH2489" s="959"/>
      <c r="ER2489" s="905">
        <v>8296</v>
      </c>
      <c r="ES2489" s="906" t="s">
        <v>1659</v>
      </c>
      <c r="ET2489" s="2686">
        <v>9</v>
      </c>
      <c r="EV2489" s="985"/>
      <c r="EW2489" s="985"/>
      <c r="EX2489" s="387"/>
      <c r="EY2489" s="939"/>
      <c r="EZ2489" s="886"/>
    </row>
    <row r="2490" spans="88:156">
      <c r="CJ2490" s="197"/>
      <c r="CK2490" s="197"/>
      <c r="CL2490" s="197"/>
      <c r="CM2490" s="213"/>
      <c r="CN2490" s="213"/>
      <c r="CO2490" s="197"/>
      <c r="CP2490" s="197"/>
      <c r="CQ2490" s="197"/>
      <c r="CR2490" s="197"/>
      <c r="CS2490" s="197"/>
      <c r="CT2490" s="197"/>
      <c r="CU2490" s="197"/>
      <c r="CV2490" s="197"/>
      <c r="CW2490" s="197"/>
      <c r="CX2490" s="959"/>
      <c r="CY2490" s="959"/>
      <c r="CZ2490" s="959"/>
      <c r="DA2490" s="959"/>
      <c r="DB2490" s="959"/>
      <c r="DC2490" s="891">
        <v>8425</v>
      </c>
      <c r="DD2490" s="891" t="s">
        <v>1307</v>
      </c>
      <c r="DE2490" s="891" t="s">
        <v>410</v>
      </c>
      <c r="DF2490" s="891">
        <v>5</v>
      </c>
      <c r="DG2490" s="959"/>
      <c r="DH2490" s="959"/>
      <c r="ER2490" s="905">
        <v>8296</v>
      </c>
      <c r="ES2490" s="906" t="s">
        <v>1253</v>
      </c>
      <c r="ET2490" s="2686">
        <v>9</v>
      </c>
      <c r="EV2490" s="985"/>
      <c r="EW2490" s="985"/>
      <c r="EX2490" s="387"/>
      <c r="EY2490" s="939"/>
      <c r="EZ2490" s="886"/>
    </row>
    <row r="2491" spans="88:156">
      <c r="CJ2491" s="197"/>
      <c r="CK2491" s="197"/>
      <c r="CL2491" s="197"/>
      <c r="CM2491" s="213"/>
      <c r="CN2491" s="213"/>
      <c r="CO2491" s="197"/>
      <c r="CP2491" s="197"/>
      <c r="CQ2491" s="197"/>
      <c r="CR2491" s="197"/>
      <c r="CS2491" s="197"/>
      <c r="CT2491" s="197"/>
      <c r="CU2491" s="197"/>
      <c r="CV2491" s="197"/>
      <c r="CW2491" s="197"/>
      <c r="CX2491" s="959"/>
      <c r="CY2491" s="959"/>
      <c r="CZ2491" s="959"/>
      <c r="DA2491" s="959"/>
      <c r="DB2491" s="959"/>
      <c r="DC2491" s="891">
        <v>8426</v>
      </c>
      <c r="DD2491" s="891" t="s">
        <v>1308</v>
      </c>
      <c r="DE2491" s="891" t="s">
        <v>2807</v>
      </c>
      <c r="DF2491" s="891">
        <v>6</v>
      </c>
      <c r="DG2491" s="959"/>
      <c r="DH2491" s="959"/>
      <c r="ER2491" s="905">
        <v>8297</v>
      </c>
      <c r="ES2491" s="906" t="s">
        <v>1254</v>
      </c>
      <c r="ET2491" s="2686">
        <v>9</v>
      </c>
      <c r="EV2491" s="985"/>
      <c r="EW2491" s="985"/>
      <c r="EX2491" s="387"/>
      <c r="EY2491" s="939"/>
      <c r="EZ2491" s="886"/>
    </row>
    <row r="2492" spans="88:156">
      <c r="CJ2492" s="197"/>
      <c r="CK2492" s="197"/>
      <c r="CL2492" s="197"/>
      <c r="CM2492" s="213"/>
      <c r="CN2492" s="213"/>
      <c r="CO2492" s="197"/>
      <c r="CP2492" s="197"/>
      <c r="CQ2492" s="197"/>
      <c r="CR2492" s="197"/>
      <c r="CS2492" s="197"/>
      <c r="CT2492" s="197"/>
      <c r="CU2492" s="197"/>
      <c r="CV2492" s="197"/>
      <c r="CW2492" s="197"/>
      <c r="CX2492" s="959"/>
      <c r="CY2492" s="959"/>
      <c r="CZ2492" s="959"/>
      <c r="DA2492" s="959"/>
      <c r="DB2492" s="959"/>
      <c r="DC2492" s="891">
        <v>8427</v>
      </c>
      <c r="DD2492" s="891" t="s">
        <v>1309</v>
      </c>
      <c r="DE2492" s="891" t="s">
        <v>419</v>
      </c>
      <c r="DF2492" s="891">
        <v>6</v>
      </c>
      <c r="DG2492" s="959"/>
      <c r="DH2492" s="959"/>
      <c r="ER2492" s="905">
        <v>8300</v>
      </c>
      <c r="ES2492" s="906" t="s">
        <v>1255</v>
      </c>
      <c r="ET2492" s="2686">
        <v>9</v>
      </c>
      <c r="EV2492" s="985"/>
      <c r="EW2492" s="985"/>
      <c r="EX2492" s="387"/>
      <c r="EY2492" s="939"/>
      <c r="EZ2492" s="886"/>
    </row>
    <row r="2493" spans="88:156">
      <c r="CJ2493" s="197"/>
      <c r="CK2493" s="197"/>
      <c r="CL2493" s="197"/>
      <c r="CM2493" s="213"/>
      <c r="CN2493" s="213"/>
      <c r="CO2493" s="197"/>
      <c r="CP2493" s="197"/>
      <c r="CQ2493" s="197"/>
      <c r="CR2493" s="197"/>
      <c r="CS2493" s="197"/>
      <c r="CT2493" s="197"/>
      <c r="CU2493" s="197"/>
      <c r="CV2493" s="197"/>
      <c r="CW2493" s="197"/>
      <c r="CX2493" s="959"/>
      <c r="CY2493" s="959"/>
      <c r="CZ2493" s="959"/>
      <c r="DA2493" s="959"/>
      <c r="DB2493" s="959"/>
      <c r="DC2493" s="891">
        <v>8428</v>
      </c>
      <c r="DD2493" s="891" t="s">
        <v>1310</v>
      </c>
      <c r="DE2493" s="891" t="s">
        <v>421</v>
      </c>
      <c r="DF2493" s="891">
        <v>6</v>
      </c>
      <c r="DG2493" s="959"/>
      <c r="DH2493" s="959"/>
      <c r="ER2493" s="905">
        <v>8300</v>
      </c>
      <c r="ES2493" s="906" t="s">
        <v>1660</v>
      </c>
      <c r="ET2493" s="2686">
        <v>9</v>
      </c>
      <c r="EV2493" s="985"/>
      <c r="EW2493" s="985"/>
      <c r="EX2493" s="387"/>
      <c r="EY2493" s="939"/>
      <c r="EZ2493" s="886"/>
    </row>
    <row r="2494" spans="88:156">
      <c r="CJ2494" s="197"/>
      <c r="CK2494" s="197"/>
      <c r="CL2494" s="197"/>
      <c r="CM2494" s="213"/>
      <c r="CN2494" s="213"/>
      <c r="CO2494" s="197"/>
      <c r="CP2494" s="197"/>
      <c r="CQ2494" s="197"/>
      <c r="CR2494" s="197"/>
      <c r="CS2494" s="197"/>
      <c r="CT2494" s="197"/>
      <c r="CU2494" s="197"/>
      <c r="CV2494" s="197"/>
      <c r="CW2494" s="197"/>
      <c r="CX2494" s="959"/>
      <c r="CY2494" s="959"/>
      <c r="CZ2494" s="959"/>
      <c r="DA2494" s="959"/>
      <c r="DB2494" s="959"/>
      <c r="DC2494" s="891">
        <v>8429</v>
      </c>
      <c r="DD2494" s="891" t="s">
        <v>1311</v>
      </c>
      <c r="DE2494" s="891" t="s">
        <v>406</v>
      </c>
      <c r="DF2494" s="891">
        <v>6</v>
      </c>
      <c r="DG2494" s="959"/>
      <c r="DH2494" s="959"/>
      <c r="ER2494" s="905">
        <v>8308</v>
      </c>
      <c r="ES2494" s="906" t="s">
        <v>1661</v>
      </c>
      <c r="ET2494" s="2686">
        <v>9</v>
      </c>
      <c r="EV2494" s="985"/>
      <c r="EW2494" s="985"/>
      <c r="EX2494" s="387"/>
      <c r="EY2494" s="939"/>
      <c r="EZ2494" s="886"/>
    </row>
    <row r="2495" spans="88:156">
      <c r="CJ2495" s="197"/>
      <c r="CK2495" s="197"/>
      <c r="CL2495" s="197"/>
      <c r="CM2495" s="213"/>
      <c r="CN2495" s="213"/>
      <c r="CO2495" s="197"/>
      <c r="CP2495" s="197"/>
      <c r="CQ2495" s="197"/>
      <c r="CR2495" s="197"/>
      <c r="CS2495" s="197"/>
      <c r="CT2495" s="197"/>
      <c r="CU2495" s="197"/>
      <c r="CV2495" s="197"/>
      <c r="CW2495" s="197"/>
      <c r="CX2495" s="959"/>
      <c r="CY2495" s="959"/>
      <c r="CZ2495" s="959"/>
      <c r="DA2495" s="959"/>
      <c r="DB2495" s="959"/>
      <c r="DC2495" s="891">
        <v>8430</v>
      </c>
      <c r="DD2495" s="891" t="s">
        <v>1312</v>
      </c>
      <c r="DE2495" s="891" t="s">
        <v>431</v>
      </c>
      <c r="DF2495" s="891">
        <v>6</v>
      </c>
      <c r="DG2495" s="959"/>
      <c r="DH2495" s="959"/>
      <c r="ER2495" s="905">
        <v>8308</v>
      </c>
      <c r="ES2495" s="906" t="s">
        <v>1256</v>
      </c>
      <c r="ET2495" s="2686">
        <v>9</v>
      </c>
      <c r="EV2495" s="985"/>
      <c r="EW2495" s="985"/>
      <c r="EX2495" s="387"/>
      <c r="EY2495" s="939"/>
      <c r="EZ2495" s="886"/>
    </row>
    <row r="2496" spans="88:156">
      <c r="CJ2496" s="197"/>
      <c r="CK2496" s="197"/>
      <c r="CL2496" s="197"/>
      <c r="CM2496" s="213"/>
      <c r="CN2496" s="213"/>
      <c r="CO2496" s="197"/>
      <c r="CP2496" s="197"/>
      <c r="CQ2496" s="197"/>
      <c r="CR2496" s="197"/>
      <c r="CS2496" s="197"/>
      <c r="CT2496" s="197"/>
      <c r="CU2496" s="197"/>
      <c r="CV2496" s="197"/>
      <c r="CW2496" s="197"/>
      <c r="CX2496" s="959"/>
      <c r="CY2496" s="959"/>
      <c r="CZ2496" s="959"/>
      <c r="DA2496" s="959"/>
      <c r="DB2496" s="959"/>
      <c r="DC2496" s="891">
        <v>8431</v>
      </c>
      <c r="DD2496" s="891" t="s">
        <v>1313</v>
      </c>
      <c r="DE2496" s="891" t="s">
        <v>410</v>
      </c>
      <c r="DF2496" s="891">
        <v>6</v>
      </c>
      <c r="DG2496" s="959"/>
      <c r="DH2496" s="959"/>
      <c r="ER2496" s="905">
        <v>8311</v>
      </c>
      <c r="ES2496" s="906" t="s">
        <v>1257</v>
      </c>
      <c r="ET2496" s="2686">
        <v>9</v>
      </c>
      <c r="EV2496" s="985"/>
      <c r="EW2496" s="985"/>
      <c r="EX2496" s="387"/>
      <c r="EY2496" s="939"/>
      <c r="EZ2496" s="886"/>
    </row>
    <row r="2497" spans="88:156">
      <c r="CJ2497" s="197"/>
      <c r="CK2497" s="197"/>
      <c r="CL2497" s="197"/>
      <c r="CM2497" s="213"/>
      <c r="CN2497" s="213"/>
      <c r="CO2497" s="197"/>
      <c r="CP2497" s="197"/>
      <c r="CQ2497" s="197"/>
      <c r="CR2497" s="197"/>
      <c r="CS2497" s="197"/>
      <c r="CT2497" s="197"/>
      <c r="CU2497" s="197"/>
      <c r="CV2497" s="197"/>
      <c r="CW2497" s="197"/>
      <c r="CX2497" s="959"/>
      <c r="CY2497" s="959"/>
      <c r="CZ2497" s="959"/>
      <c r="DA2497" s="959"/>
      <c r="DB2497" s="959"/>
      <c r="DC2497" s="891">
        <v>8432</v>
      </c>
      <c r="DD2497" s="891" t="s">
        <v>1314</v>
      </c>
      <c r="DE2497" s="891" t="s">
        <v>428</v>
      </c>
      <c r="DF2497" s="891">
        <v>6</v>
      </c>
      <c r="DG2497" s="959"/>
      <c r="DH2497" s="959"/>
      <c r="ER2497" s="905">
        <v>8312</v>
      </c>
      <c r="ES2497" s="906" t="s">
        <v>1258</v>
      </c>
      <c r="ET2497" s="2686">
        <v>9</v>
      </c>
      <c r="EV2497" s="985"/>
      <c r="EW2497" s="985"/>
      <c r="EX2497" s="387"/>
      <c r="EY2497" s="939"/>
      <c r="EZ2497" s="886"/>
    </row>
    <row r="2498" spans="88:156">
      <c r="CJ2498" s="197"/>
      <c r="CK2498" s="197"/>
      <c r="CL2498" s="197"/>
      <c r="CM2498" s="213"/>
      <c r="CN2498" s="213"/>
      <c r="CO2498" s="197"/>
      <c r="CP2498" s="197"/>
      <c r="CQ2498" s="197"/>
      <c r="CR2498" s="197"/>
      <c r="CS2498" s="197"/>
      <c r="CT2498" s="197"/>
      <c r="CU2498" s="197"/>
      <c r="CV2498" s="197"/>
      <c r="CW2498" s="197"/>
      <c r="CX2498" s="959"/>
      <c r="CY2498" s="959"/>
      <c r="CZ2498" s="959"/>
      <c r="DA2498" s="959"/>
      <c r="DB2498" s="959"/>
      <c r="DC2498" s="891">
        <v>8433</v>
      </c>
      <c r="DD2498" s="891" t="s">
        <v>1315</v>
      </c>
      <c r="DE2498" s="891" t="s">
        <v>406</v>
      </c>
      <c r="DF2498" s="891">
        <v>6</v>
      </c>
      <c r="DG2498" s="959"/>
      <c r="DH2498" s="959"/>
      <c r="ER2498" s="905">
        <v>8313</v>
      </c>
      <c r="ES2498" s="906" t="s">
        <v>1259</v>
      </c>
      <c r="ET2498" s="2686">
        <v>9</v>
      </c>
      <c r="EV2498" s="985"/>
      <c r="EW2498" s="985"/>
      <c r="EX2498" s="387"/>
      <c r="EY2498" s="939"/>
      <c r="EZ2498" s="886"/>
    </row>
    <row r="2499" spans="88:156">
      <c r="CJ2499" s="197"/>
      <c r="CK2499" s="197"/>
      <c r="CL2499" s="197"/>
      <c r="CM2499" s="213"/>
      <c r="CN2499" s="213"/>
      <c r="CO2499" s="197"/>
      <c r="CP2499" s="197"/>
      <c r="CQ2499" s="197"/>
      <c r="CR2499" s="197"/>
      <c r="CS2499" s="197"/>
      <c r="CT2499" s="197"/>
      <c r="CU2499" s="197"/>
      <c r="CV2499" s="197"/>
      <c r="CW2499" s="197"/>
      <c r="CX2499" s="959"/>
      <c r="CY2499" s="959"/>
      <c r="CZ2499" s="959"/>
      <c r="DA2499" s="959"/>
      <c r="DB2499" s="959"/>
      <c r="DC2499" s="891">
        <v>8434</v>
      </c>
      <c r="DD2499" s="891" t="s">
        <v>1316</v>
      </c>
      <c r="DE2499" s="891" t="s">
        <v>419</v>
      </c>
      <c r="DF2499" s="891">
        <v>6</v>
      </c>
      <c r="DG2499" s="959"/>
      <c r="DH2499" s="959"/>
      <c r="ER2499" s="905">
        <v>8314</v>
      </c>
      <c r="ES2499" s="906" t="s">
        <v>1260</v>
      </c>
      <c r="ET2499" s="2686">
        <v>9</v>
      </c>
      <c r="EV2499" s="985"/>
      <c r="EW2499" s="985"/>
      <c r="EX2499" s="387"/>
      <c r="EY2499" s="939"/>
      <c r="EZ2499" s="886"/>
    </row>
    <row r="2500" spans="88:156">
      <c r="CJ2500" s="197"/>
      <c r="CK2500" s="197"/>
      <c r="CL2500" s="197"/>
      <c r="CM2500" s="213"/>
      <c r="CN2500" s="213"/>
      <c r="CO2500" s="197"/>
      <c r="CP2500" s="197"/>
      <c r="CQ2500" s="197"/>
      <c r="CR2500" s="197"/>
      <c r="CS2500" s="197"/>
      <c r="CT2500" s="197"/>
      <c r="CU2500" s="197"/>
      <c r="CV2500" s="197"/>
      <c r="CW2500" s="197"/>
      <c r="CX2500" s="959"/>
      <c r="CY2500" s="959"/>
      <c r="CZ2500" s="959"/>
      <c r="DA2500" s="959"/>
      <c r="DB2500" s="959"/>
      <c r="DC2500" s="891">
        <v>8435</v>
      </c>
      <c r="DD2500" s="891" t="s">
        <v>1317</v>
      </c>
      <c r="DE2500" s="891" t="s">
        <v>435</v>
      </c>
      <c r="DF2500" s="891">
        <v>6</v>
      </c>
      <c r="DG2500" s="959"/>
      <c r="DH2500" s="959"/>
      <c r="ER2500" s="905">
        <v>8315</v>
      </c>
      <c r="ES2500" s="906" t="s">
        <v>1261</v>
      </c>
      <c r="ET2500" s="2686">
        <v>9</v>
      </c>
      <c r="EV2500" s="985"/>
      <c r="EW2500" s="985"/>
      <c r="EX2500" s="387"/>
      <c r="EY2500" s="939"/>
      <c r="EZ2500" s="886"/>
    </row>
    <row r="2501" spans="88:156">
      <c r="CJ2501" s="197"/>
      <c r="CK2501" s="197"/>
      <c r="CL2501" s="197"/>
      <c r="CM2501" s="213"/>
      <c r="CN2501" s="213"/>
      <c r="CO2501" s="197"/>
      <c r="CP2501" s="197"/>
      <c r="CQ2501" s="197"/>
      <c r="CR2501" s="197"/>
      <c r="CS2501" s="197"/>
      <c r="CT2501" s="197"/>
      <c r="CU2501" s="197"/>
      <c r="CV2501" s="197"/>
      <c r="CW2501" s="197"/>
      <c r="CX2501" s="959"/>
      <c r="CY2501" s="959"/>
      <c r="CZ2501" s="959"/>
      <c r="DA2501" s="959"/>
      <c r="DB2501" s="959"/>
      <c r="DC2501" s="891">
        <v>8436</v>
      </c>
      <c r="DD2501" s="891" t="s">
        <v>1318</v>
      </c>
      <c r="DE2501" s="891" t="s">
        <v>402</v>
      </c>
      <c r="DF2501" s="891">
        <v>6</v>
      </c>
      <c r="DG2501" s="959"/>
      <c r="DH2501" s="959"/>
      <c r="ER2501" s="905">
        <v>8316</v>
      </c>
      <c r="ES2501" s="906" t="s">
        <v>1662</v>
      </c>
      <c r="ET2501" s="2686">
        <v>9</v>
      </c>
      <c r="EV2501" s="985"/>
      <c r="EW2501" s="985"/>
      <c r="EX2501" s="387"/>
      <c r="EY2501" s="939"/>
      <c r="EZ2501" s="886"/>
    </row>
    <row r="2502" spans="88:156">
      <c r="CJ2502" s="197"/>
      <c r="CK2502" s="197"/>
      <c r="CL2502" s="197"/>
      <c r="CM2502" s="213"/>
      <c r="CN2502" s="213"/>
      <c r="CO2502" s="197"/>
      <c r="CP2502" s="197"/>
      <c r="CQ2502" s="197"/>
      <c r="CR2502" s="197"/>
      <c r="CS2502" s="197"/>
      <c r="CT2502" s="197"/>
      <c r="CU2502" s="197"/>
      <c r="CV2502" s="197"/>
      <c r="CW2502" s="197"/>
      <c r="CX2502" s="959"/>
      <c r="CY2502" s="959"/>
      <c r="CZ2502" s="959"/>
      <c r="DA2502" s="959"/>
      <c r="DB2502" s="959"/>
      <c r="DC2502" s="891">
        <v>8437</v>
      </c>
      <c r="DD2502" s="891" t="s">
        <v>1319</v>
      </c>
      <c r="DE2502" s="891" t="s">
        <v>402</v>
      </c>
      <c r="DF2502" s="891">
        <v>6</v>
      </c>
      <c r="DG2502" s="959"/>
      <c r="DH2502" s="959"/>
      <c r="ER2502" s="905">
        <v>8316</v>
      </c>
      <c r="ES2502" s="906" t="s">
        <v>1262</v>
      </c>
      <c r="ET2502" s="2686">
        <v>9</v>
      </c>
      <c r="EV2502" s="985"/>
      <c r="EW2502" s="985"/>
      <c r="EX2502" s="387"/>
      <c r="EY2502" s="939"/>
      <c r="EZ2502" s="886"/>
    </row>
    <row r="2503" spans="88:156">
      <c r="CJ2503" s="197"/>
      <c r="CK2503" s="197"/>
      <c r="CL2503" s="197"/>
      <c r="CM2503" s="213"/>
      <c r="CN2503" s="213"/>
      <c r="CO2503" s="197"/>
      <c r="CP2503" s="197"/>
      <c r="CQ2503" s="197"/>
      <c r="CR2503" s="197"/>
      <c r="CS2503" s="197"/>
      <c r="CT2503" s="197"/>
      <c r="CU2503" s="197"/>
      <c r="CV2503" s="197"/>
      <c r="CW2503" s="197"/>
      <c r="CX2503" s="959"/>
      <c r="CY2503" s="959"/>
      <c r="CZ2503" s="959"/>
      <c r="DA2503" s="959"/>
      <c r="DB2503" s="959"/>
      <c r="DC2503" s="891">
        <v>8438</v>
      </c>
      <c r="DD2503" s="891" t="s">
        <v>1320</v>
      </c>
      <c r="DE2503" s="891" t="s">
        <v>410</v>
      </c>
      <c r="DF2503" s="891">
        <v>6</v>
      </c>
      <c r="DG2503" s="959"/>
      <c r="DH2503" s="959"/>
      <c r="ER2503" s="905">
        <v>8318</v>
      </c>
      <c r="ES2503" s="906" t="s">
        <v>1263</v>
      </c>
      <c r="ET2503" s="2686">
        <v>9</v>
      </c>
      <c r="EV2503" s="985"/>
      <c r="EW2503" s="985"/>
      <c r="EX2503" s="387"/>
      <c r="EY2503" s="939"/>
      <c r="EZ2503" s="886"/>
    </row>
    <row r="2504" spans="88:156">
      <c r="CJ2504" s="197"/>
      <c r="CK2504" s="197"/>
      <c r="CL2504" s="197"/>
      <c r="CM2504" s="213"/>
      <c r="CN2504" s="213"/>
      <c r="CO2504" s="197"/>
      <c r="CP2504" s="197"/>
      <c r="CQ2504" s="197"/>
      <c r="CR2504" s="197"/>
      <c r="CS2504" s="197"/>
      <c r="CT2504" s="197"/>
      <c r="CU2504" s="197"/>
      <c r="CV2504" s="197"/>
      <c r="CW2504" s="197"/>
      <c r="CX2504" s="959"/>
      <c r="CY2504" s="959"/>
      <c r="CZ2504" s="959"/>
      <c r="DA2504" s="959"/>
      <c r="DB2504" s="959"/>
      <c r="DC2504" s="891">
        <v>8439</v>
      </c>
      <c r="DD2504" s="891" t="s">
        <v>1321</v>
      </c>
      <c r="DE2504" s="891" t="s">
        <v>435</v>
      </c>
      <c r="DF2504" s="891">
        <v>6</v>
      </c>
      <c r="DG2504" s="959"/>
      <c r="DH2504" s="959"/>
      <c r="ER2504" s="905">
        <v>8318</v>
      </c>
      <c r="ES2504" s="906" t="s">
        <v>1264</v>
      </c>
      <c r="ET2504" s="2686">
        <v>9</v>
      </c>
      <c r="EV2504" s="985"/>
      <c r="EW2504" s="985"/>
      <c r="EX2504" s="387"/>
      <c r="EY2504" s="939"/>
      <c r="EZ2504" s="886"/>
    </row>
    <row r="2505" spans="88:156">
      <c r="CJ2505" s="197"/>
      <c r="CK2505" s="197"/>
      <c r="CL2505" s="197"/>
      <c r="CM2505" s="213"/>
      <c r="CN2505" s="213"/>
      <c r="CO2505" s="197"/>
      <c r="CP2505" s="197"/>
      <c r="CQ2505" s="197"/>
      <c r="CR2505" s="197"/>
      <c r="CS2505" s="197"/>
      <c r="CT2505" s="197"/>
      <c r="CU2505" s="197"/>
      <c r="CV2505" s="197"/>
      <c r="CW2505" s="197"/>
      <c r="CX2505" s="959"/>
      <c r="CY2505" s="959"/>
      <c r="CZ2505" s="959"/>
      <c r="DA2505" s="959"/>
      <c r="DB2505" s="959"/>
      <c r="DC2505" s="891">
        <v>8440</v>
      </c>
      <c r="DD2505" s="891" t="s">
        <v>1322</v>
      </c>
      <c r="DE2505" s="891" t="s">
        <v>428</v>
      </c>
      <c r="DF2505" s="891">
        <v>6</v>
      </c>
      <c r="DG2505" s="959"/>
      <c r="DH2505" s="959"/>
      <c r="ER2505" s="905">
        <v>8319</v>
      </c>
      <c r="ES2505" s="906" t="s">
        <v>1265</v>
      </c>
      <c r="ET2505" s="2686">
        <v>9</v>
      </c>
      <c r="EV2505" s="985"/>
      <c r="EW2505" s="985"/>
      <c r="EX2505" s="387"/>
      <c r="EY2505" s="939"/>
      <c r="EZ2505" s="886"/>
    </row>
    <row r="2506" spans="88:156">
      <c r="CJ2506" s="197"/>
      <c r="CK2506" s="197"/>
      <c r="CL2506" s="197"/>
      <c r="CM2506" s="213"/>
      <c r="CN2506" s="213"/>
      <c r="CO2506" s="197"/>
      <c r="CP2506" s="197"/>
      <c r="CQ2506" s="197"/>
      <c r="CR2506" s="197"/>
      <c r="CS2506" s="197"/>
      <c r="CT2506" s="197"/>
      <c r="CU2506" s="197"/>
      <c r="CV2506" s="197"/>
      <c r="CW2506" s="197"/>
      <c r="CX2506" s="959"/>
      <c r="CY2506" s="959"/>
      <c r="CZ2506" s="959"/>
      <c r="DA2506" s="959"/>
      <c r="DB2506" s="959"/>
      <c r="DC2506" s="891">
        <v>8441</v>
      </c>
      <c r="DD2506" s="891" t="s">
        <v>3975</v>
      </c>
      <c r="DE2506" s="891" t="s">
        <v>421</v>
      </c>
      <c r="DF2506" s="891">
        <v>6</v>
      </c>
      <c r="DG2506" s="959"/>
      <c r="DH2506" s="959"/>
      <c r="ER2506" s="905">
        <v>8321</v>
      </c>
      <c r="ES2506" s="906" t="s">
        <v>1266</v>
      </c>
      <c r="ET2506" s="2686">
        <v>9</v>
      </c>
      <c r="EV2506" s="985"/>
      <c r="EW2506" s="985"/>
      <c r="EX2506" s="387"/>
      <c r="EY2506" s="939"/>
      <c r="EZ2506" s="886"/>
    </row>
    <row r="2507" spans="88:156">
      <c r="CJ2507" s="197"/>
      <c r="CK2507" s="197"/>
      <c r="CL2507" s="197"/>
      <c r="CM2507" s="213"/>
      <c r="CN2507" s="213"/>
      <c r="CO2507" s="197"/>
      <c r="CP2507" s="197"/>
      <c r="CQ2507" s="197"/>
      <c r="CR2507" s="197"/>
      <c r="CS2507" s="197"/>
      <c r="CT2507" s="197"/>
      <c r="CU2507" s="197"/>
      <c r="CV2507" s="197"/>
      <c r="CW2507" s="197"/>
      <c r="CX2507" s="959"/>
      <c r="CY2507" s="959"/>
      <c r="CZ2507" s="959"/>
      <c r="DA2507" s="959"/>
      <c r="DB2507" s="959"/>
      <c r="DC2507" s="891">
        <v>8442</v>
      </c>
      <c r="DD2507" s="891" t="s">
        <v>3976</v>
      </c>
      <c r="DE2507" s="891" t="s">
        <v>421</v>
      </c>
      <c r="DF2507" s="891">
        <v>6</v>
      </c>
      <c r="DG2507" s="959"/>
      <c r="DH2507" s="959"/>
      <c r="ER2507" s="905">
        <v>8330</v>
      </c>
      <c r="ES2507" s="906" t="s">
        <v>1267</v>
      </c>
      <c r="ET2507" s="2686">
        <v>9</v>
      </c>
      <c r="EV2507" s="985"/>
      <c r="EW2507" s="985"/>
      <c r="EX2507" s="387"/>
      <c r="EY2507" s="939"/>
      <c r="EZ2507" s="886"/>
    </row>
    <row r="2508" spans="88:156">
      <c r="CJ2508" s="197"/>
      <c r="CK2508" s="197"/>
      <c r="CL2508" s="197"/>
      <c r="CM2508" s="213"/>
      <c r="CN2508" s="213"/>
      <c r="CO2508" s="197"/>
      <c r="CP2508" s="197"/>
      <c r="CQ2508" s="197"/>
      <c r="CR2508" s="197"/>
      <c r="CS2508" s="197"/>
      <c r="CT2508" s="197"/>
      <c r="CU2508" s="197"/>
      <c r="CV2508" s="197"/>
      <c r="CW2508" s="197"/>
      <c r="CX2508" s="959"/>
      <c r="CY2508" s="959"/>
      <c r="CZ2508" s="959"/>
      <c r="DA2508" s="959"/>
      <c r="DB2508" s="959"/>
      <c r="DC2508" s="891">
        <v>8443</v>
      </c>
      <c r="DD2508" s="891" t="s">
        <v>3977</v>
      </c>
      <c r="DE2508" s="891" t="s">
        <v>420</v>
      </c>
      <c r="DF2508" s="891">
        <v>5</v>
      </c>
      <c r="DG2508" s="959"/>
      <c r="DH2508" s="959"/>
      <c r="ER2508" s="905">
        <v>8341</v>
      </c>
      <c r="ES2508" s="906" t="s">
        <v>1663</v>
      </c>
      <c r="ET2508" s="2686">
        <v>9</v>
      </c>
      <c r="EV2508" s="985"/>
      <c r="EW2508" s="985"/>
      <c r="EX2508" s="387"/>
      <c r="EY2508" s="939"/>
      <c r="EZ2508" s="886"/>
    </row>
    <row r="2509" spans="88:156">
      <c r="CJ2509" s="197"/>
      <c r="CK2509" s="197"/>
      <c r="CL2509" s="197"/>
      <c r="CM2509" s="213"/>
      <c r="CN2509" s="213"/>
      <c r="CO2509" s="197"/>
      <c r="CP2509" s="197"/>
      <c r="CQ2509" s="197"/>
      <c r="CR2509" s="197"/>
      <c r="CS2509" s="197"/>
      <c r="CT2509" s="197"/>
      <c r="CU2509" s="197"/>
      <c r="CV2509" s="197"/>
      <c r="CW2509" s="197"/>
      <c r="CX2509" s="959"/>
      <c r="CY2509" s="959"/>
      <c r="CZ2509" s="959"/>
      <c r="DA2509" s="959"/>
      <c r="DB2509" s="959"/>
      <c r="DC2509" s="891">
        <v>8444</v>
      </c>
      <c r="DD2509" s="891" t="s">
        <v>3978</v>
      </c>
      <c r="DE2509" s="891" t="s">
        <v>412</v>
      </c>
      <c r="DF2509" s="891">
        <v>6</v>
      </c>
      <c r="DG2509" s="959"/>
      <c r="DH2509" s="959"/>
      <c r="ER2509" s="905">
        <v>8341</v>
      </c>
      <c r="ES2509" s="906" t="s">
        <v>1664</v>
      </c>
      <c r="ET2509" s="2686">
        <v>9</v>
      </c>
      <c r="EV2509" s="985"/>
      <c r="EW2509" s="985"/>
      <c r="EX2509" s="387"/>
      <c r="EY2509" s="939"/>
      <c r="EZ2509" s="886"/>
    </row>
    <row r="2510" spans="88:156">
      <c r="CJ2510" s="197"/>
      <c r="CK2510" s="197"/>
      <c r="CL2510" s="197"/>
      <c r="CM2510" s="213"/>
      <c r="CN2510" s="213"/>
      <c r="CO2510" s="197"/>
      <c r="CP2510" s="197"/>
      <c r="CQ2510" s="197"/>
      <c r="CR2510" s="197"/>
      <c r="CS2510" s="197"/>
      <c r="CT2510" s="197"/>
      <c r="CU2510" s="197"/>
      <c r="CV2510" s="197"/>
      <c r="CW2510" s="197"/>
      <c r="CX2510" s="959"/>
      <c r="CY2510" s="959"/>
      <c r="CZ2510" s="959"/>
      <c r="DA2510" s="959"/>
      <c r="DB2510" s="959"/>
      <c r="DC2510" s="891">
        <v>8445</v>
      </c>
      <c r="DD2510" s="891" t="s">
        <v>3979</v>
      </c>
      <c r="DE2510" s="891" t="s">
        <v>412</v>
      </c>
      <c r="DF2510" s="891">
        <v>6</v>
      </c>
      <c r="DG2510" s="959"/>
      <c r="DH2510" s="959"/>
      <c r="ER2510" s="905">
        <v>8341</v>
      </c>
      <c r="ES2510" s="906" t="s">
        <v>1268</v>
      </c>
      <c r="ET2510" s="2686">
        <v>9</v>
      </c>
      <c r="EV2510" s="985"/>
      <c r="EW2510" s="985"/>
      <c r="EX2510" s="387"/>
      <c r="EY2510" s="939"/>
      <c r="EZ2510" s="886"/>
    </row>
    <row r="2511" spans="88:156">
      <c r="CJ2511" s="197"/>
      <c r="CK2511" s="197"/>
      <c r="CL2511" s="197"/>
      <c r="CM2511" s="213"/>
      <c r="CN2511" s="213"/>
      <c r="CO2511" s="197"/>
      <c r="CP2511" s="197"/>
      <c r="CQ2511" s="197"/>
      <c r="CR2511" s="197"/>
      <c r="CS2511" s="197"/>
      <c r="CT2511" s="197"/>
      <c r="CU2511" s="197"/>
      <c r="CV2511" s="197"/>
      <c r="CW2511" s="197"/>
      <c r="CX2511" s="959"/>
      <c r="CY2511" s="959"/>
      <c r="CZ2511" s="959"/>
      <c r="DA2511" s="959"/>
      <c r="DB2511" s="959"/>
      <c r="DC2511" s="891">
        <v>8446</v>
      </c>
      <c r="DD2511" s="891" t="s">
        <v>3980</v>
      </c>
      <c r="DE2511" s="891" t="s">
        <v>432</v>
      </c>
      <c r="DF2511" s="891">
        <v>6</v>
      </c>
      <c r="DG2511" s="959"/>
      <c r="DH2511" s="959"/>
      <c r="ER2511" s="905">
        <v>8342</v>
      </c>
      <c r="ES2511" s="906" t="s">
        <v>1269</v>
      </c>
      <c r="ET2511" s="2686">
        <v>9</v>
      </c>
      <c r="EV2511" s="985"/>
      <c r="EW2511" s="985"/>
      <c r="EX2511" s="387"/>
      <c r="EY2511" s="939"/>
      <c r="EZ2511" s="886"/>
    </row>
    <row r="2512" spans="88:156">
      <c r="CJ2512" s="197"/>
      <c r="CK2512" s="197"/>
      <c r="CL2512" s="197"/>
      <c r="CM2512" s="213"/>
      <c r="CN2512" s="213"/>
      <c r="CO2512" s="197"/>
      <c r="CP2512" s="197"/>
      <c r="CQ2512" s="197"/>
      <c r="CR2512" s="197"/>
      <c r="CS2512" s="197"/>
      <c r="CT2512" s="197"/>
      <c r="CU2512" s="197"/>
      <c r="CV2512" s="197"/>
      <c r="CW2512" s="197"/>
      <c r="CX2512" s="959"/>
      <c r="CY2512" s="959"/>
      <c r="CZ2512" s="959"/>
      <c r="DA2512" s="959"/>
      <c r="DB2512" s="959"/>
      <c r="DC2512" s="891">
        <v>8447</v>
      </c>
      <c r="DD2512" s="891" t="s">
        <v>4294</v>
      </c>
      <c r="DE2512" s="891" t="s">
        <v>412</v>
      </c>
      <c r="DF2512" s="891">
        <v>6</v>
      </c>
      <c r="DG2512" s="959"/>
      <c r="DH2512" s="959"/>
      <c r="ER2512" s="905">
        <v>8344</v>
      </c>
      <c r="ES2512" s="906" t="s">
        <v>1270</v>
      </c>
      <c r="ET2512" s="2686">
        <v>9</v>
      </c>
      <c r="EV2512" s="985"/>
      <c r="EW2512" s="985"/>
      <c r="EX2512" s="387"/>
      <c r="EY2512" s="939"/>
      <c r="EZ2512" s="886"/>
    </row>
    <row r="2513" spans="88:156">
      <c r="CJ2513" s="197"/>
      <c r="CK2513" s="197"/>
      <c r="CL2513" s="197"/>
      <c r="CM2513" s="213"/>
      <c r="CN2513" s="213"/>
      <c r="CO2513" s="197"/>
      <c r="CP2513" s="197"/>
      <c r="CQ2513" s="197"/>
      <c r="CR2513" s="197"/>
      <c r="CS2513" s="197"/>
      <c r="CT2513" s="197"/>
      <c r="CU2513" s="197"/>
      <c r="CV2513" s="197"/>
      <c r="CW2513" s="197"/>
      <c r="CX2513" s="959"/>
      <c r="CY2513" s="959"/>
      <c r="CZ2513" s="959"/>
      <c r="DA2513" s="959"/>
      <c r="DB2513" s="959"/>
      <c r="DC2513" s="891">
        <v>8448</v>
      </c>
      <c r="DD2513" s="891" t="s">
        <v>4295</v>
      </c>
      <c r="DE2513" s="891" t="s">
        <v>428</v>
      </c>
      <c r="DF2513" s="891">
        <v>6</v>
      </c>
      <c r="DG2513" s="959"/>
      <c r="DH2513" s="959"/>
      <c r="ER2513" s="905">
        <v>8344</v>
      </c>
      <c r="ES2513" s="906" t="s">
        <v>1665</v>
      </c>
      <c r="ET2513" s="2686">
        <v>9</v>
      </c>
      <c r="EV2513" s="985"/>
      <c r="EW2513" s="985"/>
      <c r="EX2513" s="387"/>
      <c r="EY2513" s="939"/>
      <c r="EZ2513" s="886"/>
    </row>
    <row r="2514" spans="88:156">
      <c r="CJ2514" s="197"/>
      <c r="CK2514" s="197"/>
      <c r="CL2514" s="197"/>
      <c r="CM2514" s="213"/>
      <c r="CN2514" s="213"/>
      <c r="CO2514" s="197"/>
      <c r="CP2514" s="197"/>
      <c r="CQ2514" s="197"/>
      <c r="CR2514" s="197"/>
      <c r="CS2514" s="197"/>
      <c r="CT2514" s="197"/>
      <c r="CU2514" s="197"/>
      <c r="CV2514" s="197"/>
      <c r="CW2514" s="197"/>
      <c r="CX2514" s="959"/>
      <c r="CY2514" s="959"/>
      <c r="CZ2514" s="959"/>
      <c r="DA2514" s="959"/>
      <c r="DB2514" s="959"/>
      <c r="DC2514" s="891">
        <v>8449</v>
      </c>
      <c r="DD2514" s="891" t="s">
        <v>4296</v>
      </c>
      <c r="DE2514" s="891" t="s">
        <v>421</v>
      </c>
      <c r="DF2514" s="891">
        <v>6</v>
      </c>
      <c r="DG2514" s="959"/>
      <c r="DH2514" s="959"/>
      <c r="ER2514" s="905">
        <v>8345</v>
      </c>
      <c r="ES2514" s="906" t="s">
        <v>1271</v>
      </c>
      <c r="ET2514" s="2686">
        <v>9</v>
      </c>
      <c r="EV2514" s="985"/>
      <c r="EW2514" s="985"/>
      <c r="EX2514" s="387"/>
      <c r="EY2514" s="939"/>
      <c r="EZ2514" s="886"/>
    </row>
    <row r="2515" spans="88:156">
      <c r="CJ2515" s="197"/>
      <c r="CK2515" s="197"/>
      <c r="CL2515" s="197"/>
      <c r="CM2515" s="213"/>
      <c r="CN2515" s="213"/>
      <c r="CO2515" s="197"/>
      <c r="CP2515" s="197"/>
      <c r="CQ2515" s="197"/>
      <c r="CR2515" s="197"/>
      <c r="CS2515" s="197"/>
      <c r="CT2515" s="197"/>
      <c r="CU2515" s="197"/>
      <c r="CV2515" s="197"/>
      <c r="CW2515" s="197"/>
      <c r="CX2515" s="959"/>
      <c r="CY2515" s="959"/>
      <c r="CZ2515" s="959"/>
      <c r="DA2515" s="959"/>
      <c r="DB2515" s="959"/>
      <c r="DC2515" s="891">
        <v>8451</v>
      </c>
      <c r="DD2515" s="891" t="s">
        <v>4297</v>
      </c>
      <c r="DE2515" s="891" t="s">
        <v>432</v>
      </c>
      <c r="DF2515" s="891">
        <v>6</v>
      </c>
      <c r="DG2515" s="959"/>
      <c r="DH2515" s="959"/>
      <c r="ER2515" s="905">
        <v>8346</v>
      </c>
      <c r="ES2515" s="906" t="s">
        <v>1272</v>
      </c>
      <c r="ET2515" s="2686">
        <v>9</v>
      </c>
      <c r="EV2515" s="985"/>
      <c r="EW2515" s="985"/>
      <c r="EX2515" s="387"/>
      <c r="EY2515" s="939"/>
      <c r="EZ2515" s="886"/>
    </row>
    <row r="2516" spans="88:156">
      <c r="CJ2516" s="197"/>
      <c r="CK2516" s="197"/>
      <c r="CL2516" s="197"/>
      <c r="CM2516" s="213"/>
      <c r="CN2516" s="213"/>
      <c r="CO2516" s="197"/>
      <c r="CP2516" s="197"/>
      <c r="CQ2516" s="197"/>
      <c r="CR2516" s="197"/>
      <c r="CS2516" s="197"/>
      <c r="CT2516" s="197"/>
      <c r="CU2516" s="197"/>
      <c r="CV2516" s="197"/>
      <c r="CW2516" s="197"/>
      <c r="CX2516" s="959"/>
      <c r="CY2516" s="959"/>
      <c r="CZ2516" s="959"/>
      <c r="DA2516" s="959"/>
      <c r="DB2516" s="959"/>
      <c r="DC2516" s="891">
        <v>8452</v>
      </c>
      <c r="DD2516" s="891" t="s">
        <v>4298</v>
      </c>
      <c r="DE2516" s="891" t="s">
        <v>421</v>
      </c>
      <c r="DF2516" s="891">
        <v>6</v>
      </c>
      <c r="DG2516" s="959"/>
      <c r="DH2516" s="959"/>
      <c r="ER2516" s="905">
        <v>8347</v>
      </c>
      <c r="ES2516" s="906" t="s">
        <v>1273</v>
      </c>
      <c r="ET2516" s="2686">
        <v>9</v>
      </c>
      <c r="EV2516" s="985"/>
      <c r="EW2516" s="985"/>
      <c r="EX2516" s="387"/>
      <c r="EY2516" s="939"/>
      <c r="EZ2516" s="886"/>
    </row>
    <row r="2517" spans="88:156">
      <c r="CJ2517" s="197"/>
      <c r="CK2517" s="197"/>
      <c r="CL2517" s="197"/>
      <c r="CM2517" s="213"/>
      <c r="CN2517" s="213"/>
      <c r="CO2517" s="197"/>
      <c r="CP2517" s="197"/>
      <c r="CQ2517" s="197"/>
      <c r="CR2517" s="197"/>
      <c r="CS2517" s="197"/>
      <c r="CT2517" s="197"/>
      <c r="CU2517" s="197"/>
      <c r="CV2517" s="197"/>
      <c r="CW2517" s="197"/>
      <c r="CX2517" s="959"/>
      <c r="CY2517" s="959"/>
      <c r="CZ2517" s="959"/>
      <c r="DA2517" s="959"/>
      <c r="DB2517" s="959"/>
      <c r="DC2517" s="891">
        <v>8454</v>
      </c>
      <c r="DD2517" s="891" t="s">
        <v>4299</v>
      </c>
      <c r="DE2517" s="891" t="s">
        <v>423</v>
      </c>
      <c r="DF2517" s="891">
        <v>6</v>
      </c>
      <c r="DG2517" s="959"/>
      <c r="DH2517" s="959"/>
      <c r="ER2517" s="905">
        <v>8348</v>
      </c>
      <c r="ES2517" s="906" t="s">
        <v>1666</v>
      </c>
      <c r="ET2517" s="2686">
        <v>9</v>
      </c>
      <c r="EV2517" s="985"/>
      <c r="EW2517" s="985"/>
      <c r="EX2517" s="387"/>
      <c r="EY2517" s="939"/>
      <c r="EZ2517" s="886"/>
    </row>
    <row r="2518" spans="88:156">
      <c r="CJ2518" s="197"/>
      <c r="CK2518" s="197"/>
      <c r="CL2518" s="197"/>
      <c r="CM2518" s="213"/>
      <c r="CN2518" s="213"/>
      <c r="CO2518" s="197"/>
      <c r="CP2518" s="197"/>
      <c r="CQ2518" s="197"/>
      <c r="CR2518" s="197"/>
      <c r="CS2518" s="197"/>
      <c r="CT2518" s="197"/>
      <c r="CU2518" s="197"/>
      <c r="CV2518" s="197"/>
      <c r="CW2518" s="197"/>
      <c r="CX2518" s="959"/>
      <c r="CY2518" s="959"/>
      <c r="CZ2518" s="959"/>
      <c r="DA2518" s="959"/>
      <c r="DB2518" s="959"/>
      <c r="DC2518" s="891">
        <v>8455</v>
      </c>
      <c r="DD2518" s="891" t="s">
        <v>4300</v>
      </c>
      <c r="DE2518" s="891" t="s">
        <v>419</v>
      </c>
      <c r="DF2518" s="891">
        <v>6</v>
      </c>
      <c r="DG2518" s="959"/>
      <c r="DH2518" s="959"/>
      <c r="ER2518" s="905">
        <v>8348</v>
      </c>
      <c r="ES2518" s="906" t="s">
        <v>1667</v>
      </c>
      <c r="ET2518" s="2686">
        <v>9</v>
      </c>
      <c r="EV2518" s="985"/>
      <c r="EW2518" s="985"/>
      <c r="EX2518" s="387"/>
      <c r="EY2518" s="939"/>
      <c r="EZ2518" s="886"/>
    </row>
    <row r="2519" spans="88:156">
      <c r="CJ2519" s="197"/>
      <c r="CK2519" s="197"/>
      <c r="CL2519" s="197"/>
      <c r="CM2519" s="213"/>
      <c r="CN2519" s="213"/>
      <c r="CO2519" s="197"/>
      <c r="CP2519" s="197"/>
      <c r="CQ2519" s="197"/>
      <c r="CR2519" s="197"/>
      <c r="CS2519" s="197"/>
      <c r="CT2519" s="197"/>
      <c r="CU2519" s="197"/>
      <c r="CV2519" s="197"/>
      <c r="CW2519" s="197"/>
      <c r="CX2519" s="959"/>
      <c r="CY2519" s="959"/>
      <c r="CZ2519" s="959"/>
      <c r="DA2519" s="959"/>
      <c r="DB2519" s="959"/>
      <c r="DC2519" s="891">
        <v>8456</v>
      </c>
      <c r="DD2519" s="891" t="s">
        <v>4301</v>
      </c>
      <c r="DE2519" s="891" t="s">
        <v>419</v>
      </c>
      <c r="DF2519" s="891">
        <v>6</v>
      </c>
      <c r="DG2519" s="959"/>
      <c r="DH2519" s="959"/>
      <c r="ER2519" s="905">
        <v>8348</v>
      </c>
      <c r="ES2519" s="906" t="s">
        <v>1274</v>
      </c>
      <c r="ET2519" s="2686">
        <v>9</v>
      </c>
      <c r="EV2519" s="985"/>
      <c r="EW2519" s="985"/>
      <c r="EX2519" s="387"/>
      <c r="EY2519" s="939"/>
      <c r="EZ2519" s="886"/>
    </row>
    <row r="2520" spans="88:156">
      <c r="CJ2520" s="197"/>
      <c r="CK2520" s="197"/>
      <c r="CL2520" s="197"/>
      <c r="CM2520" s="213"/>
      <c r="CN2520" s="213"/>
      <c r="CO2520" s="197"/>
      <c r="CP2520" s="197"/>
      <c r="CQ2520" s="197"/>
      <c r="CR2520" s="197"/>
      <c r="CS2520" s="197"/>
      <c r="CT2520" s="197"/>
      <c r="CU2520" s="197"/>
      <c r="CV2520" s="197"/>
      <c r="CW2520" s="197"/>
      <c r="CX2520" s="959"/>
      <c r="CY2520" s="959"/>
      <c r="CZ2520" s="959"/>
      <c r="DA2520" s="959"/>
      <c r="DB2520" s="959"/>
      <c r="DC2520" s="891">
        <v>8457</v>
      </c>
      <c r="DD2520" s="891" t="s">
        <v>4302</v>
      </c>
      <c r="DE2520" s="891" t="s">
        <v>419</v>
      </c>
      <c r="DF2520" s="891">
        <v>6</v>
      </c>
      <c r="DG2520" s="959"/>
      <c r="DH2520" s="959"/>
      <c r="ER2520" s="905">
        <v>8349</v>
      </c>
      <c r="ES2520" s="906" t="s">
        <v>1275</v>
      </c>
      <c r="ET2520" s="2686">
        <v>9</v>
      </c>
      <c r="EV2520" s="985"/>
      <c r="EW2520" s="985"/>
      <c r="EX2520" s="387"/>
      <c r="EY2520" s="939"/>
      <c r="EZ2520" s="886"/>
    </row>
    <row r="2521" spans="88:156">
      <c r="CJ2521" s="197"/>
      <c r="CK2521" s="197"/>
      <c r="CL2521" s="197"/>
      <c r="CM2521" s="213"/>
      <c r="CN2521" s="213"/>
      <c r="CO2521" s="197"/>
      <c r="CP2521" s="197"/>
      <c r="CQ2521" s="197"/>
      <c r="CR2521" s="197"/>
      <c r="CS2521" s="197"/>
      <c r="CT2521" s="197"/>
      <c r="CU2521" s="197"/>
      <c r="CV2521" s="197"/>
      <c r="CW2521" s="197"/>
      <c r="CX2521" s="959"/>
      <c r="CY2521" s="959"/>
      <c r="CZ2521" s="959"/>
      <c r="DA2521" s="959"/>
      <c r="DB2521" s="959"/>
      <c r="DC2521" s="891">
        <v>8458</v>
      </c>
      <c r="DD2521" s="891" t="s">
        <v>4303</v>
      </c>
      <c r="DE2521" s="891" t="s">
        <v>432</v>
      </c>
      <c r="DF2521" s="891">
        <v>6</v>
      </c>
      <c r="DG2521" s="959"/>
      <c r="DH2521" s="959"/>
      <c r="ER2521" s="905">
        <v>8351</v>
      </c>
      <c r="ES2521" s="906" t="s">
        <v>1276</v>
      </c>
      <c r="ET2521" s="2686">
        <v>9</v>
      </c>
      <c r="EV2521" s="985"/>
      <c r="EW2521" s="985"/>
      <c r="EX2521" s="387"/>
      <c r="EY2521" s="939"/>
      <c r="EZ2521" s="886"/>
    </row>
    <row r="2522" spans="88:156">
      <c r="CJ2522" s="197"/>
      <c r="CK2522" s="197"/>
      <c r="CL2522" s="197"/>
      <c r="CM2522" s="213"/>
      <c r="CN2522" s="213"/>
      <c r="CO2522" s="197"/>
      <c r="CP2522" s="197"/>
      <c r="CQ2522" s="197"/>
      <c r="CR2522" s="197"/>
      <c r="CS2522" s="197"/>
      <c r="CT2522" s="197"/>
      <c r="CU2522" s="197"/>
      <c r="CV2522" s="197"/>
      <c r="CW2522" s="197"/>
      <c r="CX2522" s="959"/>
      <c r="CY2522" s="959"/>
      <c r="CZ2522" s="959"/>
      <c r="DA2522" s="959"/>
      <c r="DB2522" s="959"/>
      <c r="DC2522" s="891">
        <v>8460</v>
      </c>
      <c r="DD2522" s="891" t="s">
        <v>4304</v>
      </c>
      <c r="DE2522" s="891" t="s">
        <v>406</v>
      </c>
      <c r="DF2522" s="891">
        <v>6</v>
      </c>
      <c r="DG2522" s="959"/>
      <c r="DH2522" s="959"/>
      <c r="ER2522" s="905">
        <v>8352</v>
      </c>
      <c r="ES2522" s="906" t="s">
        <v>1277</v>
      </c>
      <c r="ET2522" s="2686">
        <v>9</v>
      </c>
      <c r="EV2522" s="985"/>
      <c r="EW2522" s="985"/>
      <c r="EX2522" s="387"/>
      <c r="EY2522" s="939"/>
      <c r="EZ2522" s="886"/>
    </row>
    <row r="2523" spans="88:156">
      <c r="CJ2523" s="197"/>
      <c r="CK2523" s="197"/>
      <c r="CL2523" s="197"/>
      <c r="CM2523" s="213"/>
      <c r="CN2523" s="213"/>
      <c r="CO2523" s="197"/>
      <c r="CP2523" s="197"/>
      <c r="CQ2523" s="197"/>
      <c r="CR2523" s="197"/>
      <c r="CS2523" s="197"/>
      <c r="CT2523" s="197"/>
      <c r="CU2523" s="197"/>
      <c r="CV2523" s="197"/>
      <c r="CW2523" s="197"/>
      <c r="CX2523" s="959"/>
      <c r="CY2523" s="959"/>
      <c r="CZ2523" s="959"/>
      <c r="DA2523" s="959"/>
      <c r="DB2523" s="959"/>
      <c r="DC2523" s="891">
        <v>8468</v>
      </c>
      <c r="DD2523" s="891" t="s">
        <v>4305</v>
      </c>
      <c r="DE2523" s="891" t="s">
        <v>417</v>
      </c>
      <c r="DF2523" s="891">
        <v>6</v>
      </c>
      <c r="DG2523" s="959"/>
      <c r="DH2523" s="959"/>
      <c r="ER2523" s="905">
        <v>8353</v>
      </c>
      <c r="ES2523" s="906" t="s">
        <v>1668</v>
      </c>
      <c r="ET2523" s="2686">
        <v>9</v>
      </c>
      <c r="EV2523" s="985"/>
      <c r="EW2523" s="985"/>
      <c r="EX2523" s="387"/>
      <c r="EY2523" s="939"/>
      <c r="EZ2523" s="886"/>
    </row>
    <row r="2524" spans="88:156">
      <c r="CJ2524" s="197"/>
      <c r="CK2524" s="197"/>
      <c r="CL2524" s="197"/>
      <c r="CM2524" s="213"/>
      <c r="CN2524" s="213"/>
      <c r="CO2524" s="197"/>
      <c r="CP2524" s="197"/>
      <c r="CQ2524" s="197"/>
      <c r="CR2524" s="197"/>
      <c r="CS2524" s="197"/>
      <c r="CT2524" s="197"/>
      <c r="CU2524" s="197"/>
      <c r="CV2524" s="197"/>
      <c r="CW2524" s="197"/>
      <c r="CX2524" s="959"/>
      <c r="CY2524" s="959"/>
      <c r="CZ2524" s="959"/>
      <c r="DA2524" s="959"/>
      <c r="DB2524" s="959"/>
      <c r="DC2524" s="891">
        <v>8469</v>
      </c>
      <c r="DD2524" s="891" t="s">
        <v>4306</v>
      </c>
      <c r="DE2524" s="891" t="s">
        <v>421</v>
      </c>
      <c r="DF2524" s="891">
        <v>6</v>
      </c>
      <c r="DG2524" s="959"/>
      <c r="DH2524" s="959"/>
      <c r="ER2524" s="905">
        <v>8353</v>
      </c>
      <c r="ES2524" s="906" t="s">
        <v>1278</v>
      </c>
      <c r="ET2524" s="2686">
        <v>9</v>
      </c>
      <c r="EV2524" s="985"/>
      <c r="EW2524" s="985"/>
      <c r="EX2524" s="387"/>
      <c r="EY2524" s="939"/>
      <c r="EZ2524" s="886"/>
    </row>
    <row r="2525" spans="88:156">
      <c r="CJ2525" s="197"/>
      <c r="CK2525" s="197"/>
      <c r="CL2525" s="197"/>
      <c r="CM2525" s="213"/>
      <c r="CN2525" s="213"/>
      <c r="CO2525" s="197"/>
      <c r="CP2525" s="197"/>
      <c r="CQ2525" s="197"/>
      <c r="CR2525" s="197"/>
      <c r="CS2525" s="197"/>
      <c r="CT2525" s="197"/>
      <c r="CU2525" s="197"/>
      <c r="CV2525" s="197"/>
      <c r="CW2525" s="197"/>
      <c r="CX2525" s="959"/>
      <c r="CY2525" s="959"/>
      <c r="CZ2525" s="959"/>
      <c r="DA2525" s="959"/>
      <c r="DB2525" s="959"/>
      <c r="DC2525" s="891">
        <v>8471</v>
      </c>
      <c r="DD2525" s="891" t="s">
        <v>4307</v>
      </c>
      <c r="DE2525" s="891" t="s">
        <v>423</v>
      </c>
      <c r="DF2525" s="891">
        <v>6</v>
      </c>
      <c r="DG2525" s="959"/>
      <c r="DH2525" s="959"/>
      <c r="ER2525" s="905">
        <v>8354</v>
      </c>
      <c r="ES2525" s="906" t="s">
        <v>1669</v>
      </c>
      <c r="ET2525" s="2686">
        <v>9</v>
      </c>
      <c r="EV2525" s="985"/>
      <c r="EW2525" s="985"/>
      <c r="EX2525" s="387"/>
      <c r="EY2525" s="939"/>
      <c r="EZ2525" s="886"/>
    </row>
    <row r="2526" spans="88:156">
      <c r="CJ2526" s="197"/>
      <c r="CK2526" s="197"/>
      <c r="CL2526" s="197"/>
      <c r="CM2526" s="213"/>
      <c r="CN2526" s="213"/>
      <c r="CO2526" s="197"/>
      <c r="CP2526" s="197"/>
      <c r="CQ2526" s="197"/>
      <c r="CR2526" s="197"/>
      <c r="CS2526" s="197"/>
      <c r="CT2526" s="197"/>
      <c r="CU2526" s="197"/>
      <c r="CV2526" s="197"/>
      <c r="CW2526" s="197"/>
      <c r="CX2526" s="959"/>
      <c r="CY2526" s="959"/>
      <c r="CZ2526" s="959"/>
      <c r="DA2526" s="959"/>
      <c r="DB2526" s="959"/>
      <c r="DC2526" s="891">
        <v>8473</v>
      </c>
      <c r="DD2526" s="891" t="s">
        <v>4308</v>
      </c>
      <c r="DE2526" s="891" t="s">
        <v>421</v>
      </c>
      <c r="DF2526" s="891">
        <v>6</v>
      </c>
      <c r="DG2526" s="959"/>
      <c r="DH2526" s="959"/>
      <c r="ER2526" s="905">
        <v>8354</v>
      </c>
      <c r="ES2526" s="906" t="s">
        <v>1670</v>
      </c>
      <c r="ET2526" s="2686">
        <v>9</v>
      </c>
      <c r="EV2526" s="985"/>
      <c r="EW2526" s="985"/>
      <c r="EX2526" s="387"/>
      <c r="EY2526" s="939"/>
      <c r="EZ2526" s="886"/>
    </row>
    <row r="2527" spans="88:156">
      <c r="CJ2527" s="197"/>
      <c r="CK2527" s="197"/>
      <c r="CL2527" s="197"/>
      <c r="CM2527" s="213"/>
      <c r="CN2527" s="213"/>
      <c r="CO2527" s="197"/>
      <c r="CP2527" s="197"/>
      <c r="CQ2527" s="197"/>
      <c r="CR2527" s="197"/>
      <c r="CS2527" s="197"/>
      <c r="CT2527" s="197"/>
      <c r="CU2527" s="197"/>
      <c r="CV2527" s="197"/>
      <c r="CW2527" s="197"/>
      <c r="CX2527" s="959"/>
      <c r="CY2527" s="959"/>
      <c r="CZ2527" s="959"/>
      <c r="DA2527" s="959"/>
      <c r="DB2527" s="959"/>
      <c r="DC2527" s="891">
        <v>8474</v>
      </c>
      <c r="DD2527" s="891" t="s">
        <v>4309</v>
      </c>
      <c r="DE2527" s="891" t="s">
        <v>421</v>
      </c>
      <c r="DF2527" s="891">
        <v>6</v>
      </c>
      <c r="DG2527" s="959"/>
      <c r="DH2527" s="959"/>
      <c r="ER2527" s="905">
        <v>8354</v>
      </c>
      <c r="ES2527" s="906" t="s">
        <v>1279</v>
      </c>
      <c r="ET2527" s="2686">
        <v>9</v>
      </c>
      <c r="EV2527" s="985"/>
      <c r="EW2527" s="985"/>
      <c r="EX2527" s="387"/>
      <c r="EY2527" s="939"/>
      <c r="EZ2527" s="886"/>
    </row>
    <row r="2528" spans="88:156">
      <c r="CJ2528" s="197"/>
      <c r="CK2528" s="197"/>
      <c r="CL2528" s="197"/>
      <c r="CM2528" s="213"/>
      <c r="CN2528" s="213"/>
      <c r="CO2528" s="197"/>
      <c r="CP2528" s="197"/>
      <c r="CQ2528" s="197"/>
      <c r="CR2528" s="197"/>
      <c r="CS2528" s="197"/>
      <c r="CT2528" s="197"/>
      <c r="CU2528" s="197"/>
      <c r="CV2528" s="197"/>
      <c r="CW2528" s="197"/>
      <c r="CX2528" s="959"/>
      <c r="CY2528" s="959"/>
      <c r="CZ2528" s="959"/>
      <c r="DA2528" s="959"/>
      <c r="DB2528" s="959"/>
      <c r="DC2528" s="891">
        <v>8475</v>
      </c>
      <c r="DD2528" s="891" t="s">
        <v>4310</v>
      </c>
      <c r="DE2528" s="891" t="s">
        <v>421</v>
      </c>
      <c r="DF2528" s="891">
        <v>6</v>
      </c>
      <c r="DG2528" s="959"/>
      <c r="DH2528" s="959"/>
      <c r="ER2528" s="905">
        <v>8355</v>
      </c>
      <c r="ES2528" s="906" t="s">
        <v>1280</v>
      </c>
      <c r="ET2528" s="2686">
        <v>9</v>
      </c>
      <c r="EV2528" s="985"/>
      <c r="EW2528" s="985"/>
      <c r="EX2528" s="387"/>
      <c r="EY2528" s="939"/>
      <c r="EZ2528" s="886"/>
    </row>
    <row r="2529" spans="88:156">
      <c r="CJ2529" s="197"/>
      <c r="CK2529" s="197"/>
      <c r="CL2529" s="197"/>
      <c r="CM2529" s="213"/>
      <c r="CN2529" s="213"/>
      <c r="CO2529" s="197"/>
      <c r="CP2529" s="197"/>
      <c r="CQ2529" s="197"/>
      <c r="CR2529" s="197"/>
      <c r="CS2529" s="197"/>
      <c r="CT2529" s="197"/>
      <c r="CU2529" s="197"/>
      <c r="CV2529" s="197"/>
      <c r="CW2529" s="197"/>
      <c r="CX2529" s="959"/>
      <c r="CY2529" s="959"/>
      <c r="CZ2529" s="959"/>
      <c r="DA2529" s="959"/>
      <c r="DB2529" s="959"/>
      <c r="DC2529" s="891">
        <v>8476</v>
      </c>
      <c r="DD2529" s="891" t="s">
        <v>4311</v>
      </c>
      <c r="DE2529" s="891" t="s">
        <v>421</v>
      </c>
      <c r="DF2529" s="891">
        <v>6</v>
      </c>
      <c r="DG2529" s="959"/>
      <c r="DH2529" s="959"/>
      <c r="ER2529" s="905">
        <v>8356</v>
      </c>
      <c r="ES2529" s="906" t="s">
        <v>1671</v>
      </c>
      <c r="ET2529" s="2686">
        <v>9</v>
      </c>
      <c r="EV2529" s="985"/>
      <c r="EW2529" s="985"/>
      <c r="EX2529" s="387"/>
      <c r="EY2529" s="939"/>
      <c r="EZ2529" s="886"/>
    </row>
    <row r="2530" spans="88:156">
      <c r="CJ2530" s="197"/>
      <c r="CK2530" s="197"/>
      <c r="CL2530" s="197"/>
      <c r="CM2530" s="213"/>
      <c r="CN2530" s="213"/>
      <c r="CO2530" s="197"/>
      <c r="CP2530" s="197"/>
      <c r="CQ2530" s="197"/>
      <c r="CR2530" s="197"/>
      <c r="CS2530" s="197"/>
      <c r="CT2530" s="197"/>
      <c r="CU2530" s="197"/>
      <c r="CV2530" s="197"/>
      <c r="CW2530" s="197"/>
      <c r="CX2530" s="959"/>
      <c r="CY2530" s="959"/>
      <c r="CZ2530" s="959"/>
      <c r="DA2530" s="959"/>
      <c r="DB2530" s="959"/>
      <c r="DC2530" s="891">
        <v>8477</v>
      </c>
      <c r="DD2530" s="891" t="s">
        <v>4312</v>
      </c>
      <c r="DE2530" s="891" t="s">
        <v>427</v>
      </c>
      <c r="DF2530" s="891">
        <v>6</v>
      </c>
      <c r="DG2530" s="959"/>
      <c r="DH2530" s="959"/>
      <c r="ER2530" s="905">
        <v>8356</v>
      </c>
      <c r="ES2530" s="906" t="s">
        <v>1281</v>
      </c>
      <c r="ET2530" s="2686">
        <v>9</v>
      </c>
      <c r="EV2530" s="985"/>
      <c r="EW2530" s="985"/>
      <c r="EX2530" s="387"/>
      <c r="EY2530" s="939"/>
      <c r="EZ2530" s="886"/>
    </row>
    <row r="2531" spans="88:156">
      <c r="CJ2531" s="197"/>
      <c r="CK2531" s="197"/>
      <c r="CL2531" s="197"/>
      <c r="CM2531" s="213"/>
      <c r="CN2531" s="213"/>
      <c r="CO2531" s="197"/>
      <c r="CP2531" s="197"/>
      <c r="CQ2531" s="197"/>
      <c r="CR2531" s="197"/>
      <c r="CS2531" s="197"/>
      <c r="CT2531" s="197"/>
      <c r="CU2531" s="197"/>
      <c r="CV2531" s="197"/>
      <c r="CW2531" s="197"/>
      <c r="CX2531" s="959"/>
      <c r="CY2531" s="959"/>
      <c r="CZ2531" s="959"/>
      <c r="DA2531" s="959"/>
      <c r="DB2531" s="959"/>
      <c r="DC2531" s="891">
        <v>8478</v>
      </c>
      <c r="DD2531" s="891" t="s">
        <v>4313</v>
      </c>
      <c r="DE2531" s="891" t="s">
        <v>432</v>
      </c>
      <c r="DF2531" s="891">
        <v>6</v>
      </c>
      <c r="DG2531" s="959"/>
      <c r="DH2531" s="959"/>
      <c r="ER2531" s="905">
        <v>8357</v>
      </c>
      <c r="ES2531" s="906" t="s">
        <v>1672</v>
      </c>
      <c r="ET2531" s="2686">
        <v>9</v>
      </c>
      <c r="EV2531" s="985"/>
      <c r="EW2531" s="985"/>
      <c r="EX2531" s="387"/>
      <c r="EY2531" s="939"/>
      <c r="EZ2531" s="886"/>
    </row>
    <row r="2532" spans="88:156">
      <c r="CJ2532" s="197"/>
      <c r="CK2532" s="197"/>
      <c r="CL2532" s="197"/>
      <c r="CM2532" s="213"/>
      <c r="CN2532" s="213"/>
      <c r="CO2532" s="197"/>
      <c r="CP2532" s="197"/>
      <c r="CQ2532" s="197"/>
      <c r="CR2532" s="197"/>
      <c r="CS2532" s="197"/>
      <c r="CT2532" s="197"/>
      <c r="CU2532" s="197"/>
      <c r="CV2532" s="197"/>
      <c r="CW2532" s="197"/>
      <c r="CX2532" s="959"/>
      <c r="CY2532" s="959"/>
      <c r="CZ2532" s="959"/>
      <c r="DA2532" s="959"/>
      <c r="DB2532" s="959"/>
      <c r="DC2532" s="891">
        <v>8479</v>
      </c>
      <c r="DD2532" s="891" t="s">
        <v>4314</v>
      </c>
      <c r="DE2532" s="891" t="s">
        <v>432</v>
      </c>
      <c r="DF2532" s="891">
        <v>6</v>
      </c>
      <c r="DG2532" s="959"/>
      <c r="DH2532" s="959"/>
      <c r="ER2532" s="905">
        <v>8357</v>
      </c>
      <c r="ES2532" s="906" t="s">
        <v>1282</v>
      </c>
      <c r="ET2532" s="2686">
        <v>9</v>
      </c>
      <c r="EV2532" s="985"/>
      <c r="EW2532" s="985"/>
      <c r="EX2532" s="387"/>
      <c r="EY2532" s="939"/>
      <c r="EZ2532" s="886"/>
    </row>
    <row r="2533" spans="88:156">
      <c r="CJ2533" s="197"/>
      <c r="CK2533" s="197"/>
      <c r="CL2533" s="197"/>
      <c r="CM2533" s="213"/>
      <c r="CN2533" s="213"/>
      <c r="CO2533" s="197"/>
      <c r="CP2533" s="197"/>
      <c r="CQ2533" s="197"/>
      <c r="CR2533" s="197"/>
      <c r="CS2533" s="197"/>
      <c r="CT2533" s="197"/>
      <c r="CU2533" s="197"/>
      <c r="CV2533" s="197"/>
      <c r="CW2533" s="197"/>
      <c r="CX2533" s="959"/>
      <c r="CY2533" s="959"/>
      <c r="CZ2533" s="959"/>
      <c r="DA2533" s="959"/>
      <c r="DB2533" s="959"/>
      <c r="DC2533" s="891">
        <v>8481</v>
      </c>
      <c r="DD2533" s="891" t="s">
        <v>4315</v>
      </c>
      <c r="DE2533" s="891" t="s">
        <v>432</v>
      </c>
      <c r="DF2533" s="891">
        <v>6</v>
      </c>
      <c r="DG2533" s="959"/>
      <c r="DH2533" s="959"/>
      <c r="ER2533" s="905">
        <v>8360</v>
      </c>
      <c r="ES2533" s="906" t="s">
        <v>1283</v>
      </c>
      <c r="ET2533" s="2686">
        <v>9</v>
      </c>
      <c r="EV2533" s="985"/>
      <c r="EW2533" s="985"/>
      <c r="EX2533" s="387"/>
      <c r="EY2533" s="939"/>
      <c r="EZ2533" s="886"/>
    </row>
    <row r="2534" spans="88:156">
      <c r="CJ2534" s="197"/>
      <c r="CK2534" s="197"/>
      <c r="CL2534" s="197"/>
      <c r="CM2534" s="213"/>
      <c r="CN2534" s="213"/>
      <c r="CO2534" s="197"/>
      <c r="CP2534" s="197"/>
      <c r="CQ2534" s="197"/>
      <c r="CR2534" s="197"/>
      <c r="CS2534" s="197"/>
      <c r="CT2534" s="197"/>
      <c r="CU2534" s="197"/>
      <c r="CV2534" s="197"/>
      <c r="CW2534" s="197"/>
      <c r="CX2534" s="959"/>
      <c r="CY2534" s="959"/>
      <c r="CZ2534" s="959"/>
      <c r="DA2534" s="959"/>
      <c r="DB2534" s="959"/>
      <c r="DC2534" s="891">
        <v>8482</v>
      </c>
      <c r="DD2534" s="891" t="s">
        <v>4316</v>
      </c>
      <c r="DE2534" s="891" t="s">
        <v>421</v>
      </c>
      <c r="DF2534" s="891">
        <v>6</v>
      </c>
      <c r="DG2534" s="959"/>
      <c r="DH2534" s="959"/>
      <c r="ER2534" s="905">
        <v>8371</v>
      </c>
      <c r="ES2534" s="906" t="s">
        <v>1284</v>
      </c>
      <c r="ET2534" s="2686">
        <v>9</v>
      </c>
      <c r="EV2534" s="985"/>
      <c r="EW2534" s="985"/>
      <c r="EX2534" s="387"/>
      <c r="EY2534" s="939"/>
      <c r="EZ2534" s="886"/>
    </row>
    <row r="2535" spans="88:156">
      <c r="CJ2535" s="197"/>
      <c r="CK2535" s="197"/>
      <c r="CL2535" s="197"/>
      <c r="CM2535" s="213"/>
      <c r="CN2535" s="213"/>
      <c r="CO2535" s="197"/>
      <c r="CP2535" s="197"/>
      <c r="CQ2535" s="197"/>
      <c r="CR2535" s="197"/>
      <c r="CS2535" s="197"/>
      <c r="CT2535" s="197"/>
      <c r="CU2535" s="197"/>
      <c r="CV2535" s="197"/>
      <c r="CW2535" s="197"/>
      <c r="CX2535" s="959"/>
      <c r="CY2535" s="959"/>
      <c r="CZ2535" s="959"/>
      <c r="DA2535" s="959"/>
      <c r="DB2535" s="959"/>
      <c r="DC2535" s="891">
        <v>8483</v>
      </c>
      <c r="DD2535" s="891" t="s">
        <v>4317</v>
      </c>
      <c r="DE2535" s="891" t="s">
        <v>432</v>
      </c>
      <c r="DF2535" s="891">
        <v>6</v>
      </c>
      <c r="DG2535" s="959"/>
      <c r="DH2535" s="959"/>
      <c r="ER2535" s="905">
        <v>8372</v>
      </c>
      <c r="ES2535" s="906" t="s">
        <v>1285</v>
      </c>
      <c r="ET2535" s="2686">
        <v>9</v>
      </c>
      <c r="EV2535" s="985"/>
      <c r="EW2535" s="985"/>
      <c r="EX2535" s="387"/>
      <c r="EY2535" s="939"/>
      <c r="EZ2535" s="886"/>
    </row>
    <row r="2536" spans="88:156">
      <c r="CJ2536" s="197"/>
      <c r="CK2536" s="197"/>
      <c r="CL2536" s="197"/>
      <c r="CM2536" s="213"/>
      <c r="CN2536" s="213"/>
      <c r="CO2536" s="197"/>
      <c r="CP2536" s="197"/>
      <c r="CQ2536" s="197"/>
      <c r="CR2536" s="197"/>
      <c r="CS2536" s="197"/>
      <c r="CT2536" s="197"/>
      <c r="CU2536" s="197"/>
      <c r="CV2536" s="197"/>
      <c r="CW2536" s="197"/>
      <c r="CX2536" s="959"/>
      <c r="CY2536" s="959"/>
      <c r="CZ2536" s="959"/>
      <c r="DA2536" s="959"/>
      <c r="DB2536" s="959"/>
      <c r="DC2536" s="891">
        <v>8484</v>
      </c>
      <c r="DD2536" s="891" t="s">
        <v>4318</v>
      </c>
      <c r="DE2536" s="891" t="s">
        <v>419</v>
      </c>
      <c r="DF2536" s="891">
        <v>6</v>
      </c>
      <c r="DG2536" s="959"/>
      <c r="DH2536" s="959"/>
      <c r="ER2536" s="905">
        <v>8373</v>
      </c>
      <c r="ES2536" s="906" t="s">
        <v>1286</v>
      </c>
      <c r="ET2536" s="2686">
        <v>9</v>
      </c>
      <c r="EV2536" s="985"/>
      <c r="EW2536" s="985"/>
      <c r="EX2536" s="387"/>
      <c r="EY2536" s="939"/>
      <c r="EZ2536" s="886"/>
    </row>
    <row r="2537" spans="88:156">
      <c r="CJ2537" s="197"/>
      <c r="CK2537" s="197"/>
      <c r="CL2537" s="197"/>
      <c r="CM2537" s="213"/>
      <c r="CN2537" s="213"/>
      <c r="CO2537" s="197"/>
      <c r="CP2537" s="197"/>
      <c r="CQ2537" s="197"/>
      <c r="CR2537" s="197"/>
      <c r="CS2537" s="197"/>
      <c r="CT2537" s="197"/>
      <c r="CU2537" s="197"/>
      <c r="CV2537" s="197"/>
      <c r="CW2537" s="197"/>
      <c r="CX2537" s="959"/>
      <c r="CY2537" s="959"/>
      <c r="CZ2537" s="959"/>
      <c r="DA2537" s="959"/>
      <c r="DB2537" s="959"/>
      <c r="DC2537" s="891">
        <v>8485</v>
      </c>
      <c r="DD2537" s="891" t="s">
        <v>2749</v>
      </c>
      <c r="DE2537" s="891" t="s">
        <v>423</v>
      </c>
      <c r="DF2537" s="891">
        <v>6</v>
      </c>
      <c r="DG2537" s="959"/>
      <c r="DH2537" s="959"/>
      <c r="ER2537" s="905">
        <v>8380</v>
      </c>
      <c r="ES2537" s="906" t="s">
        <v>1292</v>
      </c>
      <c r="ET2537" s="2686">
        <v>9</v>
      </c>
      <c r="EV2537" s="985"/>
      <c r="EW2537" s="985"/>
      <c r="EX2537" s="387"/>
      <c r="EY2537" s="939"/>
      <c r="EZ2537" s="886"/>
    </row>
    <row r="2538" spans="88:156">
      <c r="CJ2538" s="197"/>
      <c r="CK2538" s="197"/>
      <c r="CL2538" s="197"/>
      <c r="CM2538" s="213"/>
      <c r="CN2538" s="213"/>
      <c r="CO2538" s="197"/>
      <c r="CP2538" s="197"/>
      <c r="CQ2538" s="197"/>
      <c r="CR2538" s="197"/>
      <c r="CS2538" s="197"/>
      <c r="CT2538" s="197"/>
      <c r="CU2538" s="197"/>
      <c r="CV2538" s="197"/>
      <c r="CW2538" s="197"/>
      <c r="CX2538" s="959"/>
      <c r="CY2538" s="959"/>
      <c r="CZ2538" s="959"/>
      <c r="DA2538" s="959"/>
      <c r="DB2538" s="959"/>
      <c r="DC2538" s="891">
        <v>8491</v>
      </c>
      <c r="DD2538" s="891" t="s">
        <v>2750</v>
      </c>
      <c r="DE2538" s="891" t="s">
        <v>419</v>
      </c>
      <c r="DF2538" s="891">
        <v>6</v>
      </c>
      <c r="DG2538" s="959"/>
      <c r="DH2538" s="959"/>
      <c r="ER2538" s="905">
        <v>8380</v>
      </c>
      <c r="ES2538" s="906" t="s">
        <v>1287</v>
      </c>
      <c r="ET2538" s="2686">
        <v>9</v>
      </c>
      <c r="EV2538" s="985"/>
      <c r="EW2538" s="985"/>
      <c r="EX2538" s="387"/>
      <c r="EY2538" s="939"/>
      <c r="EZ2538" s="886"/>
    </row>
    <row r="2539" spans="88:156">
      <c r="CJ2539" s="197"/>
      <c r="CK2539" s="197"/>
      <c r="CL2539" s="197"/>
      <c r="CM2539" s="213"/>
      <c r="CN2539" s="213"/>
      <c r="CO2539" s="197"/>
      <c r="CP2539" s="197"/>
      <c r="CQ2539" s="197"/>
      <c r="CR2539" s="197"/>
      <c r="CS2539" s="197"/>
      <c r="CT2539" s="197"/>
      <c r="CU2539" s="197"/>
      <c r="CV2539" s="197"/>
      <c r="CW2539" s="197"/>
      <c r="CX2539" s="959"/>
      <c r="CY2539" s="959"/>
      <c r="CZ2539" s="959"/>
      <c r="DA2539" s="959"/>
      <c r="DB2539" s="959"/>
      <c r="DC2539" s="891">
        <v>8492</v>
      </c>
      <c r="DD2539" s="891" t="s">
        <v>2751</v>
      </c>
      <c r="DE2539" s="891" t="s">
        <v>419</v>
      </c>
      <c r="DF2539" s="891">
        <v>6</v>
      </c>
      <c r="DG2539" s="959"/>
      <c r="DH2539" s="959"/>
      <c r="ER2539" s="905">
        <v>8391</v>
      </c>
      <c r="ES2539" s="906" t="s">
        <v>1288</v>
      </c>
      <c r="ET2539" s="2686">
        <v>9</v>
      </c>
      <c r="EV2539" s="985"/>
      <c r="EW2539" s="985"/>
      <c r="EX2539" s="387"/>
      <c r="EY2539" s="939"/>
      <c r="EZ2539" s="886"/>
    </row>
    <row r="2540" spans="88:156">
      <c r="CJ2540" s="197"/>
      <c r="CK2540" s="197"/>
      <c r="CL2540" s="197"/>
      <c r="CM2540" s="213"/>
      <c r="CN2540" s="213"/>
      <c r="CO2540" s="197"/>
      <c r="CP2540" s="197"/>
      <c r="CQ2540" s="197"/>
      <c r="CR2540" s="197"/>
      <c r="CS2540" s="197"/>
      <c r="CT2540" s="197"/>
      <c r="CU2540" s="197"/>
      <c r="CV2540" s="197"/>
      <c r="CW2540" s="197"/>
      <c r="CX2540" s="959"/>
      <c r="CY2540" s="959"/>
      <c r="CZ2540" s="959"/>
      <c r="DA2540" s="959"/>
      <c r="DB2540" s="959"/>
      <c r="DC2540" s="891">
        <v>8493</v>
      </c>
      <c r="DD2540" s="891" t="s">
        <v>2752</v>
      </c>
      <c r="DE2540" s="891" t="s">
        <v>432</v>
      </c>
      <c r="DF2540" s="891">
        <v>6</v>
      </c>
      <c r="DG2540" s="959"/>
      <c r="DH2540" s="959"/>
      <c r="ER2540" s="905">
        <v>8392</v>
      </c>
      <c r="ES2540" s="906" t="s">
        <v>1289</v>
      </c>
      <c r="ET2540" s="2686">
        <v>9</v>
      </c>
      <c r="EV2540" s="985"/>
      <c r="EW2540" s="985"/>
      <c r="EX2540" s="387"/>
      <c r="EY2540" s="939"/>
      <c r="EZ2540" s="886"/>
    </row>
    <row r="2541" spans="88:156">
      <c r="CJ2541" s="197"/>
      <c r="CK2541" s="197"/>
      <c r="CL2541" s="197"/>
      <c r="CM2541" s="213"/>
      <c r="CN2541" s="213"/>
      <c r="CO2541" s="197"/>
      <c r="CP2541" s="197"/>
      <c r="CQ2541" s="197"/>
      <c r="CR2541" s="197"/>
      <c r="CS2541" s="197"/>
      <c r="CT2541" s="197"/>
      <c r="CU2541" s="197"/>
      <c r="CV2541" s="197"/>
      <c r="CW2541" s="197"/>
      <c r="CX2541" s="959"/>
      <c r="CY2541" s="959"/>
      <c r="CZ2541" s="959"/>
      <c r="DA2541" s="959"/>
      <c r="DB2541" s="959"/>
      <c r="DC2541" s="891">
        <v>8494</v>
      </c>
      <c r="DD2541" s="891" t="s">
        <v>2753</v>
      </c>
      <c r="DE2541" s="891" t="s">
        <v>419</v>
      </c>
      <c r="DF2541" s="891">
        <v>6</v>
      </c>
      <c r="DG2541" s="959"/>
      <c r="DH2541" s="959"/>
      <c r="ER2541" s="905">
        <v>8393</v>
      </c>
      <c r="ES2541" s="906" t="s">
        <v>1290</v>
      </c>
      <c r="ET2541" s="2686">
        <v>9</v>
      </c>
      <c r="EV2541" s="985"/>
      <c r="EW2541" s="985"/>
      <c r="EX2541" s="387"/>
      <c r="EY2541" s="939"/>
      <c r="EZ2541" s="886"/>
    </row>
    <row r="2542" spans="88:156">
      <c r="CJ2542" s="197"/>
      <c r="CK2542" s="197"/>
      <c r="CL2542" s="197"/>
      <c r="CM2542" s="213"/>
      <c r="CN2542" s="213"/>
      <c r="CO2542" s="197"/>
      <c r="CP2542" s="197"/>
      <c r="CQ2542" s="197"/>
      <c r="CR2542" s="197"/>
      <c r="CS2542" s="197"/>
      <c r="CT2542" s="197"/>
      <c r="CU2542" s="197"/>
      <c r="CV2542" s="197"/>
      <c r="CW2542" s="197"/>
      <c r="CX2542" s="959"/>
      <c r="CY2542" s="959"/>
      <c r="CZ2542" s="959"/>
      <c r="DA2542" s="959"/>
      <c r="DB2542" s="959"/>
      <c r="DC2542" s="891">
        <v>8495</v>
      </c>
      <c r="DD2542" s="891" t="s">
        <v>2754</v>
      </c>
      <c r="DE2542" s="891" t="s">
        <v>432</v>
      </c>
      <c r="DF2542" s="891">
        <v>6</v>
      </c>
      <c r="DG2542" s="959"/>
      <c r="DH2542" s="959"/>
      <c r="ER2542" s="905">
        <v>8394</v>
      </c>
      <c r="ES2542" s="906" t="s">
        <v>1291</v>
      </c>
      <c r="ET2542" s="2686">
        <v>9</v>
      </c>
      <c r="EV2542" s="985"/>
      <c r="EW2542" s="985"/>
      <c r="EX2542" s="387"/>
      <c r="EY2542" s="939"/>
      <c r="EZ2542" s="886"/>
    </row>
    <row r="2543" spans="88:156">
      <c r="CJ2543" s="197"/>
      <c r="CK2543" s="197"/>
      <c r="CL2543" s="197"/>
      <c r="CM2543" s="213"/>
      <c r="CN2543" s="213"/>
      <c r="CO2543" s="197"/>
      <c r="CP2543" s="197"/>
      <c r="CQ2543" s="197"/>
      <c r="CR2543" s="197"/>
      <c r="CS2543" s="197"/>
      <c r="CT2543" s="197"/>
      <c r="CU2543" s="197"/>
      <c r="CV2543" s="197"/>
      <c r="CW2543" s="197"/>
      <c r="CX2543" s="959"/>
      <c r="CY2543" s="959"/>
      <c r="CZ2543" s="959"/>
      <c r="DA2543" s="959"/>
      <c r="DB2543" s="959"/>
      <c r="DC2543" s="891">
        <v>8496</v>
      </c>
      <c r="DD2543" s="891" t="s">
        <v>2755</v>
      </c>
      <c r="DE2543" s="891" t="s">
        <v>435</v>
      </c>
      <c r="DF2543" s="891">
        <v>6</v>
      </c>
      <c r="DG2543" s="959"/>
      <c r="DH2543" s="959"/>
      <c r="ER2543" s="905">
        <v>8400</v>
      </c>
      <c r="ES2543" s="906" t="s">
        <v>1293</v>
      </c>
      <c r="ET2543" s="2686">
        <v>9</v>
      </c>
      <c r="EV2543" s="985"/>
      <c r="EW2543" s="985"/>
      <c r="EX2543" s="387"/>
      <c r="EY2543" s="939"/>
      <c r="EZ2543" s="886"/>
    </row>
    <row r="2544" spans="88:156">
      <c r="CJ2544" s="197"/>
      <c r="CK2544" s="197"/>
      <c r="CL2544" s="197"/>
      <c r="CM2544" s="213"/>
      <c r="CN2544" s="213"/>
      <c r="CO2544" s="197"/>
      <c r="CP2544" s="197"/>
      <c r="CQ2544" s="197"/>
      <c r="CR2544" s="197"/>
      <c r="CS2544" s="197"/>
      <c r="CT2544" s="197"/>
      <c r="CU2544" s="197"/>
      <c r="CV2544" s="197"/>
      <c r="CW2544" s="197"/>
      <c r="CX2544" s="959"/>
      <c r="CY2544" s="959"/>
      <c r="CZ2544" s="959"/>
      <c r="DA2544" s="959"/>
      <c r="DB2544" s="959"/>
      <c r="DC2544" s="891">
        <v>8497</v>
      </c>
      <c r="DD2544" s="891" t="s">
        <v>2756</v>
      </c>
      <c r="DE2544" s="891" t="s">
        <v>2808</v>
      </c>
      <c r="DF2544" s="891">
        <v>6</v>
      </c>
      <c r="DG2544" s="959"/>
      <c r="DH2544" s="959"/>
      <c r="ER2544" s="905">
        <v>8409</v>
      </c>
      <c r="ES2544" s="906" t="s">
        <v>1294</v>
      </c>
      <c r="ET2544" s="2686">
        <v>9</v>
      </c>
      <c r="EV2544" s="985"/>
      <c r="EW2544" s="985"/>
      <c r="EX2544" s="387"/>
      <c r="EY2544" s="939"/>
      <c r="EZ2544" s="886"/>
    </row>
    <row r="2545" spans="88:156">
      <c r="CJ2545" s="197"/>
      <c r="CK2545" s="197"/>
      <c r="CL2545" s="197"/>
      <c r="CM2545" s="213"/>
      <c r="CN2545" s="213"/>
      <c r="CO2545" s="197"/>
      <c r="CP2545" s="197"/>
      <c r="CQ2545" s="197"/>
      <c r="CR2545" s="197"/>
      <c r="CS2545" s="197"/>
      <c r="CT2545" s="197"/>
      <c r="CU2545" s="197"/>
      <c r="CV2545" s="197"/>
      <c r="CW2545" s="197"/>
      <c r="CX2545" s="959"/>
      <c r="CY2545" s="959"/>
      <c r="CZ2545" s="959"/>
      <c r="DA2545" s="959"/>
      <c r="DB2545" s="959"/>
      <c r="DC2545" s="891">
        <v>8500</v>
      </c>
      <c r="DD2545" s="891" t="s">
        <v>2757</v>
      </c>
      <c r="DE2545" s="891" t="s">
        <v>420</v>
      </c>
      <c r="DF2545" s="891">
        <v>6</v>
      </c>
      <c r="DG2545" s="959"/>
      <c r="DH2545" s="959"/>
      <c r="ER2545" s="905">
        <v>8411</v>
      </c>
      <c r="ES2545" s="905" t="s">
        <v>1295</v>
      </c>
      <c r="ET2545" s="2686">
        <v>7</v>
      </c>
      <c r="EV2545" s="985"/>
      <c r="EW2545" s="985"/>
      <c r="EX2545" s="387"/>
      <c r="EY2545" s="939"/>
      <c r="EZ2545" s="886"/>
    </row>
    <row r="2546" spans="88:156">
      <c r="CJ2546" s="197"/>
      <c r="CK2546" s="197"/>
      <c r="CL2546" s="197"/>
      <c r="CM2546" s="213"/>
      <c r="CN2546" s="213"/>
      <c r="CO2546" s="197"/>
      <c r="CP2546" s="197"/>
      <c r="CQ2546" s="197"/>
      <c r="CR2546" s="197"/>
      <c r="CS2546" s="197"/>
      <c r="CT2546" s="197"/>
      <c r="CU2546" s="197"/>
      <c r="CV2546" s="197"/>
      <c r="CW2546" s="197"/>
      <c r="CX2546" s="959"/>
      <c r="CY2546" s="959"/>
      <c r="CZ2546" s="959"/>
      <c r="DA2546" s="959"/>
      <c r="DB2546" s="959"/>
      <c r="DC2546" s="891">
        <v>8501</v>
      </c>
      <c r="DD2546" s="891" t="s">
        <v>2758</v>
      </c>
      <c r="DE2546" s="891" t="s">
        <v>2808</v>
      </c>
      <c r="DF2546" s="891">
        <v>6</v>
      </c>
      <c r="DG2546" s="959"/>
      <c r="DH2546" s="959"/>
      <c r="ER2546" s="905">
        <v>8412</v>
      </c>
      <c r="ES2546" s="905" t="s">
        <v>1673</v>
      </c>
      <c r="ET2546" s="2686">
        <v>7</v>
      </c>
      <c r="EV2546" s="985"/>
      <c r="EW2546" s="985"/>
      <c r="EX2546" s="387"/>
      <c r="EY2546" s="939"/>
      <c r="EZ2546" s="886"/>
    </row>
    <row r="2547" spans="88:156">
      <c r="CJ2547" s="197"/>
      <c r="CK2547" s="197"/>
      <c r="CL2547" s="197"/>
      <c r="CM2547" s="213"/>
      <c r="CN2547" s="213"/>
      <c r="CO2547" s="197"/>
      <c r="CP2547" s="197"/>
      <c r="CQ2547" s="197"/>
      <c r="CR2547" s="197"/>
      <c r="CS2547" s="197"/>
      <c r="CT2547" s="197"/>
      <c r="CU2547" s="197"/>
      <c r="CV2547" s="197"/>
      <c r="CW2547" s="197"/>
      <c r="CX2547" s="959"/>
      <c r="CY2547" s="959"/>
      <c r="CZ2547" s="959"/>
      <c r="DA2547" s="959"/>
      <c r="DB2547" s="959"/>
      <c r="DC2547" s="891">
        <v>8511</v>
      </c>
      <c r="DD2547" s="891" t="s">
        <v>2759</v>
      </c>
      <c r="DE2547" s="891" t="s">
        <v>421</v>
      </c>
      <c r="DF2547" s="891">
        <v>6</v>
      </c>
      <c r="DG2547" s="959"/>
      <c r="DH2547" s="959"/>
      <c r="ER2547" s="905">
        <v>8413</v>
      </c>
      <c r="ES2547" s="906" t="s">
        <v>1297</v>
      </c>
      <c r="ET2547" s="2686">
        <v>6</v>
      </c>
      <c r="EV2547" s="985"/>
      <c r="EW2547" s="985"/>
      <c r="EX2547" s="387"/>
      <c r="EY2547" s="939"/>
      <c r="EZ2547" s="886"/>
    </row>
    <row r="2548" spans="88:156">
      <c r="CJ2548" s="197"/>
      <c r="CK2548" s="197"/>
      <c r="CL2548" s="197"/>
      <c r="CM2548" s="213"/>
      <c r="CN2548" s="213"/>
      <c r="CO2548" s="197"/>
      <c r="CP2548" s="197"/>
      <c r="CQ2548" s="197"/>
      <c r="CR2548" s="197"/>
      <c r="CS2548" s="197"/>
      <c r="CT2548" s="197"/>
      <c r="CU2548" s="197"/>
      <c r="CV2548" s="197"/>
      <c r="CW2548" s="197"/>
      <c r="CX2548" s="959"/>
      <c r="CY2548" s="959"/>
      <c r="CZ2548" s="959"/>
      <c r="DA2548" s="959"/>
      <c r="DB2548" s="959"/>
      <c r="DC2548" s="891">
        <v>8512</v>
      </c>
      <c r="DD2548" s="891" t="s">
        <v>2760</v>
      </c>
      <c r="DE2548" s="891" t="s">
        <v>423</v>
      </c>
      <c r="DF2548" s="891">
        <v>6</v>
      </c>
      <c r="DG2548" s="959"/>
      <c r="DH2548" s="959"/>
      <c r="ER2548" s="905">
        <v>8414</v>
      </c>
      <c r="ES2548" s="906" t="s">
        <v>1674</v>
      </c>
      <c r="ET2548" s="2686">
        <v>9</v>
      </c>
      <c r="EV2548" s="985"/>
      <c r="EW2548" s="985"/>
      <c r="EX2548" s="387"/>
      <c r="EY2548" s="939"/>
      <c r="EZ2548" s="886"/>
    </row>
    <row r="2549" spans="88:156">
      <c r="CJ2549" s="197"/>
      <c r="CK2549" s="197"/>
      <c r="CL2549" s="197"/>
      <c r="CM2549" s="213"/>
      <c r="CN2549" s="213"/>
      <c r="CO2549" s="197"/>
      <c r="CP2549" s="197"/>
      <c r="CQ2549" s="197"/>
      <c r="CR2549" s="197"/>
      <c r="CS2549" s="197"/>
      <c r="CT2549" s="197"/>
      <c r="CU2549" s="197"/>
      <c r="CV2549" s="197"/>
      <c r="CW2549" s="197"/>
      <c r="CX2549" s="959"/>
      <c r="CY2549" s="959"/>
      <c r="CZ2549" s="959"/>
      <c r="DA2549" s="959"/>
      <c r="DB2549" s="959"/>
      <c r="DC2549" s="891">
        <v>8513</v>
      </c>
      <c r="DD2549" s="891" t="s">
        <v>2761</v>
      </c>
      <c r="DE2549" s="891" t="s">
        <v>2808</v>
      </c>
      <c r="DF2549" s="891">
        <v>6</v>
      </c>
      <c r="DG2549" s="959"/>
      <c r="DH2549" s="959"/>
      <c r="ER2549" s="905">
        <v>8415</v>
      </c>
      <c r="ES2549" s="906" t="s">
        <v>1299</v>
      </c>
      <c r="ET2549" s="2686">
        <v>9</v>
      </c>
      <c r="EV2549" s="985"/>
      <c r="EW2549" s="985"/>
      <c r="EX2549" s="387"/>
      <c r="EY2549" s="939"/>
      <c r="EZ2549" s="886"/>
    </row>
    <row r="2550" spans="88:156">
      <c r="CJ2550" s="197"/>
      <c r="CK2550" s="197"/>
      <c r="CL2550" s="197"/>
      <c r="CM2550" s="213"/>
      <c r="CN2550" s="213"/>
      <c r="CO2550" s="197"/>
      <c r="CP2550" s="197"/>
      <c r="CQ2550" s="197"/>
      <c r="CR2550" s="197"/>
      <c r="CS2550" s="197"/>
      <c r="CT2550" s="197"/>
      <c r="CU2550" s="197"/>
      <c r="CV2550" s="197"/>
      <c r="CW2550" s="197"/>
      <c r="CX2550" s="959"/>
      <c r="CY2550" s="959"/>
      <c r="CZ2550" s="959"/>
      <c r="DA2550" s="959"/>
      <c r="DB2550" s="959"/>
      <c r="DC2550" s="891">
        <v>8514</v>
      </c>
      <c r="DD2550" s="891" t="s">
        <v>2762</v>
      </c>
      <c r="DE2550" s="891" t="s">
        <v>2808</v>
      </c>
      <c r="DF2550" s="891">
        <v>6</v>
      </c>
      <c r="DG2550" s="959"/>
      <c r="DH2550" s="959"/>
      <c r="ER2550" s="905">
        <v>8416</v>
      </c>
      <c r="ES2550" s="906" t="s">
        <v>1300</v>
      </c>
      <c r="ET2550" s="2686">
        <v>9</v>
      </c>
      <c r="EV2550" s="985"/>
      <c r="EW2550" s="985"/>
      <c r="EX2550" s="387"/>
      <c r="EY2550" s="939"/>
      <c r="EZ2550" s="886"/>
    </row>
    <row r="2551" spans="88:156">
      <c r="CJ2551" s="197"/>
      <c r="CK2551" s="197"/>
      <c r="CL2551" s="197"/>
      <c r="CM2551" s="213"/>
      <c r="CN2551" s="213"/>
      <c r="CO2551" s="197"/>
      <c r="CP2551" s="197"/>
      <c r="CQ2551" s="197"/>
      <c r="CR2551" s="197"/>
      <c r="CS2551" s="197"/>
      <c r="CT2551" s="197"/>
      <c r="CU2551" s="197"/>
      <c r="CV2551" s="197"/>
      <c r="CW2551" s="197"/>
      <c r="CX2551" s="959"/>
      <c r="CY2551" s="959"/>
      <c r="CZ2551" s="959"/>
      <c r="DA2551" s="959"/>
      <c r="DB2551" s="959"/>
      <c r="DC2551" s="891">
        <v>8515</v>
      </c>
      <c r="DD2551" s="891" t="s">
        <v>2763</v>
      </c>
      <c r="DE2551" s="891" t="s">
        <v>2808</v>
      </c>
      <c r="DF2551" s="891">
        <v>6</v>
      </c>
      <c r="DG2551" s="959"/>
      <c r="DH2551" s="959"/>
      <c r="ER2551" s="905">
        <v>8417</v>
      </c>
      <c r="ES2551" s="906" t="s">
        <v>1301</v>
      </c>
      <c r="ET2551" s="2686">
        <v>9</v>
      </c>
      <c r="EV2551" s="985"/>
      <c r="EW2551" s="985"/>
      <c r="EX2551" s="387"/>
      <c r="EY2551" s="939"/>
      <c r="EZ2551" s="886"/>
    </row>
    <row r="2552" spans="88:156">
      <c r="CJ2552" s="197"/>
      <c r="CK2552" s="197"/>
      <c r="CL2552" s="197"/>
      <c r="CM2552" s="213"/>
      <c r="CN2552" s="213"/>
      <c r="CO2552" s="197"/>
      <c r="CP2552" s="197"/>
      <c r="CQ2552" s="197"/>
      <c r="CR2552" s="197"/>
      <c r="CS2552" s="197"/>
      <c r="CT2552" s="197"/>
      <c r="CU2552" s="197"/>
      <c r="CV2552" s="197"/>
      <c r="CW2552" s="197"/>
      <c r="CX2552" s="959"/>
      <c r="CY2552" s="959"/>
      <c r="CZ2552" s="959"/>
      <c r="DA2552" s="959"/>
      <c r="DB2552" s="959"/>
      <c r="DC2552" s="891">
        <v>8516</v>
      </c>
      <c r="DD2552" s="891" t="s">
        <v>2764</v>
      </c>
      <c r="DE2552" s="891" t="s">
        <v>2808</v>
      </c>
      <c r="DF2552" s="891">
        <v>6</v>
      </c>
      <c r="DG2552" s="959"/>
      <c r="DH2552" s="959"/>
      <c r="ER2552" s="905">
        <v>8418</v>
      </c>
      <c r="ES2552" s="906" t="s">
        <v>1302</v>
      </c>
      <c r="ET2552" s="2686">
        <v>9</v>
      </c>
      <c r="EV2552" s="985"/>
      <c r="EW2552" s="985"/>
      <c r="EX2552" s="387"/>
      <c r="EY2552" s="939"/>
      <c r="EZ2552" s="886"/>
    </row>
    <row r="2553" spans="88:156">
      <c r="CJ2553" s="197"/>
      <c r="CK2553" s="197"/>
      <c r="CL2553" s="197"/>
      <c r="CM2553" s="213"/>
      <c r="CN2553" s="213"/>
      <c r="CO2553" s="197"/>
      <c r="CP2553" s="197"/>
      <c r="CQ2553" s="197"/>
      <c r="CR2553" s="197"/>
      <c r="CS2553" s="197"/>
      <c r="CT2553" s="197"/>
      <c r="CU2553" s="197"/>
      <c r="CV2553" s="197"/>
      <c r="CW2553" s="197"/>
      <c r="CX2553" s="959"/>
      <c r="CY2553" s="959"/>
      <c r="CZ2553" s="959"/>
      <c r="DA2553" s="959"/>
      <c r="DB2553" s="959"/>
      <c r="DC2553" s="891">
        <v>8517</v>
      </c>
      <c r="DD2553" s="891" t="s">
        <v>2765</v>
      </c>
      <c r="DE2553" s="891" t="s">
        <v>2808</v>
      </c>
      <c r="DF2553" s="891">
        <v>6</v>
      </c>
      <c r="DG2553" s="959"/>
      <c r="DH2553" s="959"/>
      <c r="ER2553" s="905">
        <v>8419</v>
      </c>
      <c r="ES2553" s="906" t="s">
        <v>1303</v>
      </c>
      <c r="ET2553" s="2686">
        <v>9</v>
      </c>
      <c r="EV2553" s="985"/>
      <c r="EW2553" s="985"/>
      <c r="EX2553" s="387"/>
      <c r="EY2553" s="939"/>
      <c r="EZ2553" s="886"/>
    </row>
    <row r="2554" spans="88:156">
      <c r="CJ2554" s="197"/>
      <c r="CK2554" s="197"/>
      <c r="CL2554" s="197"/>
      <c r="CM2554" s="213"/>
      <c r="CN2554" s="213"/>
      <c r="CO2554" s="197"/>
      <c r="CP2554" s="197"/>
      <c r="CQ2554" s="197"/>
      <c r="CR2554" s="197"/>
      <c r="CS2554" s="197"/>
      <c r="CT2554" s="197"/>
      <c r="CU2554" s="197"/>
      <c r="CV2554" s="197"/>
      <c r="CW2554" s="197"/>
      <c r="CX2554" s="959"/>
      <c r="CY2554" s="959"/>
      <c r="CZ2554" s="959"/>
      <c r="DA2554" s="959"/>
      <c r="DB2554" s="959"/>
      <c r="DC2554" s="891">
        <v>8518</v>
      </c>
      <c r="DD2554" s="891" t="s">
        <v>2766</v>
      </c>
      <c r="DE2554" s="891" t="s">
        <v>2808</v>
      </c>
      <c r="DF2554" s="891">
        <v>6</v>
      </c>
      <c r="DG2554" s="959"/>
      <c r="DH2554" s="959"/>
      <c r="ER2554" s="905">
        <v>8420</v>
      </c>
      <c r="ES2554" s="906" t="s">
        <v>1298</v>
      </c>
      <c r="ET2554" s="2686">
        <v>9</v>
      </c>
      <c r="EV2554" s="985"/>
      <c r="EW2554" s="985"/>
      <c r="EX2554" s="387"/>
      <c r="EY2554" s="939"/>
      <c r="EZ2554" s="886"/>
    </row>
    <row r="2555" spans="88:156">
      <c r="CJ2555" s="197"/>
      <c r="CK2555" s="197"/>
      <c r="CL2555" s="197"/>
      <c r="CM2555" s="213"/>
      <c r="CN2555" s="213"/>
      <c r="CO2555" s="197"/>
      <c r="CP2555" s="197"/>
      <c r="CQ2555" s="197"/>
      <c r="CR2555" s="197"/>
      <c r="CS2555" s="197"/>
      <c r="CT2555" s="197"/>
      <c r="CU2555" s="197"/>
      <c r="CV2555" s="197"/>
      <c r="CW2555" s="197"/>
      <c r="CX2555" s="959"/>
      <c r="CY2555" s="959"/>
      <c r="CZ2555" s="959"/>
      <c r="DA2555" s="959"/>
      <c r="DB2555" s="959"/>
      <c r="DC2555" s="891">
        <v>8521</v>
      </c>
      <c r="DD2555" s="891" t="s">
        <v>2767</v>
      </c>
      <c r="DE2555" s="891" t="s">
        <v>2808</v>
      </c>
      <c r="DF2555" s="891">
        <v>6</v>
      </c>
      <c r="DG2555" s="959"/>
      <c r="DH2555" s="959"/>
      <c r="ER2555" s="905">
        <v>8422</v>
      </c>
      <c r="ES2555" s="906" t="s">
        <v>1304</v>
      </c>
      <c r="ET2555" s="2686">
        <v>9</v>
      </c>
      <c r="EV2555" s="985"/>
      <c r="EW2555" s="985"/>
      <c r="EX2555" s="387"/>
      <c r="EY2555" s="939"/>
      <c r="EZ2555" s="886"/>
    </row>
    <row r="2556" spans="88:156">
      <c r="CJ2556" s="197"/>
      <c r="CK2556" s="197"/>
      <c r="CL2556" s="197"/>
      <c r="CM2556" s="213"/>
      <c r="CN2556" s="213"/>
      <c r="CO2556" s="197"/>
      <c r="CP2556" s="197"/>
      <c r="CQ2556" s="197"/>
      <c r="CR2556" s="197"/>
      <c r="CS2556" s="197"/>
      <c r="CT2556" s="197"/>
      <c r="CU2556" s="197"/>
      <c r="CV2556" s="197"/>
      <c r="CW2556" s="197"/>
      <c r="CX2556" s="959"/>
      <c r="CY2556" s="959"/>
      <c r="CZ2556" s="959"/>
      <c r="DA2556" s="959"/>
      <c r="DB2556" s="959"/>
      <c r="DC2556" s="891">
        <v>8522</v>
      </c>
      <c r="DD2556" s="891" t="s">
        <v>2768</v>
      </c>
      <c r="DE2556" s="891" t="s">
        <v>419</v>
      </c>
      <c r="DF2556" s="891">
        <v>6</v>
      </c>
      <c r="DG2556" s="959"/>
      <c r="DH2556" s="959"/>
      <c r="ER2556" s="905">
        <v>8423</v>
      </c>
      <c r="ES2556" s="906" t="s">
        <v>1305</v>
      </c>
      <c r="ET2556" s="2686">
        <v>9</v>
      </c>
      <c r="EV2556" s="985"/>
      <c r="EW2556" s="985"/>
      <c r="EX2556" s="387"/>
      <c r="EY2556" s="939"/>
      <c r="EZ2556" s="886"/>
    </row>
    <row r="2557" spans="88:156">
      <c r="CJ2557" s="197"/>
      <c r="CK2557" s="197"/>
      <c r="CL2557" s="197"/>
      <c r="CM2557" s="213"/>
      <c r="CN2557" s="213"/>
      <c r="CO2557" s="197"/>
      <c r="CP2557" s="197"/>
      <c r="CQ2557" s="197"/>
      <c r="CR2557" s="197"/>
      <c r="CS2557" s="197"/>
      <c r="CT2557" s="197"/>
      <c r="CU2557" s="197"/>
      <c r="CV2557" s="197"/>
      <c r="CW2557" s="197"/>
      <c r="CX2557" s="959"/>
      <c r="CY2557" s="959"/>
      <c r="CZ2557" s="959"/>
      <c r="DA2557" s="959"/>
      <c r="DB2557" s="959"/>
      <c r="DC2557" s="891">
        <v>8523</v>
      </c>
      <c r="DD2557" s="891" t="s">
        <v>2769</v>
      </c>
      <c r="DE2557" s="891" t="s">
        <v>419</v>
      </c>
      <c r="DF2557" s="891">
        <v>6</v>
      </c>
      <c r="DG2557" s="959"/>
      <c r="DH2557" s="959"/>
      <c r="ER2557" s="905">
        <v>8424</v>
      </c>
      <c r="ES2557" s="906" t="s">
        <v>1306</v>
      </c>
      <c r="ET2557" s="2686">
        <v>9</v>
      </c>
      <c r="EV2557" s="985"/>
      <c r="EW2557" s="985"/>
      <c r="EX2557" s="387"/>
      <c r="EY2557" s="939"/>
      <c r="EZ2557" s="886"/>
    </row>
    <row r="2558" spans="88:156">
      <c r="CJ2558" s="197"/>
      <c r="CK2558" s="197"/>
      <c r="CL2558" s="197"/>
      <c r="CM2558" s="213"/>
      <c r="CN2558" s="213"/>
      <c r="CO2558" s="197"/>
      <c r="CP2558" s="197"/>
      <c r="CQ2558" s="197"/>
      <c r="CR2558" s="197"/>
      <c r="CS2558" s="197"/>
      <c r="CT2558" s="197"/>
      <c r="CU2558" s="197"/>
      <c r="CV2558" s="197"/>
      <c r="CW2558" s="197"/>
      <c r="CX2558" s="959"/>
      <c r="CY2558" s="959"/>
      <c r="CZ2558" s="959"/>
      <c r="DA2558" s="959"/>
      <c r="DB2558" s="959"/>
      <c r="DC2558" s="891">
        <v>8531</v>
      </c>
      <c r="DD2558" s="891" t="s">
        <v>2770</v>
      </c>
      <c r="DE2558" s="891" t="s">
        <v>410</v>
      </c>
      <c r="DF2558" s="891">
        <v>6</v>
      </c>
      <c r="DG2558" s="959"/>
      <c r="DH2558" s="959"/>
      <c r="ER2558" s="905">
        <v>8425</v>
      </c>
      <c r="ES2558" s="906" t="s">
        <v>1675</v>
      </c>
      <c r="ET2558" s="2686">
        <v>9</v>
      </c>
      <c r="EV2558" s="985"/>
      <c r="EW2558" s="985"/>
      <c r="EX2558" s="387"/>
      <c r="EY2558" s="939"/>
      <c r="EZ2558" s="886"/>
    </row>
    <row r="2559" spans="88:156">
      <c r="CJ2559" s="197"/>
      <c r="CK2559" s="197"/>
      <c r="CL2559" s="197"/>
      <c r="CM2559" s="213"/>
      <c r="CN2559" s="213"/>
      <c r="CO2559" s="197"/>
      <c r="CP2559" s="197"/>
      <c r="CQ2559" s="197"/>
      <c r="CR2559" s="197"/>
      <c r="CS2559" s="197"/>
      <c r="CT2559" s="197"/>
      <c r="CU2559" s="197"/>
      <c r="CV2559" s="197"/>
      <c r="CW2559" s="197"/>
      <c r="CX2559" s="959"/>
      <c r="CY2559" s="959"/>
      <c r="CZ2559" s="959"/>
      <c r="DA2559" s="959"/>
      <c r="DB2559" s="959"/>
      <c r="DC2559" s="891">
        <v>8532</v>
      </c>
      <c r="DD2559" s="891" t="s">
        <v>2771</v>
      </c>
      <c r="DE2559" s="891" t="s">
        <v>432</v>
      </c>
      <c r="DF2559" s="891">
        <v>6</v>
      </c>
      <c r="DG2559" s="959"/>
      <c r="DH2559" s="959"/>
      <c r="ER2559" s="905">
        <v>8426</v>
      </c>
      <c r="ES2559" s="906" t="s">
        <v>1308</v>
      </c>
      <c r="ET2559" s="2686">
        <v>9</v>
      </c>
      <c r="EV2559" s="985"/>
      <c r="EW2559" s="985"/>
      <c r="EX2559" s="387"/>
      <c r="EY2559" s="939"/>
      <c r="EZ2559" s="886"/>
    </row>
    <row r="2560" spans="88:156">
      <c r="CJ2560" s="197"/>
      <c r="CK2560" s="197"/>
      <c r="CL2560" s="197"/>
      <c r="CM2560" s="213"/>
      <c r="CN2560" s="213"/>
      <c r="CO2560" s="197"/>
      <c r="CP2560" s="197"/>
      <c r="CQ2560" s="197"/>
      <c r="CR2560" s="197"/>
      <c r="CS2560" s="197"/>
      <c r="CT2560" s="197"/>
      <c r="CU2560" s="197"/>
      <c r="CV2560" s="197"/>
      <c r="CW2560" s="197"/>
      <c r="CX2560" s="959"/>
      <c r="CY2560" s="959"/>
      <c r="CZ2560" s="959"/>
      <c r="DA2560" s="959"/>
      <c r="DB2560" s="959"/>
      <c r="DC2560" s="891">
        <v>8533</v>
      </c>
      <c r="DD2560" s="891" t="s">
        <v>2772</v>
      </c>
      <c r="DE2560" s="891" t="s">
        <v>410</v>
      </c>
      <c r="DF2560" s="891">
        <v>6</v>
      </c>
      <c r="DG2560" s="959"/>
      <c r="DH2560" s="959"/>
      <c r="ER2560" s="905">
        <v>8427</v>
      </c>
      <c r="ES2560" s="906" t="s">
        <v>1309</v>
      </c>
      <c r="ET2560" s="2686">
        <v>9</v>
      </c>
      <c r="EV2560" s="985"/>
      <c r="EW2560" s="985"/>
      <c r="EX2560" s="387"/>
      <c r="EY2560" s="939"/>
      <c r="EZ2560" s="886"/>
    </row>
    <row r="2561" spans="88:156">
      <c r="CJ2561" s="197"/>
      <c r="CK2561" s="197"/>
      <c r="CL2561" s="197"/>
      <c r="CM2561" s="213"/>
      <c r="CN2561" s="213"/>
      <c r="CO2561" s="197"/>
      <c r="CP2561" s="197"/>
      <c r="CQ2561" s="197"/>
      <c r="CR2561" s="197"/>
      <c r="CS2561" s="197"/>
      <c r="CT2561" s="197"/>
      <c r="CU2561" s="197"/>
      <c r="CV2561" s="197"/>
      <c r="CW2561" s="197"/>
      <c r="CX2561" s="959"/>
      <c r="CY2561" s="959"/>
      <c r="CZ2561" s="959"/>
      <c r="DA2561" s="959"/>
      <c r="DB2561" s="959"/>
      <c r="DC2561" s="891">
        <v>8534</v>
      </c>
      <c r="DD2561" s="891" t="s">
        <v>2773</v>
      </c>
      <c r="DE2561" s="891" t="s">
        <v>412</v>
      </c>
      <c r="DF2561" s="891">
        <v>6</v>
      </c>
      <c r="DG2561" s="959"/>
      <c r="DH2561" s="959"/>
      <c r="ER2561" s="905">
        <v>8428</v>
      </c>
      <c r="ES2561" s="906" t="s">
        <v>1310</v>
      </c>
      <c r="ET2561" s="2686">
        <v>9</v>
      </c>
      <c r="EV2561" s="985"/>
      <c r="EW2561" s="985"/>
      <c r="EX2561" s="387"/>
      <c r="EY2561" s="939"/>
      <c r="EZ2561" s="886"/>
    </row>
    <row r="2562" spans="88:156">
      <c r="CJ2562" s="197"/>
      <c r="CK2562" s="197"/>
      <c r="CL2562" s="197"/>
      <c r="CM2562" s="213"/>
      <c r="CN2562" s="213"/>
      <c r="CO2562" s="197"/>
      <c r="CP2562" s="197"/>
      <c r="CQ2562" s="197"/>
      <c r="CR2562" s="197"/>
      <c r="CS2562" s="197"/>
      <c r="CT2562" s="197"/>
      <c r="CU2562" s="197"/>
      <c r="CV2562" s="197"/>
      <c r="CW2562" s="197"/>
      <c r="CX2562" s="959"/>
      <c r="CY2562" s="959"/>
      <c r="CZ2562" s="959"/>
      <c r="DA2562" s="959"/>
      <c r="DB2562" s="959"/>
      <c r="DC2562" s="891">
        <v>8541</v>
      </c>
      <c r="DD2562" s="891" t="s">
        <v>2774</v>
      </c>
      <c r="DE2562" s="891" t="s">
        <v>2808</v>
      </c>
      <c r="DF2562" s="891">
        <v>6</v>
      </c>
      <c r="DG2562" s="959"/>
      <c r="DH2562" s="959"/>
      <c r="ER2562" s="905">
        <v>8429</v>
      </c>
      <c r="ES2562" s="906" t="s">
        <v>1311</v>
      </c>
      <c r="ET2562" s="2686">
        <v>9</v>
      </c>
      <c r="EV2562" s="985"/>
      <c r="EW2562" s="985"/>
      <c r="EX2562" s="387"/>
      <c r="EY2562" s="939"/>
      <c r="EZ2562" s="886"/>
    </row>
    <row r="2563" spans="88:156">
      <c r="CJ2563" s="197"/>
      <c r="CK2563" s="197"/>
      <c r="CL2563" s="197"/>
      <c r="CM2563" s="213"/>
      <c r="CN2563" s="213"/>
      <c r="CO2563" s="197"/>
      <c r="CP2563" s="197"/>
      <c r="CQ2563" s="197"/>
      <c r="CR2563" s="197"/>
      <c r="CS2563" s="197"/>
      <c r="CT2563" s="197"/>
      <c r="CU2563" s="197"/>
      <c r="CV2563" s="197"/>
      <c r="CW2563" s="197"/>
      <c r="CX2563" s="959"/>
      <c r="CY2563" s="959"/>
      <c r="CZ2563" s="959"/>
      <c r="DA2563" s="959"/>
      <c r="DB2563" s="959"/>
      <c r="DC2563" s="891">
        <v>8542</v>
      </c>
      <c r="DD2563" s="891" t="s">
        <v>2775</v>
      </c>
      <c r="DE2563" s="891" t="s">
        <v>417</v>
      </c>
      <c r="DF2563" s="891">
        <v>6</v>
      </c>
      <c r="DG2563" s="959"/>
      <c r="DH2563" s="959"/>
      <c r="ER2563" s="905">
        <v>8430</v>
      </c>
      <c r="ES2563" s="906" t="s">
        <v>1312</v>
      </c>
      <c r="ET2563" s="2686">
        <v>9</v>
      </c>
      <c r="EV2563" s="985"/>
      <c r="EW2563" s="985"/>
      <c r="EX2563" s="387"/>
      <c r="EY2563" s="939"/>
      <c r="EZ2563" s="886"/>
    </row>
    <row r="2564" spans="88:156">
      <c r="CJ2564" s="197"/>
      <c r="CK2564" s="197"/>
      <c r="CL2564" s="197"/>
      <c r="CM2564" s="213"/>
      <c r="CN2564" s="213"/>
      <c r="CO2564" s="197"/>
      <c r="CP2564" s="197"/>
      <c r="CQ2564" s="197"/>
      <c r="CR2564" s="197"/>
      <c r="CS2564" s="197"/>
      <c r="CT2564" s="197"/>
      <c r="CU2564" s="197"/>
      <c r="CV2564" s="197"/>
      <c r="CW2564" s="197"/>
      <c r="CX2564" s="959"/>
      <c r="CY2564" s="959"/>
      <c r="CZ2564" s="959"/>
      <c r="DA2564" s="959"/>
      <c r="DB2564" s="959"/>
      <c r="DC2564" s="891">
        <v>8543</v>
      </c>
      <c r="DD2564" s="891" t="s">
        <v>2776</v>
      </c>
      <c r="DE2564" s="891" t="s">
        <v>419</v>
      </c>
      <c r="DF2564" s="891">
        <v>6</v>
      </c>
      <c r="DG2564" s="959"/>
      <c r="DH2564" s="959"/>
      <c r="ER2564" s="905">
        <v>8431</v>
      </c>
      <c r="ES2564" s="906" t="s">
        <v>1313</v>
      </c>
      <c r="ET2564" s="2686">
        <v>9</v>
      </c>
      <c r="EV2564" s="985"/>
      <c r="EW2564" s="985"/>
      <c r="EX2564" s="387"/>
      <c r="EY2564" s="939"/>
      <c r="EZ2564" s="886"/>
    </row>
    <row r="2565" spans="88:156">
      <c r="CJ2565" s="197"/>
      <c r="CK2565" s="197"/>
      <c r="CL2565" s="197"/>
      <c r="CM2565" s="213"/>
      <c r="CN2565" s="213"/>
      <c r="CO2565" s="197"/>
      <c r="CP2565" s="197"/>
      <c r="CQ2565" s="197"/>
      <c r="CR2565" s="197"/>
      <c r="CS2565" s="197"/>
      <c r="CT2565" s="197"/>
      <c r="CU2565" s="197"/>
      <c r="CV2565" s="197"/>
      <c r="CW2565" s="197"/>
      <c r="CX2565" s="959"/>
      <c r="CY2565" s="959"/>
      <c r="CZ2565" s="959"/>
      <c r="DA2565" s="959"/>
      <c r="DB2565" s="959"/>
      <c r="DC2565" s="891">
        <v>8544</v>
      </c>
      <c r="DD2565" s="891" t="s">
        <v>2777</v>
      </c>
      <c r="DE2565" s="891" t="s">
        <v>418</v>
      </c>
      <c r="DF2565" s="891">
        <v>6</v>
      </c>
      <c r="DG2565" s="959"/>
      <c r="DH2565" s="959"/>
      <c r="ER2565" s="905">
        <v>8432</v>
      </c>
      <c r="ES2565" s="906" t="s">
        <v>1314</v>
      </c>
      <c r="ET2565" s="2686">
        <v>9</v>
      </c>
      <c r="EV2565" s="985"/>
      <c r="EW2565" s="985"/>
      <c r="EX2565" s="387"/>
      <c r="EY2565" s="939"/>
      <c r="EZ2565" s="886"/>
    </row>
    <row r="2566" spans="88:156">
      <c r="CJ2566" s="197"/>
      <c r="CK2566" s="197"/>
      <c r="CL2566" s="197"/>
      <c r="CM2566" s="213"/>
      <c r="CN2566" s="213"/>
      <c r="CO2566" s="197"/>
      <c r="CP2566" s="197"/>
      <c r="CQ2566" s="197"/>
      <c r="CR2566" s="197"/>
      <c r="CS2566" s="197"/>
      <c r="CT2566" s="197"/>
      <c r="CU2566" s="197"/>
      <c r="CV2566" s="197"/>
      <c r="CW2566" s="197"/>
      <c r="CX2566" s="959"/>
      <c r="CY2566" s="959"/>
      <c r="CZ2566" s="959"/>
      <c r="DA2566" s="959"/>
      <c r="DB2566" s="959"/>
      <c r="DC2566" s="891">
        <v>8545</v>
      </c>
      <c r="DD2566" s="891" t="s">
        <v>2778</v>
      </c>
      <c r="DE2566" s="891" t="s">
        <v>427</v>
      </c>
      <c r="DF2566" s="891">
        <v>6</v>
      </c>
      <c r="DG2566" s="959"/>
      <c r="DH2566" s="959"/>
      <c r="ER2566" s="905">
        <v>8433</v>
      </c>
      <c r="ES2566" s="906" t="s">
        <v>1315</v>
      </c>
      <c r="ET2566" s="2686">
        <v>9</v>
      </c>
      <c r="EV2566" s="985"/>
      <c r="EW2566" s="985"/>
      <c r="EX2566" s="387"/>
      <c r="EY2566" s="939"/>
      <c r="EZ2566" s="886"/>
    </row>
    <row r="2567" spans="88:156">
      <c r="CJ2567" s="197"/>
      <c r="CK2567" s="197"/>
      <c r="CL2567" s="197"/>
      <c r="CM2567" s="213"/>
      <c r="CN2567" s="213"/>
      <c r="CO2567" s="197"/>
      <c r="CP2567" s="197"/>
      <c r="CQ2567" s="197"/>
      <c r="CR2567" s="197"/>
      <c r="CS2567" s="197"/>
      <c r="CT2567" s="197"/>
      <c r="CU2567" s="197"/>
      <c r="CV2567" s="197"/>
      <c r="CW2567" s="197"/>
      <c r="CX2567" s="959"/>
      <c r="CY2567" s="959"/>
      <c r="CZ2567" s="959"/>
      <c r="DA2567" s="959"/>
      <c r="DB2567" s="959"/>
      <c r="DC2567" s="891">
        <v>8551</v>
      </c>
      <c r="DD2567" s="891" t="s">
        <v>2779</v>
      </c>
      <c r="DE2567" s="891" t="s">
        <v>418</v>
      </c>
      <c r="DF2567" s="891">
        <v>6</v>
      </c>
      <c r="DG2567" s="959"/>
      <c r="DH2567" s="959"/>
      <c r="ER2567" s="905">
        <v>8434</v>
      </c>
      <c r="ES2567" s="906" t="s">
        <v>1316</v>
      </c>
      <c r="ET2567" s="2686">
        <v>9</v>
      </c>
      <c r="EV2567" s="985"/>
      <c r="EW2567" s="985"/>
      <c r="EX2567" s="387"/>
      <c r="EY2567" s="939"/>
      <c r="EZ2567" s="886"/>
    </row>
    <row r="2568" spans="88:156">
      <c r="CJ2568" s="197"/>
      <c r="CK2568" s="197"/>
      <c r="CL2568" s="197"/>
      <c r="CM2568" s="213"/>
      <c r="CN2568" s="213"/>
      <c r="CO2568" s="197"/>
      <c r="CP2568" s="197"/>
      <c r="CQ2568" s="197"/>
      <c r="CR2568" s="197"/>
      <c r="CS2568" s="197"/>
      <c r="CT2568" s="197"/>
      <c r="CU2568" s="197"/>
      <c r="CV2568" s="197"/>
      <c r="CW2568" s="197"/>
      <c r="CX2568" s="959"/>
      <c r="CY2568" s="959"/>
      <c r="CZ2568" s="959"/>
      <c r="DA2568" s="959"/>
      <c r="DB2568" s="959"/>
      <c r="DC2568" s="891">
        <v>8552</v>
      </c>
      <c r="DD2568" s="891" t="s">
        <v>2780</v>
      </c>
      <c r="DE2568" s="891" t="s">
        <v>412</v>
      </c>
      <c r="DF2568" s="891">
        <v>6</v>
      </c>
      <c r="DG2568" s="959"/>
      <c r="DH2568" s="959"/>
      <c r="ER2568" s="905">
        <v>8435</v>
      </c>
      <c r="ES2568" s="906" t="s">
        <v>1317</v>
      </c>
      <c r="ET2568" s="2686">
        <v>9</v>
      </c>
      <c r="EV2568" s="985"/>
      <c r="EW2568" s="985"/>
      <c r="EX2568" s="387"/>
      <c r="EY2568" s="939"/>
      <c r="EZ2568" s="886"/>
    </row>
    <row r="2569" spans="88:156">
      <c r="CJ2569" s="197"/>
      <c r="CK2569" s="197"/>
      <c r="CL2569" s="197"/>
      <c r="CM2569" s="213"/>
      <c r="CN2569" s="213"/>
      <c r="CO2569" s="197"/>
      <c r="CP2569" s="197"/>
      <c r="CQ2569" s="197"/>
      <c r="CR2569" s="197"/>
      <c r="CS2569" s="197"/>
      <c r="CT2569" s="197"/>
      <c r="CU2569" s="197"/>
      <c r="CV2569" s="197"/>
      <c r="CW2569" s="197"/>
      <c r="CX2569" s="959"/>
      <c r="CY2569" s="959"/>
      <c r="CZ2569" s="959"/>
      <c r="DA2569" s="959"/>
      <c r="DB2569" s="959"/>
      <c r="DC2569" s="891">
        <v>8553</v>
      </c>
      <c r="DD2569" s="891" t="s">
        <v>4954</v>
      </c>
      <c r="DE2569" s="891" t="s">
        <v>412</v>
      </c>
      <c r="DF2569" s="891">
        <v>6</v>
      </c>
      <c r="DG2569" s="959"/>
      <c r="DH2569" s="959"/>
      <c r="ER2569" s="905">
        <v>8438</v>
      </c>
      <c r="ES2569" s="906" t="s">
        <v>1320</v>
      </c>
      <c r="ET2569" s="2686">
        <v>9</v>
      </c>
      <c r="EV2569" s="985"/>
      <c r="EW2569" s="985"/>
      <c r="EX2569" s="387"/>
      <c r="EY2569" s="939"/>
      <c r="EZ2569" s="886"/>
    </row>
    <row r="2570" spans="88:156">
      <c r="CJ2570" s="197"/>
      <c r="CK2570" s="197"/>
      <c r="CL2570" s="197"/>
      <c r="CM2570" s="213"/>
      <c r="CN2570" s="213"/>
      <c r="CO2570" s="197"/>
      <c r="CP2570" s="197"/>
      <c r="CQ2570" s="197"/>
      <c r="CR2570" s="197"/>
      <c r="CS2570" s="197"/>
      <c r="CT2570" s="197"/>
      <c r="CU2570" s="197"/>
      <c r="CV2570" s="197"/>
      <c r="CW2570" s="197"/>
      <c r="CX2570" s="959"/>
      <c r="CY2570" s="959"/>
      <c r="CZ2570" s="959"/>
      <c r="DA2570" s="959"/>
      <c r="DB2570" s="959"/>
      <c r="DC2570" s="891">
        <v>8554</v>
      </c>
      <c r="DD2570" s="891" t="s">
        <v>4955</v>
      </c>
      <c r="DE2570" s="891" t="s">
        <v>420</v>
      </c>
      <c r="DF2570" s="891">
        <v>6</v>
      </c>
      <c r="DG2570" s="959"/>
      <c r="DH2570" s="959"/>
      <c r="ER2570" s="905">
        <v>8439</v>
      </c>
      <c r="ES2570" s="906" t="s">
        <v>1321</v>
      </c>
      <c r="ET2570" s="2686">
        <v>9</v>
      </c>
      <c r="EV2570" s="985"/>
      <c r="EW2570" s="985"/>
      <c r="EX2570" s="387"/>
      <c r="EY2570" s="939"/>
      <c r="EZ2570" s="886"/>
    </row>
    <row r="2571" spans="88:156">
      <c r="CJ2571" s="197"/>
      <c r="CK2571" s="197"/>
      <c r="CL2571" s="197"/>
      <c r="CM2571" s="213"/>
      <c r="CN2571" s="213"/>
      <c r="CO2571" s="197"/>
      <c r="CP2571" s="197"/>
      <c r="CQ2571" s="197"/>
      <c r="CR2571" s="197"/>
      <c r="CS2571" s="197"/>
      <c r="CT2571" s="197"/>
      <c r="CU2571" s="197"/>
      <c r="CV2571" s="197"/>
      <c r="CW2571" s="197"/>
      <c r="CX2571" s="959"/>
      <c r="CY2571" s="959"/>
      <c r="CZ2571" s="959"/>
      <c r="DA2571" s="959"/>
      <c r="DB2571" s="959"/>
      <c r="DC2571" s="891">
        <v>8555</v>
      </c>
      <c r="DD2571" s="891" t="s">
        <v>4956</v>
      </c>
      <c r="DE2571" s="891" t="s">
        <v>420</v>
      </c>
      <c r="DF2571" s="891">
        <v>6</v>
      </c>
      <c r="DG2571" s="959"/>
      <c r="DH2571" s="959"/>
      <c r="ER2571" s="905">
        <v>8440</v>
      </c>
      <c r="ES2571" s="906" t="s">
        <v>1322</v>
      </c>
      <c r="ET2571" s="2686">
        <v>9</v>
      </c>
      <c r="EV2571" s="985"/>
      <c r="EW2571" s="985"/>
      <c r="EX2571" s="387"/>
      <c r="EY2571" s="939"/>
      <c r="EZ2571" s="886"/>
    </row>
    <row r="2572" spans="88:156">
      <c r="CJ2572" s="197"/>
      <c r="CK2572" s="197"/>
      <c r="CL2572" s="197"/>
      <c r="CM2572" s="213"/>
      <c r="CN2572" s="213"/>
      <c r="CO2572" s="197"/>
      <c r="CP2572" s="197"/>
      <c r="CQ2572" s="197"/>
      <c r="CR2572" s="197"/>
      <c r="CS2572" s="197"/>
      <c r="CT2572" s="197"/>
      <c r="CU2572" s="197"/>
      <c r="CV2572" s="197"/>
      <c r="CW2572" s="197"/>
      <c r="CX2572" s="959"/>
      <c r="CY2572" s="959"/>
      <c r="CZ2572" s="959"/>
      <c r="DA2572" s="959"/>
      <c r="DB2572" s="959"/>
      <c r="DC2572" s="891">
        <v>8556</v>
      </c>
      <c r="DD2572" s="891" t="s">
        <v>4957</v>
      </c>
      <c r="DE2572" s="891" t="s">
        <v>412</v>
      </c>
      <c r="DF2572" s="891">
        <v>6</v>
      </c>
      <c r="DG2572" s="959"/>
      <c r="DH2572" s="959"/>
      <c r="ER2572" s="905">
        <v>8441</v>
      </c>
      <c r="ES2572" s="906" t="s">
        <v>3975</v>
      </c>
      <c r="ET2572" s="2686">
        <v>6</v>
      </c>
      <c r="EV2572" s="985"/>
      <c r="EW2572" s="985"/>
      <c r="EX2572" s="387"/>
      <c r="EY2572" s="939"/>
      <c r="EZ2572" s="886"/>
    </row>
    <row r="2573" spans="88:156">
      <c r="CJ2573" s="197"/>
      <c r="CK2573" s="197"/>
      <c r="CL2573" s="197"/>
      <c r="CM2573" s="213"/>
      <c r="CN2573" s="213"/>
      <c r="CO2573" s="197"/>
      <c r="CP2573" s="197"/>
      <c r="CQ2573" s="197"/>
      <c r="CR2573" s="197"/>
      <c r="CS2573" s="197"/>
      <c r="CT2573" s="197"/>
      <c r="CU2573" s="197"/>
      <c r="CV2573" s="197"/>
      <c r="CW2573" s="197"/>
      <c r="CX2573" s="959"/>
      <c r="CY2573" s="959"/>
      <c r="CZ2573" s="959"/>
      <c r="DA2573" s="959"/>
      <c r="DB2573" s="959"/>
      <c r="DC2573" s="891">
        <v>8557</v>
      </c>
      <c r="DD2573" s="891" t="s">
        <v>4958</v>
      </c>
      <c r="DE2573" s="891" t="s">
        <v>423</v>
      </c>
      <c r="DF2573" s="891">
        <v>6</v>
      </c>
      <c r="DG2573" s="959"/>
      <c r="DH2573" s="959"/>
      <c r="ER2573" s="905">
        <v>8442</v>
      </c>
      <c r="ES2573" s="906" t="s">
        <v>3976</v>
      </c>
      <c r="ET2573" s="2686">
        <v>9</v>
      </c>
      <c r="EV2573" s="985"/>
      <c r="EW2573" s="985"/>
      <c r="EX2573" s="387"/>
      <c r="EY2573" s="939"/>
      <c r="EZ2573" s="886"/>
    </row>
    <row r="2574" spans="88:156">
      <c r="CJ2574" s="197"/>
      <c r="CK2574" s="197"/>
      <c r="CL2574" s="197"/>
      <c r="CM2574" s="213"/>
      <c r="CN2574" s="213"/>
      <c r="CO2574" s="197"/>
      <c r="CP2574" s="197"/>
      <c r="CQ2574" s="197"/>
      <c r="CR2574" s="197"/>
      <c r="CS2574" s="197"/>
      <c r="CT2574" s="197"/>
      <c r="CU2574" s="197"/>
      <c r="CV2574" s="197"/>
      <c r="CW2574" s="197"/>
      <c r="CX2574" s="959"/>
      <c r="CY2574" s="959"/>
      <c r="CZ2574" s="959"/>
      <c r="DA2574" s="959"/>
      <c r="DB2574" s="959"/>
      <c r="DC2574" s="891">
        <v>8558</v>
      </c>
      <c r="DD2574" s="891" t="s">
        <v>4959</v>
      </c>
      <c r="DE2574" s="891" t="s">
        <v>434</v>
      </c>
      <c r="DF2574" s="891">
        <v>6</v>
      </c>
      <c r="DG2574" s="959"/>
      <c r="DH2574" s="959"/>
      <c r="ER2574" s="905">
        <v>8443</v>
      </c>
      <c r="ES2574" s="906" t="s">
        <v>3977</v>
      </c>
      <c r="ET2574" s="2686">
        <v>6</v>
      </c>
      <c r="EV2574" s="985"/>
      <c r="EW2574" s="985"/>
      <c r="EX2574" s="387"/>
      <c r="EY2574" s="939"/>
      <c r="EZ2574" s="886"/>
    </row>
    <row r="2575" spans="88:156">
      <c r="CJ2575" s="197"/>
      <c r="CK2575" s="197"/>
      <c r="CL2575" s="197"/>
      <c r="CM2575" s="213"/>
      <c r="CN2575" s="213"/>
      <c r="CO2575" s="197"/>
      <c r="CP2575" s="197"/>
      <c r="CQ2575" s="197"/>
      <c r="CR2575" s="197"/>
      <c r="CS2575" s="197"/>
      <c r="CT2575" s="197"/>
      <c r="CU2575" s="197"/>
      <c r="CV2575" s="197"/>
      <c r="CW2575" s="197"/>
      <c r="CX2575" s="959"/>
      <c r="CY2575" s="959"/>
      <c r="CZ2575" s="959"/>
      <c r="DA2575" s="959"/>
      <c r="DB2575" s="959"/>
      <c r="DC2575" s="891">
        <v>8561</v>
      </c>
      <c r="DD2575" s="891" t="s">
        <v>4960</v>
      </c>
      <c r="DE2575" s="891" t="s">
        <v>434</v>
      </c>
      <c r="DF2575" s="891">
        <v>6</v>
      </c>
      <c r="DG2575" s="959"/>
      <c r="DH2575" s="959"/>
      <c r="ER2575" s="905">
        <v>8444</v>
      </c>
      <c r="ES2575" s="906" t="s">
        <v>3978</v>
      </c>
      <c r="ET2575" s="2686">
        <v>9</v>
      </c>
      <c r="EV2575" s="985"/>
      <c r="EW2575" s="985"/>
      <c r="EX2575" s="387"/>
      <c r="EY2575" s="939"/>
      <c r="EZ2575" s="886"/>
    </row>
    <row r="2576" spans="88:156">
      <c r="CJ2576" s="197"/>
      <c r="CK2576" s="197"/>
      <c r="CL2576" s="197"/>
      <c r="CM2576" s="213"/>
      <c r="CN2576" s="213"/>
      <c r="CO2576" s="197"/>
      <c r="CP2576" s="197"/>
      <c r="CQ2576" s="197"/>
      <c r="CR2576" s="197"/>
      <c r="CS2576" s="197"/>
      <c r="CT2576" s="197"/>
      <c r="CU2576" s="197"/>
      <c r="CV2576" s="197"/>
      <c r="CW2576" s="197"/>
      <c r="CX2576" s="959"/>
      <c r="CY2576" s="959"/>
      <c r="CZ2576" s="959"/>
      <c r="DA2576" s="959"/>
      <c r="DB2576" s="959"/>
      <c r="DC2576" s="891">
        <v>8562</v>
      </c>
      <c r="DD2576" s="891" t="s">
        <v>4961</v>
      </c>
      <c r="DE2576" s="891" t="s">
        <v>419</v>
      </c>
      <c r="DF2576" s="891">
        <v>6</v>
      </c>
      <c r="DG2576" s="959"/>
      <c r="DH2576" s="959"/>
      <c r="ER2576" s="905">
        <v>8445</v>
      </c>
      <c r="ES2576" s="906" t="s">
        <v>1676</v>
      </c>
      <c r="ET2576" s="2686">
        <v>9</v>
      </c>
      <c r="EV2576" s="985"/>
      <c r="EW2576" s="985"/>
      <c r="EX2576" s="387"/>
      <c r="EY2576" s="939"/>
      <c r="EZ2576" s="886"/>
    </row>
    <row r="2577" spans="88:156">
      <c r="CJ2577" s="197"/>
      <c r="CK2577" s="197"/>
      <c r="CL2577" s="197"/>
      <c r="CM2577" s="213"/>
      <c r="CN2577" s="213"/>
      <c r="CO2577" s="197"/>
      <c r="CP2577" s="197"/>
      <c r="CQ2577" s="197"/>
      <c r="CR2577" s="197"/>
      <c r="CS2577" s="197"/>
      <c r="CT2577" s="197"/>
      <c r="CU2577" s="197"/>
      <c r="CV2577" s="197"/>
      <c r="CW2577" s="197"/>
      <c r="CX2577" s="959"/>
      <c r="CY2577" s="959"/>
      <c r="CZ2577" s="959"/>
      <c r="DA2577" s="959"/>
      <c r="DB2577" s="959"/>
      <c r="DC2577" s="891">
        <v>8563</v>
      </c>
      <c r="DD2577" s="891" t="s">
        <v>4962</v>
      </c>
      <c r="DE2577" s="891" t="s">
        <v>434</v>
      </c>
      <c r="DF2577" s="891">
        <v>6</v>
      </c>
      <c r="DG2577" s="959"/>
      <c r="DH2577" s="959"/>
      <c r="ER2577" s="905">
        <v>8445</v>
      </c>
      <c r="ES2577" s="906" t="s">
        <v>3979</v>
      </c>
      <c r="ET2577" s="2686">
        <v>9</v>
      </c>
      <c r="EV2577" s="985"/>
      <c r="EW2577" s="985"/>
      <c r="EX2577" s="387"/>
      <c r="EY2577" s="939"/>
      <c r="EZ2577" s="886"/>
    </row>
    <row r="2578" spans="88:156">
      <c r="CJ2578" s="197"/>
      <c r="CK2578" s="197"/>
      <c r="CL2578" s="197"/>
      <c r="CM2578" s="213"/>
      <c r="CN2578" s="213"/>
      <c r="CO2578" s="197"/>
      <c r="CP2578" s="197"/>
      <c r="CQ2578" s="197"/>
      <c r="CR2578" s="197"/>
      <c r="CS2578" s="197"/>
      <c r="CT2578" s="197"/>
      <c r="CU2578" s="197"/>
      <c r="CV2578" s="197"/>
      <c r="CW2578" s="197"/>
      <c r="CX2578" s="959"/>
      <c r="CY2578" s="959"/>
      <c r="CZ2578" s="959"/>
      <c r="DA2578" s="959"/>
      <c r="DB2578" s="959"/>
      <c r="DC2578" s="891">
        <v>8564</v>
      </c>
      <c r="DD2578" s="891" t="s">
        <v>4963</v>
      </c>
      <c r="DE2578" s="891" t="s">
        <v>434</v>
      </c>
      <c r="DF2578" s="891">
        <v>6</v>
      </c>
      <c r="DG2578" s="959"/>
      <c r="DH2578" s="959"/>
      <c r="ER2578" s="905">
        <v>8446</v>
      </c>
      <c r="ES2578" s="906" t="s">
        <v>3980</v>
      </c>
      <c r="ET2578" s="2686">
        <v>9</v>
      </c>
      <c r="EV2578" s="985"/>
      <c r="EW2578" s="985"/>
      <c r="EX2578" s="387"/>
      <c r="EY2578" s="939"/>
      <c r="EZ2578" s="886"/>
    </row>
    <row r="2579" spans="88:156">
      <c r="CJ2579" s="197"/>
      <c r="CK2579" s="197"/>
      <c r="CL2579" s="197"/>
      <c r="CM2579" s="213"/>
      <c r="CN2579" s="213"/>
      <c r="CO2579" s="197"/>
      <c r="CP2579" s="197"/>
      <c r="CQ2579" s="197"/>
      <c r="CR2579" s="197"/>
      <c r="CS2579" s="197"/>
      <c r="CT2579" s="197"/>
      <c r="CU2579" s="197"/>
      <c r="CV2579" s="197"/>
      <c r="CW2579" s="197"/>
      <c r="CX2579" s="959"/>
      <c r="CY2579" s="959"/>
      <c r="CZ2579" s="959"/>
      <c r="DA2579" s="959"/>
      <c r="DB2579" s="959"/>
      <c r="DC2579" s="891">
        <v>8565</v>
      </c>
      <c r="DD2579" s="891" t="s">
        <v>4964</v>
      </c>
      <c r="DE2579" s="891" t="s">
        <v>434</v>
      </c>
      <c r="DF2579" s="891">
        <v>6</v>
      </c>
      <c r="DG2579" s="959"/>
      <c r="DH2579" s="959"/>
      <c r="ER2579" s="905">
        <v>8447</v>
      </c>
      <c r="ES2579" s="905" t="s">
        <v>1677</v>
      </c>
      <c r="ET2579" s="2686">
        <v>9</v>
      </c>
      <c r="EV2579" s="985"/>
      <c r="EW2579" s="985"/>
      <c r="EX2579" s="387"/>
      <c r="EY2579" s="939"/>
      <c r="EZ2579" s="886"/>
    </row>
    <row r="2580" spans="88:156">
      <c r="CJ2580" s="197"/>
      <c r="CK2580" s="197"/>
      <c r="CL2580" s="197"/>
      <c r="CM2580" s="213"/>
      <c r="CN2580" s="213"/>
      <c r="CO2580" s="197"/>
      <c r="CP2580" s="197"/>
      <c r="CQ2580" s="197"/>
      <c r="CR2580" s="197"/>
      <c r="CS2580" s="197"/>
      <c r="CT2580" s="197"/>
      <c r="CU2580" s="197"/>
      <c r="CV2580" s="197"/>
      <c r="CW2580" s="197"/>
      <c r="CX2580" s="959"/>
      <c r="CY2580" s="959"/>
      <c r="CZ2580" s="959"/>
      <c r="DA2580" s="959"/>
      <c r="DB2580" s="959"/>
      <c r="DC2580" s="891">
        <v>8571</v>
      </c>
      <c r="DD2580" s="891" t="s">
        <v>4965</v>
      </c>
      <c r="DE2580" s="891" t="s">
        <v>428</v>
      </c>
      <c r="DF2580" s="891">
        <v>6</v>
      </c>
      <c r="DG2580" s="959"/>
      <c r="DH2580" s="959"/>
      <c r="ER2580" s="905">
        <v>8448</v>
      </c>
      <c r="ES2580" s="905" t="s">
        <v>1678</v>
      </c>
      <c r="ET2580" s="2686">
        <v>9</v>
      </c>
      <c r="EV2580" s="985"/>
      <c r="EW2580" s="985"/>
      <c r="EX2580" s="387"/>
      <c r="EY2580" s="939"/>
      <c r="EZ2580" s="886"/>
    </row>
    <row r="2581" spans="88:156">
      <c r="CJ2581" s="197"/>
      <c r="CK2581" s="197"/>
      <c r="CL2581" s="197"/>
      <c r="CM2581" s="213"/>
      <c r="CN2581" s="213"/>
      <c r="CO2581" s="197"/>
      <c r="CP2581" s="197"/>
      <c r="CQ2581" s="197"/>
      <c r="CR2581" s="197"/>
      <c r="CS2581" s="197"/>
      <c r="CT2581" s="197"/>
      <c r="CU2581" s="197"/>
      <c r="CV2581" s="197"/>
      <c r="CW2581" s="197"/>
      <c r="CX2581" s="959"/>
      <c r="CY2581" s="959"/>
      <c r="CZ2581" s="959"/>
      <c r="DA2581" s="959"/>
      <c r="DB2581" s="959"/>
      <c r="DC2581" s="891">
        <v>8572</v>
      </c>
      <c r="DD2581" s="891" t="s">
        <v>4966</v>
      </c>
      <c r="DE2581" s="891" t="s">
        <v>428</v>
      </c>
      <c r="DF2581" s="891">
        <v>6</v>
      </c>
      <c r="DG2581" s="959"/>
      <c r="DH2581" s="959"/>
      <c r="ER2581" s="905">
        <v>8449</v>
      </c>
      <c r="ES2581" s="906" t="s">
        <v>4296</v>
      </c>
      <c r="ET2581" s="2686">
        <v>9</v>
      </c>
      <c r="EV2581" s="985"/>
      <c r="EW2581" s="985"/>
      <c r="EX2581" s="387"/>
      <c r="EY2581" s="939"/>
      <c r="EZ2581" s="886"/>
    </row>
    <row r="2582" spans="88:156">
      <c r="CJ2582" s="197"/>
      <c r="CK2582" s="197"/>
      <c r="CL2582" s="197"/>
      <c r="CM2582" s="213"/>
      <c r="CN2582" s="213"/>
      <c r="CO2582" s="197"/>
      <c r="CP2582" s="197"/>
      <c r="CQ2582" s="197"/>
      <c r="CR2582" s="197"/>
      <c r="CS2582" s="197"/>
      <c r="CT2582" s="197"/>
      <c r="CU2582" s="197"/>
      <c r="CV2582" s="197"/>
      <c r="CW2582" s="197"/>
      <c r="CX2582" s="959"/>
      <c r="CY2582" s="959"/>
      <c r="CZ2582" s="959"/>
      <c r="DA2582" s="959"/>
      <c r="DB2582" s="959"/>
      <c r="DC2582" s="891">
        <v>8581</v>
      </c>
      <c r="DD2582" s="891" t="s">
        <v>4967</v>
      </c>
      <c r="DE2582" s="891" t="s">
        <v>428</v>
      </c>
      <c r="DF2582" s="891">
        <v>6</v>
      </c>
      <c r="DG2582" s="959"/>
      <c r="DH2582" s="959"/>
      <c r="ER2582" s="905">
        <v>8451</v>
      </c>
      <c r="ES2582" s="905" t="s">
        <v>1679</v>
      </c>
      <c r="ET2582" s="2686">
        <v>9</v>
      </c>
      <c r="EV2582" s="985"/>
      <c r="EW2582" s="985"/>
      <c r="EX2582" s="387"/>
      <c r="EY2582" s="939"/>
      <c r="EZ2582" s="886"/>
    </row>
    <row r="2583" spans="88:156">
      <c r="CJ2583" s="197"/>
      <c r="CK2583" s="197"/>
      <c r="CL2583" s="197"/>
      <c r="CM2583" s="213"/>
      <c r="CN2583" s="213"/>
      <c r="CO2583" s="197"/>
      <c r="CP2583" s="197"/>
      <c r="CQ2583" s="197"/>
      <c r="CR2583" s="197"/>
      <c r="CS2583" s="197"/>
      <c r="CT2583" s="197"/>
      <c r="CU2583" s="197"/>
      <c r="CV2583" s="197"/>
      <c r="CW2583" s="197"/>
      <c r="CX2583" s="959"/>
      <c r="CY2583" s="959"/>
      <c r="CZ2583" s="959"/>
      <c r="DA2583" s="959"/>
      <c r="DB2583" s="959"/>
      <c r="DC2583" s="891">
        <v>8582</v>
      </c>
      <c r="DD2583" s="891" t="s">
        <v>4968</v>
      </c>
      <c r="DE2583" s="891" t="s">
        <v>428</v>
      </c>
      <c r="DF2583" s="891">
        <v>6</v>
      </c>
      <c r="DG2583" s="959"/>
      <c r="DH2583" s="959"/>
      <c r="ER2583" s="905">
        <v>8452</v>
      </c>
      <c r="ES2583" s="906" t="s">
        <v>1680</v>
      </c>
      <c r="ET2583" s="2686">
        <v>9</v>
      </c>
      <c r="EV2583" s="985"/>
      <c r="EW2583" s="985"/>
      <c r="EX2583" s="387"/>
      <c r="EY2583" s="939"/>
      <c r="EZ2583" s="886"/>
    </row>
    <row r="2584" spans="88:156">
      <c r="CJ2584" s="197"/>
      <c r="CK2584" s="197"/>
      <c r="CL2584" s="197"/>
      <c r="CM2584" s="213"/>
      <c r="CN2584" s="213"/>
      <c r="CO2584" s="197"/>
      <c r="CP2584" s="197"/>
      <c r="CQ2584" s="197"/>
      <c r="CR2584" s="197"/>
      <c r="CS2584" s="197"/>
      <c r="CT2584" s="197"/>
      <c r="CU2584" s="197"/>
      <c r="CV2584" s="197"/>
      <c r="CW2584" s="197"/>
      <c r="CX2584" s="959"/>
      <c r="CY2584" s="959"/>
      <c r="CZ2584" s="959"/>
      <c r="DA2584" s="959"/>
      <c r="DB2584" s="959"/>
      <c r="DC2584" s="891">
        <v>8591</v>
      </c>
      <c r="DD2584" s="891" t="s">
        <v>4969</v>
      </c>
      <c r="DE2584" s="891" t="s">
        <v>428</v>
      </c>
      <c r="DF2584" s="891">
        <v>6</v>
      </c>
      <c r="DG2584" s="959"/>
      <c r="DH2584" s="959"/>
      <c r="ER2584" s="905">
        <v>8452</v>
      </c>
      <c r="ES2584" s="906" t="s">
        <v>4298</v>
      </c>
      <c r="ET2584" s="2686">
        <v>9</v>
      </c>
      <c r="EV2584" s="985"/>
      <c r="EW2584" s="985"/>
      <c r="EX2584" s="387"/>
      <c r="EY2584" s="939"/>
      <c r="EZ2584" s="886"/>
    </row>
    <row r="2585" spans="88:156">
      <c r="CJ2585" s="197"/>
      <c r="CK2585" s="197"/>
      <c r="CL2585" s="197"/>
      <c r="CM2585" s="213"/>
      <c r="CN2585" s="213"/>
      <c r="CO2585" s="197"/>
      <c r="CP2585" s="197"/>
      <c r="CQ2585" s="197"/>
      <c r="CR2585" s="197"/>
      <c r="CS2585" s="197"/>
      <c r="CT2585" s="197"/>
      <c r="CU2585" s="197"/>
      <c r="CV2585" s="197"/>
      <c r="CW2585" s="197"/>
      <c r="CX2585" s="959"/>
      <c r="CY2585" s="959"/>
      <c r="CZ2585" s="959"/>
      <c r="DA2585" s="959"/>
      <c r="DB2585" s="959"/>
      <c r="DC2585" s="891">
        <v>8592</v>
      </c>
      <c r="DD2585" s="891" t="s">
        <v>4970</v>
      </c>
      <c r="DE2585" s="891" t="s">
        <v>428</v>
      </c>
      <c r="DF2585" s="891">
        <v>6</v>
      </c>
      <c r="DG2585" s="959"/>
      <c r="DH2585" s="959"/>
      <c r="ER2585" s="905">
        <v>8454</v>
      </c>
      <c r="ES2585" s="906" t="s">
        <v>4299</v>
      </c>
      <c r="ET2585" s="2686">
        <v>9</v>
      </c>
      <c r="EV2585" s="985"/>
      <c r="EW2585" s="985"/>
      <c r="EX2585" s="387"/>
      <c r="EY2585" s="939"/>
      <c r="EZ2585" s="886"/>
    </row>
    <row r="2586" spans="88:156">
      <c r="CJ2586" s="197"/>
      <c r="CK2586" s="197"/>
      <c r="CL2586" s="197"/>
      <c r="CM2586" s="213"/>
      <c r="CN2586" s="213"/>
      <c r="CO2586" s="197"/>
      <c r="CP2586" s="197"/>
      <c r="CQ2586" s="197"/>
      <c r="CR2586" s="197"/>
      <c r="CS2586" s="197"/>
      <c r="CT2586" s="197"/>
      <c r="CU2586" s="197"/>
      <c r="CV2586" s="197"/>
      <c r="CW2586" s="197"/>
      <c r="CX2586" s="959"/>
      <c r="CY2586" s="959"/>
      <c r="CZ2586" s="959"/>
      <c r="DA2586" s="959"/>
      <c r="DB2586" s="959"/>
      <c r="DC2586" s="891">
        <v>8593</v>
      </c>
      <c r="DD2586" s="891" t="s">
        <v>4971</v>
      </c>
      <c r="DE2586" s="891" t="s">
        <v>428</v>
      </c>
      <c r="DF2586" s="891">
        <v>6</v>
      </c>
      <c r="DG2586" s="959"/>
      <c r="DH2586" s="959"/>
      <c r="ER2586" s="905">
        <v>8455</v>
      </c>
      <c r="ES2586" s="906" t="s">
        <v>4300</v>
      </c>
      <c r="ET2586" s="2686">
        <v>9</v>
      </c>
      <c r="EV2586" s="985"/>
      <c r="EW2586" s="985"/>
      <c r="EX2586" s="387"/>
      <c r="EY2586" s="939"/>
      <c r="EZ2586" s="886"/>
    </row>
    <row r="2587" spans="88:156">
      <c r="CJ2587" s="197"/>
      <c r="CK2587" s="197"/>
      <c r="CL2587" s="197"/>
      <c r="CM2587" s="213"/>
      <c r="CN2587" s="213"/>
      <c r="CO2587" s="197"/>
      <c r="CP2587" s="197"/>
      <c r="CQ2587" s="197"/>
      <c r="CR2587" s="197"/>
      <c r="CS2587" s="197"/>
      <c r="CT2587" s="197"/>
      <c r="CU2587" s="197"/>
      <c r="CV2587" s="197"/>
      <c r="CW2587" s="197"/>
      <c r="CX2587" s="959"/>
      <c r="CY2587" s="959"/>
      <c r="CZ2587" s="959"/>
      <c r="DA2587" s="959"/>
      <c r="DB2587" s="959"/>
      <c r="DC2587" s="891">
        <v>8594</v>
      </c>
      <c r="DD2587" s="891" t="s">
        <v>4972</v>
      </c>
      <c r="DE2587" s="891" t="s">
        <v>428</v>
      </c>
      <c r="DF2587" s="891">
        <v>6</v>
      </c>
      <c r="DG2587" s="959"/>
      <c r="DH2587" s="959"/>
      <c r="ER2587" s="905">
        <v>8456</v>
      </c>
      <c r="ES2587" s="906" t="s">
        <v>4301</v>
      </c>
      <c r="ET2587" s="2686">
        <v>9</v>
      </c>
      <c r="EV2587" s="985"/>
      <c r="EW2587" s="985"/>
      <c r="EX2587" s="387"/>
      <c r="EY2587" s="939"/>
      <c r="EZ2587" s="886"/>
    </row>
    <row r="2588" spans="88:156">
      <c r="CJ2588" s="197"/>
      <c r="CK2588" s="197"/>
      <c r="CL2588" s="197"/>
      <c r="CM2588" s="213"/>
      <c r="CN2588" s="213"/>
      <c r="CO2588" s="197"/>
      <c r="CP2588" s="197"/>
      <c r="CQ2588" s="197"/>
      <c r="CR2588" s="197"/>
      <c r="CS2588" s="197"/>
      <c r="CT2588" s="197"/>
      <c r="CU2588" s="197"/>
      <c r="CV2588" s="197"/>
      <c r="CW2588" s="197"/>
      <c r="CX2588" s="959"/>
      <c r="CY2588" s="959"/>
      <c r="CZ2588" s="959"/>
      <c r="DA2588" s="959"/>
      <c r="DB2588" s="959"/>
      <c r="DC2588" s="891">
        <v>8595</v>
      </c>
      <c r="DD2588" s="891" t="s">
        <v>4973</v>
      </c>
      <c r="DE2588" s="891" t="s">
        <v>428</v>
      </c>
      <c r="DF2588" s="891">
        <v>6</v>
      </c>
      <c r="DG2588" s="959"/>
      <c r="DH2588" s="959"/>
      <c r="ER2588" s="905">
        <v>8457</v>
      </c>
      <c r="ES2588" s="906" t="s">
        <v>4302</v>
      </c>
      <c r="ET2588" s="2686">
        <v>9</v>
      </c>
      <c r="EV2588" s="985"/>
      <c r="EW2588" s="985"/>
      <c r="EX2588" s="387"/>
      <c r="EY2588" s="939"/>
      <c r="EZ2588" s="886"/>
    </row>
    <row r="2589" spans="88:156">
      <c r="CJ2589" s="197"/>
      <c r="CK2589" s="197"/>
      <c r="CL2589" s="197"/>
      <c r="CM2589" s="213"/>
      <c r="CN2589" s="213"/>
      <c r="CO2589" s="197"/>
      <c r="CP2589" s="197"/>
      <c r="CQ2589" s="197"/>
      <c r="CR2589" s="197"/>
      <c r="CS2589" s="197"/>
      <c r="CT2589" s="197"/>
      <c r="CU2589" s="197"/>
      <c r="CV2589" s="197"/>
      <c r="CW2589" s="197"/>
      <c r="CX2589" s="959"/>
      <c r="CY2589" s="959"/>
      <c r="CZ2589" s="959"/>
      <c r="DA2589" s="959"/>
      <c r="DB2589" s="959"/>
      <c r="DC2589" s="891">
        <v>8596</v>
      </c>
      <c r="DD2589" s="891" t="s">
        <v>4974</v>
      </c>
      <c r="DE2589" s="891" t="s">
        <v>428</v>
      </c>
      <c r="DF2589" s="891">
        <v>6</v>
      </c>
      <c r="DG2589" s="959"/>
      <c r="DH2589" s="959"/>
      <c r="ER2589" s="905">
        <v>8458</v>
      </c>
      <c r="ES2589" s="906" t="s">
        <v>4303</v>
      </c>
      <c r="ET2589" s="2686">
        <v>9</v>
      </c>
      <c r="EV2589" s="985"/>
      <c r="EW2589" s="985"/>
      <c r="EX2589" s="387"/>
      <c r="EY2589" s="939"/>
      <c r="EZ2589" s="886"/>
    </row>
    <row r="2590" spans="88:156">
      <c r="CJ2590" s="197"/>
      <c r="CK2590" s="197"/>
      <c r="CL2590" s="197"/>
      <c r="CM2590" s="213"/>
      <c r="CN2590" s="213"/>
      <c r="CO2590" s="197"/>
      <c r="CP2590" s="197"/>
      <c r="CQ2590" s="197"/>
      <c r="CR2590" s="197"/>
      <c r="CS2590" s="197"/>
      <c r="CT2590" s="197"/>
      <c r="CU2590" s="197"/>
      <c r="CV2590" s="197"/>
      <c r="CW2590" s="197"/>
      <c r="CX2590" s="959"/>
      <c r="CY2590" s="959"/>
      <c r="CZ2590" s="959"/>
      <c r="DA2590" s="959"/>
      <c r="DB2590" s="959"/>
      <c r="DC2590" s="891">
        <v>8597</v>
      </c>
      <c r="DD2590" s="891" t="s">
        <v>4975</v>
      </c>
      <c r="DE2590" s="891" t="s">
        <v>428</v>
      </c>
      <c r="DF2590" s="891">
        <v>6</v>
      </c>
      <c r="DG2590" s="959"/>
      <c r="DH2590" s="959"/>
      <c r="ER2590" s="905">
        <v>8460</v>
      </c>
      <c r="ES2590" s="906" t="s">
        <v>4304</v>
      </c>
      <c r="ET2590" s="2686">
        <v>9</v>
      </c>
      <c r="EV2590" s="985"/>
      <c r="EW2590" s="985"/>
      <c r="EX2590" s="387"/>
      <c r="EY2590" s="939"/>
      <c r="EZ2590" s="886"/>
    </row>
    <row r="2591" spans="88:156">
      <c r="CJ2591" s="197"/>
      <c r="CK2591" s="197"/>
      <c r="CL2591" s="197"/>
      <c r="CM2591" s="213"/>
      <c r="CN2591" s="213"/>
      <c r="CO2591" s="197"/>
      <c r="CP2591" s="197"/>
      <c r="CQ2591" s="197"/>
      <c r="CR2591" s="197"/>
      <c r="CS2591" s="197"/>
      <c r="CT2591" s="197"/>
      <c r="CU2591" s="197"/>
      <c r="CV2591" s="197"/>
      <c r="CW2591" s="197"/>
      <c r="CX2591" s="959"/>
      <c r="CY2591" s="959"/>
      <c r="CZ2591" s="959"/>
      <c r="DA2591" s="959"/>
      <c r="DB2591" s="959"/>
      <c r="DC2591" s="891">
        <v>8598</v>
      </c>
      <c r="DD2591" s="891" t="s">
        <v>2156</v>
      </c>
      <c r="DE2591" s="891" t="s">
        <v>428</v>
      </c>
      <c r="DF2591" s="891">
        <v>6</v>
      </c>
      <c r="DG2591" s="959"/>
      <c r="DH2591" s="959"/>
      <c r="ER2591" s="905">
        <v>8468</v>
      </c>
      <c r="ES2591" s="906" t="s">
        <v>4305</v>
      </c>
      <c r="ET2591" s="2686">
        <v>9</v>
      </c>
      <c r="EV2591" s="985"/>
      <c r="EW2591" s="985"/>
      <c r="EX2591" s="387"/>
      <c r="EY2591" s="939"/>
      <c r="EZ2591" s="886"/>
    </row>
    <row r="2592" spans="88:156">
      <c r="CJ2592" s="197"/>
      <c r="CK2592" s="197"/>
      <c r="CL2592" s="197"/>
      <c r="CM2592" s="213"/>
      <c r="CN2592" s="213"/>
      <c r="CO2592" s="197"/>
      <c r="CP2592" s="197"/>
      <c r="CQ2592" s="197"/>
      <c r="CR2592" s="197"/>
      <c r="CS2592" s="197"/>
      <c r="CT2592" s="197"/>
      <c r="CU2592" s="197"/>
      <c r="CV2592" s="197"/>
      <c r="CW2592" s="197"/>
      <c r="CX2592" s="959"/>
      <c r="CY2592" s="959"/>
      <c r="CZ2592" s="959"/>
      <c r="DA2592" s="959"/>
      <c r="DB2592" s="959"/>
      <c r="DC2592" s="891">
        <v>8600</v>
      </c>
      <c r="DD2592" s="891" t="s">
        <v>2157</v>
      </c>
      <c r="DE2592" s="891" t="s">
        <v>428</v>
      </c>
      <c r="DF2592" s="891">
        <v>5</v>
      </c>
      <c r="DG2592" s="959"/>
      <c r="DH2592" s="959"/>
      <c r="ER2592" s="905">
        <v>8469</v>
      </c>
      <c r="ES2592" s="906" t="s">
        <v>4306</v>
      </c>
      <c r="ET2592" s="2686">
        <v>9</v>
      </c>
      <c r="EV2592" s="985"/>
      <c r="EW2592" s="985"/>
      <c r="EX2592" s="387"/>
      <c r="EY2592" s="939"/>
      <c r="EZ2592" s="886"/>
    </row>
    <row r="2593" spans="88:156">
      <c r="CJ2593" s="197"/>
      <c r="CK2593" s="197"/>
      <c r="CL2593" s="197"/>
      <c r="CM2593" s="213"/>
      <c r="CN2593" s="213"/>
      <c r="CO2593" s="197"/>
      <c r="CP2593" s="197"/>
      <c r="CQ2593" s="197"/>
      <c r="CR2593" s="197"/>
      <c r="CS2593" s="197"/>
      <c r="CT2593" s="197"/>
      <c r="CU2593" s="197"/>
      <c r="CV2593" s="197"/>
      <c r="CW2593" s="197"/>
      <c r="CX2593" s="959"/>
      <c r="CY2593" s="959"/>
      <c r="CZ2593" s="959"/>
      <c r="DA2593" s="959"/>
      <c r="DB2593" s="959"/>
      <c r="DC2593" s="891">
        <v>8608</v>
      </c>
      <c r="DD2593" s="891" t="s">
        <v>2158</v>
      </c>
      <c r="DE2593" s="891" t="s">
        <v>428</v>
      </c>
      <c r="DF2593" s="891">
        <v>5</v>
      </c>
      <c r="DG2593" s="959"/>
      <c r="DH2593" s="959"/>
      <c r="ER2593" s="905">
        <v>8471</v>
      </c>
      <c r="ES2593" s="906" t="s">
        <v>1681</v>
      </c>
      <c r="ET2593" s="2686">
        <v>9</v>
      </c>
      <c r="EV2593" s="985"/>
      <c r="EW2593" s="985"/>
      <c r="EX2593" s="387"/>
      <c r="EY2593" s="939"/>
      <c r="EZ2593" s="886"/>
    </row>
    <row r="2594" spans="88:156">
      <c r="CJ2594" s="197"/>
      <c r="CK2594" s="197"/>
      <c r="CL2594" s="197"/>
      <c r="CM2594" s="213"/>
      <c r="CN2594" s="213"/>
      <c r="CO2594" s="197"/>
      <c r="CP2594" s="197"/>
      <c r="CQ2594" s="197"/>
      <c r="CR2594" s="197"/>
      <c r="CS2594" s="197"/>
      <c r="CT2594" s="197"/>
      <c r="CU2594" s="197"/>
      <c r="CV2594" s="197"/>
      <c r="CW2594" s="197"/>
      <c r="CX2594" s="959"/>
      <c r="CY2594" s="959"/>
      <c r="CZ2594" s="959"/>
      <c r="DA2594" s="959"/>
      <c r="DB2594" s="959"/>
      <c r="DC2594" s="891">
        <v>8609</v>
      </c>
      <c r="DD2594" s="891" t="s">
        <v>2159</v>
      </c>
      <c r="DE2594" s="891" t="s">
        <v>428</v>
      </c>
      <c r="DF2594" s="891">
        <v>5</v>
      </c>
      <c r="DG2594" s="959"/>
      <c r="DH2594" s="959"/>
      <c r="ER2594" s="905">
        <v>8471</v>
      </c>
      <c r="ES2594" s="906" t="s">
        <v>1682</v>
      </c>
      <c r="ET2594" s="2686">
        <v>9</v>
      </c>
      <c r="EV2594" s="985"/>
      <c r="EW2594" s="985"/>
      <c r="EX2594" s="387"/>
      <c r="EY2594" s="939"/>
      <c r="EZ2594" s="886"/>
    </row>
    <row r="2595" spans="88:156">
      <c r="CJ2595" s="197"/>
      <c r="CK2595" s="197"/>
      <c r="CL2595" s="197"/>
      <c r="CM2595" s="213"/>
      <c r="CN2595" s="213"/>
      <c r="CO2595" s="197"/>
      <c r="CP2595" s="197"/>
      <c r="CQ2595" s="197"/>
      <c r="CR2595" s="197"/>
      <c r="CS2595" s="197"/>
      <c r="CT2595" s="197"/>
      <c r="CU2595" s="197"/>
      <c r="CV2595" s="197"/>
      <c r="CW2595" s="197"/>
      <c r="CX2595" s="959"/>
      <c r="CY2595" s="959"/>
      <c r="CZ2595" s="959"/>
      <c r="DA2595" s="959"/>
      <c r="DB2595" s="959"/>
      <c r="DC2595" s="891">
        <v>8611</v>
      </c>
      <c r="DD2595" s="891" t="s">
        <v>2160</v>
      </c>
      <c r="DE2595" s="891" t="s">
        <v>428</v>
      </c>
      <c r="DF2595" s="891">
        <v>5</v>
      </c>
      <c r="DG2595" s="959"/>
      <c r="DH2595" s="959"/>
      <c r="ER2595" s="905">
        <v>8471</v>
      </c>
      <c r="ES2595" s="906" t="s">
        <v>4307</v>
      </c>
      <c r="ET2595" s="2686">
        <v>9</v>
      </c>
      <c r="EV2595" s="985"/>
      <c r="EW2595" s="985"/>
      <c r="EX2595" s="387"/>
      <c r="EY2595" s="939"/>
      <c r="EZ2595" s="886"/>
    </row>
    <row r="2596" spans="88:156">
      <c r="CJ2596" s="197"/>
      <c r="CK2596" s="197"/>
      <c r="CL2596" s="197"/>
      <c r="CM2596" s="213"/>
      <c r="CN2596" s="213"/>
      <c r="CO2596" s="197"/>
      <c r="CP2596" s="197"/>
      <c r="CQ2596" s="197"/>
      <c r="CR2596" s="197"/>
      <c r="CS2596" s="197"/>
      <c r="CT2596" s="197"/>
      <c r="CU2596" s="197"/>
      <c r="CV2596" s="197"/>
      <c r="CW2596" s="197"/>
      <c r="CX2596" s="959"/>
      <c r="CY2596" s="959"/>
      <c r="CZ2596" s="959"/>
      <c r="DA2596" s="959"/>
      <c r="DB2596" s="959"/>
      <c r="DC2596" s="891">
        <v>8612</v>
      </c>
      <c r="DD2596" s="891" t="s">
        <v>2161</v>
      </c>
      <c r="DE2596" s="891" t="s">
        <v>428</v>
      </c>
      <c r="DF2596" s="891">
        <v>5</v>
      </c>
      <c r="DG2596" s="959"/>
      <c r="DH2596" s="959"/>
      <c r="ER2596" s="905">
        <v>8473</v>
      </c>
      <c r="ES2596" s="906" t="s">
        <v>4308</v>
      </c>
      <c r="ET2596" s="2686">
        <v>9</v>
      </c>
      <c r="EV2596" s="985"/>
      <c r="EW2596" s="985"/>
      <c r="EX2596" s="387"/>
      <c r="EY2596" s="939"/>
      <c r="EZ2596" s="886"/>
    </row>
    <row r="2597" spans="88:156">
      <c r="CJ2597" s="197"/>
      <c r="CK2597" s="197"/>
      <c r="CL2597" s="197"/>
      <c r="CM2597" s="213"/>
      <c r="CN2597" s="213"/>
      <c r="CO2597" s="197"/>
      <c r="CP2597" s="197"/>
      <c r="CQ2597" s="197"/>
      <c r="CR2597" s="197"/>
      <c r="CS2597" s="197"/>
      <c r="CT2597" s="197"/>
      <c r="CU2597" s="197"/>
      <c r="CV2597" s="197"/>
      <c r="CW2597" s="197"/>
      <c r="CX2597" s="959"/>
      <c r="CY2597" s="959"/>
      <c r="CZ2597" s="959"/>
      <c r="DA2597" s="959"/>
      <c r="DB2597" s="959"/>
      <c r="DC2597" s="891">
        <v>8613</v>
      </c>
      <c r="DD2597" s="891" t="s">
        <v>2162</v>
      </c>
      <c r="DE2597" s="891" t="s">
        <v>428</v>
      </c>
      <c r="DF2597" s="891">
        <v>5</v>
      </c>
      <c r="DG2597" s="959"/>
      <c r="DH2597" s="959"/>
      <c r="ER2597" s="905">
        <v>8474</v>
      </c>
      <c r="ES2597" s="906" t="s">
        <v>4309</v>
      </c>
      <c r="ET2597" s="2686">
        <v>9</v>
      </c>
      <c r="EV2597" s="985"/>
      <c r="EW2597" s="985"/>
      <c r="EX2597" s="387"/>
      <c r="EY2597" s="939"/>
      <c r="EZ2597" s="886"/>
    </row>
    <row r="2598" spans="88:156">
      <c r="CJ2598" s="197"/>
      <c r="CK2598" s="197"/>
      <c r="CL2598" s="197"/>
      <c r="CM2598" s="213"/>
      <c r="CN2598" s="213"/>
      <c r="CO2598" s="197"/>
      <c r="CP2598" s="197"/>
      <c r="CQ2598" s="197"/>
      <c r="CR2598" s="197"/>
      <c r="CS2598" s="197"/>
      <c r="CT2598" s="197"/>
      <c r="CU2598" s="197"/>
      <c r="CV2598" s="197"/>
      <c r="CW2598" s="197"/>
      <c r="CX2598" s="959"/>
      <c r="CY2598" s="959"/>
      <c r="CZ2598" s="959"/>
      <c r="DA2598" s="959"/>
      <c r="DB2598" s="959"/>
      <c r="DC2598" s="891">
        <v>8614</v>
      </c>
      <c r="DD2598" s="891" t="s">
        <v>2163</v>
      </c>
      <c r="DE2598" s="891" t="s">
        <v>428</v>
      </c>
      <c r="DF2598" s="891">
        <v>5</v>
      </c>
      <c r="DG2598" s="959"/>
      <c r="DH2598" s="959"/>
      <c r="ER2598" s="905">
        <v>8475</v>
      </c>
      <c r="ES2598" s="906" t="s">
        <v>1683</v>
      </c>
      <c r="ET2598" s="2686">
        <v>9</v>
      </c>
      <c r="EV2598" s="985"/>
      <c r="EW2598" s="985"/>
      <c r="EX2598" s="387"/>
      <c r="EY2598" s="939"/>
      <c r="EZ2598" s="886"/>
    </row>
    <row r="2599" spans="88:156">
      <c r="CJ2599" s="197"/>
      <c r="CK2599" s="197"/>
      <c r="CL2599" s="197"/>
      <c r="CM2599" s="213"/>
      <c r="CN2599" s="213"/>
      <c r="CO2599" s="197"/>
      <c r="CP2599" s="197"/>
      <c r="CQ2599" s="197"/>
      <c r="CR2599" s="197"/>
      <c r="CS2599" s="197"/>
      <c r="CT2599" s="197"/>
      <c r="CU2599" s="197"/>
      <c r="CV2599" s="197"/>
      <c r="CW2599" s="197"/>
      <c r="CX2599" s="959"/>
      <c r="CY2599" s="959"/>
      <c r="CZ2599" s="959"/>
      <c r="DA2599" s="959"/>
      <c r="DB2599" s="959"/>
      <c r="DC2599" s="891">
        <v>8617</v>
      </c>
      <c r="DD2599" s="891" t="s">
        <v>2164</v>
      </c>
      <c r="DE2599" s="891" t="s">
        <v>428</v>
      </c>
      <c r="DF2599" s="891">
        <v>6</v>
      </c>
      <c r="DG2599" s="959"/>
      <c r="DH2599" s="959"/>
      <c r="ER2599" s="905">
        <v>8475</v>
      </c>
      <c r="ES2599" s="906" t="s">
        <v>1684</v>
      </c>
      <c r="ET2599" s="2686">
        <v>9</v>
      </c>
      <c r="EV2599" s="985"/>
      <c r="EW2599" s="985"/>
      <c r="EX2599" s="387"/>
      <c r="EY2599" s="939"/>
      <c r="EZ2599" s="886"/>
    </row>
    <row r="2600" spans="88:156">
      <c r="CJ2600" s="197"/>
      <c r="CK2600" s="197"/>
      <c r="CL2600" s="197"/>
      <c r="CM2600" s="213"/>
      <c r="CN2600" s="213"/>
      <c r="CO2600" s="197"/>
      <c r="CP2600" s="197"/>
      <c r="CQ2600" s="197"/>
      <c r="CR2600" s="197"/>
      <c r="CS2600" s="197"/>
      <c r="CT2600" s="197"/>
      <c r="CU2600" s="197"/>
      <c r="CV2600" s="197"/>
      <c r="CW2600" s="197"/>
      <c r="CX2600" s="959"/>
      <c r="CY2600" s="959"/>
      <c r="CZ2600" s="959"/>
      <c r="DA2600" s="959"/>
      <c r="DB2600" s="959"/>
      <c r="DC2600" s="891">
        <v>8618</v>
      </c>
      <c r="DD2600" s="891" t="s">
        <v>2165</v>
      </c>
      <c r="DE2600" s="891" t="s">
        <v>428</v>
      </c>
      <c r="DF2600" s="891">
        <v>5</v>
      </c>
      <c r="DG2600" s="959"/>
      <c r="DH2600" s="959"/>
      <c r="ER2600" s="905">
        <v>8475</v>
      </c>
      <c r="ES2600" s="906" t="s">
        <v>4310</v>
      </c>
      <c r="ET2600" s="2686">
        <v>9</v>
      </c>
      <c r="EV2600" s="985"/>
      <c r="EW2600" s="985"/>
      <c r="EX2600" s="387"/>
      <c r="EY2600" s="939"/>
      <c r="EZ2600" s="886"/>
    </row>
    <row r="2601" spans="88:156">
      <c r="CJ2601" s="197"/>
      <c r="CK2601" s="197"/>
      <c r="CL2601" s="197"/>
      <c r="CM2601" s="213"/>
      <c r="CN2601" s="213"/>
      <c r="CO2601" s="197"/>
      <c r="CP2601" s="197"/>
      <c r="CQ2601" s="197"/>
      <c r="CR2601" s="197"/>
      <c r="CS2601" s="197"/>
      <c r="CT2601" s="197"/>
      <c r="CU2601" s="197"/>
      <c r="CV2601" s="197"/>
      <c r="CW2601" s="197"/>
      <c r="CX2601" s="959"/>
      <c r="CY2601" s="959"/>
      <c r="CZ2601" s="959"/>
      <c r="DA2601" s="959"/>
      <c r="DB2601" s="959"/>
      <c r="DC2601" s="891">
        <v>8619</v>
      </c>
      <c r="DD2601" s="891" t="s">
        <v>2166</v>
      </c>
      <c r="DE2601" s="891" t="s">
        <v>428</v>
      </c>
      <c r="DF2601" s="891">
        <v>5</v>
      </c>
      <c r="DG2601" s="959"/>
      <c r="DH2601" s="959"/>
      <c r="ER2601" s="905">
        <v>8476</v>
      </c>
      <c r="ES2601" s="906" t="s">
        <v>4311</v>
      </c>
      <c r="ET2601" s="2686">
        <v>9</v>
      </c>
      <c r="EV2601" s="985"/>
      <c r="EW2601" s="985"/>
      <c r="EX2601" s="387"/>
      <c r="EY2601" s="939"/>
      <c r="EZ2601" s="886"/>
    </row>
    <row r="2602" spans="88:156">
      <c r="CJ2602" s="197"/>
      <c r="CK2602" s="197"/>
      <c r="CL2602" s="197"/>
      <c r="CM2602" s="213"/>
      <c r="CN2602" s="213"/>
      <c r="CO2602" s="197"/>
      <c r="CP2602" s="197"/>
      <c r="CQ2602" s="197"/>
      <c r="CR2602" s="197"/>
      <c r="CS2602" s="197"/>
      <c r="CT2602" s="197"/>
      <c r="CU2602" s="197"/>
      <c r="CV2602" s="197"/>
      <c r="CW2602" s="197"/>
      <c r="CX2602" s="959"/>
      <c r="CY2602" s="959"/>
      <c r="CZ2602" s="959"/>
      <c r="DA2602" s="959"/>
      <c r="DB2602" s="959"/>
      <c r="DC2602" s="891">
        <v>8621</v>
      </c>
      <c r="DD2602" s="891" t="s">
        <v>2167</v>
      </c>
      <c r="DE2602" s="891" t="s">
        <v>428</v>
      </c>
      <c r="DF2602" s="891">
        <v>5</v>
      </c>
      <c r="DG2602" s="959"/>
      <c r="DH2602" s="959"/>
      <c r="ER2602" s="905">
        <v>8477</v>
      </c>
      <c r="ES2602" s="906" t="s">
        <v>1685</v>
      </c>
      <c r="ET2602" s="2686">
        <v>9</v>
      </c>
      <c r="EV2602" s="985"/>
      <c r="EW2602" s="985"/>
      <c r="EX2602" s="387"/>
      <c r="EY2602" s="939"/>
      <c r="EZ2602" s="886"/>
    </row>
    <row r="2603" spans="88:156">
      <c r="CJ2603" s="197"/>
      <c r="CK2603" s="197"/>
      <c r="CL2603" s="197"/>
      <c r="CM2603" s="213"/>
      <c r="CN2603" s="213"/>
      <c r="CO2603" s="197"/>
      <c r="CP2603" s="197"/>
      <c r="CQ2603" s="197"/>
      <c r="CR2603" s="197"/>
      <c r="CS2603" s="197"/>
      <c r="CT2603" s="197"/>
      <c r="CU2603" s="197"/>
      <c r="CV2603" s="197"/>
      <c r="CW2603" s="197"/>
      <c r="CX2603" s="959"/>
      <c r="CY2603" s="959"/>
      <c r="CZ2603" s="959"/>
      <c r="DA2603" s="959"/>
      <c r="DB2603" s="959"/>
      <c r="DC2603" s="891">
        <v>8622</v>
      </c>
      <c r="DD2603" s="891" t="s">
        <v>2168</v>
      </c>
      <c r="DE2603" s="891" t="s">
        <v>428</v>
      </c>
      <c r="DF2603" s="891">
        <v>6</v>
      </c>
      <c r="DG2603" s="959"/>
      <c r="DH2603" s="959"/>
      <c r="ER2603" s="905">
        <v>8477</v>
      </c>
      <c r="ES2603" s="906" t="s">
        <v>1686</v>
      </c>
      <c r="ET2603" s="2686">
        <v>9</v>
      </c>
      <c r="EV2603" s="985"/>
      <c r="EW2603" s="985"/>
      <c r="EX2603" s="387"/>
      <c r="EY2603" s="939"/>
      <c r="EZ2603" s="886"/>
    </row>
    <row r="2604" spans="88:156">
      <c r="CJ2604" s="197"/>
      <c r="CK2604" s="197"/>
      <c r="CL2604" s="197"/>
      <c r="CM2604" s="213"/>
      <c r="CN2604" s="213"/>
      <c r="CO2604" s="197"/>
      <c r="CP2604" s="197"/>
      <c r="CQ2604" s="197"/>
      <c r="CR2604" s="197"/>
      <c r="CS2604" s="197"/>
      <c r="CT2604" s="197"/>
      <c r="CU2604" s="197"/>
      <c r="CV2604" s="197"/>
      <c r="CW2604" s="197"/>
      <c r="CX2604" s="959"/>
      <c r="CY2604" s="959"/>
      <c r="CZ2604" s="959"/>
      <c r="DA2604" s="959"/>
      <c r="DB2604" s="959"/>
      <c r="DC2604" s="891">
        <v>8623</v>
      </c>
      <c r="DD2604" s="891" t="s">
        <v>2169</v>
      </c>
      <c r="DE2604" s="891" t="s">
        <v>428</v>
      </c>
      <c r="DF2604" s="891">
        <v>6</v>
      </c>
      <c r="DG2604" s="959"/>
      <c r="DH2604" s="959"/>
      <c r="ER2604" s="905">
        <v>8477</v>
      </c>
      <c r="ES2604" s="906" t="s">
        <v>4312</v>
      </c>
      <c r="ET2604" s="2686">
        <v>9</v>
      </c>
      <c r="EV2604" s="985"/>
      <c r="EW2604" s="985"/>
      <c r="EX2604" s="387"/>
      <c r="EY2604" s="939"/>
      <c r="EZ2604" s="886"/>
    </row>
    <row r="2605" spans="88:156">
      <c r="CJ2605" s="197"/>
      <c r="CK2605" s="197"/>
      <c r="CL2605" s="197"/>
      <c r="CM2605" s="213"/>
      <c r="CN2605" s="213"/>
      <c r="CO2605" s="197"/>
      <c r="CP2605" s="197"/>
      <c r="CQ2605" s="197"/>
      <c r="CR2605" s="197"/>
      <c r="CS2605" s="197"/>
      <c r="CT2605" s="197"/>
      <c r="CU2605" s="197"/>
      <c r="CV2605" s="197"/>
      <c r="CW2605" s="197"/>
      <c r="CX2605" s="959"/>
      <c r="CY2605" s="959"/>
      <c r="CZ2605" s="959"/>
      <c r="DA2605" s="959"/>
      <c r="DB2605" s="959"/>
      <c r="DC2605" s="891">
        <v>8624</v>
      </c>
      <c r="DD2605" s="891" t="s">
        <v>2170</v>
      </c>
      <c r="DE2605" s="891" t="s">
        <v>428</v>
      </c>
      <c r="DF2605" s="891">
        <v>6</v>
      </c>
      <c r="DG2605" s="959"/>
      <c r="DH2605" s="959"/>
      <c r="ER2605" s="905">
        <v>8478</v>
      </c>
      <c r="ES2605" s="906" t="s">
        <v>4313</v>
      </c>
      <c r="ET2605" s="2686">
        <v>9</v>
      </c>
      <c r="EV2605" s="985"/>
      <c r="EW2605" s="985"/>
      <c r="EX2605" s="387"/>
      <c r="EY2605" s="939"/>
      <c r="EZ2605" s="886"/>
    </row>
    <row r="2606" spans="88:156">
      <c r="CJ2606" s="197"/>
      <c r="CK2606" s="197"/>
      <c r="CL2606" s="197"/>
      <c r="CM2606" s="213"/>
      <c r="CN2606" s="213"/>
      <c r="CO2606" s="197"/>
      <c r="CP2606" s="197"/>
      <c r="CQ2606" s="197"/>
      <c r="CR2606" s="197"/>
      <c r="CS2606" s="197"/>
      <c r="CT2606" s="197"/>
      <c r="CU2606" s="197"/>
      <c r="CV2606" s="197"/>
      <c r="CW2606" s="197"/>
      <c r="CX2606" s="959"/>
      <c r="CY2606" s="959"/>
      <c r="CZ2606" s="959"/>
      <c r="DA2606" s="959"/>
      <c r="DB2606" s="959"/>
      <c r="DC2606" s="891">
        <v>8625</v>
      </c>
      <c r="DD2606" s="891" t="s">
        <v>2171</v>
      </c>
      <c r="DE2606" s="891" t="s">
        <v>428</v>
      </c>
      <c r="DF2606" s="891">
        <v>6</v>
      </c>
      <c r="DG2606" s="959"/>
      <c r="DH2606" s="959"/>
      <c r="ER2606" s="905">
        <v>8479</v>
      </c>
      <c r="ES2606" s="906" t="s">
        <v>4314</v>
      </c>
      <c r="ET2606" s="2686">
        <v>9</v>
      </c>
      <c r="EV2606" s="985"/>
      <c r="EW2606" s="985"/>
      <c r="EX2606" s="387"/>
      <c r="EY2606" s="939"/>
      <c r="EZ2606" s="886"/>
    </row>
    <row r="2607" spans="88:156">
      <c r="CJ2607" s="197"/>
      <c r="CK2607" s="197"/>
      <c r="CL2607" s="197"/>
      <c r="CM2607" s="213"/>
      <c r="CN2607" s="213"/>
      <c r="CO2607" s="197"/>
      <c r="CP2607" s="197"/>
      <c r="CQ2607" s="197"/>
      <c r="CR2607" s="197"/>
      <c r="CS2607" s="197"/>
      <c r="CT2607" s="197"/>
      <c r="CU2607" s="197"/>
      <c r="CV2607" s="197"/>
      <c r="CW2607" s="197"/>
      <c r="CX2607" s="959"/>
      <c r="CY2607" s="959"/>
      <c r="CZ2607" s="959"/>
      <c r="DA2607" s="959"/>
      <c r="DB2607" s="959"/>
      <c r="DC2607" s="891">
        <v>8626</v>
      </c>
      <c r="DD2607" s="891" t="s">
        <v>2172</v>
      </c>
      <c r="DE2607" s="891" t="s">
        <v>428</v>
      </c>
      <c r="DF2607" s="891">
        <v>6</v>
      </c>
      <c r="DG2607" s="959"/>
      <c r="DH2607" s="959"/>
      <c r="ER2607" s="905">
        <v>8481</v>
      </c>
      <c r="ES2607" s="906" t="s">
        <v>4315</v>
      </c>
      <c r="ET2607" s="2686">
        <v>9</v>
      </c>
      <c r="EV2607" s="985"/>
      <c r="EW2607" s="985"/>
      <c r="EX2607" s="387"/>
      <c r="EY2607" s="939"/>
      <c r="EZ2607" s="886"/>
    </row>
    <row r="2608" spans="88:156">
      <c r="CJ2608" s="197"/>
      <c r="CK2608" s="197"/>
      <c r="CL2608" s="197"/>
      <c r="CM2608" s="213"/>
      <c r="CN2608" s="213"/>
      <c r="CO2608" s="197"/>
      <c r="CP2608" s="197"/>
      <c r="CQ2608" s="197"/>
      <c r="CR2608" s="197"/>
      <c r="CS2608" s="197"/>
      <c r="CT2608" s="197"/>
      <c r="CU2608" s="197"/>
      <c r="CV2608" s="197"/>
      <c r="CW2608" s="197"/>
      <c r="CX2608" s="959"/>
      <c r="CY2608" s="959"/>
      <c r="CZ2608" s="959"/>
      <c r="DA2608" s="959"/>
      <c r="DB2608" s="959"/>
      <c r="DC2608" s="891">
        <v>8627</v>
      </c>
      <c r="DD2608" s="891" t="s">
        <v>2173</v>
      </c>
      <c r="DE2608" s="891" t="s">
        <v>412</v>
      </c>
      <c r="DF2608" s="891">
        <v>6</v>
      </c>
      <c r="DG2608" s="959"/>
      <c r="DH2608" s="959"/>
      <c r="ER2608" s="905">
        <v>8482</v>
      </c>
      <c r="ES2608" s="906" t="s">
        <v>4316</v>
      </c>
      <c r="ET2608" s="2686">
        <v>9</v>
      </c>
      <c r="EV2608" s="985"/>
      <c r="EW2608" s="985"/>
      <c r="EX2608" s="387"/>
      <c r="EY2608" s="939"/>
      <c r="EZ2608" s="886"/>
    </row>
    <row r="2609" spans="88:156">
      <c r="CJ2609" s="197"/>
      <c r="CK2609" s="197"/>
      <c r="CL2609" s="197"/>
      <c r="CM2609" s="213"/>
      <c r="CN2609" s="213"/>
      <c r="CO2609" s="197"/>
      <c r="CP2609" s="197"/>
      <c r="CQ2609" s="197"/>
      <c r="CR2609" s="197"/>
      <c r="CS2609" s="197"/>
      <c r="CT2609" s="197"/>
      <c r="CU2609" s="197"/>
      <c r="CV2609" s="197"/>
      <c r="CW2609" s="197"/>
      <c r="CX2609" s="959"/>
      <c r="CY2609" s="959"/>
      <c r="CZ2609" s="959"/>
      <c r="DA2609" s="959"/>
      <c r="DB2609" s="959"/>
      <c r="DC2609" s="891">
        <v>8628</v>
      </c>
      <c r="DD2609" s="891" t="s">
        <v>2174</v>
      </c>
      <c r="DE2609" s="891" t="s">
        <v>428</v>
      </c>
      <c r="DF2609" s="891">
        <v>6</v>
      </c>
      <c r="DG2609" s="959"/>
      <c r="DH2609" s="959"/>
      <c r="ER2609" s="905">
        <v>8483</v>
      </c>
      <c r="ES2609" s="906" t="s">
        <v>1687</v>
      </c>
      <c r="ET2609" s="2686">
        <v>9</v>
      </c>
      <c r="EV2609" s="985"/>
      <c r="EW2609" s="985"/>
      <c r="EX2609" s="387"/>
      <c r="EY2609" s="939"/>
      <c r="EZ2609" s="886"/>
    </row>
    <row r="2610" spans="88:156">
      <c r="CJ2610" s="197"/>
      <c r="CK2610" s="197"/>
      <c r="CL2610" s="197"/>
      <c r="CM2610" s="213"/>
      <c r="CN2610" s="213"/>
      <c r="CO2610" s="197"/>
      <c r="CP2610" s="197"/>
      <c r="CQ2610" s="197"/>
      <c r="CR2610" s="197"/>
      <c r="CS2610" s="197"/>
      <c r="CT2610" s="197"/>
      <c r="CU2610" s="197"/>
      <c r="CV2610" s="197"/>
      <c r="CW2610" s="197"/>
      <c r="CX2610" s="959"/>
      <c r="CY2610" s="959"/>
      <c r="CZ2610" s="959"/>
      <c r="DA2610" s="959"/>
      <c r="DB2610" s="959"/>
      <c r="DC2610" s="891">
        <v>8630</v>
      </c>
      <c r="DD2610" s="891" t="s">
        <v>2175</v>
      </c>
      <c r="DE2610" s="891" t="s">
        <v>428</v>
      </c>
      <c r="DF2610" s="891">
        <v>6</v>
      </c>
      <c r="DG2610" s="959"/>
      <c r="DH2610" s="959"/>
      <c r="ER2610" s="905">
        <v>8483</v>
      </c>
      <c r="ES2610" s="906" t="s">
        <v>4317</v>
      </c>
      <c r="ET2610" s="2686">
        <v>9</v>
      </c>
      <c r="EV2610" s="985"/>
      <c r="EW2610" s="985"/>
      <c r="EX2610" s="387"/>
      <c r="EY2610" s="939"/>
      <c r="EZ2610" s="886"/>
    </row>
    <row r="2611" spans="88:156">
      <c r="CJ2611" s="197"/>
      <c r="CK2611" s="197"/>
      <c r="CL2611" s="197"/>
      <c r="CM2611" s="213"/>
      <c r="CN2611" s="213"/>
      <c r="CO2611" s="197"/>
      <c r="CP2611" s="197"/>
      <c r="CQ2611" s="197"/>
      <c r="CR2611" s="197"/>
      <c r="CS2611" s="197"/>
      <c r="CT2611" s="197"/>
      <c r="CU2611" s="197"/>
      <c r="CV2611" s="197"/>
      <c r="CW2611" s="197"/>
      <c r="CX2611" s="959"/>
      <c r="CY2611" s="959"/>
      <c r="CZ2611" s="959"/>
      <c r="DA2611" s="959"/>
      <c r="DB2611" s="959"/>
      <c r="DC2611" s="891">
        <v>8635</v>
      </c>
      <c r="DD2611" s="891" t="s">
        <v>2176</v>
      </c>
      <c r="DE2611" s="891" t="s">
        <v>428</v>
      </c>
      <c r="DF2611" s="891">
        <v>6</v>
      </c>
      <c r="DG2611" s="959"/>
      <c r="DH2611" s="959"/>
      <c r="ER2611" s="905">
        <v>8484</v>
      </c>
      <c r="ES2611" s="906" t="s">
        <v>1688</v>
      </c>
      <c r="ET2611" s="2686">
        <v>9</v>
      </c>
      <c r="EV2611" s="985"/>
      <c r="EW2611" s="985"/>
      <c r="EX2611" s="387"/>
      <c r="EY2611" s="939"/>
      <c r="EZ2611" s="886"/>
    </row>
    <row r="2612" spans="88:156">
      <c r="CJ2612" s="197"/>
      <c r="CK2612" s="197"/>
      <c r="CL2612" s="197"/>
      <c r="CM2612" s="213"/>
      <c r="CN2612" s="213"/>
      <c r="CO2612" s="197"/>
      <c r="CP2612" s="197"/>
      <c r="CQ2612" s="197"/>
      <c r="CR2612" s="197"/>
      <c r="CS2612" s="197"/>
      <c r="CT2612" s="197"/>
      <c r="CU2612" s="197"/>
      <c r="CV2612" s="197"/>
      <c r="CW2612" s="197"/>
      <c r="CX2612" s="959"/>
      <c r="CY2612" s="959"/>
      <c r="CZ2612" s="959"/>
      <c r="DA2612" s="959"/>
      <c r="DB2612" s="959"/>
      <c r="DC2612" s="891">
        <v>8636</v>
      </c>
      <c r="DD2612" s="891" t="s">
        <v>2177</v>
      </c>
      <c r="DE2612" s="891" t="s">
        <v>428</v>
      </c>
      <c r="DF2612" s="891">
        <v>6</v>
      </c>
      <c r="DG2612" s="959"/>
      <c r="DH2612" s="959"/>
      <c r="ER2612" s="905">
        <v>8484</v>
      </c>
      <c r="ES2612" s="906" t="s">
        <v>1689</v>
      </c>
      <c r="ET2612" s="2686">
        <v>9</v>
      </c>
      <c r="EV2612" s="985"/>
      <c r="EW2612" s="985"/>
      <c r="EX2612" s="387"/>
      <c r="EY2612" s="939"/>
      <c r="EZ2612" s="886"/>
    </row>
    <row r="2613" spans="88:156">
      <c r="CJ2613" s="197"/>
      <c r="CK2613" s="197"/>
      <c r="CL2613" s="197"/>
      <c r="CM2613" s="213"/>
      <c r="CN2613" s="213"/>
      <c r="CO2613" s="197"/>
      <c r="CP2613" s="197"/>
      <c r="CQ2613" s="197"/>
      <c r="CR2613" s="197"/>
      <c r="CS2613" s="197"/>
      <c r="CT2613" s="197"/>
      <c r="CU2613" s="197"/>
      <c r="CV2613" s="197"/>
      <c r="CW2613" s="197"/>
      <c r="CX2613" s="959"/>
      <c r="CY2613" s="959"/>
      <c r="CZ2613" s="959"/>
      <c r="DA2613" s="959"/>
      <c r="DB2613" s="959"/>
      <c r="DC2613" s="891">
        <v>8637</v>
      </c>
      <c r="DD2613" s="891" t="s">
        <v>2178</v>
      </c>
      <c r="DE2613" s="891" t="s">
        <v>428</v>
      </c>
      <c r="DF2613" s="891">
        <v>6</v>
      </c>
      <c r="DG2613" s="959"/>
      <c r="DH2613" s="959"/>
      <c r="ER2613" s="905">
        <v>8484</v>
      </c>
      <c r="ES2613" s="906" t="s">
        <v>4318</v>
      </c>
      <c r="ET2613" s="2686">
        <v>9</v>
      </c>
      <c r="EV2613" s="985"/>
      <c r="EW2613" s="985"/>
      <c r="EX2613" s="387"/>
      <c r="EY2613" s="939"/>
      <c r="EZ2613" s="886"/>
    </row>
    <row r="2614" spans="88:156">
      <c r="CJ2614" s="197"/>
      <c r="CK2614" s="197"/>
      <c r="CL2614" s="197"/>
      <c r="CM2614" s="213"/>
      <c r="CN2614" s="213"/>
      <c r="CO2614" s="197"/>
      <c r="CP2614" s="197"/>
      <c r="CQ2614" s="197"/>
      <c r="CR2614" s="197"/>
      <c r="CS2614" s="197"/>
      <c r="CT2614" s="197"/>
      <c r="CU2614" s="197"/>
      <c r="CV2614" s="197"/>
      <c r="CW2614" s="197"/>
      <c r="CX2614" s="959"/>
      <c r="CY2614" s="959"/>
      <c r="CZ2614" s="959"/>
      <c r="DA2614" s="959"/>
      <c r="DB2614" s="959"/>
      <c r="DC2614" s="891">
        <v>8638</v>
      </c>
      <c r="DD2614" s="891" t="s">
        <v>2179</v>
      </c>
      <c r="DE2614" s="891" t="s">
        <v>428</v>
      </c>
      <c r="DF2614" s="891">
        <v>6</v>
      </c>
      <c r="DG2614" s="959"/>
      <c r="DH2614" s="959"/>
      <c r="ER2614" s="905">
        <v>8485</v>
      </c>
      <c r="ES2614" s="906" t="s">
        <v>2749</v>
      </c>
      <c r="ET2614" s="2686">
        <v>9</v>
      </c>
      <c r="EV2614" s="985"/>
      <c r="EW2614" s="985"/>
      <c r="EX2614" s="387"/>
      <c r="EY2614" s="939"/>
      <c r="EZ2614" s="886"/>
    </row>
    <row r="2615" spans="88:156">
      <c r="CJ2615" s="197"/>
      <c r="CK2615" s="197"/>
      <c r="CL2615" s="197"/>
      <c r="CM2615" s="213"/>
      <c r="CN2615" s="213"/>
      <c r="CO2615" s="197"/>
      <c r="CP2615" s="197"/>
      <c r="CQ2615" s="197"/>
      <c r="CR2615" s="197"/>
      <c r="CS2615" s="197"/>
      <c r="CT2615" s="197"/>
      <c r="CU2615" s="197"/>
      <c r="CV2615" s="197"/>
      <c r="CW2615" s="197"/>
      <c r="CX2615" s="959"/>
      <c r="CY2615" s="959"/>
      <c r="CZ2615" s="959"/>
      <c r="DA2615" s="959"/>
      <c r="DB2615" s="959"/>
      <c r="DC2615" s="891">
        <v>8640</v>
      </c>
      <c r="DD2615" s="891" t="s">
        <v>2180</v>
      </c>
      <c r="DE2615" s="891" t="s">
        <v>428</v>
      </c>
      <c r="DF2615" s="891">
        <v>6</v>
      </c>
      <c r="DG2615" s="959"/>
      <c r="DH2615" s="959"/>
      <c r="ER2615" s="905">
        <v>8491</v>
      </c>
      <c r="ES2615" s="906" t="s">
        <v>2750</v>
      </c>
      <c r="ET2615" s="2686">
        <v>9</v>
      </c>
      <c r="EV2615" s="985"/>
      <c r="EW2615" s="985"/>
      <c r="EX2615" s="387"/>
      <c r="EY2615" s="939"/>
      <c r="EZ2615" s="886"/>
    </row>
    <row r="2616" spans="88:156">
      <c r="CJ2616" s="197"/>
      <c r="CK2616" s="197"/>
      <c r="CL2616" s="197"/>
      <c r="CM2616" s="213"/>
      <c r="CN2616" s="213"/>
      <c r="CO2616" s="197"/>
      <c r="CP2616" s="197"/>
      <c r="CQ2616" s="197"/>
      <c r="CR2616" s="197"/>
      <c r="CS2616" s="197"/>
      <c r="CT2616" s="197"/>
      <c r="CU2616" s="197"/>
      <c r="CV2616" s="197"/>
      <c r="CW2616" s="197"/>
      <c r="CX2616" s="959"/>
      <c r="CY2616" s="959"/>
      <c r="CZ2616" s="959"/>
      <c r="DA2616" s="959"/>
      <c r="DB2616" s="959"/>
      <c r="DC2616" s="891">
        <v>8643</v>
      </c>
      <c r="DD2616" s="891" t="s">
        <v>2181</v>
      </c>
      <c r="DE2616" s="891" t="s">
        <v>428</v>
      </c>
      <c r="DF2616" s="891">
        <v>6</v>
      </c>
      <c r="DG2616" s="959"/>
      <c r="DH2616" s="959"/>
      <c r="ER2616" s="905">
        <v>8492</v>
      </c>
      <c r="ES2616" s="906" t="s">
        <v>2751</v>
      </c>
      <c r="ET2616" s="2686">
        <v>9</v>
      </c>
      <c r="EV2616" s="985"/>
      <c r="EW2616" s="985"/>
      <c r="EX2616" s="387"/>
      <c r="EY2616" s="939"/>
      <c r="EZ2616" s="886"/>
    </row>
    <row r="2617" spans="88:156">
      <c r="CJ2617" s="197"/>
      <c r="CK2617" s="197"/>
      <c r="CL2617" s="197"/>
      <c r="CM2617" s="213"/>
      <c r="CN2617" s="213"/>
      <c r="CO2617" s="197"/>
      <c r="CP2617" s="197"/>
      <c r="CQ2617" s="197"/>
      <c r="CR2617" s="197"/>
      <c r="CS2617" s="197"/>
      <c r="CT2617" s="197"/>
      <c r="CU2617" s="197"/>
      <c r="CV2617" s="197"/>
      <c r="CW2617" s="197"/>
      <c r="CX2617" s="959"/>
      <c r="CY2617" s="959"/>
      <c r="CZ2617" s="959"/>
      <c r="DA2617" s="959"/>
      <c r="DB2617" s="959"/>
      <c r="DC2617" s="891">
        <v>8644</v>
      </c>
      <c r="DD2617" s="891" t="s">
        <v>2182</v>
      </c>
      <c r="DE2617" s="891" t="s">
        <v>434</v>
      </c>
      <c r="DF2617" s="891">
        <v>6</v>
      </c>
      <c r="DG2617" s="959"/>
      <c r="DH2617" s="959"/>
      <c r="ER2617" s="905">
        <v>8493</v>
      </c>
      <c r="ES2617" s="906" t="s">
        <v>2752</v>
      </c>
      <c r="ET2617" s="2686">
        <v>9</v>
      </c>
      <c r="EV2617" s="985"/>
      <c r="EW2617" s="985"/>
      <c r="EX2617" s="387"/>
      <c r="EY2617" s="939"/>
      <c r="EZ2617" s="886"/>
    </row>
    <row r="2618" spans="88:156">
      <c r="CJ2618" s="197"/>
      <c r="CK2618" s="197"/>
      <c r="CL2618" s="197"/>
      <c r="CM2618" s="213"/>
      <c r="CN2618" s="213"/>
      <c r="CO2618" s="197"/>
      <c r="CP2618" s="197"/>
      <c r="CQ2618" s="197"/>
      <c r="CR2618" s="197"/>
      <c r="CS2618" s="197"/>
      <c r="CT2618" s="197"/>
      <c r="CU2618" s="197"/>
      <c r="CV2618" s="197"/>
      <c r="CW2618" s="197"/>
      <c r="CX2618" s="959"/>
      <c r="CY2618" s="959"/>
      <c r="CZ2618" s="959"/>
      <c r="DA2618" s="959"/>
      <c r="DB2618" s="959"/>
      <c r="DC2618" s="891">
        <v>8645</v>
      </c>
      <c r="DD2618" s="891" t="s">
        <v>2183</v>
      </c>
      <c r="DE2618" s="891" t="s">
        <v>428</v>
      </c>
      <c r="DF2618" s="891">
        <v>6</v>
      </c>
      <c r="DG2618" s="959"/>
      <c r="DH2618" s="959"/>
      <c r="ER2618" s="905">
        <v>8494</v>
      </c>
      <c r="ES2618" s="906" t="s">
        <v>2753</v>
      </c>
      <c r="ET2618" s="2686">
        <v>9</v>
      </c>
      <c r="EV2618" s="985"/>
      <c r="EW2618" s="985"/>
      <c r="EX2618" s="387"/>
      <c r="EY2618" s="939"/>
      <c r="EZ2618" s="886"/>
    </row>
    <row r="2619" spans="88:156">
      <c r="CJ2619" s="197"/>
      <c r="CK2619" s="197"/>
      <c r="CL2619" s="197"/>
      <c r="CM2619" s="213"/>
      <c r="CN2619" s="213"/>
      <c r="CO2619" s="197"/>
      <c r="CP2619" s="197"/>
      <c r="CQ2619" s="197"/>
      <c r="CR2619" s="197"/>
      <c r="CS2619" s="197"/>
      <c r="CT2619" s="197"/>
      <c r="CU2619" s="197"/>
      <c r="CV2619" s="197"/>
      <c r="CW2619" s="197"/>
      <c r="CX2619" s="959"/>
      <c r="CY2619" s="959"/>
      <c r="CZ2619" s="959"/>
      <c r="DA2619" s="959"/>
      <c r="DB2619" s="959"/>
      <c r="DC2619" s="891">
        <v>8646</v>
      </c>
      <c r="DD2619" s="891" t="s">
        <v>2184</v>
      </c>
      <c r="DE2619" s="891" t="s">
        <v>428</v>
      </c>
      <c r="DF2619" s="891">
        <v>6</v>
      </c>
      <c r="DG2619" s="959"/>
      <c r="DH2619" s="959"/>
      <c r="ER2619" s="905">
        <v>8495</v>
      </c>
      <c r="ES2619" s="906" t="s">
        <v>2754</v>
      </c>
      <c r="ET2619" s="2686">
        <v>9</v>
      </c>
      <c r="EV2619" s="985"/>
      <c r="EW2619" s="985"/>
      <c r="EX2619" s="387"/>
      <c r="EY2619" s="939"/>
      <c r="EZ2619" s="886"/>
    </row>
    <row r="2620" spans="88:156">
      <c r="CJ2620" s="197"/>
      <c r="CK2620" s="197"/>
      <c r="CL2620" s="197"/>
      <c r="CM2620" s="213"/>
      <c r="CN2620" s="213"/>
      <c r="CO2620" s="197"/>
      <c r="CP2620" s="197"/>
      <c r="CQ2620" s="197"/>
      <c r="CR2620" s="197"/>
      <c r="CS2620" s="197"/>
      <c r="CT2620" s="197"/>
      <c r="CU2620" s="197"/>
      <c r="CV2620" s="197"/>
      <c r="CW2620" s="197"/>
      <c r="CX2620" s="959"/>
      <c r="CY2620" s="959"/>
      <c r="CZ2620" s="959"/>
      <c r="DA2620" s="959"/>
      <c r="DB2620" s="959"/>
      <c r="DC2620" s="891">
        <v>8647</v>
      </c>
      <c r="DD2620" s="891" t="s">
        <v>2185</v>
      </c>
      <c r="DE2620" s="891" t="s">
        <v>428</v>
      </c>
      <c r="DF2620" s="891">
        <v>6</v>
      </c>
      <c r="DG2620" s="959"/>
      <c r="DH2620" s="959"/>
      <c r="ER2620" s="905">
        <v>8496</v>
      </c>
      <c r="ES2620" s="906" t="s">
        <v>1690</v>
      </c>
      <c r="ET2620" s="2686">
        <v>9</v>
      </c>
      <c r="EV2620" s="985"/>
      <c r="EW2620" s="985"/>
      <c r="EX2620" s="387"/>
      <c r="EY2620" s="939"/>
      <c r="EZ2620" s="886"/>
    </row>
    <row r="2621" spans="88:156">
      <c r="CJ2621" s="197"/>
      <c r="CK2621" s="197"/>
      <c r="CL2621" s="197"/>
      <c r="CM2621" s="213"/>
      <c r="CN2621" s="213"/>
      <c r="CO2621" s="197"/>
      <c r="CP2621" s="197"/>
      <c r="CQ2621" s="197"/>
      <c r="CR2621" s="197"/>
      <c r="CS2621" s="197"/>
      <c r="CT2621" s="197"/>
      <c r="CU2621" s="197"/>
      <c r="CV2621" s="197"/>
      <c r="CW2621" s="197"/>
      <c r="CX2621" s="959"/>
      <c r="CY2621" s="959"/>
      <c r="CZ2621" s="959"/>
      <c r="DA2621" s="959"/>
      <c r="DB2621" s="959"/>
      <c r="DC2621" s="891">
        <v>8648</v>
      </c>
      <c r="DD2621" s="891" t="s">
        <v>2186</v>
      </c>
      <c r="DE2621" s="891" t="s">
        <v>428</v>
      </c>
      <c r="DF2621" s="891">
        <v>6</v>
      </c>
      <c r="DG2621" s="959"/>
      <c r="DH2621" s="959"/>
      <c r="ER2621" s="905">
        <v>8496</v>
      </c>
      <c r="ES2621" s="906" t="s">
        <v>2755</v>
      </c>
      <c r="ET2621" s="2686">
        <v>9</v>
      </c>
      <c r="EV2621" s="985"/>
      <c r="EW2621" s="985"/>
      <c r="EX2621" s="387"/>
      <c r="EY2621" s="939"/>
      <c r="EZ2621" s="886"/>
    </row>
    <row r="2622" spans="88:156">
      <c r="CJ2622" s="197"/>
      <c r="CK2622" s="197"/>
      <c r="CL2622" s="197"/>
      <c r="CM2622" s="213"/>
      <c r="CN2622" s="213"/>
      <c r="CO2622" s="197"/>
      <c r="CP2622" s="197"/>
      <c r="CQ2622" s="197"/>
      <c r="CR2622" s="197"/>
      <c r="CS2622" s="197"/>
      <c r="CT2622" s="197"/>
      <c r="CU2622" s="197"/>
      <c r="CV2622" s="197"/>
      <c r="CW2622" s="197"/>
      <c r="CX2622" s="959"/>
      <c r="CY2622" s="959"/>
      <c r="CZ2622" s="959"/>
      <c r="DA2622" s="959"/>
      <c r="DB2622" s="959"/>
      <c r="DC2622" s="891">
        <v>8649</v>
      </c>
      <c r="DD2622" s="891" t="s">
        <v>2187</v>
      </c>
      <c r="DE2622" s="891" t="s">
        <v>428</v>
      </c>
      <c r="DF2622" s="891">
        <v>6</v>
      </c>
      <c r="DG2622" s="959"/>
      <c r="DH2622" s="959"/>
      <c r="ER2622" s="905">
        <v>8497</v>
      </c>
      <c r="ES2622" s="906" t="s">
        <v>1691</v>
      </c>
      <c r="ET2622" s="2686">
        <v>9</v>
      </c>
      <c r="EV2622" s="985"/>
      <c r="EW2622" s="985"/>
      <c r="EX2622" s="387"/>
      <c r="EY2622" s="939"/>
      <c r="EZ2622" s="886"/>
    </row>
    <row r="2623" spans="88:156">
      <c r="CJ2623" s="197"/>
      <c r="CK2623" s="197"/>
      <c r="CL2623" s="197"/>
      <c r="CM2623" s="213"/>
      <c r="CN2623" s="213"/>
      <c r="CO2623" s="197"/>
      <c r="CP2623" s="197"/>
      <c r="CQ2623" s="197"/>
      <c r="CR2623" s="197"/>
      <c r="CS2623" s="197"/>
      <c r="CT2623" s="197"/>
      <c r="CU2623" s="197"/>
      <c r="CV2623" s="197"/>
      <c r="CW2623" s="197"/>
      <c r="CX2623" s="959"/>
      <c r="CY2623" s="959"/>
      <c r="CZ2623" s="959"/>
      <c r="DA2623" s="959"/>
      <c r="DB2623" s="959"/>
      <c r="DC2623" s="891">
        <v>8651</v>
      </c>
      <c r="DD2623" s="891" t="s">
        <v>2188</v>
      </c>
      <c r="DE2623" s="891" t="s">
        <v>428</v>
      </c>
      <c r="DF2623" s="891">
        <v>6</v>
      </c>
      <c r="DG2623" s="959"/>
      <c r="DH2623" s="959"/>
      <c r="ER2623" s="905">
        <v>8497</v>
      </c>
      <c r="ES2623" s="906" t="s">
        <v>2756</v>
      </c>
      <c r="ET2623" s="2686">
        <v>9</v>
      </c>
      <c r="EV2623" s="985"/>
      <c r="EW2623" s="985"/>
      <c r="EX2623" s="387"/>
      <c r="EY2623" s="939"/>
      <c r="EZ2623" s="886"/>
    </row>
    <row r="2624" spans="88:156">
      <c r="CJ2624" s="197"/>
      <c r="CK2624" s="197"/>
      <c r="CL2624" s="197"/>
      <c r="CM2624" s="213"/>
      <c r="CN2624" s="213"/>
      <c r="CO2624" s="197"/>
      <c r="CP2624" s="197"/>
      <c r="CQ2624" s="197"/>
      <c r="CR2624" s="197"/>
      <c r="CS2624" s="197"/>
      <c r="CT2624" s="197"/>
      <c r="CU2624" s="197"/>
      <c r="CV2624" s="197"/>
      <c r="CW2624" s="197"/>
      <c r="CX2624" s="959"/>
      <c r="CY2624" s="959"/>
      <c r="CZ2624" s="959"/>
      <c r="DA2624" s="959"/>
      <c r="DB2624" s="959"/>
      <c r="DC2624" s="891">
        <v>8652</v>
      </c>
      <c r="DD2624" s="891" t="s">
        <v>2189</v>
      </c>
      <c r="DE2624" s="891" t="s">
        <v>428</v>
      </c>
      <c r="DF2624" s="891">
        <v>6</v>
      </c>
      <c r="DG2624" s="959"/>
      <c r="DH2624" s="959"/>
      <c r="ER2624" s="905">
        <v>8500</v>
      </c>
      <c r="ES2624" s="906" t="s">
        <v>2757</v>
      </c>
      <c r="ET2624" s="2686">
        <v>9</v>
      </c>
      <c r="EV2624" s="985"/>
      <c r="EW2624" s="985"/>
      <c r="EX2624" s="387"/>
      <c r="EY2624" s="939"/>
      <c r="EZ2624" s="886"/>
    </row>
    <row r="2625" spans="88:156">
      <c r="CJ2625" s="197"/>
      <c r="CK2625" s="197"/>
      <c r="CL2625" s="197"/>
      <c r="CM2625" s="213"/>
      <c r="CN2625" s="213"/>
      <c r="CO2625" s="197"/>
      <c r="CP2625" s="197"/>
      <c r="CQ2625" s="197"/>
      <c r="CR2625" s="197"/>
      <c r="CS2625" s="197"/>
      <c r="CT2625" s="197"/>
      <c r="CU2625" s="197"/>
      <c r="CV2625" s="197"/>
      <c r="CW2625" s="197"/>
      <c r="CX2625" s="959"/>
      <c r="CY2625" s="959"/>
      <c r="CZ2625" s="959"/>
      <c r="DA2625" s="959"/>
      <c r="DB2625" s="959"/>
      <c r="DC2625" s="891">
        <v>8653</v>
      </c>
      <c r="DD2625" s="891" t="s">
        <v>2190</v>
      </c>
      <c r="DE2625" s="891" t="s">
        <v>428</v>
      </c>
      <c r="DF2625" s="891">
        <v>6</v>
      </c>
      <c r="DG2625" s="959"/>
      <c r="DH2625" s="959"/>
      <c r="ER2625" s="905">
        <v>8511</v>
      </c>
      <c r="ES2625" s="905" t="s">
        <v>1692</v>
      </c>
      <c r="ET2625" s="2686">
        <v>9</v>
      </c>
      <c r="EV2625" s="985"/>
      <c r="EW2625" s="985"/>
      <c r="EX2625" s="387"/>
      <c r="EY2625" s="939"/>
      <c r="EZ2625" s="886"/>
    </row>
    <row r="2626" spans="88:156">
      <c r="CJ2626" s="197"/>
      <c r="CK2626" s="197"/>
      <c r="CL2626" s="197"/>
      <c r="CM2626" s="213"/>
      <c r="CN2626" s="213"/>
      <c r="CO2626" s="197"/>
      <c r="CP2626" s="197"/>
      <c r="CQ2626" s="197"/>
      <c r="CR2626" s="197"/>
      <c r="CS2626" s="197"/>
      <c r="CT2626" s="197"/>
      <c r="CU2626" s="197"/>
      <c r="CV2626" s="197"/>
      <c r="CW2626" s="197"/>
      <c r="CX2626" s="959"/>
      <c r="CY2626" s="959"/>
      <c r="CZ2626" s="959"/>
      <c r="DA2626" s="959"/>
      <c r="DB2626" s="959"/>
      <c r="DC2626" s="891">
        <v>8654</v>
      </c>
      <c r="DD2626" s="891" t="s">
        <v>2191</v>
      </c>
      <c r="DE2626" s="891" t="s">
        <v>428</v>
      </c>
      <c r="DF2626" s="891">
        <v>5</v>
      </c>
      <c r="DG2626" s="959"/>
      <c r="DH2626" s="959"/>
      <c r="ER2626" s="905">
        <v>8512</v>
      </c>
      <c r="ES2626" s="906" t="s">
        <v>2760</v>
      </c>
      <c r="ET2626" s="2686">
        <v>9</v>
      </c>
      <c r="EV2626" s="985"/>
      <c r="EW2626" s="985"/>
      <c r="EX2626" s="387"/>
      <c r="EY2626" s="939"/>
      <c r="EZ2626" s="886"/>
    </row>
    <row r="2627" spans="88:156">
      <c r="CJ2627" s="197"/>
      <c r="CK2627" s="197"/>
      <c r="CL2627" s="197"/>
      <c r="CM2627" s="213"/>
      <c r="CN2627" s="213"/>
      <c r="CO2627" s="197"/>
      <c r="CP2627" s="197"/>
      <c r="CQ2627" s="197"/>
      <c r="CR2627" s="197"/>
      <c r="CS2627" s="197"/>
      <c r="CT2627" s="197"/>
      <c r="CU2627" s="197"/>
      <c r="CV2627" s="197"/>
      <c r="CW2627" s="197"/>
      <c r="CX2627" s="959"/>
      <c r="CY2627" s="959"/>
      <c r="CZ2627" s="959"/>
      <c r="DA2627" s="959"/>
      <c r="DB2627" s="959"/>
      <c r="DC2627" s="891">
        <v>8655</v>
      </c>
      <c r="DD2627" s="891" t="s">
        <v>2192</v>
      </c>
      <c r="DE2627" s="891" t="s">
        <v>428</v>
      </c>
      <c r="DF2627" s="891">
        <v>6</v>
      </c>
      <c r="DG2627" s="959"/>
      <c r="DH2627" s="959"/>
      <c r="ER2627" s="905">
        <v>8513</v>
      </c>
      <c r="ES2627" s="906" t="s">
        <v>2761</v>
      </c>
      <c r="ET2627" s="2686">
        <v>9</v>
      </c>
      <c r="EV2627" s="985"/>
      <c r="EW2627" s="985"/>
      <c r="EX2627" s="387"/>
      <c r="EY2627" s="939"/>
      <c r="EZ2627" s="886"/>
    </row>
    <row r="2628" spans="88:156">
      <c r="CJ2628" s="197"/>
      <c r="CK2628" s="197"/>
      <c r="CL2628" s="197"/>
      <c r="CM2628" s="213"/>
      <c r="CN2628" s="213"/>
      <c r="CO2628" s="197"/>
      <c r="CP2628" s="197"/>
      <c r="CQ2628" s="197"/>
      <c r="CR2628" s="197"/>
      <c r="CS2628" s="197"/>
      <c r="CT2628" s="197"/>
      <c r="CU2628" s="197"/>
      <c r="CV2628" s="197"/>
      <c r="CW2628" s="197"/>
      <c r="CX2628" s="959"/>
      <c r="CY2628" s="959"/>
      <c r="CZ2628" s="959"/>
      <c r="DA2628" s="959"/>
      <c r="DB2628" s="959"/>
      <c r="DC2628" s="891">
        <v>8656</v>
      </c>
      <c r="DD2628" s="891" t="s">
        <v>2193</v>
      </c>
      <c r="DE2628" s="891" t="s">
        <v>412</v>
      </c>
      <c r="DF2628" s="891">
        <v>6</v>
      </c>
      <c r="DG2628" s="959"/>
      <c r="DH2628" s="959"/>
      <c r="ER2628" s="905">
        <v>8514</v>
      </c>
      <c r="ES2628" s="906" t="s">
        <v>2758</v>
      </c>
      <c r="ET2628" s="2686">
        <v>9</v>
      </c>
      <c r="EV2628" s="985"/>
      <c r="EW2628" s="985"/>
      <c r="EX2628" s="387"/>
      <c r="EY2628" s="939"/>
      <c r="EZ2628" s="886"/>
    </row>
    <row r="2629" spans="88:156">
      <c r="CJ2629" s="197"/>
      <c r="CK2629" s="197"/>
      <c r="CL2629" s="197"/>
      <c r="CM2629" s="213"/>
      <c r="CN2629" s="213"/>
      <c r="CO2629" s="197"/>
      <c r="CP2629" s="197"/>
      <c r="CQ2629" s="197"/>
      <c r="CR2629" s="197"/>
      <c r="CS2629" s="197"/>
      <c r="CT2629" s="197"/>
      <c r="CU2629" s="197"/>
      <c r="CV2629" s="197"/>
      <c r="CW2629" s="197"/>
      <c r="CX2629" s="959"/>
      <c r="CY2629" s="959"/>
      <c r="CZ2629" s="959"/>
      <c r="DA2629" s="959"/>
      <c r="DB2629" s="959"/>
      <c r="DC2629" s="891">
        <v>8657</v>
      </c>
      <c r="DD2629" s="891" t="s">
        <v>2194</v>
      </c>
      <c r="DE2629" s="891" t="s">
        <v>421</v>
      </c>
      <c r="DF2629" s="891">
        <v>6</v>
      </c>
      <c r="DG2629" s="959"/>
      <c r="DH2629" s="959"/>
      <c r="ER2629" s="905">
        <v>8515</v>
      </c>
      <c r="ES2629" s="906" t="s">
        <v>2763</v>
      </c>
      <c r="ET2629" s="2686">
        <v>9</v>
      </c>
      <c r="EV2629" s="985"/>
      <c r="EW2629" s="985"/>
      <c r="EX2629" s="387"/>
      <c r="EY2629" s="939"/>
      <c r="EZ2629" s="886"/>
    </row>
    <row r="2630" spans="88:156">
      <c r="CJ2630" s="197"/>
      <c r="CK2630" s="197"/>
      <c r="CL2630" s="197"/>
      <c r="CM2630" s="213"/>
      <c r="CN2630" s="213"/>
      <c r="CO2630" s="197"/>
      <c r="CP2630" s="197"/>
      <c r="CQ2630" s="197"/>
      <c r="CR2630" s="197"/>
      <c r="CS2630" s="197"/>
      <c r="CT2630" s="197"/>
      <c r="CU2630" s="197"/>
      <c r="CV2630" s="197"/>
      <c r="CW2630" s="197"/>
      <c r="CX2630" s="959"/>
      <c r="CY2630" s="959"/>
      <c r="CZ2630" s="959"/>
      <c r="DA2630" s="959"/>
      <c r="DB2630" s="959"/>
      <c r="DC2630" s="891">
        <v>8658</v>
      </c>
      <c r="DD2630" s="891" t="s">
        <v>2195</v>
      </c>
      <c r="DE2630" s="891" t="s">
        <v>406</v>
      </c>
      <c r="DF2630" s="891">
        <v>5</v>
      </c>
      <c r="DG2630" s="959"/>
      <c r="DH2630" s="959"/>
      <c r="ER2630" s="905">
        <v>8516</v>
      </c>
      <c r="ES2630" s="906" t="s">
        <v>2764</v>
      </c>
      <c r="ET2630" s="2686">
        <v>9</v>
      </c>
      <c r="EV2630" s="985"/>
      <c r="EW2630" s="985"/>
      <c r="EX2630" s="387"/>
      <c r="EY2630" s="939"/>
      <c r="EZ2630" s="886"/>
    </row>
    <row r="2631" spans="88:156">
      <c r="CJ2631" s="197"/>
      <c r="CK2631" s="197"/>
      <c r="CL2631" s="197"/>
      <c r="CM2631" s="213"/>
      <c r="CN2631" s="213"/>
      <c r="CO2631" s="197"/>
      <c r="CP2631" s="197"/>
      <c r="CQ2631" s="197"/>
      <c r="CR2631" s="197"/>
      <c r="CS2631" s="197"/>
      <c r="CT2631" s="197"/>
      <c r="CU2631" s="197"/>
      <c r="CV2631" s="197"/>
      <c r="CW2631" s="197"/>
      <c r="CX2631" s="959"/>
      <c r="CY2631" s="959"/>
      <c r="CZ2631" s="959"/>
      <c r="DA2631" s="959"/>
      <c r="DB2631" s="959"/>
      <c r="DC2631" s="891">
        <v>8660</v>
      </c>
      <c r="DD2631" s="891" t="s">
        <v>432</v>
      </c>
      <c r="DE2631" s="891" t="s">
        <v>417</v>
      </c>
      <c r="DF2631" s="891">
        <v>5</v>
      </c>
      <c r="DG2631" s="959"/>
      <c r="DH2631" s="959"/>
      <c r="ER2631" s="905">
        <v>8517</v>
      </c>
      <c r="ES2631" s="906" t="s">
        <v>2765</v>
      </c>
      <c r="ET2631" s="2686">
        <v>9</v>
      </c>
      <c r="EV2631" s="985"/>
      <c r="EW2631" s="985"/>
      <c r="EX2631" s="387"/>
      <c r="EY2631" s="939"/>
      <c r="EZ2631" s="886"/>
    </row>
    <row r="2632" spans="88:156">
      <c r="CJ2632" s="197"/>
      <c r="CK2632" s="197"/>
      <c r="CL2632" s="197"/>
      <c r="CM2632" s="213"/>
      <c r="CN2632" s="213"/>
      <c r="CO2632" s="197"/>
      <c r="CP2632" s="197"/>
      <c r="CQ2632" s="197"/>
      <c r="CR2632" s="197"/>
      <c r="CS2632" s="197"/>
      <c r="CT2632" s="197"/>
      <c r="CU2632" s="197"/>
      <c r="CV2632" s="197"/>
      <c r="CW2632" s="197"/>
      <c r="CX2632" s="959"/>
      <c r="CY2632" s="959"/>
      <c r="CZ2632" s="959"/>
      <c r="DA2632" s="959"/>
      <c r="DB2632" s="959"/>
      <c r="DC2632" s="891">
        <v>8665</v>
      </c>
      <c r="DD2632" s="891" t="s">
        <v>2196</v>
      </c>
      <c r="DE2632" s="891" t="s">
        <v>406</v>
      </c>
      <c r="DF2632" s="891">
        <v>5</v>
      </c>
      <c r="DG2632" s="959"/>
      <c r="DH2632" s="959"/>
      <c r="ER2632" s="905">
        <v>8518</v>
      </c>
      <c r="ES2632" s="906" t="s">
        <v>2766</v>
      </c>
      <c r="ET2632" s="2686">
        <v>9</v>
      </c>
      <c r="EV2632" s="985"/>
      <c r="EW2632" s="985"/>
      <c r="EX2632" s="387"/>
      <c r="EY2632" s="939"/>
      <c r="EZ2632" s="886"/>
    </row>
    <row r="2633" spans="88:156">
      <c r="CJ2633" s="197"/>
      <c r="CK2633" s="197"/>
      <c r="CL2633" s="197"/>
      <c r="CM2633" s="213"/>
      <c r="CN2633" s="213"/>
      <c r="CO2633" s="197"/>
      <c r="CP2633" s="197"/>
      <c r="CQ2633" s="197"/>
      <c r="CR2633" s="197"/>
      <c r="CS2633" s="197"/>
      <c r="CT2633" s="197"/>
      <c r="CU2633" s="197"/>
      <c r="CV2633" s="197"/>
      <c r="CW2633" s="197"/>
      <c r="CX2633" s="959"/>
      <c r="CY2633" s="959"/>
      <c r="CZ2633" s="959"/>
      <c r="DA2633" s="959"/>
      <c r="DB2633" s="959"/>
      <c r="DC2633" s="891">
        <v>8666</v>
      </c>
      <c r="DD2633" s="891" t="s">
        <v>2197</v>
      </c>
      <c r="DE2633" s="891" t="s">
        <v>402</v>
      </c>
      <c r="DF2633" s="891">
        <v>6</v>
      </c>
      <c r="DG2633" s="959"/>
      <c r="DH2633" s="959"/>
      <c r="ER2633" s="905">
        <v>8521</v>
      </c>
      <c r="ES2633" s="906" t="s">
        <v>2767</v>
      </c>
      <c r="ET2633" s="2686">
        <v>9</v>
      </c>
      <c r="EV2633" s="985"/>
      <c r="EW2633" s="985"/>
      <c r="EX2633" s="387"/>
      <c r="EY2633" s="939"/>
      <c r="EZ2633" s="886"/>
    </row>
    <row r="2634" spans="88:156">
      <c r="CJ2634" s="197"/>
      <c r="CK2634" s="197"/>
      <c r="CL2634" s="197"/>
      <c r="CM2634" s="213"/>
      <c r="CN2634" s="213"/>
      <c r="CO2634" s="197"/>
      <c r="CP2634" s="197"/>
      <c r="CQ2634" s="197"/>
      <c r="CR2634" s="197"/>
      <c r="CS2634" s="197"/>
      <c r="CT2634" s="197"/>
      <c r="CU2634" s="197"/>
      <c r="CV2634" s="197"/>
      <c r="CW2634" s="197"/>
      <c r="CX2634" s="959"/>
      <c r="CY2634" s="959"/>
      <c r="CZ2634" s="959"/>
      <c r="DA2634" s="959"/>
      <c r="DB2634" s="959"/>
      <c r="DC2634" s="891">
        <v>8667</v>
      </c>
      <c r="DD2634" s="891" t="s">
        <v>2198</v>
      </c>
      <c r="DE2634" s="891" t="s">
        <v>419</v>
      </c>
      <c r="DF2634" s="891">
        <v>6</v>
      </c>
      <c r="DG2634" s="959"/>
      <c r="DH2634" s="959"/>
      <c r="ER2634" s="905">
        <v>8522</v>
      </c>
      <c r="ES2634" s="906" t="s">
        <v>2768</v>
      </c>
      <c r="ET2634" s="2686">
        <v>9</v>
      </c>
      <c r="EV2634" s="985"/>
      <c r="EW2634" s="985"/>
      <c r="EX2634" s="387"/>
      <c r="EY2634" s="939"/>
      <c r="EZ2634" s="886"/>
    </row>
    <row r="2635" spans="88:156">
      <c r="CJ2635" s="197"/>
      <c r="CK2635" s="197"/>
      <c r="CL2635" s="197"/>
      <c r="CM2635" s="213"/>
      <c r="CN2635" s="213"/>
      <c r="CO2635" s="197"/>
      <c r="CP2635" s="197"/>
      <c r="CQ2635" s="197"/>
      <c r="CR2635" s="197"/>
      <c r="CS2635" s="197"/>
      <c r="CT2635" s="197"/>
      <c r="CU2635" s="197"/>
      <c r="CV2635" s="197"/>
      <c r="CW2635" s="197"/>
      <c r="CX2635" s="959"/>
      <c r="CY2635" s="959"/>
      <c r="CZ2635" s="959"/>
      <c r="DA2635" s="959"/>
      <c r="DB2635" s="959"/>
      <c r="DC2635" s="891">
        <v>8668</v>
      </c>
      <c r="DD2635" s="891" t="s">
        <v>2199</v>
      </c>
      <c r="DE2635" s="891" t="s">
        <v>418</v>
      </c>
      <c r="DF2635" s="891">
        <v>6</v>
      </c>
      <c r="DG2635" s="959"/>
      <c r="DH2635" s="959"/>
      <c r="ER2635" s="905">
        <v>8523</v>
      </c>
      <c r="ES2635" s="906" t="s">
        <v>2769</v>
      </c>
      <c r="ET2635" s="2686">
        <v>9</v>
      </c>
      <c r="EV2635" s="985"/>
      <c r="EW2635" s="985"/>
      <c r="EX2635" s="387"/>
      <c r="EY2635" s="939"/>
      <c r="EZ2635" s="886"/>
    </row>
    <row r="2636" spans="88:156">
      <c r="CJ2636" s="197"/>
      <c r="CK2636" s="197"/>
      <c r="CL2636" s="197"/>
      <c r="CM2636" s="213"/>
      <c r="CN2636" s="213"/>
      <c r="CO2636" s="197"/>
      <c r="CP2636" s="197"/>
      <c r="CQ2636" s="197"/>
      <c r="CR2636" s="197"/>
      <c r="CS2636" s="197"/>
      <c r="CT2636" s="197"/>
      <c r="CU2636" s="197"/>
      <c r="CV2636" s="197"/>
      <c r="CW2636" s="197"/>
      <c r="CX2636" s="959"/>
      <c r="CY2636" s="959"/>
      <c r="CZ2636" s="959"/>
      <c r="DA2636" s="959"/>
      <c r="DB2636" s="959"/>
      <c r="DC2636" s="891">
        <v>8669</v>
      </c>
      <c r="DD2636" s="891" t="s">
        <v>3927</v>
      </c>
      <c r="DE2636" s="891" t="s">
        <v>406</v>
      </c>
      <c r="DF2636" s="891">
        <v>6</v>
      </c>
      <c r="DG2636" s="959"/>
      <c r="DH2636" s="959"/>
      <c r="ER2636" s="905">
        <v>8523</v>
      </c>
      <c r="ES2636" s="906" t="s">
        <v>1693</v>
      </c>
      <c r="ET2636" s="2686">
        <v>9</v>
      </c>
      <c r="EV2636" s="985"/>
      <c r="EW2636" s="985"/>
      <c r="EX2636" s="387"/>
      <c r="EY2636" s="939"/>
      <c r="EZ2636" s="886"/>
    </row>
    <row r="2637" spans="88:156">
      <c r="CJ2637" s="197"/>
      <c r="CK2637" s="197"/>
      <c r="CL2637" s="197"/>
      <c r="CM2637" s="213"/>
      <c r="CN2637" s="213"/>
      <c r="CO2637" s="197"/>
      <c r="CP2637" s="197"/>
      <c r="CQ2637" s="197"/>
      <c r="CR2637" s="197"/>
      <c r="CS2637" s="197"/>
      <c r="CT2637" s="197"/>
      <c r="CU2637" s="197"/>
      <c r="CV2637" s="197"/>
      <c r="CW2637" s="197"/>
      <c r="CX2637" s="959"/>
      <c r="CY2637" s="959"/>
      <c r="CZ2637" s="959"/>
      <c r="DA2637" s="959"/>
      <c r="DB2637" s="959"/>
      <c r="DC2637" s="891">
        <v>8671</v>
      </c>
      <c r="DD2637" s="891" t="s">
        <v>2200</v>
      </c>
      <c r="DE2637" s="891" t="s">
        <v>406</v>
      </c>
      <c r="DF2637" s="891">
        <v>5</v>
      </c>
      <c r="DG2637" s="959"/>
      <c r="DH2637" s="959"/>
      <c r="ER2637" s="905">
        <v>8531</v>
      </c>
      <c r="ES2637" s="905" t="s">
        <v>1694</v>
      </c>
      <c r="ET2637" s="2686">
        <v>9</v>
      </c>
      <c r="EV2637" s="985"/>
      <c r="EW2637" s="985"/>
      <c r="EX2637" s="387"/>
      <c r="EY2637" s="939"/>
      <c r="EZ2637" s="886"/>
    </row>
    <row r="2638" spans="88:156">
      <c r="CJ2638" s="197"/>
      <c r="CK2638" s="197"/>
      <c r="CL2638" s="197"/>
      <c r="CM2638" s="213"/>
      <c r="CN2638" s="213"/>
      <c r="CO2638" s="197"/>
      <c r="CP2638" s="197"/>
      <c r="CQ2638" s="197"/>
      <c r="CR2638" s="197"/>
      <c r="CS2638" s="197"/>
      <c r="CT2638" s="197"/>
      <c r="CU2638" s="197"/>
      <c r="CV2638" s="197"/>
      <c r="CW2638" s="197"/>
      <c r="CX2638" s="959"/>
      <c r="CY2638" s="959"/>
      <c r="CZ2638" s="959"/>
      <c r="DA2638" s="959"/>
      <c r="DB2638" s="959"/>
      <c r="DC2638" s="891">
        <v>8672</v>
      </c>
      <c r="DD2638" s="891" t="s">
        <v>2201</v>
      </c>
      <c r="DE2638" s="891" t="s">
        <v>428</v>
      </c>
      <c r="DF2638" s="891">
        <v>6</v>
      </c>
      <c r="DG2638" s="959"/>
      <c r="DH2638" s="959"/>
      <c r="ER2638" s="905">
        <v>8532</v>
      </c>
      <c r="ES2638" s="906" t="s">
        <v>2770</v>
      </c>
      <c r="ET2638" s="2686">
        <v>9</v>
      </c>
      <c r="EV2638" s="985"/>
      <c r="EW2638" s="985"/>
      <c r="EX2638" s="387"/>
      <c r="EY2638" s="939"/>
      <c r="EZ2638" s="886"/>
    </row>
    <row r="2639" spans="88:156">
      <c r="CJ2639" s="197"/>
      <c r="CK2639" s="197"/>
      <c r="CL2639" s="197"/>
      <c r="CM2639" s="213"/>
      <c r="CN2639" s="213"/>
      <c r="CO2639" s="197"/>
      <c r="CP2639" s="197"/>
      <c r="CQ2639" s="197"/>
      <c r="CR2639" s="197"/>
      <c r="CS2639" s="197"/>
      <c r="CT2639" s="197"/>
      <c r="CU2639" s="197"/>
      <c r="CV2639" s="197"/>
      <c r="CW2639" s="197"/>
      <c r="CX2639" s="959"/>
      <c r="CY2639" s="959"/>
      <c r="CZ2639" s="959"/>
      <c r="DA2639" s="959"/>
      <c r="DB2639" s="959"/>
      <c r="DC2639" s="891">
        <v>8673</v>
      </c>
      <c r="DD2639" s="891" t="s">
        <v>2202</v>
      </c>
      <c r="DE2639" s="891" t="s">
        <v>431</v>
      </c>
      <c r="DF2639" s="891">
        <v>6</v>
      </c>
      <c r="DG2639" s="959"/>
      <c r="DH2639" s="959"/>
      <c r="ER2639" s="905">
        <v>8533</v>
      </c>
      <c r="ES2639" s="906" t="s">
        <v>2772</v>
      </c>
      <c r="ET2639" s="2686">
        <v>9</v>
      </c>
      <c r="EV2639" s="985"/>
      <c r="EW2639" s="985"/>
      <c r="EX2639" s="387"/>
      <c r="EY2639" s="939"/>
      <c r="EZ2639" s="886"/>
    </row>
    <row r="2640" spans="88:156">
      <c r="CJ2640" s="197"/>
      <c r="CK2640" s="197"/>
      <c r="CL2640" s="197"/>
      <c r="CM2640" s="213"/>
      <c r="CN2640" s="213"/>
      <c r="CO2640" s="197"/>
      <c r="CP2640" s="197"/>
      <c r="CQ2640" s="197"/>
      <c r="CR2640" s="197"/>
      <c r="CS2640" s="197"/>
      <c r="CT2640" s="197"/>
      <c r="CU2640" s="197"/>
      <c r="CV2640" s="197"/>
      <c r="CW2640" s="197"/>
      <c r="CX2640" s="959"/>
      <c r="CY2640" s="959"/>
      <c r="CZ2640" s="959"/>
      <c r="DA2640" s="959"/>
      <c r="DB2640" s="959"/>
      <c r="DC2640" s="891">
        <v>8674</v>
      </c>
      <c r="DD2640" s="891" t="s">
        <v>2203</v>
      </c>
      <c r="DE2640" s="891" t="s">
        <v>432</v>
      </c>
      <c r="DF2640" s="891">
        <v>6</v>
      </c>
      <c r="DG2640" s="959"/>
      <c r="DH2640" s="959"/>
      <c r="ER2640" s="905">
        <v>8541</v>
      </c>
      <c r="ES2640" s="906" t="s">
        <v>2774</v>
      </c>
      <c r="ET2640" s="2686">
        <v>9</v>
      </c>
      <c r="EV2640" s="985"/>
      <c r="EW2640" s="985"/>
      <c r="EX2640" s="387"/>
      <c r="EY2640" s="939"/>
      <c r="EZ2640" s="886"/>
    </row>
    <row r="2641" spans="88:156">
      <c r="CJ2641" s="197"/>
      <c r="CK2641" s="197"/>
      <c r="CL2641" s="197"/>
      <c r="CM2641" s="213"/>
      <c r="CN2641" s="213"/>
      <c r="CO2641" s="197"/>
      <c r="CP2641" s="197"/>
      <c r="CQ2641" s="197"/>
      <c r="CR2641" s="197"/>
      <c r="CS2641" s="197"/>
      <c r="CT2641" s="197"/>
      <c r="CU2641" s="197"/>
      <c r="CV2641" s="197"/>
      <c r="CW2641" s="197"/>
      <c r="CX2641" s="959"/>
      <c r="CY2641" s="959"/>
      <c r="CZ2641" s="959"/>
      <c r="DA2641" s="959"/>
      <c r="DB2641" s="959"/>
      <c r="DC2641" s="891">
        <v>8675</v>
      </c>
      <c r="DD2641" s="891" t="s">
        <v>2204</v>
      </c>
      <c r="DE2641" s="891" t="s">
        <v>433</v>
      </c>
      <c r="DF2641" s="891">
        <v>6</v>
      </c>
      <c r="DG2641" s="959"/>
      <c r="DH2641" s="959"/>
      <c r="ER2641" s="905">
        <v>8542</v>
      </c>
      <c r="ES2641" s="906" t="s">
        <v>2775</v>
      </c>
      <c r="ET2641" s="2686">
        <v>9</v>
      </c>
      <c r="EV2641" s="985"/>
      <c r="EW2641" s="985"/>
      <c r="EX2641" s="387"/>
      <c r="EY2641" s="939"/>
      <c r="EZ2641" s="886"/>
    </row>
    <row r="2642" spans="88:156">
      <c r="CJ2642" s="197"/>
      <c r="CK2642" s="197"/>
      <c r="CL2642" s="197"/>
      <c r="CM2642" s="213"/>
      <c r="CN2642" s="213"/>
      <c r="CO2642" s="197"/>
      <c r="CP2642" s="197"/>
      <c r="CQ2642" s="197"/>
      <c r="CR2642" s="197"/>
      <c r="CS2642" s="197"/>
      <c r="CT2642" s="197"/>
      <c r="CU2642" s="197"/>
      <c r="CV2642" s="197"/>
      <c r="CW2642" s="197"/>
      <c r="CX2642" s="959"/>
      <c r="CY2642" s="959"/>
      <c r="CZ2642" s="959"/>
      <c r="DA2642" s="959"/>
      <c r="DB2642" s="959"/>
      <c r="DC2642" s="891">
        <v>8676</v>
      </c>
      <c r="DD2642" s="891" t="s">
        <v>2205</v>
      </c>
      <c r="DE2642" s="891" t="s">
        <v>406</v>
      </c>
      <c r="DF2642" s="891">
        <v>6</v>
      </c>
      <c r="DG2642" s="959"/>
      <c r="DH2642" s="959"/>
      <c r="ER2642" s="905">
        <v>8543</v>
      </c>
      <c r="ES2642" s="906" t="s">
        <v>2776</v>
      </c>
      <c r="ET2642" s="2686">
        <v>9</v>
      </c>
      <c r="EV2642" s="985"/>
      <c r="EW2642" s="985"/>
      <c r="EX2642" s="387"/>
      <c r="EY2642" s="939"/>
      <c r="EZ2642" s="886"/>
    </row>
    <row r="2643" spans="88:156">
      <c r="CJ2643" s="197"/>
      <c r="CK2643" s="197"/>
      <c r="CL2643" s="197"/>
      <c r="CM2643" s="213"/>
      <c r="CN2643" s="213"/>
      <c r="CO2643" s="197"/>
      <c r="CP2643" s="197"/>
      <c r="CQ2643" s="197"/>
      <c r="CR2643" s="197"/>
      <c r="CS2643" s="197"/>
      <c r="CT2643" s="197"/>
      <c r="CU2643" s="197"/>
      <c r="CV2643" s="197"/>
      <c r="CW2643" s="197"/>
      <c r="CX2643" s="959"/>
      <c r="CY2643" s="959"/>
      <c r="CZ2643" s="959"/>
      <c r="DA2643" s="959"/>
      <c r="DB2643" s="959"/>
      <c r="DC2643" s="891">
        <v>8681</v>
      </c>
      <c r="DD2643" s="891" t="s">
        <v>2206</v>
      </c>
      <c r="DE2643" s="891" t="s">
        <v>406</v>
      </c>
      <c r="DF2643" s="891">
        <v>6</v>
      </c>
      <c r="DG2643" s="959"/>
      <c r="DH2643" s="959"/>
      <c r="ER2643" s="905">
        <v>8551</v>
      </c>
      <c r="ES2643" s="906" t="s">
        <v>2779</v>
      </c>
      <c r="ET2643" s="2686">
        <v>9</v>
      </c>
      <c r="EV2643" s="985"/>
      <c r="EW2643" s="985"/>
      <c r="EX2643" s="387"/>
      <c r="EY2643" s="939"/>
      <c r="EZ2643" s="886"/>
    </row>
    <row r="2644" spans="88:156">
      <c r="CJ2644" s="197"/>
      <c r="CK2644" s="197"/>
      <c r="CL2644" s="197"/>
      <c r="CM2644" s="213"/>
      <c r="CN2644" s="213"/>
      <c r="CO2644" s="197"/>
      <c r="CP2644" s="197"/>
      <c r="CQ2644" s="197"/>
      <c r="CR2644" s="197"/>
      <c r="CS2644" s="197"/>
      <c r="CT2644" s="197"/>
      <c r="CU2644" s="197"/>
      <c r="CV2644" s="197"/>
      <c r="CW2644" s="197"/>
      <c r="CX2644" s="959"/>
      <c r="CY2644" s="959"/>
      <c r="CZ2644" s="959"/>
      <c r="DA2644" s="959"/>
      <c r="DB2644" s="959"/>
      <c r="DC2644" s="891">
        <v>8683</v>
      </c>
      <c r="DD2644" s="891" t="s">
        <v>2207</v>
      </c>
      <c r="DE2644" s="891" t="s">
        <v>406</v>
      </c>
      <c r="DF2644" s="891">
        <v>6</v>
      </c>
      <c r="DG2644" s="959"/>
      <c r="DH2644" s="959"/>
      <c r="ER2644" s="905">
        <v>8552</v>
      </c>
      <c r="ES2644" s="906" t="s">
        <v>2780</v>
      </c>
      <c r="ET2644" s="2686">
        <v>9</v>
      </c>
      <c r="EV2644" s="985"/>
      <c r="EW2644" s="985"/>
      <c r="EX2644" s="387"/>
      <c r="EY2644" s="939"/>
      <c r="EZ2644" s="886"/>
    </row>
    <row r="2645" spans="88:156">
      <c r="CJ2645" s="197"/>
      <c r="CK2645" s="197"/>
      <c r="CL2645" s="197"/>
      <c r="CM2645" s="213"/>
      <c r="CN2645" s="213"/>
      <c r="CO2645" s="197"/>
      <c r="CP2645" s="197"/>
      <c r="CQ2645" s="197"/>
      <c r="CR2645" s="197"/>
      <c r="CS2645" s="197"/>
      <c r="CT2645" s="197"/>
      <c r="CU2645" s="197"/>
      <c r="CV2645" s="197"/>
      <c r="CW2645" s="197"/>
      <c r="CX2645" s="959"/>
      <c r="CY2645" s="959"/>
      <c r="CZ2645" s="959"/>
      <c r="DA2645" s="959"/>
      <c r="DB2645" s="959"/>
      <c r="DC2645" s="891">
        <v>8684</v>
      </c>
      <c r="DD2645" s="891" t="s">
        <v>2208</v>
      </c>
      <c r="DE2645" s="891" t="s">
        <v>421</v>
      </c>
      <c r="DF2645" s="891">
        <v>6</v>
      </c>
      <c r="DG2645" s="959"/>
      <c r="DH2645" s="959"/>
      <c r="ER2645" s="905">
        <v>8553</v>
      </c>
      <c r="ES2645" s="906" t="s">
        <v>4954</v>
      </c>
      <c r="ET2645" s="2686">
        <v>9</v>
      </c>
      <c r="EV2645" s="985"/>
      <c r="EW2645" s="985"/>
      <c r="EX2645" s="387"/>
      <c r="EY2645" s="939"/>
      <c r="EZ2645" s="886"/>
    </row>
    <row r="2646" spans="88:156">
      <c r="CJ2646" s="197"/>
      <c r="CK2646" s="197"/>
      <c r="CL2646" s="197"/>
      <c r="CM2646" s="213"/>
      <c r="CN2646" s="213"/>
      <c r="CO2646" s="197"/>
      <c r="CP2646" s="197"/>
      <c r="CQ2646" s="197"/>
      <c r="CR2646" s="197"/>
      <c r="CS2646" s="197"/>
      <c r="CT2646" s="197"/>
      <c r="CU2646" s="197"/>
      <c r="CV2646" s="197"/>
      <c r="CW2646" s="197"/>
      <c r="CX2646" s="959"/>
      <c r="CY2646" s="959"/>
      <c r="CZ2646" s="959"/>
      <c r="DA2646" s="959"/>
      <c r="DB2646" s="959"/>
      <c r="DC2646" s="891">
        <v>8685</v>
      </c>
      <c r="DD2646" s="891" t="s">
        <v>2209</v>
      </c>
      <c r="DE2646" s="891" t="s">
        <v>419</v>
      </c>
      <c r="DF2646" s="891">
        <v>6</v>
      </c>
      <c r="DG2646" s="959"/>
      <c r="DH2646" s="959"/>
      <c r="ER2646" s="905">
        <v>8554</v>
      </c>
      <c r="ES2646" s="906" t="s">
        <v>4955</v>
      </c>
      <c r="ET2646" s="2686">
        <v>9</v>
      </c>
      <c r="EV2646" s="985"/>
      <c r="EW2646" s="985"/>
      <c r="EX2646" s="387"/>
      <c r="EY2646" s="939"/>
      <c r="EZ2646" s="886"/>
    </row>
    <row r="2647" spans="88:156">
      <c r="CJ2647" s="197"/>
      <c r="CK2647" s="197"/>
      <c r="CL2647" s="197"/>
      <c r="CM2647" s="213"/>
      <c r="CN2647" s="213"/>
      <c r="CO2647" s="197"/>
      <c r="CP2647" s="197"/>
      <c r="CQ2647" s="197"/>
      <c r="CR2647" s="197"/>
      <c r="CS2647" s="197"/>
      <c r="CT2647" s="197"/>
      <c r="CU2647" s="197"/>
      <c r="CV2647" s="197"/>
      <c r="CW2647" s="197"/>
      <c r="CX2647" s="959"/>
      <c r="CY2647" s="959"/>
      <c r="CZ2647" s="959"/>
      <c r="DA2647" s="959"/>
      <c r="DB2647" s="959"/>
      <c r="DC2647" s="891">
        <v>8691</v>
      </c>
      <c r="DD2647" s="891" t="s">
        <v>2210</v>
      </c>
      <c r="DE2647" s="891" t="s">
        <v>412</v>
      </c>
      <c r="DF2647" s="891">
        <v>6</v>
      </c>
      <c r="DG2647" s="959"/>
      <c r="DH2647" s="959"/>
      <c r="ER2647" s="905">
        <v>8555</v>
      </c>
      <c r="ES2647" s="906" t="s">
        <v>4956</v>
      </c>
      <c r="ET2647" s="2686">
        <v>9</v>
      </c>
      <c r="EV2647" s="985"/>
      <c r="EW2647" s="985"/>
      <c r="EX2647" s="387"/>
      <c r="EY2647" s="939"/>
      <c r="EZ2647" s="886"/>
    </row>
    <row r="2648" spans="88:156">
      <c r="CJ2648" s="197"/>
      <c r="CK2648" s="197"/>
      <c r="CL2648" s="197"/>
      <c r="CM2648" s="213"/>
      <c r="CN2648" s="213"/>
      <c r="CO2648" s="197"/>
      <c r="CP2648" s="197"/>
      <c r="CQ2648" s="197"/>
      <c r="CR2648" s="197"/>
      <c r="CS2648" s="197"/>
      <c r="CT2648" s="197"/>
      <c r="CU2648" s="197"/>
      <c r="CV2648" s="197"/>
      <c r="CW2648" s="197"/>
      <c r="CX2648" s="959"/>
      <c r="CY2648" s="959"/>
      <c r="CZ2648" s="959"/>
      <c r="DA2648" s="959"/>
      <c r="DB2648" s="959"/>
      <c r="DC2648" s="891">
        <v>8692</v>
      </c>
      <c r="DD2648" s="891" t="s">
        <v>2211</v>
      </c>
      <c r="DE2648" s="891" t="s">
        <v>428</v>
      </c>
      <c r="DF2648" s="891">
        <v>6</v>
      </c>
      <c r="DG2648" s="959"/>
      <c r="DH2648" s="959"/>
      <c r="ER2648" s="905">
        <v>8556</v>
      </c>
      <c r="ES2648" s="906" t="s">
        <v>4957</v>
      </c>
      <c r="ET2648" s="2686">
        <v>9</v>
      </c>
      <c r="EV2648" s="985"/>
      <c r="EW2648" s="985"/>
      <c r="EX2648" s="387"/>
      <c r="EY2648" s="939"/>
      <c r="EZ2648" s="886"/>
    </row>
    <row r="2649" spans="88:156">
      <c r="CJ2649" s="197"/>
      <c r="CK2649" s="197"/>
      <c r="CL2649" s="197"/>
      <c r="CM2649" s="213"/>
      <c r="CN2649" s="213"/>
      <c r="CO2649" s="197"/>
      <c r="CP2649" s="197"/>
      <c r="CQ2649" s="197"/>
      <c r="CR2649" s="197"/>
      <c r="CS2649" s="197"/>
      <c r="CT2649" s="197"/>
      <c r="CU2649" s="197"/>
      <c r="CV2649" s="197"/>
      <c r="CW2649" s="197"/>
      <c r="CX2649" s="959"/>
      <c r="CY2649" s="959"/>
      <c r="CZ2649" s="959"/>
      <c r="DA2649" s="959"/>
      <c r="DB2649" s="959"/>
      <c r="DC2649" s="891">
        <v>8693</v>
      </c>
      <c r="DD2649" s="891" t="s">
        <v>2212</v>
      </c>
      <c r="DE2649" s="891" t="s">
        <v>428</v>
      </c>
      <c r="DF2649" s="891">
        <v>6</v>
      </c>
      <c r="DG2649" s="959"/>
      <c r="DH2649" s="959"/>
      <c r="ER2649" s="905">
        <v>8557</v>
      </c>
      <c r="ES2649" s="906" t="s">
        <v>1695</v>
      </c>
      <c r="ET2649" s="2686">
        <v>9</v>
      </c>
      <c r="EV2649" s="985"/>
      <c r="EW2649" s="985"/>
      <c r="EX2649" s="387"/>
      <c r="EY2649" s="939"/>
      <c r="EZ2649" s="886"/>
    </row>
    <row r="2650" spans="88:156">
      <c r="CJ2650" s="197"/>
      <c r="CK2650" s="197"/>
      <c r="CL2650" s="197"/>
      <c r="CM2650" s="213"/>
      <c r="CN2650" s="213"/>
      <c r="CO2650" s="197"/>
      <c r="CP2650" s="197"/>
      <c r="CQ2650" s="197"/>
      <c r="CR2650" s="197"/>
      <c r="CS2650" s="197"/>
      <c r="CT2650" s="197"/>
      <c r="CU2650" s="197"/>
      <c r="CV2650" s="197"/>
      <c r="CW2650" s="197"/>
      <c r="CX2650" s="959"/>
      <c r="CY2650" s="959"/>
      <c r="CZ2650" s="959"/>
      <c r="DA2650" s="959"/>
      <c r="DB2650" s="959"/>
      <c r="DC2650" s="891">
        <v>8694</v>
      </c>
      <c r="DD2650" s="891" t="s">
        <v>2213</v>
      </c>
      <c r="DE2650" s="891" t="s">
        <v>406</v>
      </c>
      <c r="DF2650" s="891">
        <v>6</v>
      </c>
      <c r="DG2650" s="959"/>
      <c r="DH2650" s="959"/>
      <c r="ER2650" s="905">
        <v>8557</v>
      </c>
      <c r="ES2650" s="906" t="s">
        <v>4958</v>
      </c>
      <c r="ET2650" s="2686">
        <v>9</v>
      </c>
      <c r="EV2650" s="985"/>
      <c r="EW2650" s="985"/>
      <c r="EX2650" s="387"/>
      <c r="EY2650" s="939"/>
      <c r="EZ2650" s="886"/>
    </row>
    <row r="2651" spans="88:156">
      <c r="CJ2651" s="197"/>
      <c r="CK2651" s="197"/>
      <c r="CL2651" s="197"/>
      <c r="CM2651" s="213"/>
      <c r="CN2651" s="213"/>
      <c r="CO2651" s="197"/>
      <c r="CP2651" s="197"/>
      <c r="CQ2651" s="197"/>
      <c r="CR2651" s="197"/>
      <c r="CS2651" s="197"/>
      <c r="CT2651" s="197"/>
      <c r="CU2651" s="197"/>
      <c r="CV2651" s="197"/>
      <c r="CW2651" s="197"/>
      <c r="CX2651" s="959"/>
      <c r="CY2651" s="959"/>
      <c r="CZ2651" s="959"/>
      <c r="DA2651" s="959"/>
      <c r="DB2651" s="959"/>
      <c r="DC2651" s="891">
        <v>8695</v>
      </c>
      <c r="DD2651" s="891" t="s">
        <v>2214</v>
      </c>
      <c r="DE2651" s="891" t="s">
        <v>421</v>
      </c>
      <c r="DF2651" s="891">
        <v>6</v>
      </c>
      <c r="DG2651" s="959"/>
      <c r="DH2651" s="959"/>
      <c r="ER2651" s="905">
        <v>8558</v>
      </c>
      <c r="ES2651" s="906" t="s">
        <v>4959</v>
      </c>
      <c r="ET2651" s="2686">
        <v>9</v>
      </c>
      <c r="EV2651" s="985"/>
      <c r="EW2651" s="985"/>
      <c r="EX2651" s="387"/>
      <c r="EY2651" s="939"/>
      <c r="EZ2651" s="886"/>
    </row>
    <row r="2652" spans="88:156">
      <c r="CJ2652" s="197"/>
      <c r="CK2652" s="197"/>
      <c r="CL2652" s="197"/>
      <c r="CM2652" s="213"/>
      <c r="CN2652" s="213"/>
      <c r="CO2652" s="197"/>
      <c r="CP2652" s="197"/>
      <c r="CQ2652" s="197"/>
      <c r="CR2652" s="197"/>
      <c r="CS2652" s="197"/>
      <c r="CT2652" s="197"/>
      <c r="CU2652" s="197"/>
      <c r="CV2652" s="197"/>
      <c r="CW2652" s="197"/>
      <c r="CX2652" s="959"/>
      <c r="CY2652" s="959"/>
      <c r="CZ2652" s="959"/>
      <c r="DA2652" s="959"/>
      <c r="DB2652" s="959"/>
      <c r="DC2652" s="891">
        <v>8696</v>
      </c>
      <c r="DD2652" s="891" t="s">
        <v>2215</v>
      </c>
      <c r="DE2652" s="891" t="s">
        <v>432</v>
      </c>
      <c r="DF2652" s="891">
        <v>5</v>
      </c>
      <c r="DG2652" s="959"/>
      <c r="DH2652" s="959"/>
      <c r="ER2652" s="905">
        <v>8561</v>
      </c>
      <c r="ES2652" s="906" t="s">
        <v>4960</v>
      </c>
      <c r="ET2652" s="2686">
        <v>9</v>
      </c>
      <c r="EV2652" s="985"/>
      <c r="EW2652" s="985"/>
      <c r="EX2652" s="387"/>
      <c r="EY2652" s="939"/>
      <c r="EZ2652" s="886"/>
    </row>
    <row r="2653" spans="88:156">
      <c r="CJ2653" s="197"/>
      <c r="CK2653" s="197"/>
      <c r="CL2653" s="197"/>
      <c r="CM2653" s="213"/>
      <c r="CN2653" s="213"/>
      <c r="CO2653" s="197"/>
      <c r="CP2653" s="197"/>
      <c r="CQ2653" s="197"/>
      <c r="CR2653" s="197"/>
      <c r="CS2653" s="197"/>
      <c r="CT2653" s="197"/>
      <c r="CU2653" s="197"/>
      <c r="CV2653" s="197"/>
      <c r="CW2653" s="197"/>
      <c r="CX2653" s="959"/>
      <c r="CY2653" s="959"/>
      <c r="CZ2653" s="959"/>
      <c r="DA2653" s="959"/>
      <c r="DB2653" s="959"/>
      <c r="DC2653" s="891">
        <v>8697</v>
      </c>
      <c r="DD2653" s="891" t="s">
        <v>2216</v>
      </c>
      <c r="DE2653" s="891" t="s">
        <v>412</v>
      </c>
      <c r="DF2653" s="891">
        <v>6</v>
      </c>
      <c r="DG2653" s="959"/>
      <c r="DH2653" s="959"/>
      <c r="ER2653" s="905">
        <v>8562</v>
      </c>
      <c r="ES2653" s="906" t="s">
        <v>4961</v>
      </c>
      <c r="ET2653" s="2686">
        <v>9</v>
      </c>
      <c r="EV2653" s="985"/>
      <c r="EW2653" s="985"/>
      <c r="EX2653" s="387"/>
      <c r="EY2653" s="939"/>
      <c r="EZ2653" s="886"/>
    </row>
    <row r="2654" spans="88:156">
      <c r="CJ2654" s="197"/>
      <c r="CK2654" s="197"/>
      <c r="CL2654" s="197"/>
      <c r="CM2654" s="213"/>
      <c r="CN2654" s="213"/>
      <c r="CO2654" s="197"/>
      <c r="CP2654" s="197"/>
      <c r="CQ2654" s="197"/>
      <c r="CR2654" s="197"/>
      <c r="CS2654" s="197"/>
      <c r="CT2654" s="197"/>
      <c r="CU2654" s="197"/>
      <c r="CV2654" s="197"/>
      <c r="CW2654" s="197"/>
      <c r="CX2654" s="959"/>
      <c r="CY2654" s="959"/>
      <c r="CZ2654" s="959"/>
      <c r="DA2654" s="959"/>
      <c r="DB2654" s="959"/>
      <c r="DC2654" s="891">
        <v>8698</v>
      </c>
      <c r="DD2654" s="891" t="s">
        <v>2217</v>
      </c>
      <c r="DE2654" s="891" t="s">
        <v>412</v>
      </c>
      <c r="DF2654" s="891">
        <v>6</v>
      </c>
      <c r="DG2654" s="959"/>
      <c r="DH2654" s="959"/>
      <c r="ER2654" s="905">
        <v>8563</v>
      </c>
      <c r="ES2654" s="906" t="s">
        <v>4962</v>
      </c>
      <c r="ET2654" s="2686">
        <v>9</v>
      </c>
      <c r="EV2654" s="985"/>
      <c r="EW2654" s="985"/>
      <c r="EX2654" s="387"/>
      <c r="EY2654" s="939"/>
      <c r="EZ2654" s="886"/>
    </row>
    <row r="2655" spans="88:156">
      <c r="CJ2655" s="197"/>
      <c r="CK2655" s="197"/>
      <c r="CL2655" s="197"/>
      <c r="CM2655" s="213"/>
      <c r="CN2655" s="213"/>
      <c r="CO2655" s="197"/>
      <c r="CP2655" s="197"/>
      <c r="CQ2655" s="197"/>
      <c r="CR2655" s="197"/>
      <c r="CS2655" s="197"/>
      <c r="CT2655" s="197"/>
      <c r="CU2655" s="197"/>
      <c r="CV2655" s="197"/>
      <c r="CW2655" s="197"/>
      <c r="CX2655" s="959"/>
      <c r="CY2655" s="959"/>
      <c r="CZ2655" s="959"/>
      <c r="DA2655" s="959"/>
      <c r="DB2655" s="959"/>
      <c r="DC2655" s="891">
        <v>8699</v>
      </c>
      <c r="DD2655" s="891" t="s">
        <v>2218</v>
      </c>
      <c r="DE2655" s="891" t="s">
        <v>428</v>
      </c>
      <c r="DF2655" s="891">
        <v>6</v>
      </c>
      <c r="DG2655" s="959"/>
      <c r="DH2655" s="959"/>
      <c r="ER2655" s="905">
        <v>8564</v>
      </c>
      <c r="ES2655" s="906" t="s">
        <v>4963</v>
      </c>
      <c r="ET2655" s="2686">
        <v>9</v>
      </c>
      <c r="EV2655" s="985"/>
      <c r="EW2655" s="985"/>
      <c r="EX2655" s="387"/>
      <c r="EY2655" s="939"/>
      <c r="EZ2655" s="886"/>
    </row>
    <row r="2656" spans="88:156">
      <c r="CJ2656" s="197"/>
      <c r="CK2656" s="197"/>
      <c r="CL2656" s="197"/>
      <c r="CM2656" s="213"/>
      <c r="CN2656" s="213"/>
      <c r="CO2656" s="197"/>
      <c r="CP2656" s="197"/>
      <c r="CQ2656" s="197"/>
      <c r="CR2656" s="197"/>
      <c r="CS2656" s="197"/>
      <c r="CT2656" s="197"/>
      <c r="CU2656" s="197"/>
      <c r="CV2656" s="197"/>
      <c r="CW2656" s="197"/>
      <c r="CX2656" s="959"/>
      <c r="CY2656" s="959"/>
      <c r="CZ2656" s="959"/>
      <c r="DA2656" s="959"/>
      <c r="DB2656" s="959"/>
      <c r="DC2656" s="891">
        <v>8700</v>
      </c>
      <c r="DD2656" s="891" t="s">
        <v>2219</v>
      </c>
      <c r="DE2656" s="891" t="s">
        <v>431</v>
      </c>
      <c r="DF2656" s="891">
        <v>5</v>
      </c>
      <c r="DG2656" s="959"/>
      <c r="DH2656" s="959"/>
      <c r="ER2656" s="905">
        <v>8565</v>
      </c>
      <c r="ES2656" s="906" t="s">
        <v>4964</v>
      </c>
      <c r="ET2656" s="2686">
        <v>9</v>
      </c>
      <c r="EV2656" s="985"/>
      <c r="EW2656" s="985"/>
      <c r="EX2656" s="387"/>
      <c r="EY2656" s="939"/>
      <c r="EZ2656" s="886"/>
    </row>
    <row r="2657" spans="88:156">
      <c r="CJ2657" s="197"/>
      <c r="CK2657" s="197"/>
      <c r="CL2657" s="197"/>
      <c r="CM2657" s="213"/>
      <c r="CN2657" s="213"/>
      <c r="CO2657" s="197"/>
      <c r="CP2657" s="197"/>
      <c r="CQ2657" s="197"/>
      <c r="CR2657" s="197"/>
      <c r="CS2657" s="197"/>
      <c r="CT2657" s="197"/>
      <c r="CU2657" s="197"/>
      <c r="CV2657" s="197"/>
      <c r="CW2657" s="197"/>
      <c r="CX2657" s="959"/>
      <c r="CY2657" s="959"/>
      <c r="CZ2657" s="959"/>
      <c r="DA2657" s="959"/>
      <c r="DB2657" s="959"/>
      <c r="DC2657" s="891">
        <v>8705</v>
      </c>
      <c r="DD2657" s="891" t="s">
        <v>2220</v>
      </c>
      <c r="DE2657" s="891" t="s">
        <v>432</v>
      </c>
      <c r="DF2657" s="891">
        <v>5</v>
      </c>
      <c r="DG2657" s="959"/>
      <c r="DH2657" s="959"/>
      <c r="ER2657" s="905">
        <v>8571</v>
      </c>
      <c r="ES2657" s="906" t="s">
        <v>4965</v>
      </c>
      <c r="ET2657" s="2686">
        <v>9</v>
      </c>
      <c r="EV2657" s="985"/>
      <c r="EW2657" s="985"/>
      <c r="EX2657" s="387"/>
      <c r="EY2657" s="939"/>
      <c r="EZ2657" s="886"/>
    </row>
    <row r="2658" spans="88:156">
      <c r="CJ2658" s="197"/>
      <c r="CK2658" s="197"/>
      <c r="CL2658" s="197"/>
      <c r="CM2658" s="213"/>
      <c r="CN2658" s="213"/>
      <c r="CO2658" s="197"/>
      <c r="CP2658" s="197"/>
      <c r="CQ2658" s="197"/>
      <c r="CR2658" s="197"/>
      <c r="CS2658" s="197"/>
      <c r="CT2658" s="197"/>
      <c r="CU2658" s="197"/>
      <c r="CV2658" s="197"/>
      <c r="CW2658" s="197"/>
      <c r="CX2658" s="959"/>
      <c r="CY2658" s="959"/>
      <c r="CZ2658" s="959"/>
      <c r="DA2658" s="959"/>
      <c r="DB2658" s="959"/>
      <c r="DC2658" s="891">
        <v>8706</v>
      </c>
      <c r="DD2658" s="891" t="s">
        <v>2221</v>
      </c>
      <c r="DE2658" s="891" t="s">
        <v>423</v>
      </c>
      <c r="DF2658" s="891">
        <v>5</v>
      </c>
      <c r="DG2658" s="959"/>
      <c r="DH2658" s="959"/>
      <c r="ER2658" s="905">
        <v>8572</v>
      </c>
      <c r="ES2658" s="906" t="s">
        <v>4966</v>
      </c>
      <c r="ET2658" s="2686">
        <v>9</v>
      </c>
      <c r="EV2658" s="985"/>
      <c r="EW2658" s="985"/>
      <c r="EX2658" s="387"/>
      <c r="EY2658" s="939"/>
      <c r="EZ2658" s="886"/>
    </row>
    <row r="2659" spans="88:156">
      <c r="CJ2659" s="197"/>
      <c r="CK2659" s="197"/>
      <c r="CL2659" s="197"/>
      <c r="CM2659" s="213"/>
      <c r="CN2659" s="213"/>
      <c r="CO2659" s="197"/>
      <c r="CP2659" s="197"/>
      <c r="CQ2659" s="197"/>
      <c r="CR2659" s="197"/>
      <c r="CS2659" s="197"/>
      <c r="CT2659" s="197"/>
      <c r="CU2659" s="197"/>
      <c r="CV2659" s="197"/>
      <c r="CW2659" s="197"/>
      <c r="CX2659" s="959"/>
      <c r="CY2659" s="959"/>
      <c r="CZ2659" s="959"/>
      <c r="DA2659" s="959"/>
      <c r="DB2659" s="959"/>
      <c r="DC2659" s="891">
        <v>8707</v>
      </c>
      <c r="DD2659" s="891" t="s">
        <v>2222</v>
      </c>
      <c r="DE2659" s="891" t="s">
        <v>423</v>
      </c>
      <c r="DF2659" s="891">
        <v>6</v>
      </c>
      <c r="DG2659" s="959"/>
      <c r="DH2659" s="959"/>
      <c r="ER2659" s="905">
        <v>8581</v>
      </c>
      <c r="ES2659" s="906" t="s">
        <v>1696</v>
      </c>
      <c r="ET2659" s="2686">
        <v>9</v>
      </c>
      <c r="EV2659" s="985"/>
      <c r="EW2659" s="985"/>
      <c r="EX2659" s="387"/>
      <c r="EY2659" s="939"/>
      <c r="EZ2659" s="886"/>
    </row>
    <row r="2660" spans="88:156">
      <c r="CJ2660" s="197"/>
      <c r="CK2660" s="197"/>
      <c r="CL2660" s="197"/>
      <c r="CM2660" s="213"/>
      <c r="CN2660" s="213"/>
      <c r="CO2660" s="197"/>
      <c r="CP2660" s="197"/>
      <c r="CQ2660" s="197"/>
      <c r="CR2660" s="197"/>
      <c r="CS2660" s="197"/>
      <c r="CT2660" s="197"/>
      <c r="CU2660" s="197"/>
      <c r="CV2660" s="197"/>
      <c r="CW2660" s="197"/>
      <c r="CX2660" s="959"/>
      <c r="CY2660" s="959"/>
      <c r="CZ2660" s="959"/>
      <c r="DA2660" s="959"/>
      <c r="DB2660" s="959"/>
      <c r="DC2660" s="891">
        <v>8708</v>
      </c>
      <c r="DD2660" s="891" t="s">
        <v>2223</v>
      </c>
      <c r="DE2660" s="891" t="s">
        <v>427</v>
      </c>
      <c r="DF2660" s="891">
        <v>6</v>
      </c>
      <c r="DG2660" s="959"/>
      <c r="DH2660" s="959"/>
      <c r="ER2660" s="905">
        <v>8581</v>
      </c>
      <c r="ES2660" s="906" t="s">
        <v>4967</v>
      </c>
      <c r="ET2660" s="2686">
        <v>9</v>
      </c>
      <c r="EV2660" s="985"/>
      <c r="EW2660" s="985"/>
      <c r="EX2660" s="387"/>
      <c r="EY2660" s="939"/>
      <c r="EZ2660" s="886"/>
    </row>
    <row r="2661" spans="88:156">
      <c r="CJ2661" s="197"/>
      <c r="CK2661" s="197"/>
      <c r="CL2661" s="197"/>
      <c r="CM2661" s="213"/>
      <c r="CN2661" s="213"/>
      <c r="CO2661" s="197"/>
      <c r="CP2661" s="197"/>
      <c r="CQ2661" s="197"/>
      <c r="CR2661" s="197"/>
      <c r="CS2661" s="197"/>
      <c r="CT2661" s="197"/>
      <c r="CU2661" s="197"/>
      <c r="CV2661" s="197"/>
      <c r="CW2661" s="197"/>
      <c r="CX2661" s="959"/>
      <c r="CY2661" s="959"/>
      <c r="CZ2661" s="959"/>
      <c r="DA2661" s="959"/>
      <c r="DB2661" s="959"/>
      <c r="DC2661" s="891">
        <v>8709</v>
      </c>
      <c r="DD2661" s="891" t="s">
        <v>2224</v>
      </c>
      <c r="DE2661" s="891" t="s">
        <v>421</v>
      </c>
      <c r="DF2661" s="891">
        <v>5</v>
      </c>
      <c r="DG2661" s="959"/>
      <c r="DH2661" s="959"/>
      <c r="ER2661" s="905">
        <v>8582</v>
      </c>
      <c r="ES2661" s="906" t="s">
        <v>4968</v>
      </c>
      <c r="ET2661" s="2686">
        <v>9</v>
      </c>
      <c r="EV2661" s="985"/>
      <c r="EW2661" s="985"/>
      <c r="EX2661" s="387"/>
      <c r="EY2661" s="939"/>
      <c r="EZ2661" s="886"/>
    </row>
    <row r="2662" spans="88:156">
      <c r="CJ2662" s="197"/>
      <c r="CK2662" s="197"/>
      <c r="CL2662" s="197"/>
      <c r="CM2662" s="213"/>
      <c r="CN2662" s="213"/>
      <c r="CO2662" s="197"/>
      <c r="CP2662" s="197"/>
      <c r="CQ2662" s="197"/>
      <c r="CR2662" s="197"/>
      <c r="CS2662" s="197"/>
      <c r="CT2662" s="197"/>
      <c r="CU2662" s="197"/>
      <c r="CV2662" s="197"/>
      <c r="CW2662" s="197"/>
      <c r="CX2662" s="959"/>
      <c r="CY2662" s="959"/>
      <c r="CZ2662" s="959"/>
      <c r="DA2662" s="959"/>
      <c r="DB2662" s="959"/>
      <c r="DC2662" s="891">
        <v>8710</v>
      </c>
      <c r="DD2662" s="891" t="s">
        <v>2225</v>
      </c>
      <c r="DE2662" s="891" t="s">
        <v>406</v>
      </c>
      <c r="DF2662" s="891">
        <v>5</v>
      </c>
      <c r="DG2662" s="959"/>
      <c r="DH2662" s="959"/>
      <c r="ER2662" s="905">
        <v>8591</v>
      </c>
      <c r="ES2662" s="906" t="s">
        <v>1697</v>
      </c>
      <c r="ET2662" s="2686">
        <v>9</v>
      </c>
      <c r="EV2662" s="985"/>
      <c r="EW2662" s="985"/>
      <c r="EX2662" s="387"/>
      <c r="EY2662" s="939"/>
      <c r="EZ2662" s="886"/>
    </row>
    <row r="2663" spans="88:156">
      <c r="CJ2663" s="197"/>
      <c r="CK2663" s="197"/>
      <c r="CL2663" s="197"/>
      <c r="CM2663" s="213"/>
      <c r="CN2663" s="213"/>
      <c r="CO2663" s="197"/>
      <c r="CP2663" s="197"/>
      <c r="CQ2663" s="197"/>
      <c r="CR2663" s="197"/>
      <c r="CS2663" s="197"/>
      <c r="CT2663" s="197"/>
      <c r="CU2663" s="197"/>
      <c r="CV2663" s="197"/>
      <c r="CW2663" s="197"/>
      <c r="CX2663" s="959"/>
      <c r="CY2663" s="959"/>
      <c r="CZ2663" s="959"/>
      <c r="DA2663" s="959"/>
      <c r="DB2663" s="959"/>
      <c r="DC2663" s="891">
        <v>8711</v>
      </c>
      <c r="DD2663" s="891" t="s">
        <v>2226</v>
      </c>
      <c r="DE2663" s="891" t="s">
        <v>427</v>
      </c>
      <c r="DF2663" s="891">
        <v>5</v>
      </c>
      <c r="DG2663" s="959"/>
      <c r="DH2663" s="959"/>
      <c r="ER2663" s="905">
        <v>8591</v>
      </c>
      <c r="ES2663" s="905" t="s">
        <v>4969</v>
      </c>
      <c r="ET2663" s="2686">
        <v>9</v>
      </c>
      <c r="EV2663" s="985"/>
      <c r="EW2663" s="985"/>
      <c r="EX2663" s="387"/>
      <c r="EY2663" s="939"/>
      <c r="EZ2663" s="886"/>
    </row>
    <row r="2664" spans="88:156">
      <c r="CJ2664" s="197"/>
      <c r="CK2664" s="197"/>
      <c r="CL2664" s="197"/>
      <c r="CM2664" s="213"/>
      <c r="CN2664" s="213"/>
      <c r="CO2664" s="197"/>
      <c r="CP2664" s="197"/>
      <c r="CQ2664" s="197"/>
      <c r="CR2664" s="197"/>
      <c r="CS2664" s="197"/>
      <c r="CT2664" s="197"/>
      <c r="CU2664" s="197"/>
      <c r="CV2664" s="197"/>
      <c r="CW2664" s="197"/>
      <c r="CX2664" s="959"/>
      <c r="CY2664" s="959"/>
      <c r="CZ2664" s="959"/>
      <c r="DA2664" s="959"/>
      <c r="DB2664" s="959"/>
      <c r="DC2664" s="891">
        <v>8712</v>
      </c>
      <c r="DD2664" s="891" t="s">
        <v>2227</v>
      </c>
      <c r="DE2664" s="891" t="s">
        <v>432</v>
      </c>
      <c r="DF2664" s="891">
        <v>5</v>
      </c>
      <c r="DG2664" s="959"/>
      <c r="DH2664" s="959"/>
      <c r="ER2664" s="905">
        <v>8592</v>
      </c>
      <c r="ES2664" s="906" t="s">
        <v>4970</v>
      </c>
      <c r="ET2664" s="2686">
        <v>9</v>
      </c>
      <c r="EV2664" s="985"/>
      <c r="EW2664" s="985"/>
      <c r="EX2664" s="387"/>
      <c r="EY2664" s="939"/>
      <c r="EZ2664" s="886"/>
    </row>
    <row r="2665" spans="88:156">
      <c r="CJ2665" s="197"/>
      <c r="CK2665" s="197"/>
      <c r="CL2665" s="197"/>
      <c r="CM2665" s="213"/>
      <c r="CN2665" s="213"/>
      <c r="CO2665" s="197"/>
      <c r="CP2665" s="197"/>
      <c r="CQ2665" s="197"/>
      <c r="CR2665" s="197"/>
      <c r="CS2665" s="197"/>
      <c r="CT2665" s="197"/>
      <c r="CU2665" s="197"/>
      <c r="CV2665" s="197"/>
      <c r="CW2665" s="197"/>
      <c r="CX2665" s="959"/>
      <c r="CY2665" s="959"/>
      <c r="CZ2665" s="959"/>
      <c r="DA2665" s="959"/>
      <c r="DB2665" s="959"/>
      <c r="DC2665" s="891">
        <v>8713</v>
      </c>
      <c r="DD2665" s="891" t="s">
        <v>2228</v>
      </c>
      <c r="DE2665" s="891" t="s">
        <v>412</v>
      </c>
      <c r="DF2665" s="891">
        <v>5</v>
      </c>
      <c r="DG2665" s="959"/>
      <c r="DH2665" s="959"/>
      <c r="ER2665" s="905">
        <v>8593</v>
      </c>
      <c r="ES2665" s="906" t="s">
        <v>4971</v>
      </c>
      <c r="ET2665" s="2686">
        <v>9</v>
      </c>
      <c r="EV2665" s="985"/>
      <c r="EW2665" s="985"/>
      <c r="EX2665" s="387"/>
      <c r="EY2665" s="939"/>
      <c r="EZ2665" s="886"/>
    </row>
    <row r="2666" spans="88:156">
      <c r="CJ2666" s="197"/>
      <c r="CK2666" s="197"/>
      <c r="CL2666" s="197"/>
      <c r="CM2666" s="213"/>
      <c r="CN2666" s="213"/>
      <c r="CO2666" s="197"/>
      <c r="CP2666" s="197"/>
      <c r="CQ2666" s="197"/>
      <c r="CR2666" s="197"/>
      <c r="CS2666" s="197"/>
      <c r="CT2666" s="197"/>
      <c r="CU2666" s="197"/>
      <c r="CV2666" s="197"/>
      <c r="CW2666" s="197"/>
      <c r="CX2666" s="959"/>
      <c r="CY2666" s="959"/>
      <c r="CZ2666" s="959"/>
      <c r="DA2666" s="959"/>
      <c r="DB2666" s="959"/>
      <c r="DC2666" s="891">
        <v>8714</v>
      </c>
      <c r="DD2666" s="891" t="s">
        <v>2229</v>
      </c>
      <c r="DE2666" s="891" t="s">
        <v>433</v>
      </c>
      <c r="DF2666" s="891">
        <v>5</v>
      </c>
      <c r="DG2666" s="959"/>
      <c r="DH2666" s="959"/>
      <c r="ER2666" s="905">
        <v>8594</v>
      </c>
      <c r="ES2666" s="906" t="s">
        <v>4972</v>
      </c>
      <c r="ET2666" s="2686">
        <v>9</v>
      </c>
      <c r="EV2666" s="985"/>
      <c r="EW2666" s="985"/>
      <c r="EX2666" s="387"/>
      <c r="EY2666" s="939"/>
      <c r="EZ2666" s="886"/>
    </row>
    <row r="2667" spans="88:156">
      <c r="CJ2667" s="197"/>
      <c r="CK2667" s="197"/>
      <c r="CL2667" s="197"/>
      <c r="CM2667" s="213"/>
      <c r="CN2667" s="213"/>
      <c r="CO2667" s="197"/>
      <c r="CP2667" s="197"/>
      <c r="CQ2667" s="197"/>
      <c r="CR2667" s="197"/>
      <c r="CS2667" s="197"/>
      <c r="CT2667" s="197"/>
      <c r="CU2667" s="197"/>
      <c r="CV2667" s="197"/>
      <c r="CW2667" s="197"/>
      <c r="CX2667" s="959"/>
      <c r="CY2667" s="959"/>
      <c r="CZ2667" s="959"/>
      <c r="DA2667" s="959"/>
      <c r="DB2667" s="959"/>
      <c r="DC2667" s="891">
        <v>8715</v>
      </c>
      <c r="DD2667" s="891" t="s">
        <v>2230</v>
      </c>
      <c r="DE2667" s="891" t="s">
        <v>433</v>
      </c>
      <c r="DF2667" s="891">
        <v>5</v>
      </c>
      <c r="DG2667" s="959"/>
      <c r="DH2667" s="959"/>
      <c r="ER2667" s="905">
        <v>8595</v>
      </c>
      <c r="ES2667" s="906" t="s">
        <v>4973</v>
      </c>
      <c r="ET2667" s="2686">
        <v>9</v>
      </c>
      <c r="EV2667" s="985"/>
      <c r="EW2667" s="985"/>
      <c r="EX2667" s="387"/>
      <c r="EY2667" s="939"/>
      <c r="EZ2667" s="886"/>
    </row>
    <row r="2668" spans="88:156">
      <c r="CJ2668" s="197"/>
      <c r="CK2668" s="197"/>
      <c r="CL2668" s="197"/>
      <c r="CM2668" s="213"/>
      <c r="CN2668" s="213"/>
      <c r="CO2668" s="197"/>
      <c r="CP2668" s="197"/>
      <c r="CQ2668" s="197"/>
      <c r="CR2668" s="197"/>
      <c r="CS2668" s="197"/>
      <c r="CT2668" s="197"/>
      <c r="CU2668" s="197"/>
      <c r="CV2668" s="197"/>
      <c r="CW2668" s="197"/>
      <c r="CX2668" s="959"/>
      <c r="CY2668" s="959"/>
      <c r="CZ2668" s="959"/>
      <c r="DA2668" s="959"/>
      <c r="DB2668" s="959"/>
      <c r="DC2668" s="891">
        <v>8716</v>
      </c>
      <c r="DD2668" s="891" t="s">
        <v>2231</v>
      </c>
      <c r="DE2668" s="891" t="s">
        <v>433</v>
      </c>
      <c r="DF2668" s="891">
        <v>6</v>
      </c>
      <c r="DG2668" s="959"/>
      <c r="DH2668" s="959"/>
      <c r="ER2668" s="905">
        <v>8596</v>
      </c>
      <c r="ES2668" s="906" t="s">
        <v>4974</v>
      </c>
      <c r="ET2668" s="2686">
        <v>9</v>
      </c>
      <c r="EV2668" s="985"/>
      <c r="EW2668" s="985"/>
      <c r="EX2668" s="387"/>
      <c r="EY2668" s="939"/>
      <c r="EZ2668" s="886"/>
    </row>
    <row r="2669" spans="88:156">
      <c r="CJ2669" s="197"/>
      <c r="CK2669" s="197"/>
      <c r="CL2669" s="197"/>
      <c r="CM2669" s="213"/>
      <c r="CN2669" s="213"/>
      <c r="CO2669" s="197"/>
      <c r="CP2669" s="197"/>
      <c r="CQ2669" s="197"/>
      <c r="CR2669" s="197"/>
      <c r="CS2669" s="197"/>
      <c r="CT2669" s="197"/>
      <c r="CU2669" s="197"/>
      <c r="CV2669" s="197"/>
      <c r="CW2669" s="197"/>
      <c r="CX2669" s="959"/>
      <c r="CY2669" s="959"/>
      <c r="CZ2669" s="959"/>
      <c r="DA2669" s="959"/>
      <c r="DB2669" s="959"/>
      <c r="DC2669" s="891">
        <v>8717</v>
      </c>
      <c r="DD2669" s="891" t="s">
        <v>2232</v>
      </c>
      <c r="DE2669" s="891" t="s">
        <v>433</v>
      </c>
      <c r="DF2669" s="891">
        <v>6</v>
      </c>
      <c r="DG2669" s="959"/>
      <c r="DH2669" s="959"/>
      <c r="ER2669" s="905">
        <v>8597</v>
      </c>
      <c r="ES2669" s="906" t="s">
        <v>1698</v>
      </c>
      <c r="ET2669" s="2686">
        <v>9</v>
      </c>
      <c r="EV2669" s="985"/>
      <c r="EW2669" s="985"/>
      <c r="EX2669" s="387"/>
      <c r="EY2669" s="939"/>
      <c r="EZ2669" s="886"/>
    </row>
    <row r="2670" spans="88:156">
      <c r="CJ2670" s="197"/>
      <c r="CK2670" s="197"/>
      <c r="CL2670" s="197"/>
      <c r="CM2670" s="213"/>
      <c r="CN2670" s="213"/>
      <c r="CO2670" s="197"/>
      <c r="CP2670" s="197"/>
      <c r="CQ2670" s="197"/>
      <c r="CR2670" s="197"/>
      <c r="CS2670" s="197"/>
      <c r="CT2670" s="197"/>
      <c r="CU2670" s="197"/>
      <c r="CV2670" s="197"/>
      <c r="CW2670" s="197"/>
      <c r="CX2670" s="959"/>
      <c r="CY2670" s="959"/>
      <c r="CZ2670" s="959"/>
      <c r="DA2670" s="959"/>
      <c r="DB2670" s="959"/>
      <c r="DC2670" s="891">
        <v>8718</v>
      </c>
      <c r="DD2670" s="891" t="s">
        <v>2233</v>
      </c>
      <c r="DE2670" s="891" t="s">
        <v>433</v>
      </c>
      <c r="DF2670" s="891">
        <v>6</v>
      </c>
      <c r="DG2670" s="959"/>
      <c r="DH2670" s="959"/>
      <c r="ER2670" s="905">
        <v>8597</v>
      </c>
      <c r="ES2670" s="906" t="s">
        <v>4975</v>
      </c>
      <c r="ET2670" s="2686">
        <v>9</v>
      </c>
      <c r="EV2670" s="985"/>
      <c r="EW2670" s="985"/>
      <c r="EX2670" s="387"/>
      <c r="EY2670" s="939"/>
      <c r="EZ2670" s="886"/>
    </row>
    <row r="2671" spans="88:156">
      <c r="CJ2671" s="197"/>
      <c r="CK2671" s="197"/>
      <c r="CL2671" s="197"/>
      <c r="CM2671" s="213"/>
      <c r="CN2671" s="213"/>
      <c r="CO2671" s="197"/>
      <c r="CP2671" s="197"/>
      <c r="CQ2671" s="197"/>
      <c r="CR2671" s="197"/>
      <c r="CS2671" s="197"/>
      <c r="CT2671" s="197"/>
      <c r="CU2671" s="197"/>
      <c r="CV2671" s="197"/>
      <c r="CW2671" s="197"/>
      <c r="CX2671" s="959"/>
      <c r="CY2671" s="959"/>
      <c r="CZ2671" s="959"/>
      <c r="DA2671" s="959"/>
      <c r="DB2671" s="959"/>
      <c r="DC2671" s="891">
        <v>8719</v>
      </c>
      <c r="DD2671" s="891" t="s">
        <v>2234</v>
      </c>
      <c r="DE2671" s="891" t="s">
        <v>433</v>
      </c>
      <c r="DF2671" s="891">
        <v>6</v>
      </c>
      <c r="DG2671" s="959"/>
      <c r="DH2671" s="959"/>
      <c r="ER2671" s="905">
        <v>8598</v>
      </c>
      <c r="ES2671" s="906" t="s">
        <v>1699</v>
      </c>
      <c r="ET2671" s="2686">
        <v>9</v>
      </c>
      <c r="EV2671" s="985"/>
      <c r="EW2671" s="985"/>
      <c r="EX2671" s="387"/>
      <c r="EY2671" s="939"/>
      <c r="EZ2671" s="886"/>
    </row>
    <row r="2672" spans="88:156">
      <c r="CJ2672" s="197"/>
      <c r="CK2672" s="197"/>
      <c r="CL2672" s="197"/>
      <c r="CM2672" s="213"/>
      <c r="CN2672" s="213"/>
      <c r="CO2672" s="197"/>
      <c r="CP2672" s="197"/>
      <c r="CQ2672" s="197"/>
      <c r="CR2672" s="197"/>
      <c r="CS2672" s="197"/>
      <c r="CT2672" s="197"/>
      <c r="CU2672" s="197"/>
      <c r="CV2672" s="197"/>
      <c r="CW2672" s="197"/>
      <c r="CX2672" s="959"/>
      <c r="CY2672" s="959"/>
      <c r="CZ2672" s="959"/>
      <c r="DA2672" s="959"/>
      <c r="DB2672" s="959"/>
      <c r="DC2672" s="891">
        <v>8721</v>
      </c>
      <c r="DD2672" s="891" t="s">
        <v>2235</v>
      </c>
      <c r="DE2672" s="891" t="s">
        <v>419</v>
      </c>
      <c r="DF2672" s="891">
        <v>6</v>
      </c>
      <c r="DG2672" s="959"/>
      <c r="DH2672" s="959"/>
      <c r="ER2672" s="905">
        <v>8600</v>
      </c>
      <c r="ES2672" s="906" t="s">
        <v>2157</v>
      </c>
      <c r="ET2672" s="2686">
        <v>9</v>
      </c>
      <c r="EV2672" s="985"/>
      <c r="EW2672" s="985"/>
      <c r="EX2672" s="387"/>
      <c r="EY2672" s="939"/>
      <c r="EZ2672" s="886"/>
    </row>
    <row r="2673" spans="88:156">
      <c r="CJ2673" s="197"/>
      <c r="CK2673" s="197"/>
      <c r="CL2673" s="197"/>
      <c r="CM2673" s="213"/>
      <c r="CN2673" s="213"/>
      <c r="CO2673" s="197"/>
      <c r="CP2673" s="197"/>
      <c r="CQ2673" s="197"/>
      <c r="CR2673" s="197"/>
      <c r="CS2673" s="197"/>
      <c r="CT2673" s="197"/>
      <c r="CU2673" s="197"/>
      <c r="CV2673" s="197"/>
      <c r="CW2673" s="197"/>
      <c r="CX2673" s="959"/>
      <c r="CY2673" s="959"/>
      <c r="CZ2673" s="959"/>
      <c r="DA2673" s="959"/>
      <c r="DB2673" s="959"/>
      <c r="DC2673" s="891">
        <v>8722</v>
      </c>
      <c r="DD2673" s="891" t="s">
        <v>2236</v>
      </c>
      <c r="DE2673" s="891" t="s">
        <v>420</v>
      </c>
      <c r="DF2673" s="891">
        <v>6</v>
      </c>
      <c r="DG2673" s="959"/>
      <c r="DH2673" s="959"/>
      <c r="ER2673" s="905">
        <v>8609</v>
      </c>
      <c r="ES2673" s="906" t="s">
        <v>1700</v>
      </c>
      <c r="ET2673" s="2686">
        <v>9</v>
      </c>
      <c r="EV2673" s="985"/>
      <c r="EW2673" s="985"/>
      <c r="EX2673" s="387"/>
      <c r="EY2673" s="939"/>
      <c r="EZ2673" s="886"/>
    </row>
    <row r="2674" spans="88:156">
      <c r="CJ2674" s="197"/>
      <c r="CK2674" s="197"/>
      <c r="CL2674" s="197"/>
      <c r="CM2674" s="213"/>
      <c r="CN2674" s="213"/>
      <c r="CO2674" s="197"/>
      <c r="CP2674" s="197"/>
      <c r="CQ2674" s="197"/>
      <c r="CR2674" s="197"/>
      <c r="CS2674" s="197"/>
      <c r="CT2674" s="197"/>
      <c r="CU2674" s="197"/>
      <c r="CV2674" s="197"/>
      <c r="CW2674" s="197"/>
      <c r="CX2674" s="959"/>
      <c r="CY2674" s="959"/>
      <c r="CZ2674" s="959"/>
      <c r="DA2674" s="959"/>
      <c r="DB2674" s="959"/>
      <c r="DC2674" s="891">
        <v>8723</v>
      </c>
      <c r="DD2674" s="891" t="s">
        <v>2237</v>
      </c>
      <c r="DE2674" s="891" t="s">
        <v>420</v>
      </c>
      <c r="DF2674" s="891">
        <v>5</v>
      </c>
      <c r="DG2674" s="959"/>
      <c r="DH2674" s="959"/>
      <c r="ER2674" s="905">
        <v>8611</v>
      </c>
      <c r="ES2674" s="906" t="s">
        <v>1701</v>
      </c>
      <c r="ET2674" s="2686">
        <v>9</v>
      </c>
      <c r="EV2674" s="985"/>
      <c r="EW2674" s="985"/>
      <c r="EX2674" s="387"/>
      <c r="EY2674" s="939"/>
      <c r="EZ2674" s="886"/>
    </row>
    <row r="2675" spans="88:156">
      <c r="CJ2675" s="197"/>
      <c r="CK2675" s="197"/>
      <c r="CL2675" s="197"/>
      <c r="CM2675" s="213"/>
      <c r="CN2675" s="213"/>
      <c r="CO2675" s="197"/>
      <c r="CP2675" s="197"/>
      <c r="CQ2675" s="197"/>
      <c r="CR2675" s="197"/>
      <c r="CS2675" s="197"/>
      <c r="CT2675" s="197"/>
      <c r="CU2675" s="197"/>
      <c r="CV2675" s="197"/>
      <c r="CW2675" s="197"/>
      <c r="CX2675" s="959"/>
      <c r="CY2675" s="959"/>
      <c r="CZ2675" s="959"/>
      <c r="DA2675" s="959"/>
      <c r="DB2675" s="959"/>
      <c r="DC2675" s="891">
        <v>8724</v>
      </c>
      <c r="DD2675" s="891" t="s">
        <v>2239</v>
      </c>
      <c r="DE2675" s="891" t="s">
        <v>420</v>
      </c>
      <c r="DF2675" s="891">
        <v>6</v>
      </c>
      <c r="DG2675" s="959"/>
      <c r="DH2675" s="959"/>
      <c r="ER2675" s="905">
        <v>8612</v>
      </c>
      <c r="ES2675" s="906" t="s">
        <v>2161</v>
      </c>
      <c r="ET2675" s="2686">
        <v>9</v>
      </c>
      <c r="EV2675" s="985"/>
      <c r="EW2675" s="985"/>
      <c r="EX2675" s="387"/>
      <c r="EY2675" s="939"/>
      <c r="EZ2675" s="886"/>
    </row>
    <row r="2676" spans="88:156">
      <c r="CJ2676" s="197"/>
      <c r="CK2676" s="197"/>
      <c r="CL2676" s="197"/>
      <c r="CM2676" s="213"/>
      <c r="CN2676" s="213"/>
      <c r="CO2676" s="197"/>
      <c r="CP2676" s="197"/>
      <c r="CQ2676" s="197"/>
      <c r="CR2676" s="197"/>
      <c r="CS2676" s="197"/>
      <c r="CT2676" s="197"/>
      <c r="CU2676" s="197"/>
      <c r="CV2676" s="197"/>
      <c r="CW2676" s="197"/>
      <c r="CX2676" s="959"/>
      <c r="CY2676" s="959"/>
      <c r="CZ2676" s="959"/>
      <c r="DA2676" s="959"/>
      <c r="DB2676" s="959"/>
      <c r="DC2676" s="891">
        <v>8725</v>
      </c>
      <c r="DD2676" s="891" t="s">
        <v>2240</v>
      </c>
      <c r="DE2676" s="891" t="s">
        <v>406</v>
      </c>
      <c r="DF2676" s="891">
        <v>5</v>
      </c>
      <c r="DG2676" s="959"/>
      <c r="DH2676" s="959"/>
      <c r="ER2676" s="905">
        <v>8613</v>
      </c>
      <c r="ES2676" s="906" t="s">
        <v>2162</v>
      </c>
      <c r="ET2676" s="2686">
        <v>6</v>
      </c>
      <c r="EV2676" s="985"/>
      <c r="EW2676" s="985"/>
      <c r="EX2676" s="387"/>
      <c r="EY2676" s="939"/>
      <c r="EZ2676" s="886"/>
    </row>
    <row r="2677" spans="88:156">
      <c r="CJ2677" s="197"/>
      <c r="CK2677" s="197"/>
      <c r="CL2677" s="197"/>
      <c r="CM2677" s="213"/>
      <c r="CN2677" s="213"/>
      <c r="CO2677" s="197"/>
      <c r="CP2677" s="197"/>
      <c r="CQ2677" s="197"/>
      <c r="CR2677" s="197"/>
      <c r="CS2677" s="197"/>
      <c r="CT2677" s="197"/>
      <c r="CU2677" s="197"/>
      <c r="CV2677" s="197"/>
      <c r="CW2677" s="197"/>
      <c r="CX2677" s="959"/>
      <c r="CY2677" s="959"/>
      <c r="CZ2677" s="959"/>
      <c r="DA2677" s="959"/>
      <c r="DB2677" s="959"/>
      <c r="DC2677" s="891">
        <v>8726</v>
      </c>
      <c r="DD2677" s="891" t="s">
        <v>2241</v>
      </c>
      <c r="DE2677" s="891" t="s">
        <v>432</v>
      </c>
      <c r="DF2677" s="891">
        <v>6</v>
      </c>
      <c r="DG2677" s="959"/>
      <c r="DH2677" s="959"/>
      <c r="ER2677" s="905">
        <v>8614</v>
      </c>
      <c r="ES2677" s="906" t="s">
        <v>2163</v>
      </c>
      <c r="ET2677" s="2686">
        <v>9</v>
      </c>
      <c r="EV2677" s="985"/>
      <c r="EW2677" s="985"/>
      <c r="EX2677" s="387"/>
      <c r="EY2677" s="939"/>
      <c r="EZ2677" s="886"/>
    </row>
    <row r="2678" spans="88:156">
      <c r="CJ2678" s="197"/>
      <c r="CK2678" s="197"/>
      <c r="CL2678" s="197"/>
      <c r="CM2678" s="213"/>
      <c r="CN2678" s="213"/>
      <c r="CO2678" s="197"/>
      <c r="CP2678" s="197"/>
      <c r="CQ2678" s="197"/>
      <c r="CR2678" s="197"/>
      <c r="CS2678" s="197"/>
      <c r="CT2678" s="197"/>
      <c r="CU2678" s="197"/>
      <c r="CV2678" s="197"/>
      <c r="CW2678" s="197"/>
      <c r="CX2678" s="959"/>
      <c r="CY2678" s="959"/>
      <c r="CZ2678" s="959"/>
      <c r="DA2678" s="959"/>
      <c r="DB2678" s="959"/>
      <c r="DC2678" s="891">
        <v>8728</v>
      </c>
      <c r="DD2678" s="891" t="s">
        <v>2242</v>
      </c>
      <c r="DE2678" s="891" t="s">
        <v>432</v>
      </c>
      <c r="DF2678" s="891">
        <v>5</v>
      </c>
      <c r="DG2678" s="959"/>
      <c r="DH2678" s="959"/>
      <c r="ER2678" s="905">
        <v>8617</v>
      </c>
      <c r="ES2678" s="906" t="s">
        <v>234</v>
      </c>
      <c r="ET2678" s="2686">
        <v>9</v>
      </c>
      <c r="EV2678" s="985"/>
      <c r="EW2678" s="985"/>
      <c r="EX2678" s="387"/>
      <c r="EY2678" s="939"/>
      <c r="EZ2678" s="886"/>
    </row>
    <row r="2679" spans="88:156">
      <c r="CJ2679" s="197"/>
      <c r="CK2679" s="197"/>
      <c r="CL2679" s="197"/>
      <c r="CM2679" s="213"/>
      <c r="CN2679" s="213"/>
      <c r="CO2679" s="197"/>
      <c r="CP2679" s="197"/>
      <c r="CQ2679" s="197"/>
      <c r="CR2679" s="197"/>
      <c r="CS2679" s="197"/>
      <c r="CT2679" s="197"/>
      <c r="CU2679" s="197"/>
      <c r="CV2679" s="197"/>
      <c r="CW2679" s="197"/>
      <c r="CX2679" s="959"/>
      <c r="CY2679" s="959"/>
      <c r="CZ2679" s="959"/>
      <c r="DA2679" s="959"/>
      <c r="DB2679" s="959"/>
      <c r="DC2679" s="891">
        <v>8731</v>
      </c>
      <c r="DD2679" s="891" t="s">
        <v>2243</v>
      </c>
      <c r="DE2679" s="891" t="s">
        <v>417</v>
      </c>
      <c r="DF2679" s="891">
        <v>5</v>
      </c>
      <c r="DG2679" s="959"/>
      <c r="DH2679" s="959"/>
      <c r="ER2679" s="905">
        <v>8618</v>
      </c>
      <c r="ES2679" s="906" t="s">
        <v>2165</v>
      </c>
      <c r="ET2679" s="2686">
        <v>9</v>
      </c>
      <c r="EV2679" s="985"/>
      <c r="EW2679" s="985"/>
      <c r="EX2679" s="387"/>
      <c r="EY2679" s="939"/>
      <c r="EZ2679" s="886"/>
    </row>
    <row r="2680" spans="88:156">
      <c r="CJ2680" s="197"/>
      <c r="CK2680" s="197"/>
      <c r="CL2680" s="197"/>
      <c r="CM2680" s="213"/>
      <c r="CN2680" s="213"/>
      <c r="CO2680" s="197"/>
      <c r="CP2680" s="197"/>
      <c r="CQ2680" s="197"/>
      <c r="CR2680" s="197"/>
      <c r="CS2680" s="197"/>
      <c r="CT2680" s="197"/>
      <c r="CU2680" s="197"/>
      <c r="CV2680" s="197"/>
      <c r="CW2680" s="197"/>
      <c r="CX2680" s="959"/>
      <c r="CY2680" s="959"/>
      <c r="CZ2680" s="959"/>
      <c r="DA2680" s="959"/>
      <c r="DB2680" s="959"/>
      <c r="DC2680" s="891">
        <v>8732</v>
      </c>
      <c r="DD2680" s="891" t="s">
        <v>2244</v>
      </c>
      <c r="DE2680" s="891" t="s">
        <v>421</v>
      </c>
      <c r="DF2680" s="891">
        <v>5</v>
      </c>
      <c r="DG2680" s="959"/>
      <c r="DH2680" s="959"/>
      <c r="ER2680" s="905">
        <v>8619</v>
      </c>
      <c r="ES2680" s="906" t="s">
        <v>2166</v>
      </c>
      <c r="ET2680" s="2686">
        <v>9</v>
      </c>
      <c r="EV2680" s="985"/>
      <c r="EW2680" s="985"/>
      <c r="EX2680" s="387"/>
      <c r="EY2680" s="939"/>
      <c r="EZ2680" s="886"/>
    </row>
    <row r="2681" spans="88:156">
      <c r="CJ2681" s="197"/>
      <c r="CK2681" s="197"/>
      <c r="CL2681" s="197"/>
      <c r="CM2681" s="213"/>
      <c r="CN2681" s="213"/>
      <c r="CO2681" s="197"/>
      <c r="CP2681" s="197"/>
      <c r="CQ2681" s="197"/>
      <c r="CR2681" s="197"/>
      <c r="CS2681" s="197"/>
      <c r="CT2681" s="197"/>
      <c r="CU2681" s="197"/>
      <c r="CV2681" s="197"/>
      <c r="CW2681" s="197"/>
      <c r="CX2681" s="959"/>
      <c r="CY2681" s="959"/>
      <c r="CZ2681" s="959"/>
      <c r="DA2681" s="959"/>
      <c r="DB2681" s="959"/>
      <c r="DC2681" s="891">
        <v>8733</v>
      </c>
      <c r="DD2681" s="891" t="s">
        <v>2245</v>
      </c>
      <c r="DE2681" s="891" t="s">
        <v>410</v>
      </c>
      <c r="DF2681" s="891">
        <v>5</v>
      </c>
      <c r="DG2681" s="959"/>
      <c r="DH2681" s="959"/>
      <c r="ER2681" s="905">
        <v>8621</v>
      </c>
      <c r="ES2681" s="906" t="s">
        <v>2167</v>
      </c>
      <c r="ET2681" s="2686">
        <v>6</v>
      </c>
      <c r="EV2681" s="985"/>
      <c r="EW2681" s="985"/>
      <c r="EX2681" s="387"/>
      <c r="EY2681" s="939"/>
      <c r="EZ2681" s="886"/>
    </row>
    <row r="2682" spans="88:156">
      <c r="CJ2682" s="197"/>
      <c r="CK2682" s="197"/>
      <c r="CL2682" s="197"/>
      <c r="CM2682" s="213"/>
      <c r="CN2682" s="213"/>
      <c r="CO2682" s="197"/>
      <c r="CP2682" s="197"/>
      <c r="CQ2682" s="197"/>
      <c r="CR2682" s="197"/>
      <c r="CS2682" s="197"/>
      <c r="CT2682" s="197"/>
      <c r="CU2682" s="197"/>
      <c r="CV2682" s="197"/>
      <c r="CW2682" s="197"/>
      <c r="CX2682" s="959"/>
      <c r="CY2682" s="959"/>
      <c r="CZ2682" s="959"/>
      <c r="DA2682" s="959"/>
      <c r="DB2682" s="959"/>
      <c r="DC2682" s="891">
        <v>8734</v>
      </c>
      <c r="DD2682" s="891" t="s">
        <v>2246</v>
      </c>
      <c r="DE2682" s="891" t="s">
        <v>421</v>
      </c>
      <c r="DF2682" s="891">
        <v>5</v>
      </c>
      <c r="DG2682" s="959"/>
      <c r="DH2682" s="959"/>
      <c r="ER2682" s="905">
        <v>8622</v>
      </c>
      <c r="ES2682" s="906" t="s">
        <v>2168</v>
      </c>
      <c r="ET2682" s="2686">
        <v>6</v>
      </c>
      <c r="EV2682" s="985"/>
      <c r="EW2682" s="985"/>
      <c r="EX2682" s="387"/>
      <c r="EY2682" s="939"/>
      <c r="EZ2682" s="886"/>
    </row>
    <row r="2683" spans="88:156">
      <c r="CJ2683" s="197"/>
      <c r="CK2683" s="197"/>
      <c r="CL2683" s="197"/>
      <c r="CM2683" s="213"/>
      <c r="CN2683" s="213"/>
      <c r="CO2683" s="197"/>
      <c r="CP2683" s="197"/>
      <c r="CQ2683" s="197"/>
      <c r="CR2683" s="197"/>
      <c r="CS2683" s="197"/>
      <c r="CT2683" s="197"/>
      <c r="CU2683" s="197"/>
      <c r="CV2683" s="197"/>
      <c r="CW2683" s="197"/>
      <c r="CX2683" s="959"/>
      <c r="CY2683" s="959"/>
      <c r="CZ2683" s="959"/>
      <c r="DA2683" s="959"/>
      <c r="DB2683" s="959"/>
      <c r="DC2683" s="891">
        <v>8735</v>
      </c>
      <c r="DD2683" s="891" t="s">
        <v>2247</v>
      </c>
      <c r="DE2683" s="891" t="s">
        <v>412</v>
      </c>
      <c r="DF2683" s="891">
        <v>4</v>
      </c>
      <c r="DG2683" s="959"/>
      <c r="DH2683" s="959"/>
      <c r="ER2683" s="905">
        <v>8623</v>
      </c>
      <c r="ES2683" s="906" t="s">
        <v>2169</v>
      </c>
      <c r="ET2683" s="2686">
        <v>9</v>
      </c>
      <c r="EV2683" s="985"/>
      <c r="EW2683" s="985"/>
      <c r="EX2683" s="387"/>
      <c r="EY2683" s="939"/>
      <c r="EZ2683" s="886"/>
    </row>
    <row r="2684" spans="88:156">
      <c r="CJ2684" s="197"/>
      <c r="CK2684" s="197"/>
      <c r="CL2684" s="197"/>
      <c r="CM2684" s="213"/>
      <c r="CN2684" s="213"/>
      <c r="CO2684" s="197"/>
      <c r="CP2684" s="197"/>
      <c r="CQ2684" s="197"/>
      <c r="CR2684" s="197"/>
      <c r="CS2684" s="197"/>
      <c r="CT2684" s="197"/>
      <c r="CU2684" s="197"/>
      <c r="CV2684" s="197"/>
      <c r="CW2684" s="197"/>
      <c r="CX2684" s="959"/>
      <c r="CY2684" s="959"/>
      <c r="CZ2684" s="959"/>
      <c r="DA2684" s="959"/>
      <c r="DB2684" s="959"/>
      <c r="DC2684" s="891">
        <v>8736</v>
      </c>
      <c r="DD2684" s="891" t="s">
        <v>2248</v>
      </c>
      <c r="DE2684" s="891" t="s">
        <v>423</v>
      </c>
      <c r="DF2684" s="891">
        <v>4</v>
      </c>
      <c r="DG2684" s="959"/>
      <c r="DH2684" s="959"/>
      <c r="ER2684" s="905">
        <v>8624</v>
      </c>
      <c r="ES2684" s="906" t="s">
        <v>2170</v>
      </c>
      <c r="ET2684" s="2686">
        <v>9</v>
      </c>
      <c r="EV2684" s="985"/>
      <c r="EW2684" s="985"/>
      <c r="EX2684" s="387"/>
      <c r="EY2684" s="939"/>
      <c r="EZ2684" s="886"/>
    </row>
    <row r="2685" spans="88:156">
      <c r="CJ2685" s="197"/>
      <c r="CK2685" s="197"/>
      <c r="CL2685" s="197"/>
      <c r="CM2685" s="213"/>
      <c r="CN2685" s="213"/>
      <c r="CO2685" s="197"/>
      <c r="CP2685" s="197"/>
      <c r="CQ2685" s="197"/>
      <c r="CR2685" s="197"/>
      <c r="CS2685" s="197"/>
      <c r="CT2685" s="197"/>
      <c r="CU2685" s="197"/>
      <c r="CV2685" s="197"/>
      <c r="CW2685" s="197"/>
      <c r="CX2685" s="959"/>
      <c r="CY2685" s="959"/>
      <c r="CZ2685" s="959"/>
      <c r="DA2685" s="959"/>
      <c r="DB2685" s="959"/>
      <c r="DC2685" s="891">
        <v>8737</v>
      </c>
      <c r="DD2685" s="891" t="s">
        <v>2249</v>
      </c>
      <c r="DE2685" s="891" t="s">
        <v>412</v>
      </c>
      <c r="DF2685" s="891">
        <v>5</v>
      </c>
      <c r="DG2685" s="959"/>
      <c r="DH2685" s="959"/>
      <c r="ER2685" s="905">
        <v>8625</v>
      </c>
      <c r="ES2685" s="906" t="s">
        <v>2171</v>
      </c>
      <c r="ET2685" s="2686">
        <v>9</v>
      </c>
      <c r="EV2685" s="985"/>
      <c r="EW2685" s="985"/>
      <c r="EX2685" s="387"/>
      <c r="EY2685" s="939"/>
      <c r="EZ2685" s="886"/>
    </row>
    <row r="2686" spans="88:156">
      <c r="CJ2686" s="197"/>
      <c r="CK2686" s="197"/>
      <c r="CL2686" s="197"/>
      <c r="CM2686" s="213"/>
      <c r="CN2686" s="213"/>
      <c r="CO2686" s="197"/>
      <c r="CP2686" s="197"/>
      <c r="CQ2686" s="197"/>
      <c r="CR2686" s="197"/>
      <c r="CS2686" s="197"/>
      <c r="CT2686" s="197"/>
      <c r="CU2686" s="197"/>
      <c r="CV2686" s="197"/>
      <c r="CW2686" s="197"/>
      <c r="CX2686" s="959"/>
      <c r="CY2686" s="959"/>
      <c r="CZ2686" s="959"/>
      <c r="DA2686" s="959"/>
      <c r="DB2686" s="959"/>
      <c r="DC2686" s="891">
        <v>8738</v>
      </c>
      <c r="DD2686" s="891" t="s">
        <v>2250</v>
      </c>
      <c r="DE2686" s="891" t="s">
        <v>412</v>
      </c>
      <c r="DF2686" s="891">
        <v>5</v>
      </c>
      <c r="DG2686" s="959"/>
      <c r="DH2686" s="959"/>
      <c r="ER2686" s="905">
        <v>8626</v>
      </c>
      <c r="ES2686" s="906" t="s">
        <v>2172</v>
      </c>
      <c r="ET2686" s="2686">
        <v>9</v>
      </c>
      <c r="EV2686" s="985"/>
      <c r="EW2686" s="985"/>
      <c r="EX2686" s="387"/>
      <c r="EY2686" s="939"/>
      <c r="EZ2686" s="886"/>
    </row>
    <row r="2687" spans="88:156">
      <c r="CJ2687" s="197"/>
      <c r="CK2687" s="197"/>
      <c r="CL2687" s="197"/>
      <c r="CM2687" s="213"/>
      <c r="CN2687" s="213"/>
      <c r="CO2687" s="197"/>
      <c r="CP2687" s="197"/>
      <c r="CQ2687" s="197"/>
      <c r="CR2687" s="197"/>
      <c r="CS2687" s="197"/>
      <c r="CT2687" s="197"/>
      <c r="CU2687" s="197"/>
      <c r="CV2687" s="197"/>
      <c r="CW2687" s="197"/>
      <c r="CX2687" s="959"/>
      <c r="CY2687" s="959"/>
      <c r="CZ2687" s="959"/>
      <c r="DA2687" s="959"/>
      <c r="DB2687" s="959"/>
      <c r="DC2687" s="891">
        <v>8739</v>
      </c>
      <c r="DD2687" s="891" t="s">
        <v>2251</v>
      </c>
      <c r="DE2687" s="891" t="s">
        <v>412</v>
      </c>
      <c r="DF2687" s="891">
        <v>6</v>
      </c>
      <c r="DG2687" s="959"/>
      <c r="DH2687" s="959"/>
      <c r="ER2687" s="905">
        <v>8627</v>
      </c>
      <c r="ES2687" s="906" t="s">
        <v>2173</v>
      </c>
      <c r="ET2687" s="2686">
        <v>9</v>
      </c>
      <c r="EV2687" s="985"/>
      <c r="EW2687" s="985"/>
      <c r="EX2687" s="387"/>
      <c r="EY2687" s="939"/>
      <c r="EZ2687" s="886"/>
    </row>
    <row r="2688" spans="88:156">
      <c r="CJ2688" s="197"/>
      <c r="CK2688" s="197"/>
      <c r="CL2688" s="197"/>
      <c r="CM2688" s="213"/>
      <c r="CN2688" s="213"/>
      <c r="CO2688" s="197"/>
      <c r="CP2688" s="197"/>
      <c r="CQ2688" s="197"/>
      <c r="CR2688" s="197"/>
      <c r="CS2688" s="197"/>
      <c r="CT2688" s="197"/>
      <c r="CU2688" s="197"/>
      <c r="CV2688" s="197"/>
      <c r="CW2688" s="197"/>
      <c r="CX2688" s="959"/>
      <c r="CY2688" s="959"/>
      <c r="CZ2688" s="959"/>
      <c r="DA2688" s="959"/>
      <c r="DB2688" s="959"/>
      <c r="DC2688" s="891">
        <v>8741</v>
      </c>
      <c r="DD2688" s="891" t="s">
        <v>2252</v>
      </c>
      <c r="DE2688" s="891" t="s">
        <v>412</v>
      </c>
      <c r="DF2688" s="891">
        <v>6</v>
      </c>
      <c r="DG2688" s="959"/>
      <c r="DH2688" s="959"/>
      <c r="ER2688" s="905">
        <v>8628</v>
      </c>
      <c r="ES2688" s="906" t="s">
        <v>2174</v>
      </c>
      <c r="ET2688" s="2686">
        <v>9</v>
      </c>
      <c r="EV2688" s="985"/>
      <c r="EW2688" s="985"/>
      <c r="EX2688" s="387"/>
      <c r="EY2688" s="939"/>
      <c r="EZ2688" s="886"/>
    </row>
    <row r="2689" spans="88:156">
      <c r="CJ2689" s="197"/>
      <c r="CK2689" s="197"/>
      <c r="CL2689" s="197"/>
      <c r="CM2689" s="213"/>
      <c r="CN2689" s="213"/>
      <c r="CO2689" s="197"/>
      <c r="CP2689" s="197"/>
      <c r="CQ2689" s="197"/>
      <c r="CR2689" s="197"/>
      <c r="CS2689" s="197"/>
      <c r="CT2689" s="197"/>
      <c r="CU2689" s="197"/>
      <c r="CV2689" s="197"/>
      <c r="CW2689" s="197"/>
      <c r="CX2689" s="959"/>
      <c r="CY2689" s="959"/>
      <c r="CZ2689" s="959"/>
      <c r="DA2689" s="959"/>
      <c r="DB2689" s="959"/>
      <c r="DC2689" s="891">
        <v>8742</v>
      </c>
      <c r="DD2689" s="891" t="s">
        <v>2253</v>
      </c>
      <c r="DE2689" s="891" t="s">
        <v>412</v>
      </c>
      <c r="DF2689" s="891">
        <v>6</v>
      </c>
      <c r="DG2689" s="959"/>
      <c r="DH2689" s="959"/>
      <c r="ER2689" s="905">
        <v>8630</v>
      </c>
      <c r="ES2689" s="906" t="s">
        <v>235</v>
      </c>
      <c r="ET2689" s="2686">
        <v>9</v>
      </c>
      <c r="EV2689" s="985"/>
      <c r="EW2689" s="985"/>
      <c r="EX2689" s="387"/>
      <c r="EY2689" s="939"/>
      <c r="EZ2689" s="886"/>
    </row>
    <row r="2690" spans="88:156">
      <c r="CJ2690" s="197"/>
      <c r="CK2690" s="197"/>
      <c r="CL2690" s="197"/>
      <c r="CM2690" s="213"/>
      <c r="CN2690" s="213"/>
      <c r="CO2690" s="197"/>
      <c r="CP2690" s="197"/>
      <c r="CQ2690" s="197"/>
      <c r="CR2690" s="197"/>
      <c r="CS2690" s="197"/>
      <c r="CT2690" s="197"/>
      <c r="CU2690" s="197"/>
      <c r="CV2690" s="197"/>
      <c r="CW2690" s="197"/>
      <c r="CX2690" s="959"/>
      <c r="CY2690" s="959"/>
      <c r="CZ2690" s="959"/>
      <c r="DA2690" s="959"/>
      <c r="DB2690" s="959"/>
      <c r="DC2690" s="891">
        <v>8743</v>
      </c>
      <c r="DD2690" s="891" t="s">
        <v>2254</v>
      </c>
      <c r="DE2690" s="891" t="s">
        <v>412</v>
      </c>
      <c r="DF2690" s="891">
        <v>5</v>
      </c>
      <c r="DG2690" s="959"/>
      <c r="DH2690" s="959"/>
      <c r="ER2690" s="905">
        <v>8635</v>
      </c>
      <c r="ES2690" s="906" t="s">
        <v>2176</v>
      </c>
      <c r="ET2690" s="2686">
        <v>9</v>
      </c>
      <c r="EV2690" s="985"/>
      <c r="EW2690" s="985"/>
      <c r="EX2690" s="387"/>
      <c r="EY2690" s="939"/>
      <c r="EZ2690" s="886"/>
    </row>
    <row r="2691" spans="88:156">
      <c r="CJ2691" s="197"/>
      <c r="CK2691" s="197"/>
      <c r="CL2691" s="197"/>
      <c r="CM2691" s="213"/>
      <c r="CN2691" s="213"/>
      <c r="CO2691" s="197"/>
      <c r="CP2691" s="197"/>
      <c r="CQ2691" s="197"/>
      <c r="CR2691" s="197"/>
      <c r="CS2691" s="197"/>
      <c r="CT2691" s="197"/>
      <c r="CU2691" s="197"/>
      <c r="CV2691" s="197"/>
      <c r="CW2691" s="197"/>
      <c r="CX2691" s="959"/>
      <c r="CY2691" s="959"/>
      <c r="CZ2691" s="959"/>
      <c r="DA2691" s="959"/>
      <c r="DB2691" s="959"/>
      <c r="DC2691" s="891">
        <v>8744</v>
      </c>
      <c r="DD2691" s="891" t="s">
        <v>2255</v>
      </c>
      <c r="DE2691" s="891" t="s">
        <v>412</v>
      </c>
      <c r="DF2691" s="891">
        <v>5</v>
      </c>
      <c r="DG2691" s="959"/>
      <c r="DH2691" s="959"/>
      <c r="ER2691" s="905">
        <v>8636</v>
      </c>
      <c r="ES2691" s="906" t="s">
        <v>2177</v>
      </c>
      <c r="ET2691" s="2686">
        <v>9</v>
      </c>
      <c r="EV2691" s="985"/>
      <c r="EW2691" s="985"/>
      <c r="EX2691" s="387"/>
      <c r="EY2691" s="939"/>
      <c r="EZ2691" s="886"/>
    </row>
    <row r="2692" spans="88:156">
      <c r="CJ2692" s="197"/>
      <c r="CK2692" s="197"/>
      <c r="CL2692" s="197"/>
      <c r="CM2692" s="213"/>
      <c r="CN2692" s="213"/>
      <c r="CO2692" s="197"/>
      <c r="CP2692" s="197"/>
      <c r="CQ2692" s="197"/>
      <c r="CR2692" s="197"/>
      <c r="CS2692" s="197"/>
      <c r="CT2692" s="197"/>
      <c r="CU2692" s="197"/>
      <c r="CV2692" s="197"/>
      <c r="CW2692" s="197"/>
      <c r="CX2692" s="959"/>
      <c r="CY2692" s="959"/>
      <c r="CZ2692" s="959"/>
      <c r="DA2692" s="959"/>
      <c r="DB2692" s="959"/>
      <c r="DC2692" s="891">
        <v>8745</v>
      </c>
      <c r="DD2692" s="891" t="s">
        <v>2256</v>
      </c>
      <c r="DE2692" s="891" t="s">
        <v>412</v>
      </c>
      <c r="DF2692" s="891">
        <v>6</v>
      </c>
      <c r="DG2692" s="959"/>
      <c r="DH2692" s="959"/>
      <c r="ER2692" s="905">
        <v>8637</v>
      </c>
      <c r="ES2692" s="906" t="s">
        <v>2178</v>
      </c>
      <c r="ET2692" s="2686">
        <v>9</v>
      </c>
      <c r="EV2692" s="985"/>
      <c r="EW2692" s="985"/>
      <c r="EX2692" s="387"/>
      <c r="EY2692" s="939"/>
      <c r="EZ2692" s="886"/>
    </row>
    <row r="2693" spans="88:156">
      <c r="CJ2693" s="197"/>
      <c r="CK2693" s="197"/>
      <c r="CL2693" s="197"/>
      <c r="CM2693" s="213"/>
      <c r="CN2693" s="213"/>
      <c r="CO2693" s="197"/>
      <c r="CP2693" s="197"/>
      <c r="CQ2693" s="197"/>
      <c r="CR2693" s="197"/>
      <c r="CS2693" s="197"/>
      <c r="CT2693" s="197"/>
      <c r="CU2693" s="197"/>
      <c r="CV2693" s="197"/>
      <c r="CW2693" s="197"/>
      <c r="CX2693" s="959"/>
      <c r="CY2693" s="959"/>
      <c r="CZ2693" s="959"/>
      <c r="DA2693" s="959"/>
      <c r="DB2693" s="959"/>
      <c r="DC2693" s="891">
        <v>8746</v>
      </c>
      <c r="DD2693" s="891" t="s">
        <v>2257</v>
      </c>
      <c r="DE2693" s="891" t="s">
        <v>412</v>
      </c>
      <c r="DF2693" s="891">
        <v>5</v>
      </c>
      <c r="DG2693" s="959"/>
      <c r="DH2693" s="959"/>
      <c r="ER2693" s="905">
        <v>8638</v>
      </c>
      <c r="ES2693" s="906" t="s">
        <v>2179</v>
      </c>
      <c r="ET2693" s="2686">
        <v>9</v>
      </c>
      <c r="EV2693" s="985"/>
      <c r="EW2693" s="985"/>
      <c r="EX2693" s="387"/>
      <c r="EY2693" s="939"/>
      <c r="EZ2693" s="886"/>
    </row>
    <row r="2694" spans="88:156">
      <c r="CJ2694" s="197"/>
      <c r="CK2694" s="197"/>
      <c r="CL2694" s="197"/>
      <c r="CM2694" s="213"/>
      <c r="CN2694" s="213"/>
      <c r="CO2694" s="197"/>
      <c r="CP2694" s="197"/>
      <c r="CQ2694" s="197"/>
      <c r="CR2694" s="197"/>
      <c r="CS2694" s="197"/>
      <c r="CT2694" s="197"/>
      <c r="CU2694" s="197"/>
      <c r="CV2694" s="197"/>
      <c r="CW2694" s="197"/>
      <c r="CX2694" s="959"/>
      <c r="CY2694" s="959"/>
      <c r="CZ2694" s="959"/>
      <c r="DA2694" s="959"/>
      <c r="DB2694" s="959"/>
      <c r="DC2694" s="891">
        <v>8747</v>
      </c>
      <c r="DD2694" s="891" t="s">
        <v>2258</v>
      </c>
      <c r="DE2694" s="891" t="s">
        <v>412</v>
      </c>
      <c r="DF2694" s="891">
        <v>5</v>
      </c>
      <c r="DG2694" s="959"/>
      <c r="DH2694" s="959"/>
      <c r="ER2694" s="905">
        <v>8640</v>
      </c>
      <c r="ES2694" s="906" t="s">
        <v>2180</v>
      </c>
      <c r="ET2694" s="2686">
        <v>9</v>
      </c>
      <c r="EV2694" s="985"/>
      <c r="EW2694" s="985"/>
      <c r="EX2694" s="387"/>
      <c r="EY2694" s="939"/>
      <c r="EZ2694" s="886"/>
    </row>
    <row r="2695" spans="88:156">
      <c r="CJ2695" s="197"/>
      <c r="CK2695" s="197"/>
      <c r="CL2695" s="197"/>
      <c r="CM2695" s="213"/>
      <c r="CN2695" s="213"/>
      <c r="CO2695" s="197"/>
      <c r="CP2695" s="197"/>
      <c r="CQ2695" s="197"/>
      <c r="CR2695" s="197"/>
      <c r="CS2695" s="197"/>
      <c r="CT2695" s="197"/>
      <c r="CU2695" s="197"/>
      <c r="CV2695" s="197"/>
      <c r="CW2695" s="197"/>
      <c r="CX2695" s="959"/>
      <c r="CY2695" s="959"/>
      <c r="CZ2695" s="959"/>
      <c r="DA2695" s="959"/>
      <c r="DB2695" s="959"/>
      <c r="DC2695" s="891">
        <v>8749</v>
      </c>
      <c r="DD2695" s="891" t="s">
        <v>2259</v>
      </c>
      <c r="DE2695" s="891" t="s">
        <v>406</v>
      </c>
      <c r="DF2695" s="891">
        <v>5</v>
      </c>
      <c r="DG2695" s="959"/>
      <c r="DH2695" s="959"/>
      <c r="ER2695" s="905">
        <v>8646</v>
      </c>
      <c r="ES2695" s="906" t="s">
        <v>2184</v>
      </c>
      <c r="ET2695" s="2686">
        <v>9</v>
      </c>
      <c r="EV2695" s="985"/>
      <c r="EW2695" s="985"/>
      <c r="EX2695" s="387"/>
      <c r="EY2695" s="939"/>
      <c r="EZ2695" s="886"/>
    </row>
    <row r="2696" spans="88:156">
      <c r="CJ2696" s="197"/>
      <c r="CK2696" s="197"/>
      <c r="CL2696" s="197"/>
      <c r="CM2696" s="213"/>
      <c r="CN2696" s="213"/>
      <c r="CO2696" s="197"/>
      <c r="CP2696" s="197"/>
      <c r="CQ2696" s="197"/>
      <c r="CR2696" s="197"/>
      <c r="CS2696" s="197"/>
      <c r="CT2696" s="197"/>
      <c r="CU2696" s="197"/>
      <c r="CV2696" s="197"/>
      <c r="CW2696" s="197"/>
      <c r="CX2696" s="959"/>
      <c r="CY2696" s="959"/>
      <c r="CZ2696" s="959"/>
      <c r="DA2696" s="959"/>
      <c r="DB2696" s="959"/>
      <c r="DC2696" s="891">
        <v>8751</v>
      </c>
      <c r="DD2696" s="891" t="s">
        <v>2260</v>
      </c>
      <c r="DE2696" s="891" t="s">
        <v>432</v>
      </c>
      <c r="DF2696" s="891">
        <v>4</v>
      </c>
      <c r="DG2696" s="959"/>
      <c r="DH2696" s="959"/>
      <c r="ER2696" s="905">
        <v>8647</v>
      </c>
      <c r="ES2696" s="906" t="s">
        <v>2185</v>
      </c>
      <c r="ET2696" s="2686">
        <v>9</v>
      </c>
      <c r="EV2696" s="985"/>
      <c r="EW2696" s="985"/>
      <c r="EX2696" s="387"/>
      <c r="EY2696" s="939"/>
      <c r="EZ2696" s="886"/>
    </row>
    <row r="2697" spans="88:156">
      <c r="CJ2697" s="197"/>
      <c r="CK2697" s="197"/>
      <c r="CL2697" s="197"/>
      <c r="CM2697" s="213"/>
      <c r="CN2697" s="213"/>
      <c r="CO2697" s="197"/>
      <c r="CP2697" s="197"/>
      <c r="CQ2697" s="197"/>
      <c r="CR2697" s="197"/>
      <c r="CS2697" s="197"/>
      <c r="CT2697" s="197"/>
      <c r="CU2697" s="197"/>
      <c r="CV2697" s="197"/>
      <c r="CW2697" s="197"/>
      <c r="CX2697" s="959"/>
      <c r="CY2697" s="959"/>
      <c r="CZ2697" s="959"/>
      <c r="DA2697" s="959"/>
      <c r="DB2697" s="959"/>
      <c r="DC2697" s="891">
        <v>8752</v>
      </c>
      <c r="DD2697" s="891" t="s">
        <v>2261</v>
      </c>
      <c r="DE2697" s="891" t="s">
        <v>435</v>
      </c>
      <c r="DF2697" s="891">
        <v>5</v>
      </c>
      <c r="DG2697" s="959"/>
      <c r="DH2697" s="959"/>
      <c r="ER2697" s="905">
        <v>8648</v>
      </c>
      <c r="ES2697" s="906" t="s">
        <v>236</v>
      </c>
      <c r="ET2697" s="2686">
        <v>9</v>
      </c>
      <c r="EV2697" s="985"/>
      <c r="EW2697" s="985"/>
      <c r="EX2697" s="387"/>
      <c r="EY2697" s="939"/>
      <c r="EZ2697" s="886"/>
    </row>
    <row r="2698" spans="88:156">
      <c r="CJ2698" s="197"/>
      <c r="CK2698" s="197"/>
      <c r="CL2698" s="197"/>
      <c r="CM2698" s="213"/>
      <c r="CN2698" s="213"/>
      <c r="CO2698" s="197"/>
      <c r="CP2698" s="197"/>
      <c r="CQ2698" s="197"/>
      <c r="CR2698" s="197"/>
      <c r="CS2698" s="197"/>
      <c r="CT2698" s="197"/>
      <c r="CU2698" s="197"/>
      <c r="CV2698" s="197"/>
      <c r="CW2698" s="197"/>
      <c r="CX2698" s="959"/>
      <c r="CY2698" s="959"/>
      <c r="CZ2698" s="959"/>
      <c r="DA2698" s="959"/>
      <c r="DB2698" s="959"/>
      <c r="DC2698" s="891">
        <v>8753</v>
      </c>
      <c r="DD2698" s="891" t="s">
        <v>2262</v>
      </c>
      <c r="DE2698" s="891" t="s">
        <v>419</v>
      </c>
      <c r="DF2698" s="891">
        <v>5</v>
      </c>
      <c r="DG2698" s="959"/>
      <c r="DH2698" s="959"/>
      <c r="ER2698" s="905">
        <v>8649</v>
      </c>
      <c r="ES2698" s="906" t="s">
        <v>2187</v>
      </c>
      <c r="ET2698" s="2686">
        <v>9</v>
      </c>
      <c r="EV2698" s="985"/>
      <c r="EW2698" s="985"/>
      <c r="EX2698" s="387"/>
      <c r="EY2698" s="939"/>
      <c r="EZ2698" s="886"/>
    </row>
    <row r="2699" spans="88:156">
      <c r="CJ2699" s="197"/>
      <c r="CK2699" s="197"/>
      <c r="CL2699" s="197"/>
      <c r="CM2699" s="213"/>
      <c r="CN2699" s="213"/>
      <c r="CO2699" s="197"/>
      <c r="CP2699" s="197"/>
      <c r="CQ2699" s="197"/>
      <c r="CR2699" s="197"/>
      <c r="CS2699" s="197"/>
      <c r="CT2699" s="197"/>
      <c r="CU2699" s="197"/>
      <c r="CV2699" s="197"/>
      <c r="CW2699" s="197"/>
      <c r="CX2699" s="959"/>
      <c r="CY2699" s="959"/>
      <c r="CZ2699" s="959"/>
      <c r="DA2699" s="959"/>
      <c r="DB2699" s="959"/>
      <c r="DC2699" s="891">
        <v>8754</v>
      </c>
      <c r="DD2699" s="891" t="s">
        <v>2263</v>
      </c>
      <c r="DE2699" s="891" t="s">
        <v>435</v>
      </c>
      <c r="DF2699" s="891">
        <v>5</v>
      </c>
      <c r="DG2699" s="959"/>
      <c r="DH2699" s="959"/>
      <c r="ER2699" s="905">
        <v>8651</v>
      </c>
      <c r="ES2699" s="906" t="s">
        <v>2188</v>
      </c>
      <c r="ET2699" s="2686">
        <v>6</v>
      </c>
      <c r="EV2699" s="985"/>
      <c r="EW2699" s="985"/>
      <c r="EX2699" s="387"/>
      <c r="EY2699" s="939"/>
      <c r="EZ2699" s="886"/>
    </row>
    <row r="2700" spans="88:156">
      <c r="CJ2700" s="197"/>
      <c r="CK2700" s="197"/>
      <c r="CL2700" s="197"/>
      <c r="CM2700" s="213"/>
      <c r="CN2700" s="213"/>
      <c r="CO2700" s="197"/>
      <c r="CP2700" s="197"/>
      <c r="CQ2700" s="197"/>
      <c r="CR2700" s="197"/>
      <c r="CS2700" s="197"/>
      <c r="CT2700" s="197"/>
      <c r="CU2700" s="197"/>
      <c r="CV2700" s="197"/>
      <c r="CW2700" s="197"/>
      <c r="CX2700" s="959"/>
      <c r="CY2700" s="959"/>
      <c r="CZ2700" s="959"/>
      <c r="DA2700" s="959"/>
      <c r="DB2700" s="959"/>
      <c r="DC2700" s="891">
        <v>8755</v>
      </c>
      <c r="DD2700" s="891" t="s">
        <v>2264</v>
      </c>
      <c r="DE2700" s="891" t="s">
        <v>404</v>
      </c>
      <c r="DF2700" s="891">
        <v>5</v>
      </c>
      <c r="DG2700" s="959"/>
      <c r="DH2700" s="959"/>
      <c r="ER2700" s="905">
        <v>8652</v>
      </c>
      <c r="ES2700" s="906" t="s">
        <v>2189</v>
      </c>
      <c r="ET2700" s="2686">
        <v>9</v>
      </c>
      <c r="EV2700" s="985"/>
      <c r="EW2700" s="985"/>
      <c r="EX2700" s="387"/>
      <c r="EY2700" s="939"/>
      <c r="EZ2700" s="886"/>
    </row>
    <row r="2701" spans="88:156">
      <c r="CJ2701" s="197"/>
      <c r="CK2701" s="197"/>
      <c r="CL2701" s="197"/>
      <c r="CM2701" s="213"/>
      <c r="CN2701" s="213"/>
      <c r="CO2701" s="197"/>
      <c r="CP2701" s="197"/>
      <c r="CQ2701" s="197"/>
      <c r="CR2701" s="197"/>
      <c r="CS2701" s="197"/>
      <c r="CT2701" s="197"/>
      <c r="CU2701" s="197"/>
      <c r="CV2701" s="197"/>
      <c r="CW2701" s="197"/>
      <c r="CX2701" s="959"/>
      <c r="CY2701" s="959"/>
      <c r="CZ2701" s="959"/>
      <c r="DA2701" s="959"/>
      <c r="DB2701" s="959"/>
      <c r="DC2701" s="891">
        <v>8756</v>
      </c>
      <c r="DD2701" s="891" t="s">
        <v>2265</v>
      </c>
      <c r="DE2701" s="891" t="s">
        <v>428</v>
      </c>
      <c r="DF2701" s="891">
        <v>5</v>
      </c>
      <c r="DG2701" s="959"/>
      <c r="DH2701" s="959"/>
      <c r="ER2701" s="905">
        <v>8653</v>
      </c>
      <c r="ES2701" s="906" t="s">
        <v>2190</v>
      </c>
      <c r="ET2701" s="2686">
        <v>9</v>
      </c>
      <c r="EV2701" s="985"/>
      <c r="EW2701" s="985"/>
      <c r="EX2701" s="387"/>
      <c r="EY2701" s="939"/>
      <c r="EZ2701" s="886"/>
    </row>
    <row r="2702" spans="88:156">
      <c r="CJ2702" s="197"/>
      <c r="CK2702" s="197"/>
      <c r="CL2702" s="197"/>
      <c r="CM2702" s="213"/>
      <c r="CN2702" s="213"/>
      <c r="CO2702" s="197"/>
      <c r="CP2702" s="197"/>
      <c r="CQ2702" s="197"/>
      <c r="CR2702" s="197"/>
      <c r="CS2702" s="197"/>
      <c r="CT2702" s="197"/>
      <c r="CU2702" s="197"/>
      <c r="CV2702" s="197"/>
      <c r="CW2702" s="197"/>
      <c r="CX2702" s="959"/>
      <c r="CY2702" s="959"/>
      <c r="CZ2702" s="959"/>
      <c r="DA2702" s="959"/>
      <c r="DB2702" s="959"/>
      <c r="DC2702" s="891">
        <v>8761</v>
      </c>
      <c r="DD2702" s="891" t="s">
        <v>2266</v>
      </c>
      <c r="DE2702" s="891" t="s">
        <v>421</v>
      </c>
      <c r="DF2702" s="891">
        <v>6</v>
      </c>
      <c r="DG2702" s="959"/>
      <c r="DH2702" s="959"/>
      <c r="ER2702" s="905">
        <v>8654</v>
      </c>
      <c r="ES2702" s="906" t="s">
        <v>2191</v>
      </c>
      <c r="ET2702" s="2686">
        <v>9</v>
      </c>
      <c r="EV2702" s="985"/>
      <c r="EW2702" s="985"/>
      <c r="EX2702" s="387"/>
      <c r="EY2702" s="939"/>
      <c r="EZ2702" s="886"/>
    </row>
    <row r="2703" spans="88:156">
      <c r="CJ2703" s="197"/>
      <c r="CK2703" s="197"/>
      <c r="CL2703" s="197"/>
      <c r="CM2703" s="213"/>
      <c r="CN2703" s="213"/>
      <c r="CO2703" s="197"/>
      <c r="CP2703" s="197"/>
      <c r="CQ2703" s="197"/>
      <c r="CR2703" s="197"/>
      <c r="CS2703" s="197"/>
      <c r="CT2703" s="197"/>
      <c r="CU2703" s="197"/>
      <c r="CV2703" s="197"/>
      <c r="CW2703" s="197"/>
      <c r="CX2703" s="959"/>
      <c r="CY2703" s="959"/>
      <c r="CZ2703" s="959"/>
      <c r="DA2703" s="959"/>
      <c r="DB2703" s="959"/>
      <c r="DC2703" s="891">
        <v>8762</v>
      </c>
      <c r="DD2703" s="891" t="s">
        <v>2267</v>
      </c>
      <c r="DE2703" s="891" t="s">
        <v>428</v>
      </c>
      <c r="DF2703" s="891">
        <v>6</v>
      </c>
      <c r="DG2703" s="959"/>
      <c r="DH2703" s="959"/>
      <c r="ER2703" s="905">
        <v>8655</v>
      </c>
      <c r="ES2703" s="906" t="s">
        <v>2192</v>
      </c>
      <c r="ET2703" s="2686">
        <v>9</v>
      </c>
      <c r="EV2703" s="985"/>
      <c r="EW2703" s="985"/>
      <c r="EX2703" s="387"/>
      <c r="EY2703" s="939"/>
      <c r="EZ2703" s="886"/>
    </row>
    <row r="2704" spans="88:156">
      <c r="CJ2704" s="197"/>
      <c r="CK2704" s="197"/>
      <c r="CL2704" s="197"/>
      <c r="CM2704" s="213"/>
      <c r="CN2704" s="213"/>
      <c r="CO2704" s="197"/>
      <c r="CP2704" s="197"/>
      <c r="CQ2704" s="197"/>
      <c r="CR2704" s="197"/>
      <c r="CS2704" s="197"/>
      <c r="CT2704" s="197"/>
      <c r="CU2704" s="197"/>
      <c r="CV2704" s="197"/>
      <c r="CW2704" s="197"/>
      <c r="CX2704" s="959"/>
      <c r="CY2704" s="959"/>
      <c r="CZ2704" s="959"/>
      <c r="DA2704" s="959"/>
      <c r="DB2704" s="959"/>
      <c r="DC2704" s="891">
        <v>8764</v>
      </c>
      <c r="DD2704" s="891" t="s">
        <v>2268</v>
      </c>
      <c r="DE2704" s="891" t="s">
        <v>428</v>
      </c>
      <c r="DF2704" s="891">
        <v>6</v>
      </c>
      <c r="DG2704" s="959"/>
      <c r="DH2704" s="959"/>
      <c r="ER2704" s="905">
        <v>8656</v>
      </c>
      <c r="ES2704" s="906" t="s">
        <v>2193</v>
      </c>
      <c r="ET2704" s="2686">
        <v>9</v>
      </c>
      <c r="EV2704" s="985"/>
      <c r="EW2704" s="985"/>
      <c r="EX2704" s="387"/>
      <c r="EY2704" s="939"/>
      <c r="EZ2704" s="886"/>
    </row>
    <row r="2705" spans="88:156">
      <c r="CJ2705" s="197"/>
      <c r="CK2705" s="197"/>
      <c r="CL2705" s="197"/>
      <c r="CM2705" s="213"/>
      <c r="CN2705" s="213"/>
      <c r="CO2705" s="197"/>
      <c r="CP2705" s="197"/>
      <c r="CQ2705" s="197"/>
      <c r="CR2705" s="197"/>
      <c r="CS2705" s="197"/>
      <c r="CT2705" s="197"/>
      <c r="CU2705" s="197"/>
      <c r="CV2705" s="197"/>
      <c r="CW2705" s="197"/>
      <c r="CX2705" s="959"/>
      <c r="CY2705" s="959"/>
      <c r="CZ2705" s="959"/>
      <c r="DA2705" s="959"/>
      <c r="DB2705" s="959"/>
      <c r="DC2705" s="891">
        <v>8765</v>
      </c>
      <c r="DD2705" s="891" t="s">
        <v>2269</v>
      </c>
      <c r="DE2705" s="891" t="s">
        <v>418</v>
      </c>
      <c r="DF2705" s="891">
        <v>6</v>
      </c>
      <c r="DG2705" s="959"/>
      <c r="DH2705" s="959"/>
      <c r="ER2705" s="905">
        <v>8658</v>
      </c>
      <c r="ES2705" s="906" t="s">
        <v>2195</v>
      </c>
      <c r="ET2705" s="2686">
        <v>9</v>
      </c>
      <c r="EV2705" s="985"/>
      <c r="EW2705" s="985"/>
      <c r="EX2705" s="387"/>
      <c r="EY2705" s="939"/>
      <c r="EZ2705" s="886"/>
    </row>
    <row r="2706" spans="88:156">
      <c r="CJ2706" s="197"/>
      <c r="CK2706" s="197"/>
      <c r="CL2706" s="197"/>
      <c r="CM2706" s="213"/>
      <c r="CN2706" s="213"/>
      <c r="CO2706" s="197"/>
      <c r="CP2706" s="197"/>
      <c r="CQ2706" s="197"/>
      <c r="CR2706" s="197"/>
      <c r="CS2706" s="197"/>
      <c r="CT2706" s="197"/>
      <c r="CU2706" s="197"/>
      <c r="CV2706" s="197"/>
      <c r="CW2706" s="197"/>
      <c r="CX2706" s="959"/>
      <c r="CY2706" s="959"/>
      <c r="CZ2706" s="959"/>
      <c r="DA2706" s="959"/>
      <c r="DB2706" s="959"/>
      <c r="DC2706" s="891">
        <v>8767</v>
      </c>
      <c r="DD2706" s="891" t="s">
        <v>2270</v>
      </c>
      <c r="DE2706" s="891" t="s">
        <v>427</v>
      </c>
      <c r="DF2706" s="891">
        <v>6</v>
      </c>
      <c r="DG2706" s="959"/>
      <c r="DH2706" s="959"/>
      <c r="ER2706" s="905">
        <v>8660</v>
      </c>
      <c r="ES2706" s="906" t="s">
        <v>237</v>
      </c>
      <c r="ET2706" s="2686">
        <v>9</v>
      </c>
      <c r="EV2706" s="985"/>
      <c r="EW2706" s="985"/>
      <c r="EX2706" s="387"/>
      <c r="EY2706" s="939"/>
      <c r="EZ2706" s="886"/>
    </row>
    <row r="2707" spans="88:156">
      <c r="CJ2707" s="197"/>
      <c r="CK2707" s="197"/>
      <c r="CL2707" s="197"/>
      <c r="CM2707" s="213"/>
      <c r="CN2707" s="213"/>
      <c r="CO2707" s="197"/>
      <c r="CP2707" s="197"/>
      <c r="CQ2707" s="197"/>
      <c r="CR2707" s="197"/>
      <c r="CS2707" s="197"/>
      <c r="CT2707" s="197"/>
      <c r="CU2707" s="197"/>
      <c r="CV2707" s="197"/>
      <c r="CW2707" s="197"/>
      <c r="CX2707" s="959"/>
      <c r="CY2707" s="959"/>
      <c r="CZ2707" s="959"/>
      <c r="DA2707" s="959"/>
      <c r="DB2707" s="959"/>
      <c r="DC2707" s="891">
        <v>8768</v>
      </c>
      <c r="DD2707" s="891" t="s">
        <v>2271</v>
      </c>
      <c r="DE2707" s="891" t="s">
        <v>423</v>
      </c>
      <c r="DF2707" s="891">
        <v>6</v>
      </c>
      <c r="DG2707" s="959"/>
      <c r="DH2707" s="959"/>
      <c r="ER2707" s="905">
        <v>8660</v>
      </c>
      <c r="ES2707" s="906" t="s">
        <v>238</v>
      </c>
      <c r="ET2707" s="2686">
        <v>9</v>
      </c>
      <c r="EV2707" s="985"/>
      <c r="EW2707" s="985"/>
      <c r="EX2707" s="387"/>
      <c r="EY2707" s="939"/>
      <c r="EZ2707" s="886"/>
    </row>
    <row r="2708" spans="88:156">
      <c r="CJ2708" s="197"/>
      <c r="CK2708" s="197"/>
      <c r="CL2708" s="197"/>
      <c r="CM2708" s="213"/>
      <c r="CN2708" s="213"/>
      <c r="CO2708" s="197"/>
      <c r="CP2708" s="197"/>
      <c r="CQ2708" s="197"/>
      <c r="CR2708" s="197"/>
      <c r="CS2708" s="197"/>
      <c r="CT2708" s="197"/>
      <c r="CU2708" s="197"/>
      <c r="CV2708" s="197"/>
      <c r="CW2708" s="197"/>
      <c r="CX2708" s="959"/>
      <c r="CY2708" s="959"/>
      <c r="CZ2708" s="959"/>
      <c r="DA2708" s="959"/>
      <c r="DB2708" s="959"/>
      <c r="DC2708" s="891">
        <v>8769</v>
      </c>
      <c r="DD2708" s="891" t="s">
        <v>2272</v>
      </c>
      <c r="DE2708" s="891" t="s">
        <v>2808</v>
      </c>
      <c r="DF2708" s="891">
        <v>6</v>
      </c>
      <c r="DG2708" s="959"/>
      <c r="DH2708" s="959"/>
      <c r="ER2708" s="905">
        <v>8660</v>
      </c>
      <c r="ES2708" s="906" t="s">
        <v>2902</v>
      </c>
      <c r="ET2708" s="2686">
        <v>9</v>
      </c>
      <c r="EV2708" s="985"/>
      <c r="EW2708" s="985"/>
      <c r="EX2708" s="387"/>
      <c r="EY2708" s="939"/>
      <c r="EZ2708" s="886"/>
    </row>
    <row r="2709" spans="88:156">
      <c r="CJ2709" s="197"/>
      <c r="CK2709" s="197"/>
      <c r="CL2709" s="197"/>
      <c r="CM2709" s="213"/>
      <c r="CN2709" s="213"/>
      <c r="CO2709" s="197"/>
      <c r="CP2709" s="197"/>
      <c r="CQ2709" s="197"/>
      <c r="CR2709" s="197"/>
      <c r="CS2709" s="197"/>
      <c r="CT2709" s="197"/>
      <c r="CU2709" s="197"/>
      <c r="CV2709" s="197"/>
      <c r="CW2709" s="197"/>
      <c r="CX2709" s="959"/>
      <c r="CY2709" s="959"/>
      <c r="CZ2709" s="959"/>
      <c r="DA2709" s="959"/>
      <c r="DB2709" s="959"/>
      <c r="DC2709" s="891">
        <v>8771</v>
      </c>
      <c r="DD2709" s="891" t="s">
        <v>2273</v>
      </c>
      <c r="DE2709" s="891" t="s">
        <v>421</v>
      </c>
      <c r="DF2709" s="891">
        <v>6</v>
      </c>
      <c r="DG2709" s="959"/>
      <c r="DH2709" s="959"/>
      <c r="ER2709" s="905">
        <v>8660</v>
      </c>
      <c r="ES2709" s="906" t="s">
        <v>2196</v>
      </c>
      <c r="ET2709" s="2686">
        <v>9</v>
      </c>
      <c r="EV2709" s="985"/>
      <c r="EW2709" s="985"/>
      <c r="EX2709" s="387"/>
      <c r="EY2709" s="939"/>
      <c r="EZ2709" s="886"/>
    </row>
    <row r="2710" spans="88:156">
      <c r="CJ2710" s="197"/>
      <c r="CK2710" s="197"/>
      <c r="CL2710" s="197"/>
      <c r="CM2710" s="213"/>
      <c r="CN2710" s="213"/>
      <c r="CO2710" s="197"/>
      <c r="CP2710" s="197"/>
      <c r="CQ2710" s="197"/>
      <c r="CR2710" s="197"/>
      <c r="CS2710" s="197"/>
      <c r="CT2710" s="197"/>
      <c r="CU2710" s="197"/>
      <c r="CV2710" s="197"/>
      <c r="CW2710" s="197"/>
      <c r="CX2710" s="959"/>
      <c r="CY2710" s="959"/>
      <c r="CZ2710" s="959"/>
      <c r="DA2710" s="959"/>
      <c r="DB2710" s="959"/>
      <c r="DC2710" s="891">
        <v>8772</v>
      </c>
      <c r="DD2710" s="891" t="s">
        <v>2274</v>
      </c>
      <c r="DE2710" s="891" t="s">
        <v>421</v>
      </c>
      <c r="DF2710" s="891">
        <v>6</v>
      </c>
      <c r="DG2710" s="959"/>
      <c r="DH2710" s="959"/>
      <c r="ER2710" s="905">
        <v>8660</v>
      </c>
      <c r="ES2710" s="906" t="s">
        <v>432</v>
      </c>
      <c r="ET2710" s="2686">
        <v>9</v>
      </c>
      <c r="EV2710" s="985"/>
      <c r="EW2710" s="985"/>
      <c r="EX2710" s="387"/>
      <c r="EY2710" s="939"/>
      <c r="EZ2710" s="886"/>
    </row>
    <row r="2711" spans="88:156">
      <c r="CJ2711" s="197"/>
      <c r="CK2711" s="197"/>
      <c r="CL2711" s="197"/>
      <c r="CM2711" s="213"/>
      <c r="CN2711" s="213"/>
      <c r="CO2711" s="197"/>
      <c r="CP2711" s="197"/>
      <c r="CQ2711" s="197"/>
      <c r="CR2711" s="197"/>
      <c r="CS2711" s="197"/>
      <c r="CT2711" s="197"/>
      <c r="CU2711" s="197"/>
      <c r="CV2711" s="197"/>
      <c r="CW2711" s="197"/>
      <c r="CX2711" s="959"/>
      <c r="CY2711" s="959"/>
      <c r="CZ2711" s="959"/>
      <c r="DA2711" s="959"/>
      <c r="DB2711" s="959"/>
      <c r="DC2711" s="891">
        <v>8773</v>
      </c>
      <c r="DD2711" s="891" t="s">
        <v>2275</v>
      </c>
      <c r="DE2711" s="891" t="s">
        <v>418</v>
      </c>
      <c r="DF2711" s="891">
        <v>6</v>
      </c>
      <c r="DG2711" s="959"/>
      <c r="DH2711" s="959"/>
      <c r="ER2711" s="905">
        <v>8666</v>
      </c>
      <c r="ES2711" s="906" t="s">
        <v>2197</v>
      </c>
      <c r="ET2711" s="2686">
        <v>9</v>
      </c>
      <c r="EV2711" s="985"/>
      <c r="EW2711" s="985"/>
      <c r="EX2711" s="387"/>
      <c r="EY2711" s="939"/>
      <c r="EZ2711" s="886"/>
    </row>
    <row r="2712" spans="88:156">
      <c r="CJ2712" s="197"/>
      <c r="CK2712" s="197"/>
      <c r="CL2712" s="197"/>
      <c r="CM2712" s="213"/>
      <c r="CN2712" s="213"/>
      <c r="CO2712" s="197"/>
      <c r="CP2712" s="197"/>
      <c r="CQ2712" s="197"/>
      <c r="CR2712" s="197"/>
      <c r="CS2712" s="197"/>
      <c r="CT2712" s="197"/>
      <c r="CU2712" s="197"/>
      <c r="CV2712" s="197"/>
      <c r="CW2712" s="197"/>
      <c r="CX2712" s="959"/>
      <c r="CY2712" s="959"/>
      <c r="CZ2712" s="959"/>
      <c r="DA2712" s="959"/>
      <c r="DB2712" s="959"/>
      <c r="DC2712" s="891">
        <v>8774</v>
      </c>
      <c r="DD2712" s="891" t="s">
        <v>2276</v>
      </c>
      <c r="DE2712" s="891" t="s">
        <v>404</v>
      </c>
      <c r="DF2712" s="891">
        <v>5</v>
      </c>
      <c r="DG2712" s="959"/>
      <c r="DH2712" s="959"/>
      <c r="ER2712" s="905">
        <v>8666</v>
      </c>
      <c r="ES2712" s="906" t="s">
        <v>1733</v>
      </c>
      <c r="ET2712" s="2686">
        <v>9</v>
      </c>
      <c r="EV2712" s="985"/>
      <c r="EW2712" s="985"/>
      <c r="EX2712" s="387"/>
      <c r="EY2712" s="939"/>
      <c r="EZ2712" s="886"/>
    </row>
    <row r="2713" spans="88:156">
      <c r="CJ2713" s="197"/>
      <c r="CK2713" s="197"/>
      <c r="CL2713" s="197"/>
      <c r="CM2713" s="213"/>
      <c r="CN2713" s="213"/>
      <c r="CO2713" s="197"/>
      <c r="CP2713" s="197"/>
      <c r="CQ2713" s="197"/>
      <c r="CR2713" s="197"/>
      <c r="CS2713" s="197"/>
      <c r="CT2713" s="197"/>
      <c r="CU2713" s="197"/>
      <c r="CV2713" s="197"/>
      <c r="CW2713" s="197"/>
      <c r="CX2713" s="959"/>
      <c r="CY2713" s="959"/>
      <c r="CZ2713" s="959"/>
      <c r="DA2713" s="959"/>
      <c r="DB2713" s="959"/>
      <c r="DC2713" s="891">
        <v>8776</v>
      </c>
      <c r="DD2713" s="891" t="s">
        <v>2277</v>
      </c>
      <c r="DE2713" s="891" t="s">
        <v>433</v>
      </c>
      <c r="DF2713" s="891">
        <v>5</v>
      </c>
      <c r="DG2713" s="959"/>
      <c r="DH2713" s="959"/>
      <c r="ER2713" s="905">
        <v>8667</v>
      </c>
      <c r="ES2713" s="906" t="s">
        <v>2198</v>
      </c>
      <c r="ET2713" s="2686">
        <v>9</v>
      </c>
      <c r="EV2713" s="985"/>
      <c r="EW2713" s="985"/>
      <c r="EX2713" s="387"/>
      <c r="EY2713" s="939"/>
      <c r="EZ2713" s="886"/>
    </row>
    <row r="2714" spans="88:156">
      <c r="CJ2714" s="197"/>
      <c r="CK2714" s="197"/>
      <c r="CL2714" s="197"/>
      <c r="CM2714" s="213"/>
      <c r="CN2714" s="213"/>
      <c r="CO2714" s="197"/>
      <c r="CP2714" s="197"/>
      <c r="CQ2714" s="197"/>
      <c r="CR2714" s="197"/>
      <c r="CS2714" s="197"/>
      <c r="CT2714" s="197"/>
      <c r="CU2714" s="197"/>
      <c r="CV2714" s="197"/>
      <c r="CW2714" s="197"/>
      <c r="CX2714" s="959"/>
      <c r="CY2714" s="959"/>
      <c r="CZ2714" s="959"/>
      <c r="DA2714" s="959"/>
      <c r="DB2714" s="959"/>
      <c r="DC2714" s="891">
        <v>8777</v>
      </c>
      <c r="DD2714" s="891" t="s">
        <v>2278</v>
      </c>
      <c r="DE2714" s="891" t="s">
        <v>423</v>
      </c>
      <c r="DF2714" s="891">
        <v>5</v>
      </c>
      <c r="DG2714" s="959"/>
      <c r="DH2714" s="959"/>
      <c r="ER2714" s="905">
        <v>8668</v>
      </c>
      <c r="ES2714" s="906" t="s">
        <v>2199</v>
      </c>
      <c r="ET2714" s="2686">
        <v>9</v>
      </c>
      <c r="EV2714" s="985"/>
      <c r="EW2714" s="985"/>
      <c r="EX2714" s="387"/>
      <c r="EY2714" s="939"/>
      <c r="EZ2714" s="886"/>
    </row>
    <row r="2715" spans="88:156">
      <c r="CJ2715" s="197"/>
      <c r="CK2715" s="197"/>
      <c r="CL2715" s="197"/>
      <c r="CM2715" s="213"/>
      <c r="CN2715" s="213"/>
      <c r="CO2715" s="197"/>
      <c r="CP2715" s="197"/>
      <c r="CQ2715" s="197"/>
      <c r="CR2715" s="197"/>
      <c r="CS2715" s="197"/>
      <c r="CT2715" s="197"/>
      <c r="CU2715" s="197"/>
      <c r="CV2715" s="197"/>
      <c r="CW2715" s="197"/>
      <c r="CX2715" s="959"/>
      <c r="CY2715" s="959"/>
      <c r="CZ2715" s="959"/>
      <c r="DA2715" s="959"/>
      <c r="DB2715" s="959"/>
      <c r="DC2715" s="891">
        <v>8778</v>
      </c>
      <c r="DD2715" s="891" t="s">
        <v>2279</v>
      </c>
      <c r="DE2715" s="891" t="s">
        <v>419</v>
      </c>
      <c r="DF2715" s="891">
        <v>5</v>
      </c>
      <c r="DG2715" s="959"/>
      <c r="DH2715" s="959"/>
      <c r="ER2715" s="905">
        <v>8669</v>
      </c>
      <c r="ES2715" s="906" t="s">
        <v>3927</v>
      </c>
      <c r="ET2715" s="2686">
        <v>9</v>
      </c>
      <c r="EV2715" s="985"/>
      <c r="EW2715" s="985"/>
      <c r="EX2715" s="387"/>
      <c r="EY2715" s="939"/>
      <c r="EZ2715" s="886"/>
    </row>
    <row r="2716" spans="88:156">
      <c r="CJ2716" s="197"/>
      <c r="CK2716" s="197"/>
      <c r="CL2716" s="197"/>
      <c r="CM2716" s="213"/>
      <c r="CN2716" s="213"/>
      <c r="CO2716" s="197"/>
      <c r="CP2716" s="197"/>
      <c r="CQ2716" s="197"/>
      <c r="CR2716" s="197"/>
      <c r="CS2716" s="197"/>
      <c r="CT2716" s="197"/>
      <c r="CU2716" s="197"/>
      <c r="CV2716" s="197"/>
      <c r="CW2716" s="197"/>
      <c r="CX2716" s="959"/>
      <c r="CY2716" s="959"/>
      <c r="CZ2716" s="959"/>
      <c r="DA2716" s="959"/>
      <c r="DB2716" s="959"/>
      <c r="DC2716" s="891">
        <v>8781</v>
      </c>
      <c r="DD2716" s="891" t="s">
        <v>2280</v>
      </c>
      <c r="DE2716" s="891" t="s">
        <v>2808</v>
      </c>
      <c r="DF2716" s="891">
        <v>5</v>
      </c>
      <c r="DG2716" s="959"/>
      <c r="DH2716" s="959"/>
      <c r="ER2716" s="905">
        <v>8671</v>
      </c>
      <c r="ES2716" s="906" t="s">
        <v>2200</v>
      </c>
      <c r="ET2716" s="2686">
        <v>9</v>
      </c>
      <c r="EV2716" s="985"/>
      <c r="EW2716" s="985"/>
      <c r="EX2716" s="387"/>
      <c r="EY2716" s="939"/>
      <c r="EZ2716" s="886"/>
    </row>
    <row r="2717" spans="88:156">
      <c r="CJ2717" s="197"/>
      <c r="CK2717" s="197"/>
      <c r="CL2717" s="197"/>
      <c r="CM2717" s="213"/>
      <c r="CN2717" s="213"/>
      <c r="CO2717" s="197"/>
      <c r="CP2717" s="197"/>
      <c r="CQ2717" s="197"/>
      <c r="CR2717" s="197"/>
      <c r="CS2717" s="197"/>
      <c r="CT2717" s="197"/>
      <c r="CU2717" s="197"/>
      <c r="CV2717" s="197"/>
      <c r="CW2717" s="197"/>
      <c r="CX2717" s="959"/>
      <c r="CY2717" s="959"/>
      <c r="CZ2717" s="959"/>
      <c r="DA2717" s="959"/>
      <c r="DB2717" s="959"/>
      <c r="DC2717" s="891">
        <v>8782</v>
      </c>
      <c r="DD2717" s="891" t="s">
        <v>2281</v>
      </c>
      <c r="DE2717" s="891" t="s">
        <v>419</v>
      </c>
      <c r="DF2717" s="891">
        <v>6</v>
      </c>
      <c r="DG2717" s="959"/>
      <c r="DH2717" s="959"/>
      <c r="ER2717" s="905">
        <v>8672</v>
      </c>
      <c r="ES2717" s="906" t="s">
        <v>2201</v>
      </c>
      <c r="ET2717" s="2686">
        <v>9</v>
      </c>
      <c r="EV2717" s="985"/>
      <c r="EW2717" s="985"/>
      <c r="EX2717" s="387"/>
      <c r="EY2717" s="939"/>
      <c r="EZ2717" s="886"/>
    </row>
    <row r="2718" spans="88:156">
      <c r="CJ2718" s="197"/>
      <c r="CK2718" s="197"/>
      <c r="CL2718" s="197"/>
      <c r="CM2718" s="213"/>
      <c r="CN2718" s="213"/>
      <c r="CO2718" s="197"/>
      <c r="CP2718" s="197"/>
      <c r="CQ2718" s="197"/>
      <c r="CR2718" s="197"/>
      <c r="CS2718" s="197"/>
      <c r="CT2718" s="197"/>
      <c r="CU2718" s="197"/>
      <c r="CV2718" s="197"/>
      <c r="CW2718" s="197"/>
      <c r="CX2718" s="959"/>
      <c r="CY2718" s="959"/>
      <c r="CZ2718" s="959"/>
      <c r="DA2718" s="959"/>
      <c r="DB2718" s="959"/>
      <c r="DC2718" s="891">
        <v>8784</v>
      </c>
      <c r="DD2718" s="891" t="s">
        <v>2282</v>
      </c>
      <c r="DE2718" s="891" t="s">
        <v>419</v>
      </c>
      <c r="DF2718" s="891">
        <v>6</v>
      </c>
      <c r="DG2718" s="959"/>
      <c r="DH2718" s="959"/>
      <c r="ER2718" s="905">
        <v>8673</v>
      </c>
      <c r="ES2718" s="906" t="s">
        <v>2202</v>
      </c>
      <c r="ET2718" s="2686">
        <v>9</v>
      </c>
      <c r="EV2718" s="985"/>
      <c r="EW2718" s="985"/>
      <c r="EX2718" s="387"/>
      <c r="EY2718" s="939"/>
      <c r="EZ2718" s="886"/>
    </row>
    <row r="2719" spans="88:156">
      <c r="CJ2719" s="197"/>
      <c r="CK2719" s="197"/>
      <c r="CL2719" s="197"/>
      <c r="CM2719" s="213"/>
      <c r="CN2719" s="213"/>
      <c r="CO2719" s="197"/>
      <c r="CP2719" s="197"/>
      <c r="CQ2719" s="197"/>
      <c r="CR2719" s="197"/>
      <c r="CS2719" s="197"/>
      <c r="CT2719" s="197"/>
      <c r="CU2719" s="197"/>
      <c r="CV2719" s="197"/>
      <c r="CW2719" s="197"/>
      <c r="CX2719" s="959"/>
      <c r="CY2719" s="959"/>
      <c r="CZ2719" s="959"/>
      <c r="DA2719" s="959"/>
      <c r="DB2719" s="959"/>
      <c r="DC2719" s="891">
        <v>8785</v>
      </c>
      <c r="DD2719" s="891" t="s">
        <v>2283</v>
      </c>
      <c r="DE2719" s="891" t="s">
        <v>417</v>
      </c>
      <c r="DF2719" s="891">
        <v>6</v>
      </c>
      <c r="DG2719" s="959"/>
      <c r="DH2719" s="959"/>
      <c r="ER2719" s="905">
        <v>8674</v>
      </c>
      <c r="ES2719" s="906" t="s">
        <v>2203</v>
      </c>
      <c r="ET2719" s="2686">
        <v>9</v>
      </c>
      <c r="EV2719" s="985"/>
      <c r="EW2719" s="985"/>
      <c r="EX2719" s="387"/>
      <c r="EY2719" s="939"/>
      <c r="EZ2719" s="886"/>
    </row>
    <row r="2720" spans="88:156">
      <c r="CJ2720" s="197"/>
      <c r="CK2720" s="197"/>
      <c r="CL2720" s="197"/>
      <c r="CM2720" s="213"/>
      <c r="CN2720" s="213"/>
      <c r="CO2720" s="197"/>
      <c r="CP2720" s="197"/>
      <c r="CQ2720" s="197"/>
      <c r="CR2720" s="197"/>
      <c r="CS2720" s="197"/>
      <c r="CT2720" s="197"/>
      <c r="CU2720" s="197"/>
      <c r="CV2720" s="197"/>
      <c r="CW2720" s="197"/>
      <c r="CX2720" s="959"/>
      <c r="CY2720" s="959"/>
      <c r="CZ2720" s="959"/>
      <c r="DA2720" s="959"/>
      <c r="DB2720" s="959"/>
      <c r="DC2720" s="891">
        <v>8787</v>
      </c>
      <c r="DD2720" s="891" t="s">
        <v>4396</v>
      </c>
      <c r="DE2720" s="891" t="s">
        <v>431</v>
      </c>
      <c r="DF2720" s="891">
        <v>6</v>
      </c>
      <c r="DG2720" s="959"/>
      <c r="DH2720" s="959"/>
      <c r="ER2720" s="905">
        <v>8675</v>
      </c>
      <c r="ES2720" s="906" t="s">
        <v>2204</v>
      </c>
      <c r="ET2720" s="2686">
        <v>9</v>
      </c>
      <c r="EV2720" s="985"/>
      <c r="EW2720" s="985"/>
      <c r="EX2720" s="387"/>
      <c r="EY2720" s="939"/>
      <c r="EZ2720" s="886"/>
    </row>
    <row r="2721" spans="88:156">
      <c r="CJ2721" s="197"/>
      <c r="CK2721" s="197"/>
      <c r="CL2721" s="197"/>
      <c r="CM2721" s="213"/>
      <c r="CN2721" s="213"/>
      <c r="CO2721" s="197"/>
      <c r="CP2721" s="197"/>
      <c r="CQ2721" s="197"/>
      <c r="CR2721" s="197"/>
      <c r="CS2721" s="197"/>
      <c r="CT2721" s="197"/>
      <c r="CU2721" s="197"/>
      <c r="CV2721" s="197"/>
      <c r="CW2721" s="197"/>
      <c r="CX2721" s="959"/>
      <c r="CY2721" s="959"/>
      <c r="CZ2721" s="959"/>
      <c r="DA2721" s="959"/>
      <c r="DB2721" s="959"/>
      <c r="DC2721" s="891">
        <v>8788</v>
      </c>
      <c r="DD2721" s="891" t="s">
        <v>4397</v>
      </c>
      <c r="DE2721" s="891" t="s">
        <v>423</v>
      </c>
      <c r="DF2721" s="891">
        <v>6</v>
      </c>
      <c r="DG2721" s="959"/>
      <c r="DH2721" s="959"/>
      <c r="ER2721" s="905">
        <v>8676</v>
      </c>
      <c r="ES2721" s="906" t="s">
        <v>2205</v>
      </c>
      <c r="ET2721" s="2686">
        <v>9</v>
      </c>
      <c r="EV2721" s="985"/>
      <c r="EW2721" s="985"/>
      <c r="EX2721" s="387"/>
      <c r="EY2721" s="939"/>
      <c r="EZ2721" s="886"/>
    </row>
    <row r="2722" spans="88:156">
      <c r="CJ2722" s="197"/>
      <c r="CK2722" s="197"/>
      <c r="CL2722" s="197"/>
      <c r="CM2722" s="213"/>
      <c r="CN2722" s="213"/>
      <c r="CO2722" s="197"/>
      <c r="CP2722" s="197"/>
      <c r="CQ2722" s="197"/>
      <c r="CR2722" s="197"/>
      <c r="CS2722" s="197"/>
      <c r="CT2722" s="197"/>
      <c r="CU2722" s="197"/>
      <c r="CV2722" s="197"/>
      <c r="CW2722" s="197"/>
      <c r="CX2722" s="959"/>
      <c r="CY2722" s="959"/>
      <c r="CZ2722" s="959"/>
      <c r="DA2722" s="959"/>
      <c r="DB2722" s="959"/>
      <c r="DC2722" s="891">
        <v>8789</v>
      </c>
      <c r="DD2722" s="891" t="s">
        <v>4398</v>
      </c>
      <c r="DE2722" s="891" t="s">
        <v>412</v>
      </c>
      <c r="DF2722" s="891">
        <v>6</v>
      </c>
      <c r="DG2722" s="959"/>
      <c r="DH2722" s="959"/>
      <c r="ER2722" s="905">
        <v>8681</v>
      </c>
      <c r="ES2722" s="906" t="s">
        <v>1734</v>
      </c>
      <c r="ET2722" s="2686">
        <v>9</v>
      </c>
      <c r="EV2722" s="985"/>
      <c r="EW2722" s="985"/>
      <c r="EX2722" s="387"/>
      <c r="EY2722" s="939"/>
      <c r="EZ2722" s="886"/>
    </row>
    <row r="2723" spans="88:156">
      <c r="CJ2723" s="197"/>
      <c r="CK2723" s="197"/>
      <c r="CL2723" s="197"/>
      <c r="CM2723" s="213"/>
      <c r="CN2723" s="213"/>
      <c r="CO2723" s="197"/>
      <c r="CP2723" s="197"/>
      <c r="CQ2723" s="197"/>
      <c r="CR2723" s="197"/>
      <c r="CS2723" s="197"/>
      <c r="CT2723" s="197"/>
      <c r="CU2723" s="197"/>
      <c r="CV2723" s="197"/>
      <c r="CW2723" s="197"/>
      <c r="CX2723" s="959"/>
      <c r="CY2723" s="959"/>
      <c r="CZ2723" s="959"/>
      <c r="DA2723" s="959"/>
      <c r="DB2723" s="959"/>
      <c r="DC2723" s="891">
        <v>8790</v>
      </c>
      <c r="DD2723" s="891" t="s">
        <v>4399</v>
      </c>
      <c r="DE2723" s="891" t="s">
        <v>432</v>
      </c>
      <c r="DF2723" s="891">
        <v>6</v>
      </c>
      <c r="DG2723" s="959"/>
      <c r="DH2723" s="959"/>
      <c r="ER2723" s="905">
        <v>8681</v>
      </c>
      <c r="ES2723" s="906" t="s">
        <v>2206</v>
      </c>
      <c r="ET2723" s="2686">
        <v>9</v>
      </c>
      <c r="EV2723" s="985"/>
      <c r="EW2723" s="985"/>
      <c r="EX2723" s="387"/>
      <c r="EY2723" s="939"/>
      <c r="EZ2723" s="886"/>
    </row>
    <row r="2724" spans="88:156">
      <c r="CJ2724" s="197"/>
      <c r="CK2724" s="197"/>
      <c r="CL2724" s="197"/>
      <c r="CM2724" s="213"/>
      <c r="CN2724" s="213"/>
      <c r="CO2724" s="197"/>
      <c r="CP2724" s="197"/>
      <c r="CQ2724" s="197"/>
      <c r="CR2724" s="197"/>
      <c r="CS2724" s="197"/>
      <c r="CT2724" s="197"/>
      <c r="CU2724" s="197"/>
      <c r="CV2724" s="197"/>
      <c r="CW2724" s="197"/>
      <c r="CX2724" s="959"/>
      <c r="CY2724" s="959"/>
      <c r="CZ2724" s="959"/>
      <c r="DA2724" s="959"/>
      <c r="DB2724" s="959"/>
      <c r="DC2724" s="891">
        <v>8792</v>
      </c>
      <c r="DD2724" s="891" t="s">
        <v>4400</v>
      </c>
      <c r="DE2724" s="891" t="s">
        <v>421</v>
      </c>
      <c r="DF2724" s="891">
        <v>6</v>
      </c>
      <c r="DG2724" s="959"/>
      <c r="DH2724" s="959"/>
      <c r="ER2724" s="905">
        <v>8683</v>
      </c>
      <c r="ES2724" s="906" t="s">
        <v>2207</v>
      </c>
      <c r="ET2724" s="2686">
        <v>9</v>
      </c>
      <c r="EV2724" s="985"/>
      <c r="EW2724" s="985"/>
      <c r="EX2724" s="387"/>
      <c r="EY2724" s="939"/>
      <c r="EZ2724" s="886"/>
    </row>
    <row r="2725" spans="88:156">
      <c r="CJ2725" s="197"/>
      <c r="CK2725" s="197"/>
      <c r="CL2725" s="197"/>
      <c r="CM2725" s="213"/>
      <c r="CN2725" s="213"/>
      <c r="CO2725" s="197"/>
      <c r="CP2725" s="197"/>
      <c r="CQ2725" s="197"/>
      <c r="CR2725" s="197"/>
      <c r="CS2725" s="197"/>
      <c r="CT2725" s="197"/>
      <c r="CU2725" s="197"/>
      <c r="CV2725" s="197"/>
      <c r="CW2725" s="197"/>
      <c r="CX2725" s="959"/>
      <c r="CY2725" s="959"/>
      <c r="CZ2725" s="959"/>
      <c r="DA2725" s="959"/>
      <c r="DB2725" s="959"/>
      <c r="DC2725" s="891">
        <v>8793</v>
      </c>
      <c r="DD2725" s="891" t="s">
        <v>4401</v>
      </c>
      <c r="DE2725" s="891" t="s">
        <v>432</v>
      </c>
      <c r="DF2725" s="891">
        <v>6</v>
      </c>
      <c r="DG2725" s="959"/>
      <c r="DH2725" s="959"/>
      <c r="ER2725" s="905">
        <v>8684</v>
      </c>
      <c r="ES2725" s="906" t="s">
        <v>2208</v>
      </c>
      <c r="ET2725" s="2686">
        <v>9</v>
      </c>
      <c r="EV2725" s="985"/>
      <c r="EW2725" s="985"/>
      <c r="EX2725" s="387"/>
      <c r="EY2725" s="939"/>
      <c r="EZ2725" s="886"/>
    </row>
    <row r="2726" spans="88:156">
      <c r="CJ2726" s="197"/>
      <c r="CK2726" s="197"/>
      <c r="CL2726" s="197"/>
      <c r="CM2726" s="213"/>
      <c r="CN2726" s="213"/>
      <c r="CO2726" s="197"/>
      <c r="CP2726" s="197"/>
      <c r="CQ2726" s="197"/>
      <c r="CR2726" s="197"/>
      <c r="CS2726" s="197"/>
      <c r="CT2726" s="197"/>
      <c r="CU2726" s="197"/>
      <c r="CV2726" s="197"/>
      <c r="CW2726" s="197"/>
      <c r="CX2726" s="959"/>
      <c r="CY2726" s="959"/>
      <c r="CZ2726" s="959"/>
      <c r="DA2726" s="959"/>
      <c r="DB2726" s="959"/>
      <c r="DC2726" s="891">
        <v>8795</v>
      </c>
      <c r="DD2726" s="891" t="s">
        <v>4402</v>
      </c>
      <c r="DE2726" s="891" t="s">
        <v>427</v>
      </c>
      <c r="DF2726" s="891">
        <v>6</v>
      </c>
      <c r="DG2726" s="959"/>
      <c r="DH2726" s="959"/>
      <c r="ER2726" s="905">
        <v>8685</v>
      </c>
      <c r="ES2726" s="906" t="s">
        <v>2209</v>
      </c>
      <c r="ET2726" s="2686">
        <v>9</v>
      </c>
      <c r="EV2726" s="985"/>
      <c r="EW2726" s="985"/>
      <c r="EX2726" s="387"/>
      <c r="EY2726" s="939"/>
      <c r="EZ2726" s="886"/>
    </row>
    <row r="2727" spans="88:156">
      <c r="CJ2727" s="197"/>
      <c r="CK2727" s="197"/>
      <c r="CL2727" s="197"/>
      <c r="CM2727" s="213"/>
      <c r="CN2727" s="213"/>
      <c r="CO2727" s="197"/>
      <c r="CP2727" s="197"/>
      <c r="CQ2727" s="197"/>
      <c r="CR2727" s="197"/>
      <c r="CS2727" s="197"/>
      <c r="CT2727" s="197"/>
      <c r="CU2727" s="197"/>
      <c r="CV2727" s="197"/>
      <c r="CW2727" s="197"/>
      <c r="CX2727" s="959"/>
      <c r="CY2727" s="959"/>
      <c r="CZ2727" s="959"/>
      <c r="DA2727" s="959"/>
      <c r="DB2727" s="959"/>
      <c r="DC2727" s="891">
        <v>8796</v>
      </c>
      <c r="DD2727" s="891" t="s">
        <v>4403</v>
      </c>
      <c r="DE2727" s="891" t="s">
        <v>432</v>
      </c>
      <c r="DF2727" s="891">
        <v>6</v>
      </c>
      <c r="DG2727" s="959"/>
      <c r="DH2727" s="959"/>
      <c r="ER2727" s="905">
        <v>8691</v>
      </c>
      <c r="ES2727" s="905" t="s">
        <v>1735</v>
      </c>
      <c r="ET2727" s="2686">
        <v>9</v>
      </c>
      <c r="EV2727" s="985"/>
      <c r="EW2727" s="985"/>
      <c r="EX2727" s="387"/>
      <c r="EY2727" s="939"/>
      <c r="EZ2727" s="886"/>
    </row>
    <row r="2728" spans="88:156">
      <c r="CJ2728" s="197"/>
      <c r="CK2728" s="197"/>
      <c r="CL2728" s="197"/>
      <c r="CM2728" s="213"/>
      <c r="CN2728" s="213"/>
      <c r="CO2728" s="197"/>
      <c r="CP2728" s="197"/>
      <c r="CQ2728" s="197"/>
      <c r="CR2728" s="197"/>
      <c r="CS2728" s="197"/>
      <c r="CT2728" s="197"/>
      <c r="CU2728" s="197"/>
      <c r="CV2728" s="197"/>
      <c r="CW2728" s="197"/>
      <c r="CX2728" s="959"/>
      <c r="CY2728" s="959"/>
      <c r="CZ2728" s="959"/>
      <c r="DA2728" s="959"/>
      <c r="DB2728" s="959"/>
      <c r="DC2728" s="891">
        <v>8797</v>
      </c>
      <c r="DD2728" s="891" t="s">
        <v>4404</v>
      </c>
      <c r="DE2728" s="891" t="s">
        <v>432</v>
      </c>
      <c r="DF2728" s="891">
        <v>6</v>
      </c>
      <c r="DG2728" s="959"/>
      <c r="DH2728" s="959"/>
      <c r="ER2728" s="905">
        <v>8692</v>
      </c>
      <c r="ES2728" s="906" t="s">
        <v>1736</v>
      </c>
      <c r="ET2728" s="2686">
        <v>9</v>
      </c>
      <c r="EV2728" s="985"/>
      <c r="EW2728" s="985"/>
      <c r="EX2728" s="387"/>
      <c r="EY2728" s="939"/>
      <c r="EZ2728" s="886"/>
    </row>
    <row r="2729" spans="88:156">
      <c r="CJ2729" s="197"/>
      <c r="CK2729" s="197"/>
      <c r="CL2729" s="197"/>
      <c r="CM2729" s="213"/>
      <c r="CN2729" s="213"/>
      <c r="CO2729" s="197"/>
      <c r="CP2729" s="197"/>
      <c r="CQ2729" s="197"/>
      <c r="CR2729" s="197"/>
      <c r="CS2729" s="197"/>
      <c r="CT2729" s="197"/>
      <c r="CU2729" s="197"/>
      <c r="CV2729" s="197"/>
      <c r="CW2729" s="197"/>
      <c r="CX2729" s="959"/>
      <c r="CY2729" s="959"/>
      <c r="CZ2729" s="959"/>
      <c r="DA2729" s="959"/>
      <c r="DB2729" s="959"/>
      <c r="DC2729" s="891">
        <v>8798</v>
      </c>
      <c r="DD2729" s="891" t="s">
        <v>4405</v>
      </c>
      <c r="DE2729" s="891" t="s">
        <v>402</v>
      </c>
      <c r="DF2729" s="891">
        <v>6</v>
      </c>
      <c r="DG2729" s="959"/>
      <c r="DH2729" s="959"/>
      <c r="ER2729" s="905">
        <v>8692</v>
      </c>
      <c r="ES2729" s="906" t="s">
        <v>2211</v>
      </c>
      <c r="ET2729" s="2686">
        <v>9</v>
      </c>
      <c r="EV2729" s="985"/>
      <c r="EW2729" s="985"/>
      <c r="EX2729" s="387"/>
      <c r="EY2729" s="939"/>
      <c r="EZ2729" s="886"/>
    </row>
    <row r="2730" spans="88:156">
      <c r="CJ2730" s="197"/>
      <c r="CK2730" s="197"/>
      <c r="CL2730" s="197"/>
      <c r="CM2730" s="213"/>
      <c r="CN2730" s="213"/>
      <c r="CO2730" s="197"/>
      <c r="CP2730" s="197"/>
      <c r="CQ2730" s="197"/>
      <c r="CR2730" s="197"/>
      <c r="CS2730" s="197"/>
      <c r="CT2730" s="197"/>
      <c r="CU2730" s="197"/>
      <c r="CV2730" s="197"/>
      <c r="CW2730" s="197"/>
      <c r="CX2730" s="959"/>
      <c r="CY2730" s="959"/>
      <c r="CZ2730" s="959"/>
      <c r="DA2730" s="959"/>
      <c r="DB2730" s="959"/>
      <c r="DC2730" s="891">
        <v>8799</v>
      </c>
      <c r="DD2730" s="891" t="s">
        <v>4406</v>
      </c>
      <c r="DE2730" s="891" t="s">
        <v>435</v>
      </c>
      <c r="DF2730" s="891">
        <v>6</v>
      </c>
      <c r="DG2730" s="959"/>
      <c r="DH2730" s="959"/>
      <c r="ER2730" s="905">
        <v>8693</v>
      </c>
      <c r="ES2730" s="906" t="s">
        <v>2212</v>
      </c>
      <c r="ET2730" s="2686">
        <v>9</v>
      </c>
      <c r="EV2730" s="985"/>
      <c r="EW2730" s="985"/>
      <c r="EX2730" s="387"/>
      <c r="EY2730" s="939"/>
      <c r="EZ2730" s="886"/>
    </row>
    <row r="2731" spans="88:156">
      <c r="CJ2731" s="197"/>
      <c r="CK2731" s="197"/>
      <c r="CL2731" s="197"/>
      <c r="CM2731" s="213"/>
      <c r="CN2731" s="213"/>
      <c r="CO2731" s="197"/>
      <c r="CP2731" s="197"/>
      <c r="CQ2731" s="197"/>
      <c r="CR2731" s="197"/>
      <c r="CS2731" s="197"/>
      <c r="CT2731" s="197"/>
      <c r="CU2731" s="197"/>
      <c r="CV2731" s="197"/>
      <c r="CW2731" s="197"/>
      <c r="CX2731" s="959"/>
      <c r="CY2731" s="959"/>
      <c r="CZ2731" s="959"/>
      <c r="DA2731" s="959"/>
      <c r="DB2731" s="959"/>
      <c r="DC2731" s="891">
        <v>8800</v>
      </c>
      <c r="DD2731" s="891" t="s">
        <v>4407</v>
      </c>
      <c r="DE2731" s="891" t="s">
        <v>435</v>
      </c>
      <c r="DF2731" s="891">
        <v>5</v>
      </c>
      <c r="DG2731" s="959"/>
      <c r="DH2731" s="959"/>
      <c r="ER2731" s="905">
        <v>8693</v>
      </c>
      <c r="ES2731" s="906" t="s">
        <v>2183</v>
      </c>
      <c r="ET2731" s="2686">
        <v>9</v>
      </c>
      <c r="EV2731" s="985"/>
      <c r="EW2731" s="985"/>
      <c r="EX2731" s="387"/>
      <c r="EY2731" s="939"/>
      <c r="EZ2731" s="886"/>
    </row>
    <row r="2732" spans="88:156">
      <c r="CJ2732" s="197"/>
      <c r="CK2732" s="197"/>
      <c r="CL2732" s="197"/>
      <c r="CM2732" s="213"/>
      <c r="CN2732" s="213"/>
      <c r="CO2732" s="197"/>
      <c r="CP2732" s="197"/>
      <c r="CQ2732" s="197"/>
      <c r="CR2732" s="197"/>
      <c r="CS2732" s="197"/>
      <c r="CT2732" s="197"/>
      <c r="CU2732" s="197"/>
      <c r="CV2732" s="197"/>
      <c r="CW2732" s="197"/>
      <c r="CX2732" s="959"/>
      <c r="CY2732" s="959"/>
      <c r="CZ2732" s="959"/>
      <c r="DA2732" s="959"/>
      <c r="DB2732" s="959"/>
      <c r="DC2732" s="891">
        <v>8808</v>
      </c>
      <c r="DD2732" s="891" t="s">
        <v>4408</v>
      </c>
      <c r="DE2732" s="891" t="s">
        <v>435</v>
      </c>
      <c r="DF2732" s="891">
        <v>5</v>
      </c>
      <c r="DG2732" s="959"/>
      <c r="DH2732" s="959"/>
      <c r="ER2732" s="905">
        <v>8694</v>
      </c>
      <c r="ES2732" s="906" t="s">
        <v>2213</v>
      </c>
      <c r="ET2732" s="2686">
        <v>9</v>
      </c>
      <c r="EV2732" s="985"/>
      <c r="EW2732" s="985"/>
      <c r="EX2732" s="387"/>
      <c r="EY2732" s="939"/>
      <c r="EZ2732" s="886"/>
    </row>
    <row r="2733" spans="88:156">
      <c r="CJ2733" s="197"/>
      <c r="CK2733" s="197"/>
      <c r="CL2733" s="197"/>
      <c r="CM2733" s="213"/>
      <c r="CN2733" s="213"/>
      <c r="CO2733" s="197"/>
      <c r="CP2733" s="197"/>
      <c r="CQ2733" s="197"/>
      <c r="CR2733" s="197"/>
      <c r="CS2733" s="197"/>
      <c r="CT2733" s="197"/>
      <c r="CU2733" s="197"/>
      <c r="CV2733" s="197"/>
      <c r="CW2733" s="197"/>
      <c r="CX2733" s="959"/>
      <c r="CY2733" s="959"/>
      <c r="CZ2733" s="959"/>
      <c r="DA2733" s="959"/>
      <c r="DB2733" s="959"/>
      <c r="DC2733" s="891">
        <v>8809</v>
      </c>
      <c r="DD2733" s="891" t="s">
        <v>4409</v>
      </c>
      <c r="DE2733" s="891" t="s">
        <v>435</v>
      </c>
      <c r="DF2733" s="891">
        <v>5</v>
      </c>
      <c r="DG2733" s="959"/>
      <c r="DH2733" s="959"/>
      <c r="ER2733" s="905">
        <v>8695</v>
      </c>
      <c r="ES2733" s="906" t="s">
        <v>2214</v>
      </c>
      <c r="ET2733" s="2686">
        <v>9</v>
      </c>
      <c r="EV2733" s="985"/>
      <c r="EW2733" s="985"/>
      <c r="EX2733" s="387"/>
      <c r="EY2733" s="939"/>
      <c r="EZ2733" s="886"/>
    </row>
    <row r="2734" spans="88:156">
      <c r="CJ2734" s="197"/>
      <c r="CK2734" s="197"/>
      <c r="CL2734" s="197"/>
      <c r="CM2734" s="213"/>
      <c r="CN2734" s="213"/>
      <c r="CO2734" s="197"/>
      <c r="CP2734" s="197"/>
      <c r="CQ2734" s="197"/>
      <c r="CR2734" s="197"/>
      <c r="CS2734" s="197"/>
      <c r="CT2734" s="197"/>
      <c r="CU2734" s="197"/>
      <c r="CV2734" s="197"/>
      <c r="CW2734" s="197"/>
      <c r="CX2734" s="959"/>
      <c r="CY2734" s="959"/>
      <c r="CZ2734" s="959"/>
      <c r="DA2734" s="959"/>
      <c r="DB2734" s="959"/>
      <c r="DC2734" s="891">
        <v>8821</v>
      </c>
      <c r="DD2734" s="891" t="s">
        <v>4410</v>
      </c>
      <c r="DE2734" s="891" t="s">
        <v>406</v>
      </c>
      <c r="DF2734" s="891">
        <v>5</v>
      </c>
      <c r="DG2734" s="959"/>
      <c r="DH2734" s="959"/>
      <c r="ER2734" s="905">
        <v>8696</v>
      </c>
      <c r="ES2734" s="906" t="s">
        <v>2215</v>
      </c>
      <c r="ET2734" s="2686">
        <v>9</v>
      </c>
      <c r="EV2734" s="985"/>
      <c r="EW2734" s="985"/>
      <c r="EX2734" s="387"/>
      <c r="EY2734" s="939"/>
      <c r="EZ2734" s="886"/>
    </row>
    <row r="2735" spans="88:156">
      <c r="CJ2735" s="197"/>
      <c r="CK2735" s="197"/>
      <c r="CL2735" s="197"/>
      <c r="CM2735" s="213"/>
      <c r="CN2735" s="213"/>
      <c r="CO2735" s="197"/>
      <c r="CP2735" s="197"/>
      <c r="CQ2735" s="197"/>
      <c r="CR2735" s="197"/>
      <c r="CS2735" s="197"/>
      <c r="CT2735" s="197"/>
      <c r="CU2735" s="197"/>
      <c r="CV2735" s="197"/>
      <c r="CW2735" s="197"/>
      <c r="CX2735" s="959"/>
      <c r="CY2735" s="959"/>
      <c r="CZ2735" s="959"/>
      <c r="DA2735" s="959"/>
      <c r="DB2735" s="959"/>
      <c r="DC2735" s="891">
        <v>8822</v>
      </c>
      <c r="DD2735" s="891" t="s">
        <v>4411</v>
      </c>
      <c r="DE2735" s="891" t="s">
        <v>435</v>
      </c>
      <c r="DF2735" s="891">
        <v>5</v>
      </c>
      <c r="DG2735" s="959"/>
      <c r="DH2735" s="959"/>
      <c r="ER2735" s="905">
        <v>8697</v>
      </c>
      <c r="ES2735" s="906" t="s">
        <v>2216</v>
      </c>
      <c r="ET2735" s="2686">
        <v>9</v>
      </c>
      <c r="EV2735" s="985"/>
      <c r="EW2735" s="985"/>
      <c r="EX2735" s="387"/>
      <c r="EY2735" s="939"/>
      <c r="EZ2735" s="886"/>
    </row>
    <row r="2736" spans="88:156">
      <c r="CJ2736" s="197"/>
      <c r="CK2736" s="197"/>
      <c r="CL2736" s="197"/>
      <c r="CM2736" s="213"/>
      <c r="CN2736" s="213"/>
      <c r="CO2736" s="197"/>
      <c r="CP2736" s="197"/>
      <c r="CQ2736" s="197"/>
      <c r="CR2736" s="197"/>
      <c r="CS2736" s="197"/>
      <c r="CT2736" s="197"/>
      <c r="CU2736" s="197"/>
      <c r="CV2736" s="197"/>
      <c r="CW2736" s="197"/>
      <c r="CX2736" s="959"/>
      <c r="CY2736" s="959"/>
      <c r="CZ2736" s="959"/>
      <c r="DA2736" s="959"/>
      <c r="DB2736" s="959"/>
      <c r="DC2736" s="891">
        <v>8824</v>
      </c>
      <c r="DD2736" s="891" t="s">
        <v>4412</v>
      </c>
      <c r="DE2736" s="891" t="s">
        <v>432</v>
      </c>
      <c r="DF2736" s="891">
        <v>5</v>
      </c>
      <c r="DG2736" s="959"/>
      <c r="DH2736" s="959"/>
      <c r="ER2736" s="905">
        <v>8698</v>
      </c>
      <c r="ES2736" s="906" t="s">
        <v>1737</v>
      </c>
      <c r="ET2736" s="2686">
        <v>9</v>
      </c>
      <c r="EV2736" s="985"/>
      <c r="EW2736" s="985"/>
      <c r="EX2736" s="387"/>
      <c r="EY2736" s="939"/>
      <c r="EZ2736" s="886"/>
    </row>
    <row r="2737" spans="88:156">
      <c r="CJ2737" s="197"/>
      <c r="CK2737" s="197"/>
      <c r="CL2737" s="197"/>
      <c r="CM2737" s="213"/>
      <c r="CN2737" s="213"/>
      <c r="CO2737" s="197"/>
      <c r="CP2737" s="197"/>
      <c r="CQ2737" s="197"/>
      <c r="CR2737" s="197"/>
      <c r="CS2737" s="197"/>
      <c r="CT2737" s="197"/>
      <c r="CU2737" s="197"/>
      <c r="CV2737" s="197"/>
      <c r="CW2737" s="197"/>
      <c r="CX2737" s="959"/>
      <c r="CY2737" s="959"/>
      <c r="CZ2737" s="959"/>
      <c r="DA2737" s="959"/>
      <c r="DB2737" s="959"/>
      <c r="DC2737" s="891">
        <v>8825</v>
      </c>
      <c r="DD2737" s="891" t="s">
        <v>4413</v>
      </c>
      <c r="DE2737" s="891" t="s">
        <v>412</v>
      </c>
      <c r="DF2737" s="891">
        <v>5</v>
      </c>
      <c r="DG2737" s="959"/>
      <c r="DH2737" s="959"/>
      <c r="ER2737" s="905">
        <v>8698</v>
      </c>
      <c r="ES2737" s="906" t="s">
        <v>2217</v>
      </c>
      <c r="ET2737" s="2686">
        <v>9</v>
      </c>
      <c r="EV2737" s="985"/>
      <c r="EW2737" s="985"/>
      <c r="EX2737" s="387"/>
      <c r="EY2737" s="939"/>
      <c r="EZ2737" s="886"/>
    </row>
    <row r="2738" spans="88:156">
      <c r="CJ2738" s="197"/>
      <c r="CK2738" s="197"/>
      <c r="CL2738" s="197"/>
      <c r="CM2738" s="213"/>
      <c r="CN2738" s="213"/>
      <c r="CO2738" s="197"/>
      <c r="CP2738" s="197"/>
      <c r="CQ2738" s="197"/>
      <c r="CR2738" s="197"/>
      <c r="CS2738" s="197"/>
      <c r="CT2738" s="197"/>
      <c r="CU2738" s="197"/>
      <c r="CV2738" s="197"/>
      <c r="CW2738" s="197"/>
      <c r="CX2738" s="959"/>
      <c r="CY2738" s="959"/>
      <c r="CZ2738" s="959"/>
      <c r="DA2738" s="959"/>
      <c r="DB2738" s="959"/>
      <c r="DC2738" s="891">
        <v>8827</v>
      </c>
      <c r="DD2738" s="891" t="s">
        <v>4414</v>
      </c>
      <c r="DE2738" s="891" t="s">
        <v>417</v>
      </c>
      <c r="DF2738" s="891">
        <v>5</v>
      </c>
      <c r="DG2738" s="959"/>
      <c r="DH2738" s="959"/>
      <c r="ER2738" s="905">
        <v>8699</v>
      </c>
      <c r="ES2738" s="906" t="s">
        <v>2218</v>
      </c>
      <c r="ET2738" s="2686">
        <v>9</v>
      </c>
      <c r="EV2738" s="985"/>
      <c r="EW2738" s="985"/>
      <c r="EX2738" s="387"/>
      <c r="EY2738" s="939"/>
      <c r="EZ2738" s="886"/>
    </row>
    <row r="2739" spans="88:156">
      <c r="CJ2739" s="197"/>
      <c r="CK2739" s="197"/>
      <c r="CL2739" s="197"/>
      <c r="CM2739" s="213"/>
      <c r="CN2739" s="213"/>
      <c r="CO2739" s="197"/>
      <c r="CP2739" s="197"/>
      <c r="CQ2739" s="197"/>
      <c r="CR2739" s="197"/>
      <c r="CS2739" s="197"/>
      <c r="CT2739" s="197"/>
      <c r="CU2739" s="197"/>
      <c r="CV2739" s="197"/>
      <c r="CW2739" s="197"/>
      <c r="CX2739" s="959"/>
      <c r="CY2739" s="959"/>
      <c r="CZ2739" s="959"/>
      <c r="DA2739" s="959"/>
      <c r="DB2739" s="959"/>
      <c r="DC2739" s="891">
        <v>8831</v>
      </c>
      <c r="DD2739" s="891" t="s">
        <v>4415</v>
      </c>
      <c r="DE2739" s="891" t="s">
        <v>406</v>
      </c>
      <c r="DF2739" s="891">
        <v>5</v>
      </c>
      <c r="DG2739" s="959"/>
      <c r="DH2739" s="959"/>
      <c r="ER2739" s="905">
        <v>8700</v>
      </c>
      <c r="ES2739" s="906" t="s">
        <v>1738</v>
      </c>
      <c r="ET2739" s="2686">
        <v>9</v>
      </c>
      <c r="EV2739" s="985"/>
      <c r="EW2739" s="985"/>
      <c r="EX2739" s="387"/>
      <c r="EY2739" s="939"/>
      <c r="EZ2739" s="886"/>
    </row>
    <row r="2740" spans="88:156">
      <c r="CJ2740" s="197"/>
      <c r="CK2740" s="197"/>
      <c r="CL2740" s="197"/>
      <c r="CM2740" s="213"/>
      <c r="CN2740" s="213"/>
      <c r="CO2740" s="197"/>
      <c r="CP2740" s="197"/>
      <c r="CQ2740" s="197"/>
      <c r="CR2740" s="197"/>
      <c r="CS2740" s="197"/>
      <c r="CT2740" s="197"/>
      <c r="CU2740" s="197"/>
      <c r="CV2740" s="197"/>
      <c r="CW2740" s="197"/>
      <c r="CX2740" s="959"/>
      <c r="CY2740" s="959"/>
      <c r="CZ2740" s="959"/>
      <c r="DA2740" s="959"/>
      <c r="DB2740" s="959"/>
      <c r="DC2740" s="891">
        <v>8832</v>
      </c>
      <c r="DD2740" s="891" t="s">
        <v>4416</v>
      </c>
      <c r="DE2740" s="891" t="s">
        <v>423</v>
      </c>
      <c r="DF2740" s="891">
        <v>5</v>
      </c>
      <c r="DG2740" s="959"/>
      <c r="DH2740" s="959"/>
      <c r="ER2740" s="905">
        <v>8700</v>
      </c>
      <c r="ES2740" s="906" t="s">
        <v>2219</v>
      </c>
      <c r="ET2740" s="2686">
        <v>9</v>
      </c>
      <c r="EV2740" s="985"/>
      <c r="EW2740" s="985"/>
      <c r="EX2740" s="387"/>
      <c r="EY2740" s="939"/>
      <c r="EZ2740" s="886"/>
    </row>
    <row r="2741" spans="88:156">
      <c r="CJ2741" s="197"/>
      <c r="CK2741" s="197"/>
      <c r="CL2741" s="197"/>
      <c r="CM2741" s="213"/>
      <c r="CN2741" s="213"/>
      <c r="CO2741" s="197"/>
      <c r="CP2741" s="197"/>
      <c r="CQ2741" s="197"/>
      <c r="CR2741" s="197"/>
      <c r="CS2741" s="197"/>
      <c r="CT2741" s="197"/>
      <c r="CU2741" s="197"/>
      <c r="CV2741" s="197"/>
      <c r="CW2741" s="197"/>
      <c r="CX2741" s="959"/>
      <c r="CY2741" s="959"/>
      <c r="CZ2741" s="959"/>
      <c r="DA2741" s="959"/>
      <c r="DB2741" s="959"/>
      <c r="DC2741" s="891">
        <v>8833</v>
      </c>
      <c r="DD2741" s="891" t="s">
        <v>4417</v>
      </c>
      <c r="DE2741" s="891" t="s">
        <v>427</v>
      </c>
      <c r="DF2741" s="891">
        <v>5</v>
      </c>
      <c r="DG2741" s="959"/>
      <c r="DH2741" s="959"/>
      <c r="ER2741" s="905">
        <v>8705</v>
      </c>
      <c r="ES2741" s="906" t="s">
        <v>2220</v>
      </c>
      <c r="ET2741" s="2686">
        <v>9</v>
      </c>
      <c r="EV2741" s="985"/>
      <c r="EW2741" s="985"/>
      <c r="EX2741" s="387"/>
      <c r="EY2741" s="939"/>
      <c r="EZ2741" s="886"/>
    </row>
    <row r="2742" spans="88:156">
      <c r="CJ2742" s="197"/>
      <c r="CK2742" s="197"/>
      <c r="CL2742" s="197"/>
      <c r="CM2742" s="213"/>
      <c r="CN2742" s="213"/>
      <c r="CO2742" s="197"/>
      <c r="CP2742" s="197"/>
      <c r="CQ2742" s="197"/>
      <c r="CR2742" s="197"/>
      <c r="CS2742" s="197"/>
      <c r="CT2742" s="197"/>
      <c r="CU2742" s="197"/>
      <c r="CV2742" s="197"/>
      <c r="CW2742" s="197"/>
      <c r="CX2742" s="959"/>
      <c r="CY2742" s="959"/>
      <c r="CZ2742" s="959"/>
      <c r="DA2742" s="959"/>
      <c r="DB2742" s="959"/>
      <c r="DC2742" s="891">
        <v>8834</v>
      </c>
      <c r="DD2742" s="891" t="s">
        <v>4418</v>
      </c>
      <c r="DE2742" s="891" t="s">
        <v>406</v>
      </c>
      <c r="DF2742" s="891">
        <v>5</v>
      </c>
      <c r="DG2742" s="959"/>
      <c r="DH2742" s="959"/>
      <c r="ER2742" s="905">
        <v>8706</v>
      </c>
      <c r="ES2742" s="906" t="s">
        <v>2221</v>
      </c>
      <c r="ET2742" s="2686">
        <v>9</v>
      </c>
      <c r="EV2742" s="985"/>
      <c r="EW2742" s="985"/>
      <c r="EX2742" s="387"/>
      <c r="EY2742" s="939"/>
      <c r="EZ2742" s="886"/>
    </row>
    <row r="2743" spans="88:156">
      <c r="CJ2743" s="197"/>
      <c r="CK2743" s="197"/>
      <c r="CL2743" s="197"/>
      <c r="CM2743" s="213"/>
      <c r="CN2743" s="213"/>
      <c r="CO2743" s="197"/>
      <c r="CP2743" s="197"/>
      <c r="CQ2743" s="197"/>
      <c r="CR2743" s="197"/>
      <c r="CS2743" s="197"/>
      <c r="CT2743" s="197"/>
      <c r="CU2743" s="197"/>
      <c r="CV2743" s="197"/>
      <c r="CW2743" s="197"/>
      <c r="CX2743" s="959"/>
      <c r="CY2743" s="959"/>
      <c r="CZ2743" s="959"/>
      <c r="DA2743" s="959"/>
      <c r="DB2743" s="959"/>
      <c r="DC2743" s="891">
        <v>8835</v>
      </c>
      <c r="DD2743" s="891" t="s">
        <v>4417</v>
      </c>
      <c r="DE2743" s="891" t="s">
        <v>2808</v>
      </c>
      <c r="DF2743" s="891">
        <v>5</v>
      </c>
      <c r="DG2743" s="959"/>
      <c r="DH2743" s="959"/>
      <c r="ER2743" s="905">
        <v>8707</v>
      </c>
      <c r="ES2743" s="906" t="s">
        <v>1739</v>
      </c>
      <c r="ET2743" s="2686">
        <v>9</v>
      </c>
      <c r="EV2743" s="985"/>
      <c r="EW2743" s="985"/>
      <c r="EX2743" s="387"/>
      <c r="EY2743" s="939"/>
      <c r="EZ2743" s="886"/>
    </row>
    <row r="2744" spans="88:156">
      <c r="CJ2744" s="197"/>
      <c r="CK2744" s="197"/>
      <c r="CL2744" s="197"/>
      <c r="CM2744" s="213"/>
      <c r="CN2744" s="213"/>
      <c r="CO2744" s="197"/>
      <c r="CP2744" s="197"/>
      <c r="CQ2744" s="197"/>
      <c r="CR2744" s="197"/>
      <c r="CS2744" s="197"/>
      <c r="CT2744" s="197"/>
      <c r="CU2744" s="197"/>
      <c r="CV2744" s="197"/>
      <c r="CW2744" s="197"/>
      <c r="CX2744" s="959"/>
      <c r="CY2744" s="959"/>
      <c r="CZ2744" s="959"/>
      <c r="DA2744" s="959"/>
      <c r="DB2744" s="959"/>
      <c r="DC2744" s="891">
        <v>8840</v>
      </c>
      <c r="DD2744" s="891" t="s">
        <v>4419</v>
      </c>
      <c r="DE2744" s="891" t="s">
        <v>419</v>
      </c>
      <c r="DF2744" s="891">
        <v>6</v>
      </c>
      <c r="DG2744" s="959"/>
      <c r="DH2744" s="959"/>
      <c r="ER2744" s="905">
        <v>8707</v>
      </c>
      <c r="ES2744" s="906" t="s">
        <v>2222</v>
      </c>
      <c r="ET2744" s="2686">
        <v>9</v>
      </c>
      <c r="EV2744" s="985"/>
      <c r="EW2744" s="985"/>
      <c r="EX2744" s="387"/>
      <c r="EY2744" s="939"/>
      <c r="EZ2744" s="886"/>
    </row>
    <row r="2745" spans="88:156">
      <c r="CJ2745" s="197"/>
      <c r="CK2745" s="197"/>
      <c r="CL2745" s="197"/>
      <c r="CM2745" s="213"/>
      <c r="CN2745" s="213"/>
      <c r="CO2745" s="197"/>
      <c r="CP2745" s="197"/>
      <c r="CQ2745" s="197"/>
      <c r="CR2745" s="197"/>
      <c r="CS2745" s="197"/>
      <c r="CT2745" s="197"/>
      <c r="CU2745" s="197"/>
      <c r="CV2745" s="197"/>
      <c r="CW2745" s="197"/>
      <c r="CX2745" s="959"/>
      <c r="CY2745" s="959"/>
      <c r="CZ2745" s="959"/>
      <c r="DA2745" s="959"/>
      <c r="DB2745" s="959"/>
      <c r="DC2745" s="891">
        <v>8849</v>
      </c>
      <c r="DD2745" s="891" t="s">
        <v>4420</v>
      </c>
      <c r="DE2745" s="891" t="s">
        <v>412</v>
      </c>
      <c r="DF2745" s="891">
        <v>6</v>
      </c>
      <c r="DG2745" s="959"/>
      <c r="DH2745" s="959"/>
      <c r="ER2745" s="905">
        <v>8708</v>
      </c>
      <c r="ES2745" s="906" t="s">
        <v>2223</v>
      </c>
      <c r="ET2745" s="2686">
        <v>9</v>
      </c>
      <c r="EV2745" s="985"/>
      <c r="EW2745" s="985"/>
      <c r="EX2745" s="387"/>
      <c r="EY2745" s="939"/>
      <c r="EZ2745" s="886"/>
    </row>
    <row r="2746" spans="88:156">
      <c r="CJ2746" s="197"/>
      <c r="CK2746" s="197"/>
      <c r="CL2746" s="197"/>
      <c r="CM2746" s="213"/>
      <c r="CN2746" s="213"/>
      <c r="CO2746" s="197"/>
      <c r="CP2746" s="197"/>
      <c r="CQ2746" s="197"/>
      <c r="CR2746" s="197"/>
      <c r="CS2746" s="197"/>
      <c r="CT2746" s="197"/>
      <c r="CU2746" s="197"/>
      <c r="CV2746" s="197"/>
      <c r="CW2746" s="197"/>
      <c r="CX2746" s="959"/>
      <c r="CY2746" s="959"/>
      <c r="CZ2746" s="959"/>
      <c r="DA2746" s="959"/>
      <c r="DB2746" s="959"/>
      <c r="DC2746" s="891">
        <v>8851</v>
      </c>
      <c r="DD2746" s="891" t="s">
        <v>4421</v>
      </c>
      <c r="DE2746" s="891" t="s">
        <v>423</v>
      </c>
      <c r="DF2746" s="891">
        <v>6</v>
      </c>
      <c r="DG2746" s="959"/>
      <c r="DH2746" s="959"/>
      <c r="ER2746" s="905">
        <v>8709</v>
      </c>
      <c r="ES2746" s="906" t="s">
        <v>1740</v>
      </c>
      <c r="ET2746" s="2686">
        <v>9</v>
      </c>
      <c r="EV2746" s="985"/>
      <c r="EW2746" s="985"/>
      <c r="EX2746" s="387"/>
      <c r="EY2746" s="939"/>
      <c r="EZ2746" s="886"/>
    </row>
    <row r="2747" spans="88:156">
      <c r="CJ2747" s="197"/>
      <c r="CK2747" s="197"/>
      <c r="CL2747" s="197"/>
      <c r="CM2747" s="213"/>
      <c r="CN2747" s="213"/>
      <c r="CO2747" s="197"/>
      <c r="CP2747" s="197"/>
      <c r="CQ2747" s="197"/>
      <c r="CR2747" s="197"/>
      <c r="CS2747" s="197"/>
      <c r="CT2747" s="197"/>
      <c r="CU2747" s="197"/>
      <c r="CV2747" s="197"/>
      <c r="CW2747" s="197"/>
      <c r="CX2747" s="959"/>
      <c r="CY2747" s="959"/>
      <c r="CZ2747" s="959"/>
      <c r="DA2747" s="959"/>
      <c r="DB2747" s="959"/>
      <c r="DC2747" s="891">
        <v>8852</v>
      </c>
      <c r="DD2747" s="891" t="s">
        <v>4422</v>
      </c>
      <c r="DE2747" s="891" t="s">
        <v>418</v>
      </c>
      <c r="DF2747" s="891">
        <v>5</v>
      </c>
      <c r="DG2747" s="959"/>
      <c r="DH2747" s="959"/>
      <c r="ER2747" s="905">
        <v>8710</v>
      </c>
      <c r="ES2747" s="906" t="s">
        <v>1741</v>
      </c>
      <c r="ET2747" s="2686">
        <v>9</v>
      </c>
      <c r="EV2747" s="985"/>
      <c r="EW2747" s="985"/>
      <c r="EX2747" s="387"/>
      <c r="EY2747" s="939"/>
      <c r="EZ2747" s="886"/>
    </row>
    <row r="2748" spans="88:156">
      <c r="CJ2748" s="197"/>
      <c r="CK2748" s="197"/>
      <c r="CL2748" s="197"/>
      <c r="CM2748" s="213"/>
      <c r="CN2748" s="213"/>
      <c r="CO2748" s="197"/>
      <c r="CP2748" s="197"/>
      <c r="CQ2748" s="197"/>
      <c r="CR2748" s="197"/>
      <c r="CS2748" s="197"/>
      <c r="CT2748" s="197"/>
      <c r="CU2748" s="197"/>
      <c r="CV2748" s="197"/>
      <c r="CW2748" s="197"/>
      <c r="CX2748" s="959"/>
      <c r="CY2748" s="959"/>
      <c r="CZ2748" s="959"/>
      <c r="DA2748" s="959"/>
      <c r="DB2748" s="959"/>
      <c r="DC2748" s="891">
        <v>8853</v>
      </c>
      <c r="DD2748" s="891" t="s">
        <v>4422</v>
      </c>
      <c r="DE2748" s="891" t="s">
        <v>421</v>
      </c>
      <c r="DF2748" s="891">
        <v>6</v>
      </c>
      <c r="DG2748" s="959"/>
      <c r="DH2748" s="959"/>
      <c r="ER2748" s="905">
        <v>8711</v>
      </c>
      <c r="ES2748" s="906" t="s">
        <v>1742</v>
      </c>
      <c r="ET2748" s="2686">
        <v>9</v>
      </c>
      <c r="EV2748" s="985"/>
      <c r="EW2748" s="985"/>
      <c r="EX2748" s="387"/>
      <c r="EY2748" s="939"/>
      <c r="EZ2748" s="886"/>
    </row>
    <row r="2749" spans="88:156">
      <c r="CJ2749" s="197"/>
      <c r="CK2749" s="197"/>
      <c r="CL2749" s="197"/>
      <c r="CM2749" s="213"/>
      <c r="CN2749" s="213"/>
      <c r="CO2749" s="197"/>
      <c r="CP2749" s="197"/>
      <c r="CQ2749" s="197"/>
      <c r="CR2749" s="197"/>
      <c r="CS2749" s="197"/>
      <c r="CT2749" s="197"/>
      <c r="CU2749" s="197"/>
      <c r="CV2749" s="197"/>
      <c r="CW2749" s="197"/>
      <c r="CX2749" s="959"/>
      <c r="CY2749" s="959"/>
      <c r="CZ2749" s="959"/>
      <c r="DA2749" s="959"/>
      <c r="DB2749" s="959"/>
      <c r="DC2749" s="891">
        <v>8854</v>
      </c>
      <c r="DD2749" s="891" t="s">
        <v>4423</v>
      </c>
      <c r="DE2749" s="891" t="s">
        <v>417</v>
      </c>
      <c r="DF2749" s="891">
        <v>6</v>
      </c>
      <c r="DG2749" s="959"/>
      <c r="DH2749" s="959"/>
      <c r="ER2749" s="905">
        <v>8712</v>
      </c>
      <c r="ES2749" s="906" t="s">
        <v>2227</v>
      </c>
      <c r="ET2749" s="2686">
        <v>9</v>
      </c>
      <c r="EV2749" s="985"/>
      <c r="EW2749" s="985"/>
      <c r="EX2749" s="387"/>
      <c r="EY2749" s="939"/>
      <c r="EZ2749" s="886"/>
    </row>
    <row r="2750" spans="88:156">
      <c r="CJ2750" s="197"/>
      <c r="CK2750" s="197"/>
      <c r="CL2750" s="197"/>
      <c r="CM2750" s="213"/>
      <c r="CN2750" s="213"/>
      <c r="CO2750" s="197"/>
      <c r="CP2750" s="197"/>
      <c r="CQ2750" s="197"/>
      <c r="CR2750" s="197"/>
      <c r="CS2750" s="197"/>
      <c r="CT2750" s="197"/>
      <c r="CU2750" s="197"/>
      <c r="CV2750" s="197"/>
      <c r="CW2750" s="197"/>
      <c r="CX2750" s="959"/>
      <c r="CY2750" s="959"/>
      <c r="CZ2750" s="959"/>
      <c r="DA2750" s="959"/>
      <c r="DB2750" s="959"/>
      <c r="DC2750" s="891">
        <v>8855</v>
      </c>
      <c r="DD2750" s="891" t="s">
        <v>4424</v>
      </c>
      <c r="DE2750" s="891" t="s">
        <v>412</v>
      </c>
      <c r="DF2750" s="891">
        <v>5</v>
      </c>
      <c r="DG2750" s="959"/>
      <c r="DH2750" s="959"/>
      <c r="ER2750" s="905">
        <v>8713</v>
      </c>
      <c r="ES2750" s="906" t="s">
        <v>2228</v>
      </c>
      <c r="ET2750" s="2686">
        <v>9</v>
      </c>
      <c r="EV2750" s="985"/>
      <c r="EW2750" s="985"/>
      <c r="EX2750" s="387"/>
      <c r="EY2750" s="939"/>
      <c r="EZ2750" s="886"/>
    </row>
    <row r="2751" spans="88:156">
      <c r="CJ2751" s="197"/>
      <c r="CK2751" s="197"/>
      <c r="CL2751" s="197"/>
      <c r="CM2751" s="213"/>
      <c r="CN2751" s="213"/>
      <c r="CO2751" s="197"/>
      <c r="CP2751" s="197"/>
      <c r="CQ2751" s="197"/>
      <c r="CR2751" s="197"/>
      <c r="CS2751" s="197"/>
      <c r="CT2751" s="197"/>
      <c r="CU2751" s="197"/>
      <c r="CV2751" s="197"/>
      <c r="CW2751" s="197"/>
      <c r="CX2751" s="959"/>
      <c r="CY2751" s="959"/>
      <c r="CZ2751" s="959"/>
      <c r="DA2751" s="959"/>
      <c r="DB2751" s="959"/>
      <c r="DC2751" s="891">
        <v>8856</v>
      </c>
      <c r="DD2751" s="891" t="s">
        <v>4425</v>
      </c>
      <c r="DE2751" s="891" t="s">
        <v>428</v>
      </c>
      <c r="DF2751" s="891">
        <v>5</v>
      </c>
      <c r="DG2751" s="959"/>
      <c r="DH2751" s="959"/>
      <c r="ER2751" s="905">
        <v>8714</v>
      </c>
      <c r="ES2751" s="906" t="s">
        <v>2229</v>
      </c>
      <c r="ET2751" s="2686">
        <v>9</v>
      </c>
      <c r="EV2751" s="985"/>
      <c r="EW2751" s="985"/>
      <c r="EX2751" s="387"/>
      <c r="EY2751" s="939"/>
      <c r="EZ2751" s="886"/>
    </row>
    <row r="2752" spans="88:156">
      <c r="CJ2752" s="197"/>
      <c r="CK2752" s="197"/>
      <c r="CL2752" s="197"/>
      <c r="CM2752" s="213"/>
      <c r="CN2752" s="213"/>
      <c r="CO2752" s="197"/>
      <c r="CP2752" s="197"/>
      <c r="CQ2752" s="197"/>
      <c r="CR2752" s="197"/>
      <c r="CS2752" s="197"/>
      <c r="CT2752" s="197"/>
      <c r="CU2752" s="197"/>
      <c r="CV2752" s="197"/>
      <c r="CW2752" s="197"/>
      <c r="CX2752" s="959"/>
      <c r="CY2752" s="959"/>
      <c r="CZ2752" s="959"/>
      <c r="DA2752" s="959"/>
      <c r="DB2752" s="959"/>
      <c r="DC2752" s="891">
        <v>8857</v>
      </c>
      <c r="DD2752" s="891" t="s">
        <v>4426</v>
      </c>
      <c r="DE2752" s="891" t="s">
        <v>428</v>
      </c>
      <c r="DF2752" s="891">
        <v>5</v>
      </c>
      <c r="DG2752" s="959"/>
      <c r="DH2752" s="959"/>
      <c r="ER2752" s="905">
        <v>8714</v>
      </c>
      <c r="ES2752" s="906" t="s">
        <v>1743</v>
      </c>
      <c r="ET2752" s="2686">
        <v>9</v>
      </c>
      <c r="EV2752" s="985"/>
      <c r="EW2752" s="985"/>
      <c r="EX2752" s="387"/>
      <c r="EY2752" s="939"/>
      <c r="EZ2752" s="886"/>
    </row>
    <row r="2753" spans="88:156">
      <c r="CJ2753" s="197"/>
      <c r="CK2753" s="197"/>
      <c r="CL2753" s="197"/>
      <c r="CM2753" s="213"/>
      <c r="CN2753" s="213"/>
      <c r="CO2753" s="197"/>
      <c r="CP2753" s="197"/>
      <c r="CQ2753" s="197"/>
      <c r="CR2753" s="197"/>
      <c r="CS2753" s="197"/>
      <c r="CT2753" s="197"/>
      <c r="CU2753" s="197"/>
      <c r="CV2753" s="197"/>
      <c r="CW2753" s="197"/>
      <c r="CX2753" s="959"/>
      <c r="CY2753" s="959"/>
      <c r="CZ2753" s="959"/>
      <c r="DA2753" s="959"/>
      <c r="DB2753" s="959"/>
      <c r="DC2753" s="891">
        <v>8858</v>
      </c>
      <c r="DD2753" s="891" t="s">
        <v>4427</v>
      </c>
      <c r="DE2753" s="891" t="s">
        <v>419</v>
      </c>
      <c r="DF2753" s="891">
        <v>5</v>
      </c>
      <c r="DG2753" s="959"/>
      <c r="DH2753" s="959"/>
      <c r="ER2753" s="905">
        <v>8716</v>
      </c>
      <c r="ES2753" s="906" t="s">
        <v>2230</v>
      </c>
      <c r="ET2753" s="2686">
        <v>9</v>
      </c>
      <c r="EV2753" s="985"/>
      <c r="EW2753" s="985"/>
      <c r="EX2753" s="387"/>
      <c r="EY2753" s="939"/>
      <c r="EZ2753" s="886"/>
    </row>
    <row r="2754" spans="88:156">
      <c r="CJ2754" s="197"/>
      <c r="CK2754" s="197"/>
      <c r="CL2754" s="197"/>
      <c r="CM2754" s="213"/>
      <c r="CN2754" s="213"/>
      <c r="CO2754" s="197"/>
      <c r="CP2754" s="197"/>
      <c r="CQ2754" s="197"/>
      <c r="CR2754" s="197"/>
      <c r="CS2754" s="197"/>
      <c r="CT2754" s="197"/>
      <c r="CU2754" s="197"/>
      <c r="CV2754" s="197"/>
      <c r="CW2754" s="197"/>
      <c r="CX2754" s="959"/>
      <c r="CY2754" s="959"/>
      <c r="CZ2754" s="959"/>
      <c r="DA2754" s="959"/>
      <c r="DB2754" s="959"/>
      <c r="DC2754" s="891">
        <v>8861</v>
      </c>
      <c r="DD2754" s="891" t="s">
        <v>4428</v>
      </c>
      <c r="DE2754" s="891" t="s">
        <v>419</v>
      </c>
      <c r="DF2754" s="891">
        <v>6</v>
      </c>
      <c r="DG2754" s="959"/>
      <c r="DH2754" s="959"/>
      <c r="ER2754" s="905">
        <v>8716</v>
      </c>
      <c r="ES2754" s="906" t="s">
        <v>1744</v>
      </c>
      <c r="ET2754" s="2686">
        <v>9</v>
      </c>
      <c r="EV2754" s="985"/>
      <c r="EW2754" s="985"/>
      <c r="EX2754" s="387"/>
      <c r="EY2754" s="939"/>
      <c r="EZ2754" s="886"/>
    </row>
    <row r="2755" spans="88:156">
      <c r="CJ2755" s="197"/>
      <c r="CK2755" s="197"/>
      <c r="CL2755" s="197"/>
      <c r="CM2755" s="213"/>
      <c r="CN2755" s="213"/>
      <c r="CO2755" s="197"/>
      <c r="CP2755" s="197"/>
      <c r="CQ2755" s="197"/>
      <c r="CR2755" s="197"/>
      <c r="CS2755" s="197"/>
      <c r="CT2755" s="197"/>
      <c r="CU2755" s="197"/>
      <c r="CV2755" s="197"/>
      <c r="CW2755" s="197"/>
      <c r="CX2755" s="959"/>
      <c r="CY2755" s="959"/>
      <c r="CZ2755" s="959"/>
      <c r="DA2755" s="959"/>
      <c r="DB2755" s="959"/>
      <c r="DC2755" s="891">
        <v>8862</v>
      </c>
      <c r="DD2755" s="891" t="s">
        <v>4429</v>
      </c>
      <c r="DE2755" s="891" t="s">
        <v>419</v>
      </c>
      <c r="DF2755" s="891">
        <v>6</v>
      </c>
      <c r="DG2755" s="959"/>
      <c r="DH2755" s="959"/>
      <c r="ER2755" s="905">
        <v>8716</v>
      </c>
      <c r="ES2755" s="906" t="s">
        <v>2231</v>
      </c>
      <c r="ET2755" s="2686">
        <v>9</v>
      </c>
      <c r="EV2755" s="985"/>
      <c r="EW2755" s="985"/>
      <c r="EX2755" s="387"/>
      <c r="EY2755" s="939"/>
      <c r="EZ2755" s="886"/>
    </row>
    <row r="2756" spans="88:156">
      <c r="CJ2756" s="197"/>
      <c r="CK2756" s="197"/>
      <c r="CL2756" s="197"/>
      <c r="CM2756" s="213"/>
      <c r="CN2756" s="213"/>
      <c r="CO2756" s="197"/>
      <c r="CP2756" s="197"/>
      <c r="CQ2756" s="197"/>
      <c r="CR2756" s="197"/>
      <c r="CS2756" s="197"/>
      <c r="CT2756" s="197"/>
      <c r="CU2756" s="197"/>
      <c r="CV2756" s="197"/>
      <c r="CW2756" s="197"/>
      <c r="CX2756" s="959"/>
      <c r="CY2756" s="959"/>
      <c r="CZ2756" s="959"/>
      <c r="DA2756" s="959"/>
      <c r="DB2756" s="959"/>
      <c r="DC2756" s="891">
        <v>8863</v>
      </c>
      <c r="DD2756" s="891" t="s">
        <v>4430</v>
      </c>
      <c r="DE2756" s="891" t="s">
        <v>419</v>
      </c>
      <c r="DF2756" s="891">
        <v>6</v>
      </c>
      <c r="DG2756" s="959"/>
      <c r="DH2756" s="959"/>
      <c r="ER2756" s="905">
        <v>8717</v>
      </c>
      <c r="ES2756" s="906" t="s">
        <v>1745</v>
      </c>
      <c r="ET2756" s="2686">
        <v>9</v>
      </c>
      <c r="EV2756" s="985"/>
      <c r="EW2756" s="985"/>
      <c r="EX2756" s="387"/>
      <c r="EY2756" s="939"/>
      <c r="EZ2756" s="886"/>
    </row>
    <row r="2757" spans="88:156">
      <c r="CJ2757" s="197"/>
      <c r="CK2757" s="197"/>
      <c r="CL2757" s="197"/>
      <c r="CM2757" s="213"/>
      <c r="CN2757" s="213"/>
      <c r="CO2757" s="197"/>
      <c r="CP2757" s="197"/>
      <c r="CQ2757" s="197"/>
      <c r="CR2757" s="197"/>
      <c r="CS2757" s="197"/>
      <c r="CT2757" s="197"/>
      <c r="CU2757" s="197"/>
      <c r="CV2757" s="197"/>
      <c r="CW2757" s="197"/>
      <c r="CX2757" s="959"/>
      <c r="CY2757" s="959"/>
      <c r="CZ2757" s="959"/>
      <c r="DA2757" s="959"/>
      <c r="DB2757" s="959"/>
      <c r="DC2757" s="891">
        <v>8864</v>
      </c>
      <c r="DD2757" s="891" t="s">
        <v>4431</v>
      </c>
      <c r="DE2757" s="891" t="s">
        <v>419</v>
      </c>
      <c r="DF2757" s="891">
        <v>6</v>
      </c>
      <c r="DG2757" s="959"/>
      <c r="DH2757" s="959"/>
      <c r="ER2757" s="905">
        <v>8717</v>
      </c>
      <c r="ES2757" s="906" t="s">
        <v>2232</v>
      </c>
      <c r="ET2757" s="2686">
        <v>9</v>
      </c>
      <c r="EV2757" s="985"/>
      <c r="EW2757" s="985"/>
      <c r="EX2757" s="387"/>
      <c r="EY2757" s="939"/>
      <c r="EZ2757" s="886"/>
    </row>
    <row r="2758" spans="88:156">
      <c r="CJ2758" s="197"/>
      <c r="CK2758" s="197"/>
      <c r="CL2758" s="197"/>
      <c r="CM2758" s="213"/>
      <c r="CN2758" s="213"/>
      <c r="CO2758" s="197"/>
      <c r="CP2758" s="197"/>
      <c r="CQ2758" s="197"/>
      <c r="CR2758" s="197"/>
      <c r="CS2758" s="197"/>
      <c r="CT2758" s="197"/>
      <c r="CU2758" s="197"/>
      <c r="CV2758" s="197"/>
      <c r="CW2758" s="197"/>
      <c r="CX2758" s="959"/>
      <c r="CY2758" s="959"/>
      <c r="CZ2758" s="959"/>
      <c r="DA2758" s="959"/>
      <c r="DB2758" s="959"/>
      <c r="DC2758" s="891">
        <v>8865</v>
      </c>
      <c r="DD2758" s="891" t="s">
        <v>4432</v>
      </c>
      <c r="DE2758" s="891" t="s">
        <v>419</v>
      </c>
      <c r="DF2758" s="891">
        <v>6</v>
      </c>
      <c r="DG2758" s="959"/>
      <c r="DH2758" s="959"/>
      <c r="ER2758" s="905">
        <v>8718</v>
      </c>
      <c r="ES2758" s="906" t="s">
        <v>2233</v>
      </c>
      <c r="ET2758" s="2686">
        <v>9</v>
      </c>
      <c r="EV2758" s="985"/>
      <c r="EW2758" s="985"/>
      <c r="EX2758" s="387"/>
      <c r="EY2758" s="939"/>
      <c r="EZ2758" s="886"/>
    </row>
    <row r="2759" spans="88:156">
      <c r="CJ2759" s="197"/>
      <c r="CK2759" s="197"/>
      <c r="CL2759" s="197"/>
      <c r="CM2759" s="213"/>
      <c r="CN2759" s="213"/>
      <c r="CO2759" s="197"/>
      <c r="CP2759" s="197"/>
      <c r="CQ2759" s="197"/>
      <c r="CR2759" s="197"/>
      <c r="CS2759" s="197"/>
      <c r="CT2759" s="197"/>
      <c r="CU2759" s="197"/>
      <c r="CV2759" s="197"/>
      <c r="CW2759" s="197"/>
      <c r="CX2759" s="959"/>
      <c r="CY2759" s="959"/>
      <c r="CZ2759" s="959"/>
      <c r="DA2759" s="959"/>
      <c r="DB2759" s="959"/>
      <c r="DC2759" s="891">
        <v>8866</v>
      </c>
      <c r="DD2759" s="891" t="s">
        <v>4433</v>
      </c>
      <c r="DE2759" s="891" t="s">
        <v>419</v>
      </c>
      <c r="DF2759" s="891">
        <v>6</v>
      </c>
      <c r="DG2759" s="959"/>
      <c r="DH2759" s="959"/>
      <c r="ER2759" s="905">
        <v>8719</v>
      </c>
      <c r="ES2759" s="906" t="s">
        <v>2234</v>
      </c>
      <c r="ET2759" s="2686">
        <v>9</v>
      </c>
      <c r="EV2759" s="985"/>
      <c r="EW2759" s="985"/>
      <c r="EX2759" s="387"/>
      <c r="EY2759" s="939"/>
      <c r="EZ2759" s="886"/>
    </row>
    <row r="2760" spans="88:156">
      <c r="CJ2760" s="197"/>
      <c r="CK2760" s="197"/>
      <c r="CL2760" s="197"/>
      <c r="CM2760" s="213"/>
      <c r="CN2760" s="213"/>
      <c r="CO2760" s="197"/>
      <c r="CP2760" s="197"/>
      <c r="CQ2760" s="197"/>
      <c r="CR2760" s="197"/>
      <c r="CS2760" s="197"/>
      <c r="CT2760" s="197"/>
      <c r="CU2760" s="197"/>
      <c r="CV2760" s="197"/>
      <c r="CW2760" s="197"/>
      <c r="CX2760" s="959"/>
      <c r="CY2760" s="959"/>
      <c r="CZ2760" s="959"/>
      <c r="DA2760" s="959"/>
      <c r="DB2760" s="959"/>
      <c r="DC2760" s="891">
        <v>8868</v>
      </c>
      <c r="DD2760" s="891" t="s">
        <v>4434</v>
      </c>
      <c r="DE2760" s="891" t="s">
        <v>419</v>
      </c>
      <c r="DF2760" s="891">
        <v>6</v>
      </c>
      <c r="DG2760" s="959"/>
      <c r="DH2760" s="959"/>
      <c r="ER2760" s="905">
        <v>8721</v>
      </c>
      <c r="ES2760" s="906" t="s">
        <v>2235</v>
      </c>
      <c r="ET2760" s="2686">
        <v>9</v>
      </c>
      <c r="EV2760" s="985"/>
      <c r="EW2760" s="985"/>
      <c r="EX2760" s="387"/>
      <c r="EY2760" s="939"/>
      <c r="EZ2760" s="886"/>
    </row>
    <row r="2761" spans="88:156">
      <c r="CJ2761" s="197"/>
      <c r="CK2761" s="197"/>
      <c r="CL2761" s="197"/>
      <c r="CM2761" s="213"/>
      <c r="CN2761" s="213"/>
      <c r="CO2761" s="197"/>
      <c r="CP2761" s="197"/>
      <c r="CQ2761" s="197"/>
      <c r="CR2761" s="197"/>
      <c r="CS2761" s="197"/>
      <c r="CT2761" s="197"/>
      <c r="CU2761" s="197"/>
      <c r="CV2761" s="197"/>
      <c r="CW2761" s="197"/>
      <c r="CX2761" s="959"/>
      <c r="CY2761" s="959"/>
      <c r="CZ2761" s="959"/>
      <c r="DA2761" s="959"/>
      <c r="DB2761" s="959"/>
      <c r="DC2761" s="891">
        <v>8871</v>
      </c>
      <c r="DD2761" s="891" t="s">
        <v>4435</v>
      </c>
      <c r="DE2761" s="891" t="s">
        <v>419</v>
      </c>
      <c r="DF2761" s="891">
        <v>6</v>
      </c>
      <c r="DG2761" s="959"/>
      <c r="DH2761" s="959"/>
      <c r="ER2761" s="905">
        <v>8722</v>
      </c>
      <c r="ES2761" s="906" t="s">
        <v>2236</v>
      </c>
      <c r="ET2761" s="2686">
        <v>9</v>
      </c>
      <c r="EV2761" s="985"/>
      <c r="EW2761" s="985"/>
      <c r="EX2761" s="387"/>
      <c r="EY2761" s="939"/>
      <c r="EZ2761" s="886"/>
    </row>
    <row r="2762" spans="88:156">
      <c r="CJ2762" s="197"/>
      <c r="CK2762" s="197"/>
      <c r="CL2762" s="197"/>
      <c r="CM2762" s="213"/>
      <c r="CN2762" s="213"/>
      <c r="CO2762" s="197"/>
      <c r="CP2762" s="197"/>
      <c r="CQ2762" s="197"/>
      <c r="CR2762" s="197"/>
      <c r="CS2762" s="197"/>
      <c r="CT2762" s="197"/>
      <c r="CU2762" s="197"/>
      <c r="CV2762" s="197"/>
      <c r="CW2762" s="197"/>
      <c r="CX2762" s="959"/>
      <c r="CY2762" s="959"/>
      <c r="CZ2762" s="959"/>
      <c r="DA2762" s="959"/>
      <c r="DB2762" s="959"/>
      <c r="DC2762" s="891">
        <v>8872</v>
      </c>
      <c r="DD2762" s="891" t="s">
        <v>4436</v>
      </c>
      <c r="DE2762" s="891" t="s">
        <v>419</v>
      </c>
      <c r="DF2762" s="891">
        <v>6</v>
      </c>
      <c r="DG2762" s="959"/>
      <c r="DH2762" s="959"/>
      <c r="ER2762" s="905">
        <v>8723</v>
      </c>
      <c r="ES2762" s="906" t="s">
        <v>2237</v>
      </c>
      <c r="ET2762" s="2686">
        <v>9</v>
      </c>
      <c r="EV2762" s="985"/>
      <c r="EW2762" s="985"/>
      <c r="EX2762" s="387"/>
      <c r="EY2762" s="939"/>
      <c r="EZ2762" s="886"/>
    </row>
    <row r="2763" spans="88:156">
      <c r="CJ2763" s="197"/>
      <c r="CK2763" s="197"/>
      <c r="CL2763" s="197"/>
      <c r="CM2763" s="213"/>
      <c r="CN2763" s="213"/>
      <c r="CO2763" s="197"/>
      <c r="CP2763" s="197"/>
      <c r="CQ2763" s="197"/>
      <c r="CR2763" s="197"/>
      <c r="CS2763" s="197"/>
      <c r="CT2763" s="197"/>
      <c r="CU2763" s="197"/>
      <c r="CV2763" s="197"/>
      <c r="CW2763" s="197"/>
      <c r="CX2763" s="959"/>
      <c r="CY2763" s="959"/>
      <c r="CZ2763" s="959"/>
      <c r="DA2763" s="959"/>
      <c r="DB2763" s="959"/>
      <c r="DC2763" s="891">
        <v>8873</v>
      </c>
      <c r="DD2763" s="891" t="s">
        <v>4437</v>
      </c>
      <c r="DE2763" s="891" t="s">
        <v>419</v>
      </c>
      <c r="DF2763" s="891">
        <v>6</v>
      </c>
      <c r="DG2763" s="959"/>
      <c r="DH2763" s="959"/>
      <c r="ER2763" s="905">
        <v>8724</v>
      </c>
      <c r="ES2763" s="906" t="s">
        <v>2239</v>
      </c>
      <c r="ET2763" s="2686">
        <v>9</v>
      </c>
      <c r="EV2763" s="985"/>
      <c r="EW2763" s="985"/>
      <c r="EX2763" s="387"/>
      <c r="EY2763" s="939"/>
      <c r="EZ2763" s="886"/>
    </row>
    <row r="2764" spans="88:156">
      <c r="CJ2764" s="197"/>
      <c r="CK2764" s="197"/>
      <c r="CL2764" s="197"/>
      <c r="CM2764" s="213"/>
      <c r="CN2764" s="213"/>
      <c r="CO2764" s="197"/>
      <c r="CP2764" s="197"/>
      <c r="CQ2764" s="197"/>
      <c r="CR2764" s="197"/>
      <c r="CS2764" s="197"/>
      <c r="CT2764" s="197"/>
      <c r="CU2764" s="197"/>
      <c r="CV2764" s="197"/>
      <c r="CW2764" s="197"/>
      <c r="CX2764" s="959"/>
      <c r="CY2764" s="959"/>
      <c r="CZ2764" s="959"/>
      <c r="DA2764" s="959"/>
      <c r="DB2764" s="959"/>
      <c r="DC2764" s="891">
        <v>8874</v>
      </c>
      <c r="DD2764" s="891" t="s">
        <v>4438</v>
      </c>
      <c r="DE2764" s="891" t="s">
        <v>419</v>
      </c>
      <c r="DF2764" s="891">
        <v>6</v>
      </c>
      <c r="DG2764" s="959"/>
      <c r="DH2764" s="959"/>
      <c r="ER2764" s="905">
        <v>8725</v>
      </c>
      <c r="ES2764" s="906" t="s">
        <v>2240</v>
      </c>
      <c r="ET2764" s="2686">
        <v>9</v>
      </c>
      <c r="EV2764" s="985"/>
      <c r="EW2764" s="985"/>
      <c r="EX2764" s="387"/>
      <c r="EY2764" s="939"/>
      <c r="EZ2764" s="886"/>
    </row>
    <row r="2765" spans="88:156">
      <c r="CJ2765" s="197"/>
      <c r="CK2765" s="197"/>
      <c r="CL2765" s="197"/>
      <c r="CM2765" s="213"/>
      <c r="CN2765" s="213"/>
      <c r="CO2765" s="197"/>
      <c r="CP2765" s="197"/>
      <c r="CQ2765" s="197"/>
      <c r="CR2765" s="197"/>
      <c r="CS2765" s="197"/>
      <c r="CT2765" s="197"/>
      <c r="CU2765" s="197"/>
      <c r="CV2765" s="197"/>
      <c r="CW2765" s="197"/>
      <c r="CX2765" s="959"/>
      <c r="CY2765" s="959"/>
      <c r="CZ2765" s="959"/>
      <c r="DA2765" s="959"/>
      <c r="DB2765" s="959"/>
      <c r="DC2765" s="891">
        <v>8876</v>
      </c>
      <c r="DD2765" s="891" t="s">
        <v>4439</v>
      </c>
      <c r="DE2765" s="891" t="s">
        <v>419</v>
      </c>
      <c r="DF2765" s="891">
        <v>6</v>
      </c>
      <c r="DG2765" s="959"/>
      <c r="DH2765" s="959"/>
      <c r="ER2765" s="905">
        <v>8726</v>
      </c>
      <c r="ES2765" s="906" t="s">
        <v>1746</v>
      </c>
      <c r="ET2765" s="2686">
        <v>9</v>
      </c>
      <c r="EV2765" s="985"/>
      <c r="EW2765" s="985"/>
      <c r="EX2765" s="387"/>
      <c r="EY2765" s="939"/>
      <c r="EZ2765" s="886"/>
    </row>
    <row r="2766" spans="88:156">
      <c r="CJ2766" s="197"/>
      <c r="CK2766" s="197"/>
      <c r="CL2766" s="197"/>
      <c r="CM2766" s="213"/>
      <c r="CN2766" s="213"/>
      <c r="CO2766" s="197"/>
      <c r="CP2766" s="197"/>
      <c r="CQ2766" s="197"/>
      <c r="CR2766" s="197"/>
      <c r="CS2766" s="197"/>
      <c r="CT2766" s="197"/>
      <c r="CU2766" s="197"/>
      <c r="CV2766" s="197"/>
      <c r="CW2766" s="197"/>
      <c r="CX2766" s="959"/>
      <c r="CY2766" s="959"/>
      <c r="CZ2766" s="959"/>
      <c r="DA2766" s="959"/>
      <c r="DB2766" s="959"/>
      <c r="DC2766" s="891">
        <v>8877</v>
      </c>
      <c r="DD2766" s="891" t="s">
        <v>4440</v>
      </c>
      <c r="DE2766" s="891" t="s">
        <v>419</v>
      </c>
      <c r="DF2766" s="891">
        <v>6</v>
      </c>
      <c r="DG2766" s="959"/>
      <c r="DH2766" s="959"/>
      <c r="ER2766" s="905">
        <v>8726</v>
      </c>
      <c r="ES2766" s="906" t="s">
        <v>2241</v>
      </c>
      <c r="ET2766" s="2686">
        <v>9</v>
      </c>
      <c r="EV2766" s="985"/>
      <c r="EW2766" s="985"/>
      <c r="EX2766" s="387"/>
      <c r="EY2766" s="939"/>
      <c r="EZ2766" s="886"/>
    </row>
    <row r="2767" spans="88:156">
      <c r="CJ2767" s="197"/>
      <c r="CK2767" s="197"/>
      <c r="CL2767" s="197"/>
      <c r="CM2767" s="213"/>
      <c r="CN2767" s="213"/>
      <c r="CO2767" s="197"/>
      <c r="CP2767" s="197"/>
      <c r="CQ2767" s="197"/>
      <c r="CR2767" s="197"/>
      <c r="CS2767" s="197"/>
      <c r="CT2767" s="197"/>
      <c r="CU2767" s="197"/>
      <c r="CV2767" s="197"/>
      <c r="CW2767" s="197"/>
      <c r="CX2767" s="959"/>
      <c r="CY2767" s="959"/>
      <c r="CZ2767" s="959"/>
      <c r="DA2767" s="959"/>
      <c r="DB2767" s="959"/>
      <c r="DC2767" s="891">
        <v>8878</v>
      </c>
      <c r="DD2767" s="891" t="s">
        <v>4441</v>
      </c>
      <c r="DE2767" s="891" t="s">
        <v>421</v>
      </c>
      <c r="DF2767" s="891">
        <v>6</v>
      </c>
      <c r="DG2767" s="959"/>
      <c r="DH2767" s="959"/>
      <c r="ER2767" s="905">
        <v>8728</v>
      </c>
      <c r="ES2767" s="906" t="s">
        <v>2242</v>
      </c>
      <c r="ET2767" s="2686">
        <v>9</v>
      </c>
      <c r="EV2767" s="985"/>
      <c r="EW2767" s="985"/>
      <c r="EX2767" s="387"/>
      <c r="EY2767" s="939"/>
      <c r="EZ2767" s="886"/>
    </row>
    <row r="2768" spans="88:156">
      <c r="CJ2768" s="197"/>
      <c r="CK2768" s="197"/>
      <c r="CL2768" s="197"/>
      <c r="CM2768" s="213"/>
      <c r="CN2768" s="213"/>
      <c r="CO2768" s="197"/>
      <c r="CP2768" s="197"/>
      <c r="CQ2768" s="197"/>
      <c r="CR2768" s="197"/>
      <c r="CS2768" s="197"/>
      <c r="CT2768" s="197"/>
      <c r="CU2768" s="197"/>
      <c r="CV2768" s="197"/>
      <c r="CW2768" s="197"/>
      <c r="CX2768" s="959"/>
      <c r="CY2768" s="959"/>
      <c r="CZ2768" s="959"/>
      <c r="DA2768" s="959"/>
      <c r="DB2768" s="959"/>
      <c r="DC2768" s="891">
        <v>8879</v>
      </c>
      <c r="DD2768" s="891" t="s">
        <v>4442</v>
      </c>
      <c r="DE2768" s="891" t="s">
        <v>428</v>
      </c>
      <c r="DF2768" s="891">
        <v>6</v>
      </c>
      <c r="DG2768" s="959"/>
      <c r="DH2768" s="959"/>
      <c r="ER2768" s="905">
        <v>8731</v>
      </c>
      <c r="ES2768" s="906" t="s">
        <v>1747</v>
      </c>
      <c r="ET2768" s="2686">
        <v>9</v>
      </c>
      <c r="EV2768" s="985"/>
      <c r="EW2768" s="985"/>
      <c r="EX2768" s="387"/>
      <c r="EY2768" s="939"/>
      <c r="EZ2768" s="886"/>
    </row>
    <row r="2769" spans="88:156">
      <c r="CJ2769" s="197"/>
      <c r="CK2769" s="197"/>
      <c r="CL2769" s="197"/>
      <c r="CM2769" s="213"/>
      <c r="CN2769" s="213"/>
      <c r="CO2769" s="197"/>
      <c r="CP2769" s="197"/>
      <c r="CQ2769" s="197"/>
      <c r="CR2769" s="197"/>
      <c r="CS2769" s="197"/>
      <c r="CT2769" s="197"/>
      <c r="CU2769" s="197"/>
      <c r="CV2769" s="197"/>
      <c r="CW2769" s="197"/>
      <c r="CX2769" s="959"/>
      <c r="CY2769" s="959"/>
      <c r="CZ2769" s="959"/>
      <c r="DA2769" s="959"/>
      <c r="DB2769" s="959"/>
      <c r="DC2769" s="891">
        <v>8881</v>
      </c>
      <c r="DD2769" s="891" t="s">
        <v>4443</v>
      </c>
      <c r="DE2769" s="891" t="s">
        <v>406</v>
      </c>
      <c r="DF2769" s="891">
        <v>5</v>
      </c>
      <c r="DG2769" s="959"/>
      <c r="DH2769" s="959"/>
      <c r="ER2769" s="905">
        <v>8731</v>
      </c>
      <c r="ES2769" s="906" t="s">
        <v>2243</v>
      </c>
      <c r="ET2769" s="2686">
        <v>9</v>
      </c>
      <c r="EV2769" s="985"/>
      <c r="EW2769" s="985"/>
      <c r="EX2769" s="387"/>
      <c r="EY2769" s="939"/>
      <c r="EZ2769" s="886"/>
    </row>
    <row r="2770" spans="88:156">
      <c r="CJ2770" s="197"/>
      <c r="CK2770" s="197"/>
      <c r="CL2770" s="197"/>
      <c r="CM2770" s="213"/>
      <c r="CN2770" s="213"/>
      <c r="CO2770" s="197"/>
      <c r="CP2770" s="197"/>
      <c r="CQ2770" s="197"/>
      <c r="CR2770" s="197"/>
      <c r="CS2770" s="197"/>
      <c r="CT2770" s="197"/>
      <c r="CU2770" s="197"/>
      <c r="CV2770" s="197"/>
      <c r="CW2770" s="197"/>
      <c r="CX2770" s="959"/>
      <c r="CY2770" s="959"/>
      <c r="CZ2770" s="959"/>
      <c r="DA2770" s="959"/>
      <c r="DB2770" s="959"/>
      <c r="DC2770" s="891">
        <v>8882</v>
      </c>
      <c r="DD2770" s="891" t="s">
        <v>4444</v>
      </c>
      <c r="DE2770" s="891" t="s">
        <v>410</v>
      </c>
      <c r="DF2770" s="891">
        <v>5</v>
      </c>
      <c r="DG2770" s="959"/>
      <c r="DH2770" s="959"/>
      <c r="ER2770" s="905">
        <v>8732</v>
      </c>
      <c r="ES2770" s="906" t="s">
        <v>1748</v>
      </c>
      <c r="ET2770" s="2686">
        <v>9</v>
      </c>
      <c r="EV2770" s="985"/>
      <c r="EW2770" s="985"/>
      <c r="EX2770" s="387"/>
      <c r="EY2770" s="939"/>
      <c r="EZ2770" s="886"/>
    </row>
    <row r="2771" spans="88:156">
      <c r="CJ2771" s="197"/>
      <c r="CK2771" s="197"/>
      <c r="CL2771" s="197"/>
      <c r="CM2771" s="213"/>
      <c r="CN2771" s="213"/>
      <c r="CO2771" s="197"/>
      <c r="CP2771" s="197"/>
      <c r="CQ2771" s="197"/>
      <c r="CR2771" s="197"/>
      <c r="CS2771" s="197"/>
      <c r="CT2771" s="197"/>
      <c r="CU2771" s="197"/>
      <c r="CV2771" s="197"/>
      <c r="CW2771" s="197"/>
      <c r="CX2771" s="959"/>
      <c r="CY2771" s="959"/>
      <c r="CZ2771" s="959"/>
      <c r="DA2771" s="959"/>
      <c r="DB2771" s="959"/>
      <c r="DC2771" s="891">
        <v>8883</v>
      </c>
      <c r="DD2771" s="891" t="s">
        <v>4445</v>
      </c>
      <c r="DE2771" s="891" t="s">
        <v>410</v>
      </c>
      <c r="DF2771" s="891">
        <v>6</v>
      </c>
      <c r="DG2771" s="959"/>
      <c r="DH2771" s="959"/>
      <c r="ER2771" s="905">
        <v>8732</v>
      </c>
      <c r="ES2771" s="906" t="s">
        <v>2244</v>
      </c>
      <c r="ET2771" s="2686">
        <v>9</v>
      </c>
      <c r="EV2771" s="985"/>
      <c r="EW2771" s="985"/>
      <c r="EX2771" s="387"/>
      <c r="EY2771" s="939"/>
      <c r="EZ2771" s="886"/>
    </row>
    <row r="2772" spans="88:156">
      <c r="CJ2772" s="197"/>
      <c r="CK2772" s="197"/>
      <c r="CL2772" s="197"/>
      <c r="CM2772" s="213"/>
      <c r="CN2772" s="213"/>
      <c r="CO2772" s="197"/>
      <c r="CP2772" s="197"/>
      <c r="CQ2772" s="197"/>
      <c r="CR2772" s="197"/>
      <c r="CS2772" s="197"/>
      <c r="CT2772" s="197"/>
      <c r="CU2772" s="197"/>
      <c r="CV2772" s="197"/>
      <c r="CW2772" s="197"/>
      <c r="CX2772" s="959"/>
      <c r="CY2772" s="959"/>
      <c r="CZ2772" s="959"/>
      <c r="DA2772" s="959"/>
      <c r="DB2772" s="959"/>
      <c r="DC2772" s="891">
        <v>8884</v>
      </c>
      <c r="DD2772" s="891" t="s">
        <v>4446</v>
      </c>
      <c r="DE2772" s="891" t="s">
        <v>410</v>
      </c>
      <c r="DF2772" s="891">
        <v>6</v>
      </c>
      <c r="DG2772" s="959"/>
      <c r="DH2772" s="959"/>
      <c r="ER2772" s="905">
        <v>8732</v>
      </c>
      <c r="ES2772" s="906" t="s">
        <v>2226</v>
      </c>
      <c r="ET2772" s="2686">
        <v>9</v>
      </c>
      <c r="EV2772" s="985"/>
      <c r="EW2772" s="985"/>
      <c r="EX2772" s="387"/>
      <c r="EY2772" s="939"/>
      <c r="EZ2772" s="886"/>
    </row>
    <row r="2773" spans="88:156">
      <c r="CJ2773" s="197"/>
      <c r="CK2773" s="197"/>
      <c r="CL2773" s="197"/>
      <c r="CM2773" s="213"/>
      <c r="CN2773" s="213"/>
      <c r="CO2773" s="197"/>
      <c r="CP2773" s="197"/>
      <c r="CQ2773" s="197"/>
      <c r="CR2773" s="197"/>
      <c r="CS2773" s="197"/>
      <c r="CT2773" s="197"/>
      <c r="CU2773" s="197"/>
      <c r="CV2773" s="197"/>
      <c r="CW2773" s="197"/>
      <c r="CX2773" s="959"/>
      <c r="CY2773" s="959"/>
      <c r="CZ2773" s="959"/>
      <c r="DA2773" s="959"/>
      <c r="DB2773" s="959"/>
      <c r="DC2773" s="891">
        <v>8885</v>
      </c>
      <c r="DD2773" s="891" t="s">
        <v>4447</v>
      </c>
      <c r="DE2773" s="891" t="s">
        <v>412</v>
      </c>
      <c r="DF2773" s="891">
        <v>6</v>
      </c>
      <c r="DG2773" s="959"/>
      <c r="DH2773" s="959"/>
      <c r="ER2773" s="905">
        <v>8733</v>
      </c>
      <c r="ES2773" s="906" t="s">
        <v>2245</v>
      </c>
      <c r="ET2773" s="2686">
        <v>9</v>
      </c>
      <c r="EV2773" s="985"/>
      <c r="EW2773" s="985"/>
      <c r="EX2773" s="387"/>
      <c r="EY2773" s="939"/>
      <c r="EZ2773" s="886"/>
    </row>
    <row r="2774" spans="88:156">
      <c r="CJ2774" s="197"/>
      <c r="CK2774" s="197"/>
      <c r="CL2774" s="197"/>
      <c r="CM2774" s="213"/>
      <c r="CN2774" s="213"/>
      <c r="CO2774" s="197"/>
      <c r="CP2774" s="197"/>
      <c r="CQ2774" s="197"/>
      <c r="CR2774" s="197"/>
      <c r="CS2774" s="197"/>
      <c r="CT2774" s="197"/>
      <c r="CU2774" s="197"/>
      <c r="CV2774" s="197"/>
      <c r="CW2774" s="197"/>
      <c r="CX2774" s="959"/>
      <c r="CY2774" s="959"/>
      <c r="CZ2774" s="959"/>
      <c r="DA2774" s="959"/>
      <c r="DB2774" s="959"/>
      <c r="DC2774" s="891">
        <v>8886</v>
      </c>
      <c r="DD2774" s="891" t="s">
        <v>4448</v>
      </c>
      <c r="DE2774" s="891" t="s">
        <v>428</v>
      </c>
      <c r="DF2774" s="891">
        <v>6</v>
      </c>
      <c r="DG2774" s="959"/>
      <c r="DH2774" s="959"/>
      <c r="ER2774" s="905">
        <v>8734</v>
      </c>
      <c r="ES2774" s="906" t="s">
        <v>2246</v>
      </c>
      <c r="ET2774" s="2686">
        <v>9</v>
      </c>
      <c r="EV2774" s="985"/>
      <c r="EW2774" s="985"/>
      <c r="EX2774" s="387"/>
      <c r="EY2774" s="939"/>
      <c r="EZ2774" s="886"/>
    </row>
    <row r="2775" spans="88:156">
      <c r="CJ2775" s="197"/>
      <c r="CK2775" s="197"/>
      <c r="CL2775" s="197"/>
      <c r="CM2775" s="213"/>
      <c r="CN2775" s="213"/>
      <c r="CO2775" s="197"/>
      <c r="CP2775" s="197"/>
      <c r="CQ2775" s="197"/>
      <c r="CR2775" s="197"/>
      <c r="CS2775" s="197"/>
      <c r="CT2775" s="197"/>
      <c r="CU2775" s="197"/>
      <c r="CV2775" s="197"/>
      <c r="CW2775" s="197"/>
      <c r="CX2775" s="959"/>
      <c r="CY2775" s="959"/>
      <c r="CZ2775" s="959"/>
      <c r="DA2775" s="959"/>
      <c r="DB2775" s="959"/>
      <c r="DC2775" s="891">
        <v>8887</v>
      </c>
      <c r="DD2775" s="891" t="s">
        <v>4449</v>
      </c>
      <c r="DE2775" s="891" t="s">
        <v>2808</v>
      </c>
      <c r="DF2775" s="891">
        <v>6</v>
      </c>
      <c r="DG2775" s="959"/>
      <c r="DH2775" s="959"/>
      <c r="ER2775" s="905">
        <v>8735</v>
      </c>
      <c r="ES2775" s="906" t="s">
        <v>2247</v>
      </c>
      <c r="ET2775" s="2686">
        <v>9</v>
      </c>
      <c r="EV2775" s="985"/>
      <c r="EW2775" s="985"/>
      <c r="EX2775" s="387"/>
      <c r="EY2775" s="939"/>
      <c r="EZ2775" s="886"/>
    </row>
    <row r="2776" spans="88:156">
      <c r="CJ2776" s="197"/>
      <c r="CK2776" s="197"/>
      <c r="CL2776" s="197"/>
      <c r="CM2776" s="213"/>
      <c r="CN2776" s="213"/>
      <c r="CO2776" s="197"/>
      <c r="CP2776" s="197"/>
      <c r="CQ2776" s="197"/>
      <c r="CR2776" s="197"/>
      <c r="CS2776" s="197"/>
      <c r="CT2776" s="197"/>
      <c r="CU2776" s="197"/>
      <c r="CV2776" s="197"/>
      <c r="CW2776" s="197"/>
      <c r="CX2776" s="959"/>
      <c r="CY2776" s="959"/>
      <c r="CZ2776" s="959"/>
      <c r="DA2776" s="959"/>
      <c r="DB2776" s="959"/>
      <c r="DC2776" s="891">
        <v>8888</v>
      </c>
      <c r="DD2776" s="891" t="s">
        <v>4450</v>
      </c>
      <c r="DE2776" s="891" t="s">
        <v>2808</v>
      </c>
      <c r="DF2776" s="891">
        <v>6</v>
      </c>
      <c r="DG2776" s="959"/>
      <c r="DH2776" s="959"/>
      <c r="ER2776" s="905">
        <v>8736</v>
      </c>
      <c r="ES2776" s="906" t="s">
        <v>2248</v>
      </c>
      <c r="ET2776" s="2686">
        <v>9</v>
      </c>
      <c r="EV2776" s="985"/>
      <c r="EW2776" s="985"/>
      <c r="EX2776" s="387"/>
      <c r="EY2776" s="939"/>
      <c r="EZ2776" s="886"/>
    </row>
    <row r="2777" spans="88:156">
      <c r="CJ2777" s="197"/>
      <c r="CK2777" s="197"/>
      <c r="CL2777" s="197"/>
      <c r="CM2777" s="213"/>
      <c r="CN2777" s="213"/>
      <c r="CO2777" s="197"/>
      <c r="CP2777" s="197"/>
      <c r="CQ2777" s="197"/>
      <c r="CR2777" s="197"/>
      <c r="CS2777" s="197"/>
      <c r="CT2777" s="197"/>
      <c r="CU2777" s="197"/>
      <c r="CV2777" s="197"/>
      <c r="CW2777" s="197"/>
      <c r="CX2777" s="959"/>
      <c r="CY2777" s="959"/>
      <c r="CZ2777" s="959"/>
      <c r="DA2777" s="959"/>
      <c r="DB2777" s="959"/>
      <c r="DC2777" s="891">
        <v>8891</v>
      </c>
      <c r="DD2777" s="891" t="s">
        <v>4451</v>
      </c>
      <c r="DE2777" s="891" t="s">
        <v>2808</v>
      </c>
      <c r="DF2777" s="891">
        <v>6</v>
      </c>
      <c r="DG2777" s="959"/>
      <c r="DH2777" s="959"/>
      <c r="ER2777" s="905">
        <v>8737</v>
      </c>
      <c r="ES2777" s="906" t="s">
        <v>1749</v>
      </c>
      <c r="ET2777" s="2686">
        <v>9</v>
      </c>
      <c r="EV2777" s="985"/>
      <c r="EW2777" s="985"/>
      <c r="EX2777" s="387"/>
      <c r="EY2777" s="939"/>
      <c r="EZ2777" s="886"/>
    </row>
    <row r="2778" spans="88:156">
      <c r="CJ2778" s="197"/>
      <c r="CK2778" s="197"/>
      <c r="CL2778" s="197"/>
      <c r="CM2778" s="213"/>
      <c r="CN2778" s="213"/>
      <c r="CO2778" s="197"/>
      <c r="CP2778" s="197"/>
      <c r="CQ2778" s="197"/>
      <c r="CR2778" s="197"/>
      <c r="CS2778" s="197"/>
      <c r="CT2778" s="197"/>
      <c r="CU2778" s="197"/>
      <c r="CV2778" s="197"/>
      <c r="CW2778" s="197"/>
      <c r="CX2778" s="959"/>
      <c r="CY2778" s="959"/>
      <c r="CZ2778" s="959"/>
      <c r="DA2778" s="959"/>
      <c r="DB2778" s="959"/>
      <c r="DC2778" s="891">
        <v>8893</v>
      </c>
      <c r="DD2778" s="891" t="s">
        <v>4452</v>
      </c>
      <c r="DE2778" s="891" t="s">
        <v>2808</v>
      </c>
      <c r="DF2778" s="891">
        <v>6</v>
      </c>
      <c r="DG2778" s="959"/>
      <c r="DH2778" s="959"/>
      <c r="ER2778" s="905">
        <v>8738</v>
      </c>
      <c r="ES2778" s="906" t="s">
        <v>2250</v>
      </c>
      <c r="ET2778" s="2686">
        <v>9</v>
      </c>
      <c r="EV2778" s="985"/>
      <c r="EW2778" s="985"/>
      <c r="EX2778" s="387"/>
      <c r="EY2778" s="939"/>
      <c r="EZ2778" s="886"/>
    </row>
    <row r="2779" spans="88:156">
      <c r="CJ2779" s="197"/>
      <c r="CK2779" s="197"/>
      <c r="CL2779" s="197"/>
      <c r="CM2779" s="213"/>
      <c r="CN2779" s="213"/>
      <c r="CO2779" s="197"/>
      <c r="CP2779" s="197"/>
      <c r="CQ2779" s="197"/>
      <c r="CR2779" s="197"/>
      <c r="CS2779" s="197"/>
      <c r="CT2779" s="197"/>
      <c r="CU2779" s="197"/>
      <c r="CV2779" s="197"/>
      <c r="CW2779" s="197"/>
      <c r="CX2779" s="959"/>
      <c r="CY2779" s="959"/>
      <c r="CZ2779" s="959"/>
      <c r="DA2779" s="959"/>
      <c r="DB2779" s="959"/>
      <c r="DC2779" s="891">
        <v>8895</v>
      </c>
      <c r="DD2779" s="891" t="s">
        <v>4453</v>
      </c>
      <c r="DE2779" s="891" t="s">
        <v>2808</v>
      </c>
      <c r="DF2779" s="891">
        <v>6</v>
      </c>
      <c r="DG2779" s="959"/>
      <c r="DH2779" s="959"/>
      <c r="ER2779" s="905">
        <v>8739</v>
      </c>
      <c r="ES2779" s="906" t="s">
        <v>2251</v>
      </c>
      <c r="ET2779" s="2686">
        <v>9</v>
      </c>
      <c r="EV2779" s="985"/>
      <c r="EW2779" s="985"/>
      <c r="EX2779" s="387"/>
      <c r="EY2779" s="939"/>
      <c r="EZ2779" s="886"/>
    </row>
    <row r="2780" spans="88:156">
      <c r="CJ2780" s="197"/>
      <c r="CK2780" s="197"/>
      <c r="CL2780" s="197"/>
      <c r="CM2780" s="213"/>
      <c r="CN2780" s="213"/>
      <c r="CO2780" s="197"/>
      <c r="CP2780" s="197"/>
      <c r="CQ2780" s="197"/>
      <c r="CR2780" s="197"/>
      <c r="CS2780" s="197"/>
      <c r="CT2780" s="197"/>
      <c r="CU2780" s="197"/>
      <c r="CV2780" s="197"/>
      <c r="CW2780" s="197"/>
      <c r="CX2780" s="959"/>
      <c r="CY2780" s="959"/>
      <c r="CZ2780" s="959"/>
      <c r="DA2780" s="959"/>
      <c r="DB2780" s="959"/>
      <c r="DC2780" s="891">
        <v>8896</v>
      </c>
      <c r="DD2780" s="891" t="s">
        <v>4454</v>
      </c>
      <c r="DE2780" s="891" t="s">
        <v>417</v>
      </c>
      <c r="DF2780" s="891">
        <v>6</v>
      </c>
      <c r="DG2780" s="959"/>
      <c r="DH2780" s="959"/>
      <c r="ER2780" s="905">
        <v>8741</v>
      </c>
      <c r="ES2780" s="906" t="s">
        <v>2280</v>
      </c>
      <c r="ET2780" s="2686">
        <v>9</v>
      </c>
      <c r="EV2780" s="985"/>
      <c r="EW2780" s="985"/>
      <c r="EX2780" s="387"/>
      <c r="EY2780" s="939"/>
      <c r="EZ2780" s="886"/>
    </row>
    <row r="2781" spans="88:156">
      <c r="CJ2781" s="197"/>
      <c r="CK2781" s="197"/>
      <c r="CL2781" s="197"/>
      <c r="CM2781" s="213"/>
      <c r="CN2781" s="213"/>
      <c r="CO2781" s="197"/>
      <c r="CP2781" s="197"/>
      <c r="CQ2781" s="197"/>
      <c r="CR2781" s="197"/>
      <c r="CS2781" s="197"/>
      <c r="CT2781" s="197"/>
      <c r="CU2781" s="197"/>
      <c r="CV2781" s="197"/>
      <c r="CW2781" s="197"/>
      <c r="CX2781" s="959"/>
      <c r="CY2781" s="959"/>
      <c r="CZ2781" s="959"/>
      <c r="DA2781" s="959"/>
      <c r="DB2781" s="959"/>
      <c r="DC2781" s="891">
        <v>8897</v>
      </c>
      <c r="DD2781" s="891" t="s">
        <v>4455</v>
      </c>
      <c r="DE2781" s="891" t="s">
        <v>432</v>
      </c>
      <c r="DF2781" s="891">
        <v>6</v>
      </c>
      <c r="DG2781" s="959"/>
      <c r="DH2781" s="959"/>
      <c r="ER2781" s="905">
        <v>8741</v>
      </c>
      <c r="ES2781" s="906" t="s">
        <v>2252</v>
      </c>
      <c r="ET2781" s="2686">
        <v>9</v>
      </c>
      <c r="EV2781" s="985"/>
      <c r="EW2781" s="985"/>
      <c r="EX2781" s="387"/>
      <c r="EY2781" s="939"/>
      <c r="EZ2781" s="886"/>
    </row>
    <row r="2782" spans="88:156">
      <c r="CJ2782" s="197"/>
      <c r="CK2782" s="197"/>
      <c r="CL2782" s="197"/>
      <c r="CM2782" s="213"/>
      <c r="CN2782" s="213"/>
      <c r="CO2782" s="197"/>
      <c r="CP2782" s="197"/>
      <c r="CQ2782" s="197"/>
      <c r="CR2782" s="197"/>
      <c r="CS2782" s="197"/>
      <c r="CT2782" s="197"/>
      <c r="CU2782" s="197"/>
      <c r="CV2782" s="197"/>
      <c r="CW2782" s="197"/>
      <c r="CX2782" s="959"/>
      <c r="CY2782" s="959"/>
      <c r="CZ2782" s="959"/>
      <c r="DA2782" s="959"/>
      <c r="DB2782" s="959"/>
      <c r="DC2782" s="891">
        <v>8900</v>
      </c>
      <c r="DD2782" s="891" t="s">
        <v>4456</v>
      </c>
      <c r="DE2782" s="891" t="s">
        <v>2808</v>
      </c>
      <c r="DF2782" s="891">
        <v>5</v>
      </c>
      <c r="DG2782" s="959"/>
      <c r="DH2782" s="959"/>
      <c r="ER2782" s="905">
        <v>8742</v>
      </c>
      <c r="ES2782" s="906" t="s">
        <v>2253</v>
      </c>
      <c r="ET2782" s="2686">
        <v>9</v>
      </c>
      <c r="EV2782" s="985"/>
      <c r="EW2782" s="985"/>
      <c r="EX2782" s="387"/>
      <c r="EY2782" s="939"/>
      <c r="EZ2782" s="886"/>
    </row>
    <row r="2783" spans="88:156">
      <c r="CJ2783" s="197"/>
      <c r="CK2783" s="197"/>
      <c r="CL2783" s="197"/>
      <c r="CM2783" s="213"/>
      <c r="CN2783" s="213"/>
      <c r="CO2783" s="197"/>
      <c r="CP2783" s="197"/>
      <c r="CQ2783" s="197"/>
      <c r="CR2783" s="197"/>
      <c r="CS2783" s="197"/>
      <c r="CT2783" s="197"/>
      <c r="CU2783" s="197"/>
      <c r="CV2783" s="197"/>
      <c r="CW2783" s="197"/>
      <c r="CX2783" s="959"/>
      <c r="CY2783" s="959"/>
      <c r="CZ2783" s="959"/>
      <c r="DA2783" s="959"/>
      <c r="DB2783" s="959"/>
      <c r="DC2783" s="891">
        <v>8904</v>
      </c>
      <c r="DD2783" s="891" t="s">
        <v>4457</v>
      </c>
      <c r="DE2783" s="891" t="s">
        <v>423</v>
      </c>
      <c r="DF2783" s="891">
        <v>5</v>
      </c>
      <c r="DG2783" s="959"/>
      <c r="DH2783" s="959"/>
      <c r="ER2783" s="905">
        <v>8743</v>
      </c>
      <c r="ES2783" s="906" t="s">
        <v>2254</v>
      </c>
      <c r="ET2783" s="2686">
        <v>9</v>
      </c>
      <c r="EV2783" s="985"/>
      <c r="EW2783" s="985"/>
      <c r="EX2783" s="387"/>
      <c r="EY2783" s="939"/>
      <c r="EZ2783" s="886"/>
    </row>
    <row r="2784" spans="88:156">
      <c r="CJ2784" s="197"/>
      <c r="CK2784" s="197"/>
      <c r="CL2784" s="197"/>
      <c r="CM2784" s="213"/>
      <c r="CN2784" s="213"/>
      <c r="CO2784" s="197"/>
      <c r="CP2784" s="197"/>
      <c r="CQ2784" s="197"/>
      <c r="CR2784" s="197"/>
      <c r="CS2784" s="197"/>
      <c r="CT2784" s="197"/>
      <c r="CU2784" s="197"/>
      <c r="CV2784" s="197"/>
      <c r="CW2784" s="197"/>
      <c r="CX2784" s="959"/>
      <c r="CY2784" s="959"/>
      <c r="CZ2784" s="959"/>
      <c r="DA2784" s="959"/>
      <c r="DB2784" s="959"/>
      <c r="DC2784" s="891">
        <v>8908</v>
      </c>
      <c r="DD2784" s="891" t="s">
        <v>4458</v>
      </c>
      <c r="DE2784" s="891" t="s">
        <v>406</v>
      </c>
      <c r="DF2784" s="891">
        <v>5</v>
      </c>
      <c r="DG2784" s="959"/>
      <c r="DH2784" s="959"/>
      <c r="ER2784" s="905">
        <v>8744</v>
      </c>
      <c r="ES2784" s="906" t="s">
        <v>2255</v>
      </c>
      <c r="ET2784" s="2686">
        <v>9</v>
      </c>
      <c r="EV2784" s="985"/>
      <c r="EW2784" s="985"/>
      <c r="EX2784" s="387"/>
      <c r="EY2784" s="939"/>
      <c r="EZ2784" s="886"/>
    </row>
    <row r="2785" spans="88:156">
      <c r="CJ2785" s="197"/>
      <c r="CK2785" s="197"/>
      <c r="CL2785" s="197"/>
      <c r="CM2785" s="213"/>
      <c r="CN2785" s="213"/>
      <c r="CO2785" s="197"/>
      <c r="CP2785" s="197"/>
      <c r="CQ2785" s="197"/>
      <c r="CR2785" s="197"/>
      <c r="CS2785" s="197"/>
      <c r="CT2785" s="197"/>
      <c r="CU2785" s="197"/>
      <c r="CV2785" s="197"/>
      <c r="CW2785" s="197"/>
      <c r="CX2785" s="959"/>
      <c r="CY2785" s="959"/>
      <c r="CZ2785" s="959"/>
      <c r="DA2785" s="959"/>
      <c r="DB2785" s="959"/>
      <c r="DC2785" s="891">
        <v>8911</v>
      </c>
      <c r="DD2785" s="891" t="s">
        <v>4459</v>
      </c>
      <c r="DE2785" s="891" t="s">
        <v>423</v>
      </c>
      <c r="DF2785" s="891">
        <v>5</v>
      </c>
      <c r="DG2785" s="959"/>
      <c r="DH2785" s="959"/>
      <c r="ER2785" s="905">
        <v>8745</v>
      </c>
      <c r="ES2785" s="906" t="s">
        <v>2256</v>
      </c>
      <c r="ET2785" s="2686">
        <v>9</v>
      </c>
      <c r="EV2785" s="985"/>
      <c r="EW2785" s="985"/>
      <c r="EX2785" s="387"/>
      <c r="EY2785" s="939"/>
      <c r="EZ2785" s="886"/>
    </row>
    <row r="2786" spans="88:156">
      <c r="CJ2786" s="197"/>
      <c r="CK2786" s="197"/>
      <c r="CL2786" s="197"/>
      <c r="CM2786" s="213"/>
      <c r="CN2786" s="213"/>
      <c r="CO2786" s="197"/>
      <c r="CP2786" s="197"/>
      <c r="CQ2786" s="197"/>
      <c r="CR2786" s="197"/>
      <c r="CS2786" s="197"/>
      <c r="CT2786" s="197"/>
      <c r="CU2786" s="197"/>
      <c r="CV2786" s="197"/>
      <c r="CW2786" s="197"/>
      <c r="CX2786" s="959"/>
      <c r="CY2786" s="959"/>
      <c r="CZ2786" s="959"/>
      <c r="DA2786" s="959"/>
      <c r="DB2786" s="959"/>
      <c r="DC2786" s="891">
        <v>8912</v>
      </c>
      <c r="DD2786" s="891" t="s">
        <v>4460</v>
      </c>
      <c r="DE2786" s="891" t="s">
        <v>402</v>
      </c>
      <c r="DF2786" s="891">
        <v>6</v>
      </c>
      <c r="DG2786" s="959"/>
      <c r="DH2786" s="959"/>
      <c r="ER2786" s="905">
        <v>8746</v>
      </c>
      <c r="ES2786" s="906" t="s">
        <v>2257</v>
      </c>
      <c r="ET2786" s="2686">
        <v>9</v>
      </c>
      <c r="EV2786" s="985"/>
      <c r="EW2786" s="985"/>
      <c r="EX2786" s="387"/>
      <c r="EY2786" s="939"/>
      <c r="EZ2786" s="886"/>
    </row>
    <row r="2787" spans="88:156">
      <c r="CJ2787" s="197"/>
      <c r="CK2787" s="197"/>
      <c r="CL2787" s="197"/>
      <c r="CM2787" s="213"/>
      <c r="CN2787" s="213"/>
      <c r="CO2787" s="197"/>
      <c r="CP2787" s="197"/>
      <c r="CQ2787" s="197"/>
      <c r="CR2787" s="197"/>
      <c r="CS2787" s="197"/>
      <c r="CT2787" s="197"/>
      <c r="CU2787" s="197"/>
      <c r="CV2787" s="197"/>
      <c r="CW2787" s="197"/>
      <c r="CX2787" s="959"/>
      <c r="CY2787" s="959"/>
      <c r="CZ2787" s="959"/>
      <c r="DA2787" s="959"/>
      <c r="DB2787" s="959"/>
      <c r="DC2787" s="891">
        <v>8913</v>
      </c>
      <c r="DD2787" s="891" t="s">
        <v>4461</v>
      </c>
      <c r="DE2787" s="891" t="s">
        <v>423</v>
      </c>
      <c r="DF2787" s="891">
        <v>6</v>
      </c>
      <c r="DG2787" s="959"/>
      <c r="DH2787" s="959"/>
      <c r="ER2787" s="905">
        <v>8747</v>
      </c>
      <c r="ES2787" s="906" t="s">
        <v>1750</v>
      </c>
      <c r="ET2787" s="2686">
        <v>9</v>
      </c>
      <c r="EV2787" s="985"/>
      <c r="EW2787" s="985"/>
      <c r="EX2787" s="387"/>
      <c r="EY2787" s="939"/>
      <c r="EZ2787" s="886"/>
    </row>
    <row r="2788" spans="88:156">
      <c r="CJ2788" s="197"/>
      <c r="CK2788" s="197"/>
      <c r="CL2788" s="197"/>
      <c r="CM2788" s="213"/>
      <c r="CN2788" s="213"/>
      <c r="CO2788" s="197"/>
      <c r="CP2788" s="197"/>
      <c r="CQ2788" s="197"/>
      <c r="CR2788" s="197"/>
      <c r="CS2788" s="197"/>
      <c r="CT2788" s="197"/>
      <c r="CU2788" s="197"/>
      <c r="CV2788" s="197"/>
      <c r="CW2788" s="197"/>
      <c r="CX2788" s="959"/>
      <c r="CY2788" s="959"/>
      <c r="CZ2788" s="959"/>
      <c r="DA2788" s="959"/>
      <c r="DB2788" s="959"/>
      <c r="DC2788" s="891">
        <v>8914</v>
      </c>
      <c r="DD2788" s="891" t="s">
        <v>4462</v>
      </c>
      <c r="DE2788" s="891" t="s">
        <v>428</v>
      </c>
      <c r="DF2788" s="891">
        <v>6</v>
      </c>
      <c r="DG2788" s="959"/>
      <c r="DH2788" s="959"/>
      <c r="ER2788" s="905">
        <v>8747</v>
      </c>
      <c r="ES2788" s="906" t="s">
        <v>2258</v>
      </c>
      <c r="ET2788" s="2686">
        <v>9</v>
      </c>
      <c r="EV2788" s="985"/>
      <c r="EW2788" s="985"/>
      <c r="EX2788" s="387"/>
      <c r="EY2788" s="939"/>
      <c r="EZ2788" s="886"/>
    </row>
    <row r="2789" spans="88:156">
      <c r="CJ2789" s="197"/>
      <c r="CK2789" s="197"/>
      <c r="CL2789" s="197"/>
      <c r="CM2789" s="213"/>
      <c r="CN2789" s="213"/>
      <c r="CO2789" s="197"/>
      <c r="CP2789" s="197"/>
      <c r="CQ2789" s="197"/>
      <c r="CR2789" s="197"/>
      <c r="CS2789" s="197"/>
      <c r="CT2789" s="197"/>
      <c r="CU2789" s="197"/>
      <c r="CV2789" s="197"/>
      <c r="CW2789" s="197"/>
      <c r="CX2789" s="959"/>
      <c r="CY2789" s="959"/>
      <c r="CZ2789" s="959"/>
      <c r="DA2789" s="959"/>
      <c r="DB2789" s="959"/>
      <c r="DC2789" s="891">
        <v>8915</v>
      </c>
      <c r="DD2789" s="891" t="s">
        <v>4463</v>
      </c>
      <c r="DE2789" s="891" t="s">
        <v>2808</v>
      </c>
      <c r="DF2789" s="891">
        <v>6</v>
      </c>
      <c r="DG2789" s="959"/>
      <c r="DH2789" s="959"/>
      <c r="ER2789" s="905">
        <v>8749</v>
      </c>
      <c r="ES2789" s="906" t="s">
        <v>2259</v>
      </c>
      <c r="ET2789" s="2686">
        <v>9</v>
      </c>
      <c r="EV2789" s="985"/>
      <c r="EW2789" s="985"/>
      <c r="EX2789" s="387"/>
      <c r="EY2789" s="939"/>
      <c r="EZ2789" s="886"/>
    </row>
    <row r="2790" spans="88:156">
      <c r="CJ2790" s="197"/>
      <c r="CK2790" s="197"/>
      <c r="CL2790" s="197"/>
      <c r="CM2790" s="213"/>
      <c r="CN2790" s="213"/>
      <c r="CO2790" s="197"/>
      <c r="CP2790" s="197"/>
      <c r="CQ2790" s="197"/>
      <c r="CR2790" s="197"/>
      <c r="CS2790" s="197"/>
      <c r="CT2790" s="197"/>
      <c r="CU2790" s="197"/>
      <c r="CV2790" s="197"/>
      <c r="CW2790" s="197"/>
      <c r="CX2790" s="959"/>
      <c r="CY2790" s="959"/>
      <c r="CZ2790" s="959"/>
      <c r="DA2790" s="959"/>
      <c r="DB2790" s="959"/>
      <c r="DC2790" s="891">
        <v>8916</v>
      </c>
      <c r="DD2790" s="891" t="s">
        <v>4464</v>
      </c>
      <c r="DE2790" s="891" t="s">
        <v>2807</v>
      </c>
      <c r="DF2790" s="891">
        <v>6</v>
      </c>
      <c r="DG2790" s="959"/>
      <c r="DH2790" s="959"/>
      <c r="ER2790" s="905">
        <v>8751</v>
      </c>
      <c r="ES2790" s="906" t="s">
        <v>1751</v>
      </c>
      <c r="ET2790" s="2686">
        <v>9</v>
      </c>
      <c r="EV2790" s="985"/>
      <c r="EW2790" s="985"/>
      <c r="EX2790" s="387"/>
      <c r="EY2790" s="939"/>
      <c r="EZ2790" s="886"/>
    </row>
    <row r="2791" spans="88:156">
      <c r="CJ2791" s="197"/>
      <c r="CK2791" s="197"/>
      <c r="CL2791" s="197"/>
      <c r="CM2791" s="213"/>
      <c r="CN2791" s="213"/>
      <c r="CO2791" s="197"/>
      <c r="CP2791" s="197"/>
      <c r="CQ2791" s="197"/>
      <c r="CR2791" s="197"/>
      <c r="CS2791" s="197"/>
      <c r="CT2791" s="197"/>
      <c r="CU2791" s="197"/>
      <c r="CV2791" s="197"/>
      <c r="CW2791" s="197"/>
      <c r="CX2791" s="959"/>
      <c r="CY2791" s="959"/>
      <c r="CZ2791" s="959"/>
      <c r="DA2791" s="959"/>
      <c r="DB2791" s="959"/>
      <c r="DC2791" s="891">
        <v>8917</v>
      </c>
      <c r="DD2791" s="891" t="s">
        <v>4465</v>
      </c>
      <c r="DE2791" s="891" t="s">
        <v>428</v>
      </c>
      <c r="DF2791" s="891">
        <v>5</v>
      </c>
      <c r="DG2791" s="959"/>
      <c r="DH2791" s="959"/>
      <c r="ER2791" s="905">
        <v>8752</v>
      </c>
      <c r="ES2791" s="906" t="s">
        <v>1752</v>
      </c>
      <c r="ET2791" s="2686">
        <v>9</v>
      </c>
      <c r="EV2791" s="985"/>
      <c r="EW2791" s="985"/>
      <c r="EX2791" s="387"/>
      <c r="EY2791" s="939"/>
      <c r="EZ2791" s="886"/>
    </row>
    <row r="2792" spans="88:156">
      <c r="CJ2792" s="197"/>
      <c r="CK2792" s="197"/>
      <c r="CL2792" s="197"/>
      <c r="CM2792" s="213"/>
      <c r="CN2792" s="213"/>
      <c r="CO2792" s="197"/>
      <c r="CP2792" s="197"/>
      <c r="CQ2792" s="197"/>
      <c r="CR2792" s="197"/>
      <c r="CS2792" s="197"/>
      <c r="CT2792" s="197"/>
      <c r="CU2792" s="197"/>
      <c r="CV2792" s="197"/>
      <c r="CW2792" s="197"/>
      <c r="CX2792" s="959"/>
      <c r="CY2792" s="959"/>
      <c r="CZ2792" s="959"/>
      <c r="DA2792" s="959"/>
      <c r="DB2792" s="959"/>
      <c r="DC2792" s="891">
        <v>8918</v>
      </c>
      <c r="DD2792" s="891" t="s">
        <v>4466</v>
      </c>
      <c r="DE2792" s="891" t="s">
        <v>402</v>
      </c>
      <c r="DF2792" s="891">
        <v>5</v>
      </c>
      <c r="DG2792" s="959"/>
      <c r="DH2792" s="959"/>
      <c r="ER2792" s="905">
        <v>8753</v>
      </c>
      <c r="ES2792" s="906" t="s">
        <v>2262</v>
      </c>
      <c r="ET2792" s="2686">
        <v>9</v>
      </c>
      <c r="EV2792" s="985"/>
      <c r="EW2792" s="985"/>
      <c r="EX2792" s="387"/>
      <c r="EY2792" s="939"/>
      <c r="EZ2792" s="886"/>
    </row>
    <row r="2793" spans="88:156">
      <c r="CJ2793" s="197"/>
      <c r="CK2793" s="197"/>
      <c r="CL2793" s="197"/>
      <c r="CM2793" s="213"/>
      <c r="CN2793" s="213"/>
      <c r="CO2793" s="197"/>
      <c r="CP2793" s="197"/>
      <c r="CQ2793" s="197"/>
      <c r="CR2793" s="197"/>
      <c r="CS2793" s="197"/>
      <c r="CT2793" s="197"/>
      <c r="CU2793" s="197"/>
      <c r="CV2793" s="197"/>
      <c r="CW2793" s="197"/>
      <c r="CX2793" s="959"/>
      <c r="CY2793" s="959"/>
      <c r="CZ2793" s="959"/>
      <c r="DA2793" s="959"/>
      <c r="DB2793" s="959"/>
      <c r="DC2793" s="891">
        <v>8919</v>
      </c>
      <c r="DD2793" s="891" t="s">
        <v>4467</v>
      </c>
      <c r="DE2793" s="891" t="s">
        <v>417</v>
      </c>
      <c r="DF2793" s="891">
        <v>6</v>
      </c>
      <c r="DG2793" s="959"/>
      <c r="DH2793" s="959"/>
      <c r="ER2793" s="905">
        <v>8754</v>
      </c>
      <c r="ES2793" s="906" t="s">
        <v>2263</v>
      </c>
      <c r="ET2793" s="2686">
        <v>9</v>
      </c>
      <c r="EV2793" s="985"/>
      <c r="EW2793" s="985"/>
      <c r="EX2793" s="387"/>
      <c r="EY2793" s="939"/>
      <c r="EZ2793" s="886"/>
    </row>
    <row r="2794" spans="88:156">
      <c r="CJ2794" s="197"/>
      <c r="CK2794" s="197"/>
      <c r="CL2794" s="197"/>
      <c r="CM2794" s="213"/>
      <c r="CN2794" s="213"/>
      <c r="CO2794" s="197"/>
      <c r="CP2794" s="197"/>
      <c r="CQ2794" s="197"/>
      <c r="CR2794" s="197"/>
      <c r="CS2794" s="197"/>
      <c r="CT2794" s="197"/>
      <c r="CU2794" s="197"/>
      <c r="CV2794" s="197"/>
      <c r="CW2794" s="197"/>
      <c r="CX2794" s="959"/>
      <c r="CY2794" s="959"/>
      <c r="CZ2794" s="959"/>
      <c r="DA2794" s="959"/>
      <c r="DB2794" s="959"/>
      <c r="DC2794" s="891">
        <v>8921</v>
      </c>
      <c r="DD2794" s="891" t="s">
        <v>4468</v>
      </c>
      <c r="DE2794" s="891" t="s">
        <v>2807</v>
      </c>
      <c r="DF2794" s="891">
        <v>5</v>
      </c>
      <c r="DG2794" s="959"/>
      <c r="DH2794" s="959"/>
      <c r="ER2794" s="905">
        <v>8756</v>
      </c>
      <c r="ES2794" s="906" t="s">
        <v>1753</v>
      </c>
      <c r="ET2794" s="2686">
        <v>9</v>
      </c>
      <c r="EV2794" s="985"/>
      <c r="EW2794" s="985"/>
      <c r="EX2794" s="387"/>
      <c r="EY2794" s="939"/>
      <c r="EZ2794" s="886"/>
    </row>
    <row r="2795" spans="88:156">
      <c r="CJ2795" s="197"/>
      <c r="CK2795" s="197"/>
      <c r="CL2795" s="197"/>
      <c r="CM2795" s="213"/>
      <c r="CN2795" s="213"/>
      <c r="CO2795" s="197"/>
      <c r="CP2795" s="197"/>
      <c r="CQ2795" s="197"/>
      <c r="CR2795" s="197"/>
      <c r="CS2795" s="197"/>
      <c r="CT2795" s="197"/>
      <c r="CU2795" s="197"/>
      <c r="CV2795" s="197"/>
      <c r="CW2795" s="197"/>
      <c r="CX2795" s="959"/>
      <c r="CY2795" s="959"/>
      <c r="CZ2795" s="959"/>
      <c r="DA2795" s="959"/>
      <c r="DB2795" s="959"/>
      <c r="DC2795" s="891">
        <v>8923</v>
      </c>
      <c r="DD2795" s="891" t="s">
        <v>4469</v>
      </c>
      <c r="DE2795" s="891" t="s">
        <v>421</v>
      </c>
      <c r="DF2795" s="891">
        <v>6</v>
      </c>
      <c r="DG2795" s="959"/>
      <c r="DH2795" s="959"/>
      <c r="ER2795" s="905">
        <v>8756</v>
      </c>
      <c r="ES2795" s="906" t="s">
        <v>1754</v>
      </c>
      <c r="ET2795" s="2686">
        <v>9</v>
      </c>
      <c r="EV2795" s="985"/>
      <c r="EW2795" s="985"/>
      <c r="EX2795" s="387"/>
      <c r="EY2795" s="939"/>
      <c r="EZ2795" s="886"/>
    </row>
    <row r="2796" spans="88:156">
      <c r="CJ2796" s="197"/>
      <c r="CK2796" s="197"/>
      <c r="CL2796" s="197"/>
      <c r="CM2796" s="213"/>
      <c r="CN2796" s="213"/>
      <c r="CO2796" s="197"/>
      <c r="CP2796" s="197"/>
      <c r="CQ2796" s="197"/>
      <c r="CR2796" s="197"/>
      <c r="CS2796" s="197"/>
      <c r="CT2796" s="197"/>
      <c r="CU2796" s="197"/>
      <c r="CV2796" s="197"/>
      <c r="CW2796" s="197"/>
      <c r="CX2796" s="959"/>
      <c r="CY2796" s="959"/>
      <c r="CZ2796" s="959"/>
      <c r="DA2796" s="959"/>
      <c r="DB2796" s="959"/>
      <c r="DC2796" s="891">
        <v>8924</v>
      </c>
      <c r="DD2796" s="891" t="s">
        <v>4470</v>
      </c>
      <c r="DE2796" s="891" t="s">
        <v>406</v>
      </c>
      <c r="DF2796" s="891">
        <v>6</v>
      </c>
      <c r="DG2796" s="959"/>
      <c r="DH2796" s="959"/>
      <c r="ER2796" s="905">
        <v>8756</v>
      </c>
      <c r="ES2796" s="906" t="s">
        <v>1755</v>
      </c>
      <c r="ET2796" s="2686">
        <v>9</v>
      </c>
      <c r="EV2796" s="985"/>
      <c r="EW2796" s="985"/>
      <c r="EX2796" s="387"/>
      <c r="EY2796" s="939"/>
      <c r="EZ2796" s="886"/>
    </row>
    <row r="2797" spans="88:156">
      <c r="CJ2797" s="197"/>
      <c r="CK2797" s="197"/>
      <c r="CL2797" s="197"/>
      <c r="CM2797" s="213"/>
      <c r="CN2797" s="213"/>
      <c r="CO2797" s="197"/>
      <c r="CP2797" s="197"/>
      <c r="CQ2797" s="197"/>
      <c r="CR2797" s="197"/>
      <c r="CS2797" s="197"/>
      <c r="CT2797" s="197"/>
      <c r="CU2797" s="197"/>
      <c r="CV2797" s="197"/>
      <c r="CW2797" s="197"/>
      <c r="CX2797" s="959"/>
      <c r="CY2797" s="959"/>
      <c r="CZ2797" s="959"/>
      <c r="DA2797" s="959"/>
      <c r="DB2797" s="959"/>
      <c r="DC2797" s="891">
        <v>8925</v>
      </c>
      <c r="DD2797" s="891" t="s">
        <v>4471</v>
      </c>
      <c r="DE2797" s="891" t="s">
        <v>406</v>
      </c>
      <c r="DF2797" s="891">
        <v>6</v>
      </c>
      <c r="DG2797" s="959"/>
      <c r="DH2797" s="959"/>
      <c r="ER2797" s="905">
        <v>8756</v>
      </c>
      <c r="ES2797" s="906" t="s">
        <v>2264</v>
      </c>
      <c r="ET2797" s="2686">
        <v>9</v>
      </c>
      <c r="EV2797" s="985"/>
      <c r="EW2797" s="985"/>
      <c r="EX2797" s="387"/>
      <c r="EY2797" s="939"/>
      <c r="EZ2797" s="886"/>
    </row>
    <row r="2798" spans="88:156">
      <c r="CJ2798" s="197"/>
      <c r="CK2798" s="197"/>
      <c r="CL2798" s="197"/>
      <c r="CM2798" s="213"/>
      <c r="CN2798" s="213"/>
      <c r="CO2798" s="197"/>
      <c r="CP2798" s="197"/>
      <c r="CQ2798" s="197"/>
      <c r="CR2798" s="197"/>
      <c r="CS2798" s="197"/>
      <c r="CT2798" s="197"/>
      <c r="CU2798" s="197"/>
      <c r="CV2798" s="197"/>
      <c r="CW2798" s="197"/>
      <c r="CX2798" s="959"/>
      <c r="CY2798" s="959"/>
      <c r="CZ2798" s="959"/>
      <c r="DA2798" s="959"/>
      <c r="DB2798" s="959"/>
      <c r="DC2798" s="891">
        <v>8926</v>
      </c>
      <c r="DD2798" s="891" t="s">
        <v>4472</v>
      </c>
      <c r="DE2798" s="891" t="s">
        <v>406</v>
      </c>
      <c r="DF2798" s="891">
        <v>6</v>
      </c>
      <c r="DG2798" s="959"/>
      <c r="DH2798" s="959"/>
      <c r="ER2798" s="905">
        <v>8761</v>
      </c>
      <c r="ES2798" s="906" t="s">
        <v>1756</v>
      </c>
      <c r="ET2798" s="2686">
        <v>9</v>
      </c>
      <c r="EV2798" s="985"/>
      <c r="EW2798" s="985"/>
      <c r="EX2798" s="387"/>
      <c r="EY2798" s="939"/>
      <c r="EZ2798" s="886"/>
    </row>
    <row r="2799" spans="88:156">
      <c r="CJ2799" s="197"/>
      <c r="CK2799" s="197"/>
      <c r="CL2799" s="197"/>
      <c r="CM2799" s="213"/>
      <c r="CN2799" s="213"/>
      <c r="CO2799" s="197"/>
      <c r="CP2799" s="197"/>
      <c r="CQ2799" s="197"/>
      <c r="CR2799" s="197"/>
      <c r="CS2799" s="197"/>
      <c r="CT2799" s="197"/>
      <c r="CU2799" s="197"/>
      <c r="CV2799" s="197"/>
      <c r="CW2799" s="197"/>
      <c r="CX2799" s="959"/>
      <c r="CY2799" s="959"/>
      <c r="CZ2799" s="959"/>
      <c r="DA2799" s="959"/>
      <c r="DB2799" s="959"/>
      <c r="DC2799" s="891">
        <v>8928</v>
      </c>
      <c r="DD2799" s="891" t="s">
        <v>4473</v>
      </c>
      <c r="DE2799" s="891" t="s">
        <v>406</v>
      </c>
      <c r="DF2799" s="891">
        <v>6</v>
      </c>
      <c r="DG2799" s="959"/>
      <c r="DH2799" s="959"/>
      <c r="ER2799" s="905">
        <v>8761</v>
      </c>
      <c r="ES2799" s="906" t="s">
        <v>2266</v>
      </c>
      <c r="ET2799" s="2686">
        <v>9</v>
      </c>
      <c r="EV2799" s="985"/>
      <c r="EW2799" s="985"/>
      <c r="EX2799" s="387"/>
      <c r="EY2799" s="939"/>
      <c r="EZ2799" s="886"/>
    </row>
    <row r="2800" spans="88:156">
      <c r="CJ2800" s="197"/>
      <c r="CK2800" s="197"/>
      <c r="CL2800" s="197"/>
      <c r="CM2800" s="213"/>
      <c r="CN2800" s="213"/>
      <c r="CO2800" s="197"/>
      <c r="CP2800" s="197"/>
      <c r="CQ2800" s="197"/>
      <c r="CR2800" s="197"/>
      <c r="CS2800" s="197"/>
      <c r="CT2800" s="197"/>
      <c r="CU2800" s="197"/>
      <c r="CV2800" s="197"/>
      <c r="CW2800" s="197"/>
      <c r="CX2800" s="959"/>
      <c r="CY2800" s="959"/>
      <c r="CZ2800" s="959"/>
      <c r="DA2800" s="959"/>
      <c r="DB2800" s="959"/>
      <c r="DC2800" s="891">
        <v>8929</v>
      </c>
      <c r="DD2800" s="891" t="s">
        <v>4474</v>
      </c>
      <c r="DE2800" s="891" t="s">
        <v>406</v>
      </c>
      <c r="DF2800" s="891">
        <v>6</v>
      </c>
      <c r="DG2800" s="959"/>
      <c r="DH2800" s="959"/>
      <c r="ER2800" s="905">
        <v>8762</v>
      </c>
      <c r="ES2800" s="906" t="s">
        <v>1757</v>
      </c>
      <c r="ET2800" s="2686">
        <v>9</v>
      </c>
      <c r="EV2800" s="985"/>
      <c r="EW2800" s="985"/>
      <c r="EX2800" s="387"/>
      <c r="EY2800" s="939"/>
      <c r="EZ2800" s="886"/>
    </row>
    <row r="2801" spans="88:156">
      <c r="CJ2801" s="197"/>
      <c r="CK2801" s="197"/>
      <c r="CL2801" s="197"/>
      <c r="CM2801" s="213"/>
      <c r="CN2801" s="213"/>
      <c r="CO2801" s="197"/>
      <c r="CP2801" s="197"/>
      <c r="CQ2801" s="197"/>
      <c r="CR2801" s="197"/>
      <c r="CS2801" s="197"/>
      <c r="CT2801" s="197"/>
      <c r="CU2801" s="197"/>
      <c r="CV2801" s="197"/>
      <c r="CW2801" s="197"/>
      <c r="CX2801" s="959"/>
      <c r="CY2801" s="959"/>
      <c r="CZ2801" s="959"/>
      <c r="DA2801" s="959"/>
      <c r="DB2801" s="959"/>
      <c r="DC2801" s="891">
        <v>8931</v>
      </c>
      <c r="DD2801" s="891" t="s">
        <v>4475</v>
      </c>
      <c r="DE2801" s="891" t="s">
        <v>406</v>
      </c>
      <c r="DF2801" s="891">
        <v>6</v>
      </c>
      <c r="DG2801" s="959"/>
      <c r="DH2801" s="959"/>
      <c r="ER2801" s="905">
        <v>8762</v>
      </c>
      <c r="ES2801" s="906" t="s">
        <v>2267</v>
      </c>
      <c r="ET2801" s="2686">
        <v>9</v>
      </c>
      <c r="EV2801" s="985"/>
      <c r="EW2801" s="985"/>
      <c r="EX2801" s="387"/>
      <c r="EY2801" s="939"/>
      <c r="EZ2801" s="886"/>
    </row>
    <row r="2802" spans="88:156">
      <c r="CJ2802" s="197"/>
      <c r="CK2802" s="197"/>
      <c r="CL2802" s="197"/>
      <c r="CM2802" s="213"/>
      <c r="CN2802" s="213"/>
      <c r="CO2802" s="197"/>
      <c r="CP2802" s="197"/>
      <c r="CQ2802" s="197"/>
      <c r="CR2802" s="197"/>
      <c r="CS2802" s="197"/>
      <c r="CT2802" s="197"/>
      <c r="CU2802" s="197"/>
      <c r="CV2802" s="197"/>
      <c r="CW2802" s="197"/>
      <c r="CX2802" s="959"/>
      <c r="CY2802" s="959"/>
      <c r="CZ2802" s="959"/>
      <c r="DA2802" s="959"/>
      <c r="DB2802" s="959"/>
      <c r="DC2802" s="891">
        <v>8932</v>
      </c>
      <c r="DD2802" s="891" t="s">
        <v>4476</v>
      </c>
      <c r="DE2802" s="891" t="s">
        <v>406</v>
      </c>
      <c r="DF2802" s="891">
        <v>6</v>
      </c>
      <c r="DG2802" s="959"/>
      <c r="DH2802" s="959"/>
      <c r="ER2802" s="905">
        <v>8764</v>
      </c>
      <c r="ES2802" s="906" t="s">
        <v>1758</v>
      </c>
      <c r="ET2802" s="2686">
        <v>9</v>
      </c>
      <c r="EV2802" s="985"/>
      <c r="EW2802" s="985"/>
      <c r="EX2802" s="387"/>
      <c r="EY2802" s="939"/>
      <c r="EZ2802" s="886"/>
    </row>
    <row r="2803" spans="88:156">
      <c r="CJ2803" s="197"/>
      <c r="CK2803" s="197"/>
      <c r="CL2803" s="197"/>
      <c r="CM2803" s="213"/>
      <c r="CN2803" s="213"/>
      <c r="CO2803" s="197"/>
      <c r="CP2803" s="197"/>
      <c r="CQ2803" s="197"/>
      <c r="CR2803" s="197"/>
      <c r="CS2803" s="197"/>
      <c r="CT2803" s="197"/>
      <c r="CU2803" s="197"/>
      <c r="CV2803" s="197"/>
      <c r="CW2803" s="197"/>
      <c r="CX2803" s="959"/>
      <c r="CY2803" s="959"/>
      <c r="CZ2803" s="959"/>
      <c r="DA2803" s="959"/>
      <c r="DB2803" s="959"/>
      <c r="DC2803" s="891">
        <v>8933</v>
      </c>
      <c r="DD2803" s="891" t="s">
        <v>4477</v>
      </c>
      <c r="DE2803" s="891" t="s">
        <v>406</v>
      </c>
      <c r="DF2803" s="891">
        <v>6</v>
      </c>
      <c r="DG2803" s="959"/>
      <c r="DH2803" s="959"/>
      <c r="ER2803" s="905">
        <v>8764</v>
      </c>
      <c r="ES2803" s="906" t="s">
        <v>2268</v>
      </c>
      <c r="ET2803" s="2686">
        <v>9</v>
      </c>
      <c r="EV2803" s="985"/>
      <c r="EW2803" s="985"/>
      <c r="EX2803" s="387"/>
      <c r="EY2803" s="939"/>
      <c r="EZ2803" s="886"/>
    </row>
    <row r="2804" spans="88:156">
      <c r="CJ2804" s="197"/>
      <c r="CK2804" s="197"/>
      <c r="CL2804" s="197"/>
      <c r="CM2804" s="213"/>
      <c r="CN2804" s="213"/>
      <c r="CO2804" s="197"/>
      <c r="CP2804" s="197"/>
      <c r="CQ2804" s="197"/>
      <c r="CR2804" s="197"/>
      <c r="CS2804" s="197"/>
      <c r="CT2804" s="197"/>
      <c r="CU2804" s="197"/>
      <c r="CV2804" s="197"/>
      <c r="CW2804" s="197"/>
      <c r="CX2804" s="959"/>
      <c r="CY2804" s="959"/>
      <c r="CZ2804" s="959"/>
      <c r="DA2804" s="959"/>
      <c r="DB2804" s="959"/>
      <c r="DC2804" s="891">
        <v>8934</v>
      </c>
      <c r="DD2804" s="891" t="s">
        <v>4478</v>
      </c>
      <c r="DE2804" s="891" t="s">
        <v>406</v>
      </c>
      <c r="DF2804" s="891">
        <v>6</v>
      </c>
      <c r="DG2804" s="959"/>
      <c r="DH2804" s="959"/>
      <c r="ER2804" s="905">
        <v>8765</v>
      </c>
      <c r="ES2804" s="906" t="s">
        <v>2269</v>
      </c>
      <c r="ET2804" s="2686">
        <v>9</v>
      </c>
      <c r="EV2804" s="985"/>
      <c r="EW2804" s="985"/>
      <c r="EX2804" s="387"/>
      <c r="EY2804" s="939"/>
      <c r="EZ2804" s="886"/>
    </row>
    <row r="2805" spans="88:156">
      <c r="CJ2805" s="197"/>
      <c r="CK2805" s="197"/>
      <c r="CL2805" s="197"/>
      <c r="CM2805" s="213"/>
      <c r="CN2805" s="213"/>
      <c r="CO2805" s="197"/>
      <c r="CP2805" s="197"/>
      <c r="CQ2805" s="197"/>
      <c r="CR2805" s="197"/>
      <c r="CS2805" s="197"/>
      <c r="CT2805" s="197"/>
      <c r="CU2805" s="197"/>
      <c r="CV2805" s="197"/>
      <c r="CW2805" s="197"/>
      <c r="CX2805" s="959"/>
      <c r="CY2805" s="959"/>
      <c r="CZ2805" s="959"/>
      <c r="DA2805" s="959"/>
      <c r="DB2805" s="959"/>
      <c r="DC2805" s="891">
        <v>8935</v>
      </c>
      <c r="DD2805" s="891" t="s">
        <v>4479</v>
      </c>
      <c r="DE2805" s="891" t="s">
        <v>406</v>
      </c>
      <c r="DF2805" s="891">
        <v>6</v>
      </c>
      <c r="DG2805" s="959"/>
      <c r="DH2805" s="959"/>
      <c r="ER2805" s="905">
        <v>8767</v>
      </c>
      <c r="ES2805" s="906" t="s">
        <v>2271</v>
      </c>
      <c r="ET2805" s="2686">
        <v>9</v>
      </c>
      <c r="EV2805" s="985"/>
      <c r="EW2805" s="985"/>
      <c r="EX2805" s="387"/>
      <c r="EY2805" s="939"/>
      <c r="EZ2805" s="886"/>
    </row>
    <row r="2806" spans="88:156">
      <c r="CJ2806" s="197"/>
      <c r="CK2806" s="197"/>
      <c r="CL2806" s="197"/>
      <c r="CM2806" s="213"/>
      <c r="CN2806" s="213"/>
      <c r="CO2806" s="197"/>
      <c r="CP2806" s="197"/>
      <c r="CQ2806" s="197"/>
      <c r="CR2806" s="197"/>
      <c r="CS2806" s="197"/>
      <c r="CT2806" s="197"/>
      <c r="CU2806" s="197"/>
      <c r="CV2806" s="197"/>
      <c r="CW2806" s="197"/>
      <c r="CX2806" s="959"/>
      <c r="CY2806" s="959"/>
      <c r="CZ2806" s="959"/>
      <c r="DA2806" s="959"/>
      <c r="DB2806" s="959"/>
      <c r="DC2806" s="891">
        <v>8936</v>
      </c>
      <c r="DD2806" s="891" t="s">
        <v>4480</v>
      </c>
      <c r="DE2806" s="891" t="s">
        <v>406</v>
      </c>
      <c r="DF2806" s="891">
        <v>6</v>
      </c>
      <c r="DG2806" s="959"/>
      <c r="DH2806" s="959"/>
      <c r="ER2806" s="905">
        <v>8767</v>
      </c>
      <c r="ES2806" s="906" t="s">
        <v>2270</v>
      </c>
      <c r="ET2806" s="2686">
        <v>9</v>
      </c>
      <c r="EV2806" s="985"/>
      <c r="EW2806" s="985"/>
      <c r="EX2806" s="387"/>
      <c r="EY2806" s="939"/>
      <c r="EZ2806" s="886"/>
    </row>
    <row r="2807" spans="88:156">
      <c r="CJ2807" s="197"/>
      <c r="CK2807" s="197"/>
      <c r="CL2807" s="197"/>
      <c r="CM2807" s="213"/>
      <c r="CN2807" s="213"/>
      <c r="CO2807" s="197"/>
      <c r="CP2807" s="197"/>
      <c r="CQ2807" s="197"/>
      <c r="CR2807" s="197"/>
      <c r="CS2807" s="197"/>
      <c r="CT2807" s="197"/>
      <c r="CU2807" s="197"/>
      <c r="CV2807" s="197"/>
      <c r="CW2807" s="197"/>
      <c r="CX2807" s="959"/>
      <c r="CY2807" s="959"/>
      <c r="CZ2807" s="959"/>
      <c r="DA2807" s="959"/>
      <c r="DB2807" s="959"/>
      <c r="DC2807" s="891">
        <v>8942</v>
      </c>
      <c r="DD2807" s="891" t="s">
        <v>4481</v>
      </c>
      <c r="DE2807" s="891" t="s">
        <v>406</v>
      </c>
      <c r="DF2807" s="891">
        <v>6</v>
      </c>
      <c r="DG2807" s="959"/>
      <c r="DH2807" s="959"/>
      <c r="ER2807" s="905">
        <v>8767</v>
      </c>
      <c r="ES2807" s="906" t="s">
        <v>2272</v>
      </c>
      <c r="ET2807" s="2686">
        <v>9</v>
      </c>
      <c r="EV2807" s="985"/>
      <c r="EW2807" s="985"/>
      <c r="EX2807" s="387"/>
      <c r="EY2807" s="939"/>
      <c r="EZ2807" s="886"/>
    </row>
    <row r="2808" spans="88:156">
      <c r="CJ2808" s="197"/>
      <c r="CK2808" s="197"/>
      <c r="CL2808" s="197"/>
      <c r="CM2808" s="213"/>
      <c r="CN2808" s="213"/>
      <c r="CO2808" s="197"/>
      <c r="CP2808" s="197"/>
      <c r="CQ2808" s="197"/>
      <c r="CR2808" s="197"/>
      <c r="CS2808" s="197"/>
      <c r="CT2808" s="197"/>
      <c r="CU2808" s="197"/>
      <c r="CV2808" s="197"/>
      <c r="CW2808" s="197"/>
      <c r="CX2808" s="959"/>
      <c r="CY2808" s="959"/>
      <c r="CZ2808" s="959"/>
      <c r="DA2808" s="959"/>
      <c r="DB2808" s="959"/>
      <c r="DC2808" s="891">
        <v>8943</v>
      </c>
      <c r="DD2808" s="891" t="s">
        <v>4482</v>
      </c>
      <c r="DE2808" s="891" t="s">
        <v>406</v>
      </c>
      <c r="DF2808" s="891">
        <v>5</v>
      </c>
      <c r="DG2808" s="959"/>
      <c r="DH2808" s="959"/>
      <c r="ER2808" s="905">
        <v>8771</v>
      </c>
      <c r="ES2808" s="906" t="s">
        <v>2273</v>
      </c>
      <c r="ET2808" s="2686">
        <v>9</v>
      </c>
      <c r="EV2808" s="985"/>
      <c r="EW2808" s="985"/>
      <c r="EX2808" s="387"/>
      <c r="EY2808" s="939"/>
      <c r="EZ2808" s="886"/>
    </row>
    <row r="2809" spans="88:156">
      <c r="CJ2809" s="197"/>
      <c r="CK2809" s="197"/>
      <c r="CL2809" s="197"/>
      <c r="CM2809" s="213"/>
      <c r="CN2809" s="213"/>
      <c r="CO2809" s="197"/>
      <c r="CP2809" s="197"/>
      <c r="CQ2809" s="197"/>
      <c r="CR2809" s="197"/>
      <c r="CS2809" s="197"/>
      <c r="CT2809" s="197"/>
      <c r="CU2809" s="197"/>
      <c r="CV2809" s="197"/>
      <c r="CW2809" s="197"/>
      <c r="CX2809" s="959"/>
      <c r="CY2809" s="959"/>
      <c r="CZ2809" s="959"/>
      <c r="DA2809" s="959"/>
      <c r="DB2809" s="959"/>
      <c r="DC2809" s="891">
        <v>8944</v>
      </c>
      <c r="DD2809" s="891" t="s">
        <v>4483</v>
      </c>
      <c r="DE2809" s="891" t="s">
        <v>406</v>
      </c>
      <c r="DF2809" s="891">
        <v>5</v>
      </c>
      <c r="DG2809" s="959"/>
      <c r="DH2809" s="959"/>
      <c r="ER2809" s="905">
        <v>8772</v>
      </c>
      <c r="ES2809" s="906" t="s">
        <v>1759</v>
      </c>
      <c r="ET2809" s="2686">
        <v>9</v>
      </c>
      <c r="EV2809" s="985"/>
      <c r="EW2809" s="985"/>
      <c r="EX2809" s="387"/>
      <c r="EY2809" s="939"/>
      <c r="EZ2809" s="886"/>
    </row>
    <row r="2810" spans="88:156">
      <c r="CJ2810" s="197"/>
      <c r="CK2810" s="197"/>
      <c r="CL2810" s="197"/>
      <c r="CM2810" s="213"/>
      <c r="CN2810" s="213"/>
      <c r="CO2810" s="197"/>
      <c r="CP2810" s="197"/>
      <c r="CQ2810" s="197"/>
      <c r="CR2810" s="197"/>
      <c r="CS2810" s="197"/>
      <c r="CT2810" s="197"/>
      <c r="CU2810" s="197"/>
      <c r="CV2810" s="197"/>
      <c r="CW2810" s="197"/>
      <c r="CX2810" s="959"/>
      <c r="CY2810" s="959"/>
      <c r="CZ2810" s="959"/>
      <c r="DA2810" s="959"/>
      <c r="DB2810" s="959"/>
      <c r="DC2810" s="891">
        <v>8945</v>
      </c>
      <c r="DD2810" s="891" t="s">
        <v>4484</v>
      </c>
      <c r="DE2810" s="891" t="s">
        <v>406</v>
      </c>
      <c r="DF2810" s="891">
        <v>5</v>
      </c>
      <c r="DG2810" s="959"/>
      <c r="DH2810" s="959"/>
      <c r="ER2810" s="905">
        <v>8772</v>
      </c>
      <c r="ES2810" s="906" t="s">
        <v>2274</v>
      </c>
      <c r="ET2810" s="2686">
        <v>9</v>
      </c>
      <c r="EV2810" s="985"/>
      <c r="EW2810" s="985"/>
      <c r="EX2810" s="387"/>
      <c r="EY2810" s="939"/>
      <c r="EZ2810" s="886"/>
    </row>
    <row r="2811" spans="88:156">
      <c r="CJ2811" s="197"/>
      <c r="CK2811" s="197"/>
      <c r="CL2811" s="197"/>
      <c r="CM2811" s="213"/>
      <c r="CN2811" s="213"/>
      <c r="CO2811" s="197"/>
      <c r="CP2811" s="197"/>
      <c r="CQ2811" s="197"/>
      <c r="CR2811" s="197"/>
      <c r="CS2811" s="197"/>
      <c r="CT2811" s="197"/>
      <c r="CU2811" s="197"/>
      <c r="CV2811" s="197"/>
      <c r="CW2811" s="197"/>
      <c r="CX2811" s="959"/>
      <c r="CY2811" s="959"/>
      <c r="CZ2811" s="959"/>
      <c r="DA2811" s="959"/>
      <c r="DB2811" s="959"/>
      <c r="DC2811" s="891">
        <v>8946</v>
      </c>
      <c r="DD2811" s="891" t="s">
        <v>4485</v>
      </c>
      <c r="DE2811" s="891" t="s">
        <v>406</v>
      </c>
      <c r="DF2811" s="891">
        <v>6</v>
      </c>
      <c r="DG2811" s="959"/>
      <c r="DH2811" s="959"/>
      <c r="ER2811" s="905">
        <v>8773</v>
      </c>
      <c r="ES2811" s="906" t="s">
        <v>1760</v>
      </c>
      <c r="ET2811" s="2686">
        <v>9</v>
      </c>
      <c r="EV2811" s="985"/>
      <c r="EW2811" s="985"/>
      <c r="EX2811" s="387"/>
      <c r="EY2811" s="939"/>
      <c r="EZ2811" s="886"/>
    </row>
    <row r="2812" spans="88:156">
      <c r="CJ2812" s="197"/>
      <c r="CK2812" s="197"/>
      <c r="CL2812" s="197"/>
      <c r="CM2812" s="213"/>
      <c r="CN2812" s="213"/>
      <c r="CO2812" s="197"/>
      <c r="CP2812" s="197"/>
      <c r="CQ2812" s="197"/>
      <c r="CR2812" s="197"/>
      <c r="CS2812" s="197"/>
      <c r="CT2812" s="197"/>
      <c r="CU2812" s="197"/>
      <c r="CV2812" s="197"/>
      <c r="CW2812" s="197"/>
      <c r="CX2812" s="959"/>
      <c r="CY2812" s="959"/>
      <c r="CZ2812" s="959"/>
      <c r="DA2812" s="959"/>
      <c r="DB2812" s="959"/>
      <c r="DC2812" s="891">
        <v>8947</v>
      </c>
      <c r="DD2812" s="891" t="s">
        <v>4486</v>
      </c>
      <c r="DE2812" s="891" t="s">
        <v>406</v>
      </c>
      <c r="DF2812" s="891">
        <v>6</v>
      </c>
      <c r="DG2812" s="959"/>
      <c r="DH2812" s="959"/>
      <c r="ER2812" s="905">
        <v>8773</v>
      </c>
      <c r="ES2812" s="906" t="s">
        <v>2275</v>
      </c>
      <c r="ET2812" s="2686">
        <v>9</v>
      </c>
      <c r="EV2812" s="985"/>
      <c r="EW2812" s="985"/>
      <c r="EX2812" s="387"/>
      <c r="EY2812" s="939"/>
      <c r="EZ2812" s="886"/>
    </row>
    <row r="2813" spans="88:156">
      <c r="CJ2813" s="197"/>
      <c r="CK2813" s="197"/>
      <c r="CL2813" s="197"/>
      <c r="CM2813" s="213"/>
      <c r="CN2813" s="213"/>
      <c r="CO2813" s="197"/>
      <c r="CP2813" s="197"/>
      <c r="CQ2813" s="197"/>
      <c r="CR2813" s="197"/>
      <c r="CS2813" s="197"/>
      <c r="CT2813" s="197"/>
      <c r="CU2813" s="197"/>
      <c r="CV2813" s="197"/>
      <c r="CW2813" s="197"/>
      <c r="CX2813" s="959"/>
      <c r="CY2813" s="959"/>
      <c r="CZ2813" s="959"/>
      <c r="DA2813" s="959"/>
      <c r="DB2813" s="959"/>
      <c r="DC2813" s="891">
        <v>8948</v>
      </c>
      <c r="DD2813" s="891" t="s">
        <v>4487</v>
      </c>
      <c r="DE2813" s="891" t="s">
        <v>406</v>
      </c>
      <c r="DF2813" s="891">
        <v>6</v>
      </c>
      <c r="DG2813" s="959"/>
      <c r="DH2813" s="959"/>
      <c r="ER2813" s="905">
        <v>8774</v>
      </c>
      <c r="ES2813" s="906" t="s">
        <v>1761</v>
      </c>
      <c r="ET2813" s="2686">
        <v>9</v>
      </c>
      <c r="EV2813" s="985"/>
      <c r="EW2813" s="985"/>
      <c r="EX2813" s="387"/>
      <c r="EY2813" s="939"/>
      <c r="EZ2813" s="886"/>
    </row>
    <row r="2814" spans="88:156">
      <c r="CJ2814" s="197"/>
      <c r="CK2814" s="197"/>
      <c r="CL2814" s="197"/>
      <c r="CM2814" s="213"/>
      <c r="CN2814" s="213"/>
      <c r="CO2814" s="197"/>
      <c r="CP2814" s="197"/>
      <c r="CQ2814" s="197"/>
      <c r="CR2814" s="197"/>
      <c r="CS2814" s="197"/>
      <c r="CT2814" s="197"/>
      <c r="CU2814" s="197"/>
      <c r="CV2814" s="197"/>
      <c r="CW2814" s="197"/>
      <c r="CX2814" s="959"/>
      <c r="CY2814" s="959"/>
      <c r="CZ2814" s="959"/>
      <c r="DA2814" s="959"/>
      <c r="DB2814" s="959"/>
      <c r="DC2814" s="891">
        <v>8949</v>
      </c>
      <c r="DD2814" s="891" t="s">
        <v>4488</v>
      </c>
      <c r="DE2814" s="891" t="s">
        <v>406</v>
      </c>
      <c r="DF2814" s="891">
        <v>6</v>
      </c>
      <c r="DG2814" s="959"/>
      <c r="DH2814" s="959"/>
      <c r="ER2814" s="905">
        <v>8774</v>
      </c>
      <c r="ES2814" s="906" t="s">
        <v>1762</v>
      </c>
      <c r="ET2814" s="2686">
        <v>9</v>
      </c>
      <c r="EV2814" s="985"/>
      <c r="EW2814" s="985"/>
      <c r="EX2814" s="387"/>
      <c r="EY2814" s="939"/>
      <c r="EZ2814" s="886"/>
    </row>
    <row r="2815" spans="88:156">
      <c r="CJ2815" s="197"/>
      <c r="CK2815" s="197"/>
      <c r="CL2815" s="197"/>
      <c r="CM2815" s="213"/>
      <c r="CN2815" s="213"/>
      <c r="CO2815" s="197"/>
      <c r="CP2815" s="197"/>
      <c r="CQ2815" s="197"/>
      <c r="CR2815" s="197"/>
      <c r="CS2815" s="197"/>
      <c r="CT2815" s="197"/>
      <c r="CU2815" s="197"/>
      <c r="CV2815" s="197"/>
      <c r="CW2815" s="197"/>
      <c r="CX2815" s="959"/>
      <c r="CY2815" s="959"/>
      <c r="CZ2815" s="959"/>
      <c r="DA2815" s="959"/>
      <c r="DB2815" s="959"/>
      <c r="DC2815" s="891">
        <v>8951</v>
      </c>
      <c r="DD2815" s="891" t="s">
        <v>4489</v>
      </c>
      <c r="DE2815" s="891" t="s">
        <v>406</v>
      </c>
      <c r="DF2815" s="891">
        <v>6</v>
      </c>
      <c r="DG2815" s="959"/>
      <c r="DH2815" s="959"/>
      <c r="ER2815" s="905">
        <v>8774</v>
      </c>
      <c r="ES2815" s="906" t="s">
        <v>2276</v>
      </c>
      <c r="ET2815" s="2686">
        <v>9</v>
      </c>
      <c r="EV2815" s="985"/>
      <c r="EW2815" s="985"/>
      <c r="EX2815" s="387"/>
      <c r="EY2815" s="939"/>
      <c r="EZ2815" s="886"/>
    </row>
    <row r="2816" spans="88:156">
      <c r="CJ2816" s="197"/>
      <c r="CK2816" s="197"/>
      <c r="CL2816" s="197"/>
      <c r="CM2816" s="213"/>
      <c r="CN2816" s="213"/>
      <c r="CO2816" s="197"/>
      <c r="CP2816" s="197"/>
      <c r="CQ2816" s="197"/>
      <c r="CR2816" s="197"/>
      <c r="CS2816" s="197"/>
      <c r="CT2816" s="197"/>
      <c r="CU2816" s="197"/>
      <c r="CV2816" s="197"/>
      <c r="CW2816" s="197"/>
      <c r="CX2816" s="959"/>
      <c r="CY2816" s="959"/>
      <c r="CZ2816" s="959"/>
      <c r="DA2816" s="959"/>
      <c r="DB2816" s="959"/>
      <c r="DC2816" s="891">
        <v>8953</v>
      </c>
      <c r="DD2816" s="891" t="s">
        <v>4490</v>
      </c>
      <c r="DE2816" s="891" t="s">
        <v>406</v>
      </c>
      <c r="DF2816" s="891">
        <v>6</v>
      </c>
      <c r="DG2816" s="959"/>
      <c r="DH2816" s="959"/>
      <c r="ER2816" s="905">
        <v>8776</v>
      </c>
      <c r="ES2816" s="906" t="s">
        <v>1763</v>
      </c>
      <c r="ET2816" s="2686">
        <v>9</v>
      </c>
      <c r="EV2816" s="985"/>
      <c r="EW2816" s="985"/>
      <c r="EX2816" s="387"/>
      <c r="EY2816" s="939"/>
      <c r="EZ2816" s="886"/>
    </row>
    <row r="2817" spans="88:156">
      <c r="CJ2817" s="197"/>
      <c r="CK2817" s="197"/>
      <c r="CL2817" s="197"/>
      <c r="CM2817" s="213"/>
      <c r="CN2817" s="213"/>
      <c r="CO2817" s="197"/>
      <c r="CP2817" s="197"/>
      <c r="CQ2817" s="197"/>
      <c r="CR2817" s="197"/>
      <c r="CS2817" s="197"/>
      <c r="CT2817" s="197"/>
      <c r="CU2817" s="197"/>
      <c r="CV2817" s="197"/>
      <c r="CW2817" s="197"/>
      <c r="CX2817" s="959"/>
      <c r="CY2817" s="959"/>
      <c r="CZ2817" s="959"/>
      <c r="DA2817" s="959"/>
      <c r="DB2817" s="959"/>
      <c r="DC2817" s="891">
        <v>8954</v>
      </c>
      <c r="DD2817" s="891" t="s">
        <v>4491</v>
      </c>
      <c r="DE2817" s="891" t="s">
        <v>406</v>
      </c>
      <c r="DF2817" s="891">
        <v>6</v>
      </c>
      <c r="DG2817" s="959"/>
      <c r="DH2817" s="959"/>
      <c r="ER2817" s="905">
        <v>8776</v>
      </c>
      <c r="ES2817" s="906" t="s">
        <v>1764</v>
      </c>
      <c r="ET2817" s="2686">
        <v>9</v>
      </c>
      <c r="EV2817" s="985"/>
      <c r="EW2817" s="985"/>
      <c r="EX2817" s="387"/>
      <c r="EY2817" s="939"/>
      <c r="EZ2817" s="886"/>
    </row>
    <row r="2818" spans="88:156">
      <c r="CJ2818" s="197"/>
      <c r="CK2818" s="197"/>
      <c r="CL2818" s="197"/>
      <c r="CM2818" s="213"/>
      <c r="CN2818" s="213"/>
      <c r="CO2818" s="197"/>
      <c r="CP2818" s="197"/>
      <c r="CQ2818" s="197"/>
      <c r="CR2818" s="197"/>
      <c r="CS2818" s="197"/>
      <c r="CT2818" s="197"/>
      <c r="CU2818" s="197"/>
      <c r="CV2818" s="197"/>
      <c r="CW2818" s="197"/>
      <c r="CX2818" s="959"/>
      <c r="CY2818" s="959"/>
      <c r="CZ2818" s="959"/>
      <c r="DA2818" s="959"/>
      <c r="DB2818" s="959"/>
      <c r="DC2818" s="891">
        <v>8956</v>
      </c>
      <c r="DD2818" s="891" t="s">
        <v>4492</v>
      </c>
      <c r="DE2818" s="891" t="s">
        <v>406</v>
      </c>
      <c r="DF2818" s="891">
        <v>6</v>
      </c>
      <c r="DG2818" s="959"/>
      <c r="DH2818" s="959"/>
      <c r="ER2818" s="905">
        <v>8776</v>
      </c>
      <c r="ES2818" s="906" t="s">
        <v>2277</v>
      </c>
      <c r="ET2818" s="2686">
        <v>9</v>
      </c>
      <c r="EV2818" s="985"/>
      <c r="EW2818" s="985"/>
      <c r="EX2818" s="387"/>
      <c r="EY2818" s="939"/>
      <c r="EZ2818" s="886"/>
    </row>
    <row r="2819" spans="88:156">
      <c r="CJ2819" s="197"/>
      <c r="CK2819" s="197"/>
      <c r="CL2819" s="197"/>
      <c r="CM2819" s="213"/>
      <c r="CN2819" s="213"/>
      <c r="CO2819" s="197"/>
      <c r="CP2819" s="197"/>
      <c r="CQ2819" s="197"/>
      <c r="CR2819" s="197"/>
      <c r="CS2819" s="197"/>
      <c r="CT2819" s="197"/>
      <c r="CU2819" s="197"/>
      <c r="CV2819" s="197"/>
      <c r="CW2819" s="197"/>
      <c r="CX2819" s="959"/>
      <c r="CY2819" s="959"/>
      <c r="CZ2819" s="959"/>
      <c r="DA2819" s="959"/>
      <c r="DB2819" s="959"/>
      <c r="DC2819" s="891">
        <v>8957</v>
      </c>
      <c r="DD2819" s="891" t="s">
        <v>4493</v>
      </c>
      <c r="DE2819" s="891" t="s">
        <v>406</v>
      </c>
      <c r="DF2819" s="891">
        <v>6</v>
      </c>
      <c r="DG2819" s="959"/>
      <c r="DH2819" s="959"/>
      <c r="ER2819" s="905">
        <v>8777</v>
      </c>
      <c r="ES2819" s="906" t="s">
        <v>1765</v>
      </c>
      <c r="ET2819" s="2686">
        <v>9</v>
      </c>
      <c r="EV2819" s="985"/>
      <c r="EW2819" s="985"/>
      <c r="EX2819" s="387"/>
      <c r="EY2819" s="939"/>
      <c r="EZ2819" s="886"/>
    </row>
    <row r="2820" spans="88:156">
      <c r="CJ2820" s="197"/>
      <c r="CK2820" s="197"/>
      <c r="CL2820" s="197"/>
      <c r="CM2820" s="213"/>
      <c r="CN2820" s="213"/>
      <c r="CO2820" s="197"/>
      <c r="CP2820" s="197"/>
      <c r="CQ2820" s="197"/>
      <c r="CR2820" s="197"/>
      <c r="CS2820" s="197"/>
      <c r="CT2820" s="197"/>
      <c r="CU2820" s="197"/>
      <c r="CV2820" s="197"/>
      <c r="CW2820" s="197"/>
      <c r="CX2820" s="959"/>
      <c r="CY2820" s="959"/>
      <c r="CZ2820" s="959"/>
      <c r="DA2820" s="959"/>
      <c r="DB2820" s="959"/>
      <c r="DC2820" s="891">
        <v>8958</v>
      </c>
      <c r="DD2820" s="891" t="s">
        <v>4494</v>
      </c>
      <c r="DE2820" s="891" t="s">
        <v>406</v>
      </c>
      <c r="DF2820" s="891">
        <v>6</v>
      </c>
      <c r="DG2820" s="959"/>
      <c r="DH2820" s="959"/>
      <c r="ER2820" s="905">
        <v>8777</v>
      </c>
      <c r="ES2820" s="906" t="s">
        <v>1766</v>
      </c>
      <c r="ET2820" s="2686">
        <v>9</v>
      </c>
      <c r="EV2820" s="985"/>
      <c r="EW2820" s="985"/>
      <c r="EX2820" s="387"/>
      <c r="EY2820" s="939"/>
      <c r="EZ2820" s="886"/>
    </row>
    <row r="2821" spans="88:156">
      <c r="CJ2821" s="197"/>
      <c r="CK2821" s="197"/>
      <c r="CL2821" s="197"/>
      <c r="CM2821" s="213"/>
      <c r="CN2821" s="213"/>
      <c r="CO2821" s="197"/>
      <c r="CP2821" s="197"/>
      <c r="CQ2821" s="197"/>
      <c r="CR2821" s="197"/>
      <c r="CS2821" s="197"/>
      <c r="CT2821" s="197"/>
      <c r="CU2821" s="197"/>
      <c r="CV2821" s="197"/>
      <c r="CW2821" s="197"/>
      <c r="CX2821" s="959"/>
      <c r="CY2821" s="959"/>
      <c r="CZ2821" s="959"/>
      <c r="DA2821" s="959"/>
      <c r="DB2821" s="959"/>
      <c r="DC2821" s="891">
        <v>8960</v>
      </c>
      <c r="DD2821" s="891" t="s">
        <v>4495</v>
      </c>
      <c r="DE2821" s="891" t="s">
        <v>406</v>
      </c>
      <c r="DF2821" s="891">
        <v>6</v>
      </c>
      <c r="DG2821" s="959"/>
      <c r="DH2821" s="959"/>
      <c r="ER2821" s="905">
        <v>8777</v>
      </c>
      <c r="ES2821" s="906" t="s">
        <v>2278</v>
      </c>
      <c r="ET2821" s="2686">
        <v>9</v>
      </c>
      <c r="EV2821" s="985"/>
      <c r="EW2821" s="985"/>
      <c r="EX2821" s="387"/>
      <c r="EY2821" s="939"/>
      <c r="EZ2821" s="886"/>
    </row>
    <row r="2822" spans="88:156">
      <c r="CJ2822" s="197"/>
      <c r="CK2822" s="197"/>
      <c r="CL2822" s="197"/>
      <c r="CM2822" s="213"/>
      <c r="CN2822" s="213"/>
      <c r="CO2822" s="197"/>
      <c r="CP2822" s="197"/>
      <c r="CQ2822" s="197"/>
      <c r="CR2822" s="197"/>
      <c r="CS2822" s="197"/>
      <c r="CT2822" s="197"/>
      <c r="CU2822" s="197"/>
      <c r="CV2822" s="197"/>
      <c r="CW2822" s="197"/>
      <c r="CX2822" s="959"/>
      <c r="CY2822" s="959"/>
      <c r="CZ2822" s="959"/>
      <c r="DA2822" s="959"/>
      <c r="DB2822" s="959"/>
      <c r="DC2822" s="891">
        <v>8966</v>
      </c>
      <c r="DD2822" s="891" t="s">
        <v>4496</v>
      </c>
      <c r="DE2822" s="891" t="s">
        <v>406</v>
      </c>
      <c r="DF2822" s="891">
        <v>6</v>
      </c>
      <c r="DG2822" s="959"/>
      <c r="DH2822" s="959"/>
      <c r="ER2822" s="905">
        <v>8778</v>
      </c>
      <c r="ES2822" s="906" t="s">
        <v>2279</v>
      </c>
      <c r="ET2822" s="2686">
        <v>9</v>
      </c>
      <c r="EV2822" s="985"/>
      <c r="EW2822" s="985"/>
      <c r="EX2822" s="387"/>
      <c r="EY2822" s="939"/>
      <c r="EZ2822" s="886"/>
    </row>
    <row r="2823" spans="88:156">
      <c r="CJ2823" s="197"/>
      <c r="CK2823" s="197"/>
      <c r="CL2823" s="197"/>
      <c r="CM2823" s="213"/>
      <c r="CN2823" s="213"/>
      <c r="CO2823" s="197"/>
      <c r="CP2823" s="197"/>
      <c r="CQ2823" s="197"/>
      <c r="CR2823" s="197"/>
      <c r="CS2823" s="197"/>
      <c r="CT2823" s="197"/>
      <c r="CU2823" s="197"/>
      <c r="CV2823" s="197"/>
      <c r="CW2823" s="197"/>
      <c r="CX2823" s="959"/>
      <c r="CY2823" s="959"/>
      <c r="CZ2823" s="959"/>
      <c r="DA2823" s="959"/>
      <c r="DB2823" s="959"/>
      <c r="DC2823" s="891">
        <v>8969</v>
      </c>
      <c r="DD2823" s="891" t="s">
        <v>4497</v>
      </c>
      <c r="DE2823" s="891" t="s">
        <v>406</v>
      </c>
      <c r="DF2823" s="891">
        <v>6</v>
      </c>
      <c r="DG2823" s="959"/>
      <c r="DH2823" s="959"/>
      <c r="ER2823" s="905">
        <v>8782</v>
      </c>
      <c r="ES2823" s="906" t="s">
        <v>1767</v>
      </c>
      <c r="ET2823" s="2686">
        <v>9</v>
      </c>
      <c r="EV2823" s="985"/>
      <c r="EW2823" s="985"/>
      <c r="EX2823" s="387"/>
      <c r="EY2823" s="939"/>
      <c r="EZ2823" s="886"/>
    </row>
    <row r="2824" spans="88:156">
      <c r="CJ2824" s="197"/>
      <c r="CK2824" s="197"/>
      <c r="CL2824" s="197"/>
      <c r="CM2824" s="213"/>
      <c r="CN2824" s="213"/>
      <c r="CO2824" s="197"/>
      <c r="CP2824" s="197"/>
      <c r="CQ2824" s="197"/>
      <c r="CR2824" s="197"/>
      <c r="CS2824" s="197"/>
      <c r="CT2824" s="197"/>
      <c r="CU2824" s="197"/>
      <c r="CV2824" s="197"/>
      <c r="CW2824" s="197"/>
      <c r="CX2824" s="959"/>
      <c r="CY2824" s="959"/>
      <c r="CZ2824" s="959"/>
      <c r="DA2824" s="959"/>
      <c r="DB2824" s="959"/>
      <c r="DC2824" s="891">
        <v>8971</v>
      </c>
      <c r="DD2824" s="891" t="s">
        <v>4498</v>
      </c>
      <c r="DE2824" s="891" t="s">
        <v>406</v>
      </c>
      <c r="DF2824" s="891">
        <v>6</v>
      </c>
      <c r="DG2824" s="959"/>
      <c r="DH2824" s="959"/>
      <c r="ER2824" s="905">
        <v>8782</v>
      </c>
      <c r="ES2824" s="906" t="s">
        <v>2281</v>
      </c>
      <c r="ET2824" s="2686">
        <v>9</v>
      </c>
      <c r="EV2824" s="985"/>
      <c r="EW2824" s="985"/>
      <c r="EX2824" s="387"/>
      <c r="EY2824" s="939"/>
      <c r="EZ2824" s="886"/>
    </row>
    <row r="2825" spans="88:156">
      <c r="CJ2825" s="197"/>
      <c r="CK2825" s="197"/>
      <c r="CL2825" s="197"/>
      <c r="CM2825" s="213"/>
      <c r="CN2825" s="213"/>
      <c r="CO2825" s="197"/>
      <c r="CP2825" s="197"/>
      <c r="CQ2825" s="197"/>
      <c r="CR2825" s="197"/>
      <c r="CS2825" s="197"/>
      <c r="CT2825" s="197"/>
      <c r="CU2825" s="197"/>
      <c r="CV2825" s="197"/>
      <c r="CW2825" s="197"/>
      <c r="CX2825" s="959"/>
      <c r="CY2825" s="959"/>
      <c r="CZ2825" s="959"/>
      <c r="DA2825" s="959"/>
      <c r="DB2825" s="959"/>
      <c r="DC2825" s="891">
        <v>8973</v>
      </c>
      <c r="DD2825" s="891" t="s">
        <v>4499</v>
      </c>
      <c r="DE2825" s="891" t="s">
        <v>406</v>
      </c>
      <c r="DF2825" s="891">
        <v>6</v>
      </c>
      <c r="DG2825" s="959"/>
      <c r="DH2825" s="959"/>
      <c r="ER2825" s="905">
        <v>8782</v>
      </c>
      <c r="ES2825" s="906" t="s">
        <v>1768</v>
      </c>
      <c r="ET2825" s="2686">
        <v>9</v>
      </c>
      <c r="EV2825" s="985"/>
      <c r="EW2825" s="985"/>
      <c r="EX2825" s="387"/>
      <c r="EY2825" s="939"/>
      <c r="EZ2825" s="886"/>
    </row>
    <row r="2826" spans="88:156">
      <c r="CJ2826" s="197"/>
      <c r="CK2826" s="197"/>
      <c r="CL2826" s="197"/>
      <c r="CM2826" s="213"/>
      <c r="CN2826" s="213"/>
      <c r="CO2826" s="197"/>
      <c r="CP2826" s="197"/>
      <c r="CQ2826" s="197"/>
      <c r="CR2826" s="197"/>
      <c r="CS2826" s="197"/>
      <c r="CT2826" s="197"/>
      <c r="CU2826" s="197"/>
      <c r="CV2826" s="197"/>
      <c r="CW2826" s="197"/>
      <c r="CX2826" s="959"/>
      <c r="CY2826" s="959"/>
      <c r="CZ2826" s="959"/>
      <c r="DA2826" s="959"/>
      <c r="DB2826" s="959"/>
      <c r="DC2826" s="891">
        <v>8974</v>
      </c>
      <c r="DD2826" s="891" t="s">
        <v>4500</v>
      </c>
      <c r="DE2826" s="891" t="s">
        <v>406</v>
      </c>
      <c r="DF2826" s="891">
        <v>6</v>
      </c>
      <c r="DG2826" s="959"/>
      <c r="DH2826" s="959"/>
      <c r="ER2826" s="905">
        <v>8784</v>
      </c>
      <c r="ES2826" s="906" t="s">
        <v>2282</v>
      </c>
      <c r="ET2826" s="2686">
        <v>9</v>
      </c>
      <c r="EV2826" s="985"/>
      <c r="EW2826" s="985"/>
      <c r="EX2826" s="387"/>
      <c r="EY2826" s="939"/>
      <c r="EZ2826" s="886"/>
    </row>
    <row r="2827" spans="88:156">
      <c r="CJ2827" s="197"/>
      <c r="CK2827" s="197"/>
      <c r="CL2827" s="197"/>
      <c r="CM2827" s="213"/>
      <c r="CN2827" s="213"/>
      <c r="CO2827" s="197"/>
      <c r="CP2827" s="197"/>
      <c r="CQ2827" s="197"/>
      <c r="CR2827" s="197"/>
      <c r="CS2827" s="197"/>
      <c r="CT2827" s="197"/>
      <c r="CU2827" s="197"/>
      <c r="CV2827" s="197"/>
      <c r="CW2827" s="197"/>
      <c r="CX2827" s="959"/>
      <c r="CY2827" s="959"/>
      <c r="CZ2827" s="959"/>
      <c r="DA2827" s="959"/>
      <c r="DB2827" s="959"/>
      <c r="DC2827" s="891">
        <v>8975</v>
      </c>
      <c r="DD2827" s="891" t="s">
        <v>4501</v>
      </c>
      <c r="DE2827" s="891" t="s">
        <v>406</v>
      </c>
      <c r="DF2827" s="891">
        <v>6</v>
      </c>
      <c r="DG2827" s="959"/>
      <c r="DH2827" s="959"/>
      <c r="ER2827" s="905">
        <v>8785</v>
      </c>
      <c r="ES2827" s="906" t="s">
        <v>1769</v>
      </c>
      <c r="ET2827" s="2686">
        <v>9</v>
      </c>
      <c r="EV2827" s="985"/>
      <c r="EW2827" s="985"/>
      <c r="EX2827" s="387"/>
      <c r="EY2827" s="939"/>
      <c r="EZ2827" s="886"/>
    </row>
    <row r="2828" spans="88:156">
      <c r="CJ2828" s="197"/>
      <c r="CK2828" s="197"/>
      <c r="CL2828" s="197"/>
      <c r="CM2828" s="213"/>
      <c r="CN2828" s="213"/>
      <c r="CO2828" s="197"/>
      <c r="CP2828" s="197"/>
      <c r="CQ2828" s="197"/>
      <c r="CR2828" s="197"/>
      <c r="CS2828" s="197"/>
      <c r="CT2828" s="197"/>
      <c r="CU2828" s="197"/>
      <c r="CV2828" s="197"/>
      <c r="CW2828" s="197"/>
      <c r="CX2828" s="959"/>
      <c r="CY2828" s="959"/>
      <c r="CZ2828" s="959"/>
      <c r="DA2828" s="959"/>
      <c r="DB2828" s="959"/>
      <c r="DC2828" s="891">
        <v>8976</v>
      </c>
      <c r="DD2828" s="891" t="s">
        <v>4502</v>
      </c>
      <c r="DE2828" s="891" t="s">
        <v>406</v>
      </c>
      <c r="DF2828" s="891">
        <v>6</v>
      </c>
      <c r="DG2828" s="959"/>
      <c r="DH2828" s="959"/>
      <c r="ER2828" s="905">
        <v>8785</v>
      </c>
      <c r="ES2828" s="905" t="s">
        <v>1770</v>
      </c>
      <c r="ET2828" s="2686">
        <v>9</v>
      </c>
      <c r="EV2828" s="985"/>
      <c r="EW2828" s="985"/>
      <c r="EX2828" s="387"/>
      <c r="EY2828" s="939"/>
      <c r="EZ2828" s="886"/>
    </row>
    <row r="2829" spans="88:156">
      <c r="CJ2829" s="197"/>
      <c r="CK2829" s="197"/>
      <c r="CL2829" s="197"/>
      <c r="CM2829" s="213"/>
      <c r="CN2829" s="213"/>
      <c r="CO2829" s="197"/>
      <c r="CP2829" s="197"/>
      <c r="CQ2829" s="197"/>
      <c r="CR2829" s="197"/>
      <c r="CS2829" s="197"/>
      <c r="CT2829" s="197"/>
      <c r="CU2829" s="197"/>
      <c r="CV2829" s="197"/>
      <c r="CW2829" s="197"/>
      <c r="CX2829" s="959"/>
      <c r="CY2829" s="959"/>
      <c r="CZ2829" s="959"/>
      <c r="DA2829" s="959"/>
      <c r="DB2829" s="959"/>
      <c r="DC2829" s="891">
        <v>8977</v>
      </c>
      <c r="DD2829" s="891" t="s">
        <v>4503</v>
      </c>
      <c r="DE2829" s="891" t="s">
        <v>406</v>
      </c>
      <c r="DF2829" s="891">
        <v>6</v>
      </c>
      <c r="DG2829" s="959"/>
      <c r="DH2829" s="959"/>
      <c r="ER2829" s="905">
        <v>8788</v>
      </c>
      <c r="ES2829" s="906" t="s">
        <v>4397</v>
      </c>
      <c r="ET2829" s="2686">
        <v>9</v>
      </c>
      <c r="EV2829" s="985"/>
      <c r="EW2829" s="985"/>
      <c r="EX2829" s="387"/>
      <c r="EY2829" s="939"/>
      <c r="EZ2829" s="886"/>
    </row>
    <row r="2830" spans="88:156">
      <c r="CJ2830" s="197"/>
      <c r="CK2830" s="197"/>
      <c r="CL2830" s="197"/>
      <c r="CM2830" s="213"/>
      <c r="CN2830" s="213"/>
      <c r="CO2830" s="197"/>
      <c r="CP2830" s="197"/>
      <c r="CQ2830" s="197"/>
      <c r="CR2830" s="197"/>
      <c r="CS2830" s="197"/>
      <c r="CT2830" s="197"/>
      <c r="CU2830" s="197"/>
      <c r="CV2830" s="197"/>
      <c r="CW2830" s="197"/>
      <c r="CX2830" s="959"/>
      <c r="CY2830" s="959"/>
      <c r="CZ2830" s="959"/>
      <c r="DA2830" s="959"/>
      <c r="DB2830" s="959"/>
      <c r="DC2830" s="891">
        <v>8978</v>
      </c>
      <c r="DD2830" s="891" t="s">
        <v>4504</v>
      </c>
      <c r="DE2830" s="891" t="s">
        <v>406</v>
      </c>
      <c r="DF2830" s="891">
        <v>6</v>
      </c>
      <c r="DG2830" s="959"/>
      <c r="DH2830" s="959"/>
      <c r="ER2830" s="905">
        <v>8788</v>
      </c>
      <c r="ES2830" s="906" t="s">
        <v>4396</v>
      </c>
      <c r="ET2830" s="2686">
        <v>9</v>
      </c>
      <c r="EV2830" s="985"/>
      <c r="EW2830" s="985"/>
      <c r="EX2830" s="387"/>
      <c r="EY2830" s="939"/>
      <c r="EZ2830" s="886"/>
    </row>
    <row r="2831" spans="88:156">
      <c r="CJ2831" s="197"/>
      <c r="CK2831" s="197"/>
      <c r="CL2831" s="197"/>
      <c r="CM2831" s="213"/>
      <c r="CN2831" s="213"/>
      <c r="CO2831" s="197"/>
      <c r="CP2831" s="197"/>
      <c r="CQ2831" s="197"/>
      <c r="CR2831" s="197"/>
      <c r="CS2831" s="197"/>
      <c r="CT2831" s="197"/>
      <c r="CU2831" s="197"/>
      <c r="CV2831" s="197"/>
      <c r="CW2831" s="197"/>
      <c r="CX2831" s="959"/>
      <c r="CY2831" s="959"/>
      <c r="CZ2831" s="959"/>
      <c r="DA2831" s="959"/>
      <c r="DB2831" s="959"/>
      <c r="DC2831" s="891">
        <v>8981</v>
      </c>
      <c r="DD2831" s="891" t="s">
        <v>4505</v>
      </c>
      <c r="DE2831" s="891" t="s">
        <v>406</v>
      </c>
      <c r="DF2831" s="891">
        <v>5</v>
      </c>
      <c r="DG2831" s="959"/>
      <c r="DH2831" s="959"/>
      <c r="ER2831" s="905">
        <v>8789</v>
      </c>
      <c r="ES2831" s="905" t="s">
        <v>1771</v>
      </c>
      <c r="ET2831" s="2686">
        <v>9</v>
      </c>
      <c r="EV2831" s="985"/>
      <c r="EW2831" s="985"/>
      <c r="EX2831" s="387"/>
      <c r="EY2831" s="939"/>
      <c r="EZ2831" s="886"/>
    </row>
    <row r="2832" spans="88:156">
      <c r="CJ2832" s="197"/>
      <c r="CK2832" s="197"/>
      <c r="CL2832" s="197"/>
      <c r="CM2832" s="213"/>
      <c r="CN2832" s="213"/>
      <c r="CO2832" s="197"/>
      <c r="CP2832" s="197"/>
      <c r="CQ2832" s="197"/>
      <c r="CR2832" s="197"/>
      <c r="CS2832" s="197"/>
      <c r="CT2832" s="197"/>
      <c r="CU2832" s="197"/>
      <c r="CV2832" s="197"/>
      <c r="CW2832" s="197"/>
      <c r="CX2832" s="959"/>
      <c r="CY2832" s="959"/>
      <c r="CZ2832" s="959"/>
      <c r="DA2832" s="959"/>
      <c r="DB2832" s="959"/>
      <c r="DC2832" s="891">
        <v>8983</v>
      </c>
      <c r="DD2832" s="891" t="s">
        <v>4506</v>
      </c>
      <c r="DE2832" s="891" t="s">
        <v>406</v>
      </c>
      <c r="DF2832" s="891">
        <v>5</v>
      </c>
      <c r="DG2832" s="959"/>
      <c r="DH2832" s="959"/>
      <c r="ER2832" s="905">
        <v>8790</v>
      </c>
      <c r="ES2832" s="906" t="s">
        <v>4399</v>
      </c>
      <c r="ET2832" s="2686">
        <v>9</v>
      </c>
      <c r="EV2832" s="985"/>
      <c r="EW2832" s="985"/>
      <c r="EX2832" s="387"/>
      <c r="EY2832" s="939"/>
      <c r="EZ2832" s="886"/>
    </row>
    <row r="2833" spans="88:156">
      <c r="CJ2833" s="197"/>
      <c r="CK2833" s="197"/>
      <c r="CL2833" s="197"/>
      <c r="CM2833" s="213"/>
      <c r="CN2833" s="213"/>
      <c r="CO2833" s="197"/>
      <c r="CP2833" s="197"/>
      <c r="CQ2833" s="197"/>
      <c r="CR2833" s="197"/>
      <c r="CS2833" s="197"/>
      <c r="CT2833" s="197"/>
      <c r="CU2833" s="197"/>
      <c r="CV2833" s="197"/>
      <c r="CW2833" s="197"/>
      <c r="CX2833" s="959"/>
      <c r="CY2833" s="959"/>
      <c r="CZ2833" s="959"/>
      <c r="DA2833" s="959"/>
      <c r="DB2833" s="959"/>
      <c r="DC2833" s="891">
        <v>8984</v>
      </c>
      <c r="DD2833" s="891" t="s">
        <v>4507</v>
      </c>
      <c r="DE2833" s="891" t="s">
        <v>406</v>
      </c>
      <c r="DF2833" s="891">
        <v>6</v>
      </c>
      <c r="DG2833" s="959"/>
      <c r="DH2833" s="959"/>
      <c r="ER2833" s="905">
        <v>8792</v>
      </c>
      <c r="ES2833" s="906" t="s">
        <v>4400</v>
      </c>
      <c r="ET2833" s="2686">
        <v>9</v>
      </c>
      <c r="EV2833" s="985"/>
      <c r="EW2833" s="985"/>
      <c r="EX2833" s="387"/>
      <c r="EY2833" s="939"/>
      <c r="EZ2833" s="886"/>
    </row>
    <row r="2834" spans="88:156">
      <c r="CJ2834" s="197"/>
      <c r="CK2834" s="197"/>
      <c r="CL2834" s="197"/>
      <c r="CM2834" s="213"/>
      <c r="CN2834" s="213"/>
      <c r="CO2834" s="197"/>
      <c r="CP2834" s="197"/>
      <c r="CQ2834" s="197"/>
      <c r="CR2834" s="197"/>
      <c r="CS2834" s="197"/>
      <c r="CT2834" s="197"/>
      <c r="CU2834" s="197"/>
      <c r="CV2834" s="197"/>
      <c r="CW2834" s="197"/>
      <c r="CX2834" s="959"/>
      <c r="CY2834" s="959"/>
      <c r="CZ2834" s="959"/>
      <c r="DA2834" s="959"/>
      <c r="DB2834" s="959"/>
      <c r="DC2834" s="891">
        <v>8985</v>
      </c>
      <c r="DD2834" s="891" t="s">
        <v>799</v>
      </c>
      <c r="DE2834" s="891" t="s">
        <v>406</v>
      </c>
      <c r="DF2834" s="891">
        <v>6</v>
      </c>
      <c r="DG2834" s="959"/>
      <c r="DH2834" s="959"/>
      <c r="ER2834" s="905">
        <v>8793</v>
      </c>
      <c r="ES2834" s="905" t="s">
        <v>1772</v>
      </c>
      <c r="ET2834" s="2686">
        <v>9</v>
      </c>
      <c r="EV2834" s="985"/>
      <c r="EW2834" s="985"/>
      <c r="EX2834" s="387"/>
      <c r="EY2834" s="939"/>
      <c r="EZ2834" s="886"/>
    </row>
    <row r="2835" spans="88:156">
      <c r="CJ2835" s="197"/>
      <c r="CK2835" s="197"/>
      <c r="CL2835" s="197"/>
      <c r="CM2835" s="213"/>
      <c r="CN2835" s="213"/>
      <c r="CO2835" s="197"/>
      <c r="CP2835" s="197"/>
      <c r="CQ2835" s="197"/>
      <c r="CR2835" s="197"/>
      <c r="CS2835" s="197"/>
      <c r="CT2835" s="197"/>
      <c r="CU2835" s="197"/>
      <c r="CV2835" s="197"/>
      <c r="CW2835" s="197"/>
      <c r="CX2835" s="959"/>
      <c r="CY2835" s="959"/>
      <c r="CZ2835" s="959"/>
      <c r="DA2835" s="959"/>
      <c r="DB2835" s="959"/>
      <c r="DC2835" s="891">
        <v>8986</v>
      </c>
      <c r="DD2835" s="891" t="s">
        <v>800</v>
      </c>
      <c r="DE2835" s="891" t="s">
        <v>406</v>
      </c>
      <c r="DF2835" s="891">
        <v>6</v>
      </c>
      <c r="DG2835" s="959"/>
      <c r="DH2835" s="959"/>
      <c r="ER2835" s="905">
        <v>8795</v>
      </c>
      <c r="ES2835" s="905" t="s">
        <v>1773</v>
      </c>
      <c r="ET2835" s="2686">
        <v>9</v>
      </c>
      <c r="EV2835" s="985"/>
      <c r="EW2835" s="985"/>
      <c r="EX2835" s="387"/>
      <c r="EY2835" s="939"/>
      <c r="EZ2835" s="886"/>
    </row>
    <row r="2836" spans="88:156">
      <c r="CJ2836" s="197"/>
      <c r="CK2836" s="197"/>
      <c r="CL2836" s="197"/>
      <c r="CM2836" s="213"/>
      <c r="CN2836" s="213"/>
      <c r="CO2836" s="197"/>
      <c r="CP2836" s="197"/>
      <c r="CQ2836" s="197"/>
      <c r="CR2836" s="197"/>
      <c r="CS2836" s="197"/>
      <c r="CT2836" s="197"/>
      <c r="CU2836" s="197"/>
      <c r="CV2836" s="197"/>
      <c r="CW2836" s="197"/>
      <c r="CX2836" s="959"/>
      <c r="CY2836" s="959"/>
      <c r="CZ2836" s="959"/>
      <c r="DA2836" s="959"/>
      <c r="DB2836" s="959"/>
      <c r="DC2836" s="891">
        <v>8988</v>
      </c>
      <c r="DD2836" s="891" t="s">
        <v>801</v>
      </c>
      <c r="DE2836" s="891" t="s">
        <v>406</v>
      </c>
      <c r="DF2836" s="891">
        <v>6</v>
      </c>
      <c r="DG2836" s="959"/>
      <c r="DH2836" s="959"/>
      <c r="ER2836" s="905">
        <v>8796</v>
      </c>
      <c r="ES2836" s="906" t="s">
        <v>4403</v>
      </c>
      <c r="ET2836" s="2686">
        <v>9</v>
      </c>
      <c r="EV2836" s="985"/>
      <c r="EW2836" s="985"/>
      <c r="EX2836" s="387"/>
      <c r="EY2836" s="939"/>
      <c r="EZ2836" s="886"/>
    </row>
    <row r="2837" spans="88:156">
      <c r="CJ2837" s="197"/>
      <c r="CK2837" s="197"/>
      <c r="CL2837" s="197"/>
      <c r="CM2837" s="213"/>
      <c r="CN2837" s="213"/>
      <c r="CO2837" s="197"/>
      <c r="CP2837" s="197"/>
      <c r="CQ2837" s="197"/>
      <c r="CR2837" s="197"/>
      <c r="CS2837" s="197"/>
      <c r="CT2837" s="197"/>
      <c r="CU2837" s="197"/>
      <c r="CV2837" s="197"/>
      <c r="CW2837" s="197"/>
      <c r="CX2837" s="959"/>
      <c r="CY2837" s="959"/>
      <c r="CZ2837" s="959"/>
      <c r="DA2837" s="959"/>
      <c r="DB2837" s="959"/>
      <c r="DC2837" s="891">
        <v>8989</v>
      </c>
      <c r="DD2837" s="891" t="s">
        <v>802</v>
      </c>
      <c r="DE2837" s="891" t="s">
        <v>406</v>
      </c>
      <c r="DF2837" s="891">
        <v>5</v>
      </c>
      <c r="DG2837" s="959"/>
      <c r="DH2837" s="959"/>
      <c r="ER2837" s="905">
        <v>8797</v>
      </c>
      <c r="ES2837" s="906" t="s">
        <v>4404</v>
      </c>
      <c r="ET2837" s="2686">
        <v>9</v>
      </c>
      <c r="EV2837" s="985"/>
      <c r="EW2837" s="985"/>
      <c r="EX2837" s="387"/>
      <c r="EY2837" s="939"/>
      <c r="EZ2837" s="886"/>
    </row>
    <row r="2838" spans="88:156">
      <c r="CJ2838" s="197"/>
      <c r="CK2838" s="197"/>
      <c r="CL2838" s="197"/>
      <c r="CM2838" s="213"/>
      <c r="CN2838" s="213"/>
      <c r="CO2838" s="197"/>
      <c r="CP2838" s="197"/>
      <c r="CQ2838" s="197"/>
      <c r="CR2838" s="197"/>
      <c r="CS2838" s="197"/>
      <c r="CT2838" s="197"/>
      <c r="CU2838" s="197"/>
      <c r="CV2838" s="197"/>
      <c r="CW2838" s="197"/>
      <c r="CX2838" s="959"/>
      <c r="CY2838" s="959"/>
      <c r="CZ2838" s="959"/>
      <c r="DA2838" s="959"/>
      <c r="DB2838" s="959"/>
      <c r="DC2838" s="891">
        <v>8990</v>
      </c>
      <c r="DD2838" s="891" t="s">
        <v>4465</v>
      </c>
      <c r="DE2838" s="891" t="s">
        <v>406</v>
      </c>
      <c r="DF2838" s="891">
        <v>5</v>
      </c>
      <c r="DG2838" s="959"/>
      <c r="DH2838" s="959"/>
      <c r="ER2838" s="905">
        <v>8798</v>
      </c>
      <c r="ES2838" s="906" t="s">
        <v>4405</v>
      </c>
      <c r="ET2838" s="2686">
        <v>9</v>
      </c>
      <c r="EV2838" s="985"/>
      <c r="EW2838" s="985"/>
      <c r="EX2838" s="387"/>
      <c r="EY2838" s="939"/>
      <c r="EZ2838" s="886"/>
    </row>
    <row r="2839" spans="88:156">
      <c r="CJ2839" s="197"/>
      <c r="CK2839" s="197"/>
      <c r="CL2839" s="197"/>
      <c r="CM2839" s="213"/>
      <c r="CN2839" s="213"/>
      <c r="CO2839" s="197"/>
      <c r="CP2839" s="197"/>
      <c r="CQ2839" s="197"/>
      <c r="CR2839" s="197"/>
      <c r="CS2839" s="197"/>
      <c r="CT2839" s="197"/>
      <c r="CU2839" s="197"/>
      <c r="CV2839" s="197"/>
      <c r="CW2839" s="197"/>
      <c r="CX2839" s="959"/>
      <c r="CY2839" s="959"/>
      <c r="CZ2839" s="959"/>
      <c r="DA2839" s="959"/>
      <c r="DB2839" s="959"/>
      <c r="DC2839" s="891">
        <v>8991</v>
      </c>
      <c r="DD2839" s="891" t="s">
        <v>803</v>
      </c>
      <c r="DE2839" s="891" t="s">
        <v>406</v>
      </c>
      <c r="DF2839" s="891">
        <v>5</v>
      </c>
      <c r="DG2839" s="959"/>
      <c r="DH2839" s="959"/>
      <c r="ER2839" s="905">
        <v>8799</v>
      </c>
      <c r="ES2839" s="906" t="s">
        <v>1774</v>
      </c>
      <c r="ET2839" s="2686">
        <v>9</v>
      </c>
      <c r="EV2839" s="985"/>
      <c r="EW2839" s="985"/>
      <c r="EX2839" s="387"/>
      <c r="EY2839" s="939"/>
      <c r="EZ2839" s="886"/>
    </row>
    <row r="2840" spans="88:156">
      <c r="CJ2840" s="197"/>
      <c r="CK2840" s="197"/>
      <c r="CL2840" s="197"/>
      <c r="CM2840" s="213"/>
      <c r="CN2840" s="213"/>
      <c r="CO2840" s="197"/>
      <c r="CP2840" s="197"/>
      <c r="CQ2840" s="197"/>
      <c r="CR2840" s="197"/>
      <c r="CS2840" s="197"/>
      <c r="CT2840" s="197"/>
      <c r="CU2840" s="197"/>
      <c r="CV2840" s="197"/>
      <c r="CW2840" s="197"/>
      <c r="CX2840" s="959"/>
      <c r="CY2840" s="959"/>
      <c r="CZ2840" s="959"/>
      <c r="DA2840" s="959"/>
      <c r="DB2840" s="959"/>
      <c r="DC2840" s="891">
        <v>8992</v>
      </c>
      <c r="DD2840" s="891" t="s">
        <v>804</v>
      </c>
      <c r="DE2840" s="891" t="s">
        <v>406</v>
      </c>
      <c r="DF2840" s="891">
        <v>5</v>
      </c>
      <c r="DG2840" s="959"/>
      <c r="DH2840" s="959"/>
      <c r="ER2840" s="905">
        <v>8799</v>
      </c>
      <c r="ES2840" s="906" t="s">
        <v>4406</v>
      </c>
      <c r="ET2840" s="2686">
        <v>9</v>
      </c>
      <c r="EV2840" s="985"/>
      <c r="EW2840" s="985"/>
      <c r="EX2840" s="387"/>
      <c r="EY2840" s="939"/>
      <c r="EZ2840" s="886"/>
    </row>
    <row r="2841" spans="88:156">
      <c r="CJ2841" s="197"/>
      <c r="CK2841" s="197"/>
      <c r="CL2841" s="197"/>
      <c r="CM2841" s="213"/>
      <c r="CN2841" s="213"/>
      <c r="CO2841" s="197"/>
      <c r="CP2841" s="197"/>
      <c r="CQ2841" s="197"/>
      <c r="CR2841" s="197"/>
      <c r="CS2841" s="197"/>
      <c r="CT2841" s="197"/>
      <c r="CU2841" s="197"/>
      <c r="CV2841" s="197"/>
      <c r="CW2841" s="197"/>
      <c r="CX2841" s="959"/>
      <c r="CY2841" s="959"/>
      <c r="CZ2841" s="959"/>
      <c r="DA2841" s="959"/>
      <c r="DB2841" s="959"/>
      <c r="DC2841" s="891">
        <v>8994</v>
      </c>
      <c r="DD2841" s="891" t="s">
        <v>805</v>
      </c>
      <c r="DE2841" s="891" t="s">
        <v>406</v>
      </c>
      <c r="DF2841" s="891">
        <v>5</v>
      </c>
      <c r="DG2841" s="959"/>
      <c r="DH2841" s="959"/>
      <c r="ER2841" s="905">
        <v>8800</v>
      </c>
      <c r="ES2841" s="906" t="s">
        <v>1775</v>
      </c>
      <c r="ET2841" s="2686">
        <v>7</v>
      </c>
      <c r="EV2841" s="985"/>
      <c r="EW2841" s="985"/>
      <c r="EX2841" s="387"/>
      <c r="EY2841" s="939"/>
      <c r="EZ2841" s="886"/>
    </row>
    <row r="2842" spans="88:156">
      <c r="CJ2842" s="197"/>
      <c r="CK2842" s="197"/>
      <c r="CL2842" s="197"/>
      <c r="CM2842" s="213"/>
      <c r="CN2842" s="213"/>
      <c r="CO2842" s="197"/>
      <c r="CP2842" s="197"/>
      <c r="CQ2842" s="197"/>
      <c r="CR2842" s="197"/>
      <c r="CS2842" s="197"/>
      <c r="CT2842" s="197"/>
      <c r="CU2842" s="197"/>
      <c r="CV2842" s="197"/>
      <c r="CW2842" s="197"/>
      <c r="CX2842" s="959"/>
      <c r="CY2842" s="959"/>
      <c r="CZ2842" s="959"/>
      <c r="DA2842" s="959"/>
      <c r="DB2842" s="959"/>
      <c r="DC2842" s="891">
        <v>8995</v>
      </c>
      <c r="DD2842" s="891" t="s">
        <v>806</v>
      </c>
      <c r="DE2842" s="891" t="s">
        <v>419</v>
      </c>
      <c r="DF2842" s="891">
        <v>5</v>
      </c>
      <c r="DG2842" s="959"/>
      <c r="DH2842" s="959"/>
      <c r="ER2842" s="905">
        <v>8808</v>
      </c>
      <c r="ES2842" s="906" t="s">
        <v>1776</v>
      </c>
      <c r="ET2842" s="2686">
        <v>7</v>
      </c>
      <c r="EV2842" s="985"/>
      <c r="EW2842" s="985"/>
      <c r="EX2842" s="387"/>
      <c r="EY2842" s="939"/>
      <c r="EZ2842" s="886"/>
    </row>
    <row r="2843" spans="88:156">
      <c r="CJ2843" s="197"/>
      <c r="CK2843" s="197"/>
      <c r="CL2843" s="197"/>
      <c r="CM2843" s="213"/>
      <c r="CN2843" s="213"/>
      <c r="CO2843" s="197"/>
      <c r="CP2843" s="197"/>
      <c r="CQ2843" s="197"/>
      <c r="CR2843" s="197"/>
      <c r="CS2843" s="197"/>
      <c r="CT2843" s="197"/>
      <c r="CU2843" s="197"/>
      <c r="CV2843" s="197"/>
      <c r="CW2843" s="197"/>
      <c r="CX2843" s="959"/>
      <c r="CY2843" s="959"/>
      <c r="CZ2843" s="959"/>
      <c r="DA2843" s="959"/>
      <c r="DB2843" s="959"/>
      <c r="DC2843" s="891">
        <v>8996</v>
      </c>
      <c r="DD2843" s="891" t="s">
        <v>807</v>
      </c>
      <c r="DE2843" s="891" t="s">
        <v>406</v>
      </c>
      <c r="DF2843" s="891">
        <v>5</v>
      </c>
      <c r="DG2843" s="959"/>
      <c r="DH2843" s="959"/>
      <c r="ER2843" s="905">
        <v>8809</v>
      </c>
      <c r="ES2843" s="906" t="s">
        <v>1777</v>
      </c>
      <c r="ET2843" s="2686">
        <v>7</v>
      </c>
      <c r="EV2843" s="985"/>
      <c r="EW2843" s="985"/>
      <c r="EX2843" s="387"/>
      <c r="EY2843" s="939"/>
      <c r="EZ2843" s="886"/>
    </row>
    <row r="2844" spans="88:156">
      <c r="CJ2844" s="197"/>
      <c r="CK2844" s="197"/>
      <c r="CL2844" s="197"/>
      <c r="CM2844" s="213"/>
      <c r="CN2844" s="213"/>
      <c r="CO2844" s="197"/>
      <c r="CP2844" s="197"/>
      <c r="CQ2844" s="197"/>
      <c r="CR2844" s="197"/>
      <c r="CS2844" s="197"/>
      <c r="CT2844" s="197"/>
      <c r="CU2844" s="197"/>
      <c r="CV2844" s="197"/>
      <c r="CW2844" s="197"/>
      <c r="CX2844" s="959"/>
      <c r="CY2844" s="959"/>
      <c r="CZ2844" s="959"/>
      <c r="DA2844" s="959"/>
      <c r="DB2844" s="959"/>
      <c r="DC2844" s="891">
        <v>8997</v>
      </c>
      <c r="DD2844" s="891" t="s">
        <v>808</v>
      </c>
      <c r="DE2844" s="891" t="s">
        <v>406</v>
      </c>
      <c r="DF2844" s="891">
        <v>5</v>
      </c>
      <c r="DG2844" s="959"/>
      <c r="DH2844" s="959"/>
      <c r="ER2844" s="905">
        <v>8821</v>
      </c>
      <c r="ES2844" s="906" t="s">
        <v>4410</v>
      </c>
      <c r="ET2844" s="2686">
        <v>9</v>
      </c>
      <c r="EV2844" s="985"/>
      <c r="EW2844" s="985"/>
      <c r="EX2844" s="387"/>
      <c r="EY2844" s="939"/>
      <c r="EZ2844" s="886"/>
    </row>
    <row r="2845" spans="88:156">
      <c r="CJ2845" s="197"/>
      <c r="CK2845" s="197"/>
      <c r="CL2845" s="197"/>
      <c r="CM2845" s="213"/>
      <c r="CN2845" s="213"/>
      <c r="CO2845" s="197"/>
      <c r="CP2845" s="197"/>
      <c r="CQ2845" s="197"/>
      <c r="CR2845" s="197"/>
      <c r="CS2845" s="197"/>
      <c r="CT2845" s="197"/>
      <c r="CU2845" s="197"/>
      <c r="CV2845" s="197"/>
      <c r="CW2845" s="197"/>
      <c r="CX2845" s="959"/>
      <c r="CY2845" s="959"/>
      <c r="CZ2845" s="959"/>
      <c r="DA2845" s="959"/>
      <c r="DB2845" s="959"/>
      <c r="DC2845" s="891">
        <v>8998</v>
      </c>
      <c r="DD2845" s="891" t="s">
        <v>809</v>
      </c>
      <c r="DE2845" s="891" t="s">
        <v>406</v>
      </c>
      <c r="DF2845" s="891">
        <v>6</v>
      </c>
      <c r="DG2845" s="959"/>
      <c r="DH2845" s="959"/>
      <c r="ER2845" s="905">
        <v>8822</v>
      </c>
      <c r="ES2845" s="906" t="s">
        <v>4411</v>
      </c>
      <c r="ET2845" s="2686">
        <v>9</v>
      </c>
      <c r="EV2845" s="985"/>
      <c r="EW2845" s="985"/>
      <c r="EX2845" s="387"/>
      <c r="EY2845" s="939"/>
      <c r="EZ2845" s="886"/>
    </row>
    <row r="2846" spans="88:156">
      <c r="CJ2846" s="197"/>
      <c r="CK2846" s="197"/>
      <c r="CL2846" s="197"/>
      <c r="CM2846" s="213"/>
      <c r="CN2846" s="213"/>
      <c r="CO2846" s="197"/>
      <c r="CP2846" s="197"/>
      <c r="CQ2846" s="197"/>
      <c r="CR2846" s="197"/>
      <c r="CS2846" s="197"/>
      <c r="CT2846" s="197"/>
      <c r="CU2846" s="197"/>
      <c r="CV2846" s="197"/>
      <c r="CW2846" s="197"/>
      <c r="CX2846" s="959"/>
      <c r="CY2846" s="959"/>
      <c r="CZ2846" s="959"/>
      <c r="DA2846" s="959"/>
      <c r="DB2846" s="959"/>
      <c r="DC2846" s="891">
        <v>8999</v>
      </c>
      <c r="DD2846" s="891" t="s">
        <v>810</v>
      </c>
      <c r="DE2846" s="891" t="s">
        <v>410</v>
      </c>
      <c r="DF2846" s="891">
        <v>6</v>
      </c>
      <c r="DG2846" s="959"/>
      <c r="DH2846" s="959"/>
      <c r="ER2846" s="905">
        <v>8824</v>
      </c>
      <c r="ES2846" s="906" t="s">
        <v>4412</v>
      </c>
      <c r="ET2846" s="2686">
        <v>9</v>
      </c>
      <c r="EV2846" s="985"/>
      <c r="EW2846" s="985"/>
      <c r="EX2846" s="387"/>
      <c r="EY2846" s="939"/>
      <c r="EZ2846" s="886"/>
    </row>
    <row r="2847" spans="88:156">
      <c r="CJ2847" s="197"/>
      <c r="CK2847" s="197"/>
      <c r="CL2847" s="197"/>
      <c r="CM2847" s="213"/>
      <c r="CN2847" s="213"/>
      <c r="CO2847" s="197"/>
      <c r="CP2847" s="197"/>
      <c r="CQ2847" s="197"/>
      <c r="CR2847" s="197"/>
      <c r="CS2847" s="197"/>
      <c r="CT2847" s="197"/>
      <c r="CU2847" s="197"/>
      <c r="CV2847" s="197"/>
      <c r="CW2847" s="197"/>
      <c r="CX2847" s="959"/>
      <c r="CY2847" s="959"/>
      <c r="CZ2847" s="959"/>
      <c r="DA2847" s="959"/>
      <c r="DB2847" s="959"/>
      <c r="DC2847" s="891">
        <v>9000</v>
      </c>
      <c r="DD2847" s="891" t="s">
        <v>811</v>
      </c>
      <c r="DE2847" s="891" t="s">
        <v>418</v>
      </c>
      <c r="DF2847" s="891">
        <v>6</v>
      </c>
      <c r="DG2847" s="959"/>
      <c r="DH2847" s="959"/>
      <c r="ER2847" s="905">
        <v>8825</v>
      </c>
      <c r="ES2847" s="906" t="s">
        <v>1778</v>
      </c>
      <c r="ET2847" s="2686">
        <v>9</v>
      </c>
      <c r="EV2847" s="985"/>
      <c r="EW2847" s="985"/>
      <c r="EX2847" s="387"/>
      <c r="EY2847" s="939"/>
      <c r="EZ2847" s="886"/>
    </row>
    <row r="2848" spans="88:156">
      <c r="CJ2848" s="197"/>
      <c r="CK2848" s="197"/>
      <c r="CL2848" s="197"/>
      <c r="CM2848" s="213"/>
      <c r="CN2848" s="213"/>
      <c r="CO2848" s="197"/>
      <c r="CP2848" s="197"/>
      <c r="CQ2848" s="197"/>
      <c r="CR2848" s="197"/>
      <c r="CS2848" s="197"/>
      <c r="CT2848" s="197"/>
      <c r="CU2848" s="197"/>
      <c r="CV2848" s="197"/>
      <c r="CW2848" s="197"/>
      <c r="CX2848" s="959"/>
      <c r="CY2848" s="959"/>
      <c r="CZ2848" s="959"/>
      <c r="DA2848" s="959"/>
      <c r="DB2848" s="959"/>
      <c r="DC2848" s="891">
        <v>9002</v>
      </c>
      <c r="DD2848" s="891" t="s">
        <v>811</v>
      </c>
      <c r="DE2848" s="891" t="s">
        <v>428</v>
      </c>
      <c r="DF2848" s="891">
        <v>6</v>
      </c>
      <c r="DG2848" s="959"/>
      <c r="DH2848" s="959"/>
      <c r="ER2848" s="905">
        <v>8825</v>
      </c>
      <c r="ES2848" s="906" t="s">
        <v>4413</v>
      </c>
      <c r="ET2848" s="2686">
        <v>9</v>
      </c>
      <c r="EV2848" s="985"/>
      <c r="EW2848" s="985"/>
      <c r="EX2848" s="387"/>
      <c r="EY2848" s="939"/>
      <c r="EZ2848" s="886"/>
    </row>
    <row r="2849" spans="88:156">
      <c r="CJ2849" s="197"/>
      <c r="CK2849" s="197"/>
      <c r="CL2849" s="197"/>
      <c r="CM2849" s="213"/>
      <c r="CN2849" s="213"/>
      <c r="CO2849" s="197"/>
      <c r="CP2849" s="197"/>
      <c r="CQ2849" s="197"/>
      <c r="CR2849" s="197"/>
      <c r="CS2849" s="197"/>
      <c r="CT2849" s="197"/>
      <c r="CU2849" s="197"/>
      <c r="CV2849" s="197"/>
      <c r="CW2849" s="197"/>
      <c r="CX2849" s="959"/>
      <c r="CY2849" s="959"/>
      <c r="CZ2849" s="959"/>
      <c r="DA2849" s="959"/>
      <c r="DB2849" s="959"/>
      <c r="DC2849" s="891">
        <v>9010</v>
      </c>
      <c r="DD2849" s="891" t="s">
        <v>812</v>
      </c>
      <c r="DE2849" s="891" t="s">
        <v>419</v>
      </c>
      <c r="DF2849" s="891">
        <v>4</v>
      </c>
      <c r="DG2849" s="959"/>
      <c r="DH2849" s="959"/>
      <c r="ER2849" s="905">
        <v>8827</v>
      </c>
      <c r="ES2849" s="906" t="s">
        <v>4414</v>
      </c>
      <c r="ET2849" s="2686">
        <v>9</v>
      </c>
      <c r="EV2849" s="985"/>
      <c r="EW2849" s="985"/>
      <c r="EX2849" s="387"/>
      <c r="EY2849" s="939"/>
      <c r="EZ2849" s="886"/>
    </row>
    <row r="2850" spans="88:156">
      <c r="CJ2850" s="197"/>
      <c r="CK2850" s="197"/>
      <c r="CL2850" s="197"/>
      <c r="CM2850" s="213"/>
      <c r="CN2850" s="213"/>
      <c r="CO2850" s="197"/>
      <c r="CP2850" s="197"/>
      <c r="CQ2850" s="197"/>
      <c r="CR2850" s="197"/>
      <c r="CS2850" s="197"/>
      <c r="CT2850" s="197"/>
      <c r="CU2850" s="197"/>
      <c r="CV2850" s="197"/>
      <c r="CW2850" s="197"/>
      <c r="CX2850" s="959"/>
      <c r="CY2850" s="959"/>
      <c r="CZ2850" s="959"/>
      <c r="DA2850" s="959"/>
      <c r="DB2850" s="959"/>
      <c r="DC2850" s="891">
        <v>9011</v>
      </c>
      <c r="DD2850" s="891" t="s">
        <v>813</v>
      </c>
      <c r="DE2850" s="891" t="s">
        <v>428</v>
      </c>
      <c r="DF2850" s="891">
        <v>5</v>
      </c>
      <c r="DG2850" s="959"/>
      <c r="DH2850" s="959"/>
      <c r="ER2850" s="905">
        <v>8831</v>
      </c>
      <c r="ES2850" s="906" t="s">
        <v>4416</v>
      </c>
      <c r="ET2850" s="2686">
        <v>7</v>
      </c>
      <c r="EV2850" s="985"/>
      <c r="EW2850" s="985"/>
      <c r="EX2850" s="387"/>
      <c r="EY2850" s="939"/>
      <c r="EZ2850" s="886"/>
    </row>
    <row r="2851" spans="88:156">
      <c r="CJ2851" s="197"/>
      <c r="CK2851" s="197"/>
      <c r="CL2851" s="197"/>
      <c r="CM2851" s="213"/>
      <c r="CN2851" s="213"/>
      <c r="CO2851" s="197"/>
      <c r="CP2851" s="197"/>
      <c r="CQ2851" s="197"/>
      <c r="CR2851" s="197"/>
      <c r="CS2851" s="197"/>
      <c r="CT2851" s="197"/>
      <c r="CU2851" s="197"/>
      <c r="CV2851" s="197"/>
      <c r="CW2851" s="197"/>
      <c r="CX2851" s="959"/>
      <c r="CY2851" s="959"/>
      <c r="CZ2851" s="959"/>
      <c r="DA2851" s="959"/>
      <c r="DB2851" s="959"/>
      <c r="DC2851" s="891">
        <v>9012</v>
      </c>
      <c r="DD2851" s="891" t="s">
        <v>814</v>
      </c>
      <c r="DE2851" s="891" t="s">
        <v>417</v>
      </c>
      <c r="DF2851" s="891">
        <v>5</v>
      </c>
      <c r="DG2851" s="959"/>
      <c r="DH2851" s="959"/>
      <c r="ER2851" s="905">
        <v>8831</v>
      </c>
      <c r="ES2851" s="906" t="s">
        <v>1779</v>
      </c>
      <c r="ET2851" s="2686">
        <v>7</v>
      </c>
      <c r="EV2851" s="985"/>
      <c r="EW2851" s="985"/>
      <c r="EX2851" s="387"/>
      <c r="EY2851" s="939"/>
      <c r="EZ2851" s="886"/>
    </row>
    <row r="2852" spans="88:156">
      <c r="CJ2852" s="197"/>
      <c r="CK2852" s="197"/>
      <c r="CL2852" s="197"/>
      <c r="CM2852" s="213"/>
      <c r="CN2852" s="213"/>
      <c r="CO2852" s="197"/>
      <c r="CP2852" s="197"/>
      <c r="CQ2852" s="197"/>
      <c r="CR2852" s="197"/>
      <c r="CS2852" s="197"/>
      <c r="CT2852" s="197"/>
      <c r="CU2852" s="197"/>
      <c r="CV2852" s="197"/>
      <c r="CW2852" s="197"/>
      <c r="CX2852" s="959"/>
      <c r="CY2852" s="959"/>
      <c r="CZ2852" s="959"/>
      <c r="DA2852" s="959"/>
      <c r="DB2852" s="959"/>
      <c r="DC2852" s="891">
        <v>9019</v>
      </c>
      <c r="DD2852" s="891" t="s">
        <v>815</v>
      </c>
      <c r="DE2852" s="891" t="s">
        <v>418</v>
      </c>
      <c r="DF2852" s="891">
        <v>5</v>
      </c>
      <c r="DG2852" s="959"/>
      <c r="DH2852" s="959"/>
      <c r="ER2852" s="905">
        <v>8834</v>
      </c>
      <c r="ES2852" s="906" t="s">
        <v>4418</v>
      </c>
      <c r="ET2852" s="2686">
        <v>9</v>
      </c>
      <c r="EV2852" s="985"/>
      <c r="EW2852" s="985"/>
      <c r="EX2852" s="387"/>
      <c r="EY2852" s="939"/>
      <c r="EZ2852" s="886"/>
    </row>
    <row r="2853" spans="88:156">
      <c r="CJ2853" s="197"/>
      <c r="CK2853" s="197"/>
      <c r="CL2853" s="197"/>
      <c r="CM2853" s="213"/>
      <c r="CN2853" s="213"/>
      <c r="CO2853" s="197"/>
      <c r="CP2853" s="197"/>
      <c r="CQ2853" s="197"/>
      <c r="CR2853" s="197"/>
      <c r="CS2853" s="197"/>
      <c r="CT2853" s="197"/>
      <c r="CU2853" s="197"/>
      <c r="CV2853" s="197"/>
      <c r="CW2853" s="197"/>
      <c r="CX2853" s="959"/>
      <c r="CY2853" s="959"/>
      <c r="CZ2853" s="959"/>
      <c r="DA2853" s="959"/>
      <c r="DB2853" s="959"/>
      <c r="DC2853" s="891">
        <v>9020</v>
      </c>
      <c r="DD2853" s="891" t="s">
        <v>816</v>
      </c>
      <c r="DE2853" s="891" t="s">
        <v>412</v>
      </c>
      <c r="DF2853" s="891">
        <v>5</v>
      </c>
      <c r="DG2853" s="959"/>
      <c r="DH2853" s="959"/>
      <c r="ER2853" s="905">
        <v>8835</v>
      </c>
      <c r="ES2853" s="906" t="s">
        <v>4417</v>
      </c>
      <c r="ET2853" s="2686">
        <v>9</v>
      </c>
      <c r="EV2853" s="985"/>
      <c r="EW2853" s="985"/>
      <c r="EX2853" s="387"/>
      <c r="EY2853" s="939"/>
      <c r="EZ2853" s="886"/>
    </row>
    <row r="2854" spans="88:156">
      <c r="CJ2854" s="197"/>
      <c r="CK2854" s="197"/>
      <c r="CL2854" s="197"/>
      <c r="CM2854" s="213"/>
      <c r="CN2854" s="213"/>
      <c r="CO2854" s="197"/>
      <c r="CP2854" s="197"/>
      <c r="CQ2854" s="197"/>
      <c r="CR2854" s="197"/>
      <c r="CS2854" s="197"/>
      <c r="CT2854" s="197"/>
      <c r="CU2854" s="197"/>
      <c r="CV2854" s="197"/>
      <c r="CW2854" s="197"/>
      <c r="CX2854" s="959"/>
      <c r="CY2854" s="959"/>
      <c r="CZ2854" s="959"/>
      <c r="DA2854" s="959"/>
      <c r="DB2854" s="959"/>
      <c r="DC2854" s="891">
        <v>9021</v>
      </c>
      <c r="DD2854" s="891" t="s">
        <v>811</v>
      </c>
      <c r="DE2854" s="891" t="s">
        <v>412</v>
      </c>
      <c r="DF2854" s="891">
        <v>5</v>
      </c>
      <c r="DG2854" s="959"/>
      <c r="DH2854" s="959"/>
      <c r="ER2854" s="905">
        <v>8840</v>
      </c>
      <c r="ES2854" s="906" t="s">
        <v>1780</v>
      </c>
      <c r="ET2854" s="2686">
        <v>9</v>
      </c>
      <c r="EV2854" s="985"/>
      <c r="EW2854" s="985"/>
      <c r="EX2854" s="387"/>
      <c r="EY2854" s="939"/>
      <c r="EZ2854" s="886"/>
    </row>
    <row r="2855" spans="88:156">
      <c r="CJ2855" s="197"/>
      <c r="CK2855" s="197"/>
      <c r="CL2855" s="197"/>
      <c r="CM2855" s="213"/>
      <c r="CN2855" s="213"/>
      <c r="CO2855" s="197"/>
      <c r="CP2855" s="197"/>
      <c r="CQ2855" s="197"/>
      <c r="CR2855" s="197"/>
      <c r="CS2855" s="197"/>
      <c r="CT2855" s="197"/>
      <c r="CU2855" s="197"/>
      <c r="CV2855" s="197"/>
      <c r="CW2855" s="197"/>
      <c r="CX2855" s="959"/>
      <c r="CY2855" s="959"/>
      <c r="CZ2855" s="959"/>
      <c r="DA2855" s="959"/>
      <c r="DB2855" s="959"/>
      <c r="DC2855" s="891">
        <v>9022</v>
      </c>
      <c r="DD2855" s="891" t="s">
        <v>811</v>
      </c>
      <c r="DE2855" s="891" t="s">
        <v>406</v>
      </c>
      <c r="DF2855" s="891">
        <v>4</v>
      </c>
      <c r="DG2855" s="959"/>
      <c r="DH2855" s="959"/>
      <c r="ER2855" s="905">
        <v>8840</v>
      </c>
      <c r="ES2855" s="906" t="s">
        <v>4419</v>
      </c>
      <c r="ET2855" s="2686">
        <v>9</v>
      </c>
      <c r="EV2855" s="985"/>
      <c r="EW2855" s="985"/>
      <c r="EX2855" s="387"/>
      <c r="EY2855" s="939"/>
      <c r="EZ2855" s="886"/>
    </row>
    <row r="2856" spans="88:156">
      <c r="CJ2856" s="197"/>
      <c r="CK2856" s="197"/>
      <c r="CL2856" s="197"/>
      <c r="CM2856" s="213"/>
      <c r="CN2856" s="213"/>
      <c r="CO2856" s="197"/>
      <c r="CP2856" s="197"/>
      <c r="CQ2856" s="197"/>
      <c r="CR2856" s="197"/>
      <c r="CS2856" s="197"/>
      <c r="CT2856" s="197"/>
      <c r="CU2856" s="197"/>
      <c r="CV2856" s="197"/>
      <c r="CW2856" s="197"/>
      <c r="CX2856" s="959"/>
      <c r="CY2856" s="959"/>
      <c r="CZ2856" s="959"/>
      <c r="DA2856" s="959"/>
      <c r="DB2856" s="959"/>
      <c r="DC2856" s="891">
        <v>9023</v>
      </c>
      <c r="DD2856" s="891" t="s">
        <v>811</v>
      </c>
      <c r="DE2856" s="891" t="s">
        <v>421</v>
      </c>
      <c r="DF2856" s="891">
        <v>5</v>
      </c>
      <c r="DG2856" s="959"/>
      <c r="DH2856" s="959"/>
      <c r="ER2856" s="905">
        <v>8849</v>
      </c>
      <c r="ES2856" s="906" t="s">
        <v>4420</v>
      </c>
      <c r="ET2856" s="2686">
        <v>9</v>
      </c>
      <c r="EV2856" s="985"/>
      <c r="EW2856" s="985"/>
      <c r="EX2856" s="387"/>
      <c r="EY2856" s="939"/>
      <c r="EZ2856" s="886"/>
    </row>
    <row r="2857" spans="88:156">
      <c r="CJ2857" s="197"/>
      <c r="CK2857" s="197"/>
      <c r="CL2857" s="197"/>
      <c r="CM2857" s="213"/>
      <c r="CN2857" s="213"/>
      <c r="CO2857" s="197"/>
      <c r="CP2857" s="197"/>
      <c r="CQ2857" s="197"/>
      <c r="CR2857" s="197"/>
      <c r="CS2857" s="197"/>
      <c r="CT2857" s="197"/>
      <c r="CU2857" s="197"/>
      <c r="CV2857" s="197"/>
      <c r="CW2857" s="197"/>
      <c r="CX2857" s="959"/>
      <c r="CY2857" s="959"/>
      <c r="CZ2857" s="959"/>
      <c r="DA2857" s="959"/>
      <c r="DB2857" s="959"/>
      <c r="DC2857" s="891">
        <v>9024</v>
      </c>
      <c r="DD2857" s="891" t="s">
        <v>811</v>
      </c>
      <c r="DE2857" s="891" t="s">
        <v>421</v>
      </c>
      <c r="DF2857" s="891">
        <v>5</v>
      </c>
      <c r="DG2857" s="959"/>
      <c r="DH2857" s="959"/>
      <c r="ER2857" s="905">
        <v>8851</v>
      </c>
      <c r="ES2857" s="906" t="s">
        <v>4421</v>
      </c>
      <c r="ET2857" s="2686">
        <v>9</v>
      </c>
      <c r="EV2857" s="985"/>
      <c r="EW2857" s="985"/>
      <c r="EX2857" s="387"/>
      <c r="EY2857" s="939"/>
      <c r="EZ2857" s="886"/>
    </row>
    <row r="2858" spans="88:156">
      <c r="CJ2858" s="197"/>
      <c r="CK2858" s="197"/>
      <c r="CL2858" s="197"/>
      <c r="CM2858" s="213"/>
      <c r="CN2858" s="213"/>
      <c r="CO2858" s="197"/>
      <c r="CP2858" s="197"/>
      <c r="CQ2858" s="197"/>
      <c r="CR2858" s="197"/>
      <c r="CS2858" s="197"/>
      <c r="CT2858" s="197"/>
      <c r="CU2858" s="197"/>
      <c r="CV2858" s="197"/>
      <c r="CW2858" s="197"/>
      <c r="CX2858" s="959"/>
      <c r="CY2858" s="959"/>
      <c r="CZ2858" s="959"/>
      <c r="DA2858" s="959"/>
      <c r="DB2858" s="959"/>
      <c r="DC2858" s="891">
        <v>9025</v>
      </c>
      <c r="DD2858" s="891" t="s">
        <v>811</v>
      </c>
      <c r="DE2858" s="891" t="s">
        <v>417</v>
      </c>
      <c r="DF2858" s="891">
        <v>4</v>
      </c>
      <c r="DG2858" s="959"/>
      <c r="DH2858" s="959"/>
      <c r="ER2858" s="905">
        <v>8852</v>
      </c>
      <c r="ES2858" s="906" t="s">
        <v>4422</v>
      </c>
      <c r="ET2858" s="2686">
        <v>9</v>
      </c>
      <c r="EV2858" s="985"/>
      <c r="EW2858" s="985"/>
      <c r="EX2858" s="387"/>
      <c r="EY2858" s="939"/>
      <c r="EZ2858" s="886"/>
    </row>
    <row r="2859" spans="88:156">
      <c r="CJ2859" s="197"/>
      <c r="CK2859" s="197"/>
      <c r="CL2859" s="197"/>
      <c r="CM2859" s="213"/>
      <c r="CN2859" s="213"/>
      <c r="CO2859" s="197"/>
      <c r="CP2859" s="197"/>
      <c r="CQ2859" s="197"/>
      <c r="CR2859" s="197"/>
      <c r="CS2859" s="197"/>
      <c r="CT2859" s="197"/>
      <c r="CU2859" s="197"/>
      <c r="CV2859" s="197"/>
      <c r="CW2859" s="197"/>
      <c r="CX2859" s="959"/>
      <c r="CY2859" s="959"/>
      <c r="CZ2859" s="959"/>
      <c r="DA2859" s="959"/>
      <c r="DB2859" s="959"/>
      <c r="DC2859" s="891">
        <v>9026</v>
      </c>
      <c r="DD2859" s="891" t="s">
        <v>811</v>
      </c>
      <c r="DE2859" s="891" t="s">
        <v>402</v>
      </c>
      <c r="DF2859" s="891">
        <v>5</v>
      </c>
      <c r="DG2859" s="959"/>
      <c r="DH2859" s="959"/>
      <c r="ER2859" s="905">
        <v>8853</v>
      </c>
      <c r="ES2859" s="906" t="s">
        <v>1781</v>
      </c>
      <c r="ET2859" s="2686">
        <v>9</v>
      </c>
      <c r="EV2859" s="985"/>
      <c r="EW2859" s="985"/>
      <c r="EX2859" s="387"/>
      <c r="EY2859" s="939"/>
      <c r="EZ2859" s="886"/>
    </row>
    <row r="2860" spans="88:156">
      <c r="CJ2860" s="197"/>
      <c r="CK2860" s="197"/>
      <c r="CL2860" s="197"/>
      <c r="CM2860" s="213"/>
      <c r="CN2860" s="213"/>
      <c r="CO2860" s="197"/>
      <c r="CP2860" s="197"/>
      <c r="CQ2860" s="197"/>
      <c r="CR2860" s="197"/>
      <c r="CS2860" s="197"/>
      <c r="CT2860" s="197"/>
      <c r="CU2860" s="197"/>
      <c r="CV2860" s="197"/>
      <c r="CW2860" s="197"/>
      <c r="CX2860" s="959"/>
      <c r="CY2860" s="959"/>
      <c r="CZ2860" s="959"/>
      <c r="DA2860" s="959"/>
      <c r="DB2860" s="959"/>
      <c r="DC2860" s="891">
        <v>9027</v>
      </c>
      <c r="DD2860" s="891" t="s">
        <v>811</v>
      </c>
      <c r="DE2860" s="891" t="s">
        <v>412</v>
      </c>
      <c r="DF2860" s="891">
        <v>5</v>
      </c>
      <c r="DG2860" s="959"/>
      <c r="DH2860" s="959"/>
      <c r="ER2860" s="905">
        <v>8854</v>
      </c>
      <c r="ES2860" s="906" t="s">
        <v>4423</v>
      </c>
      <c r="ET2860" s="2686">
        <v>9</v>
      </c>
      <c r="EV2860" s="985"/>
      <c r="EW2860" s="985"/>
      <c r="EX2860" s="387"/>
      <c r="EY2860" s="939"/>
      <c r="EZ2860" s="886"/>
    </row>
    <row r="2861" spans="88:156">
      <c r="CJ2861" s="197"/>
      <c r="CK2861" s="197"/>
      <c r="CL2861" s="197"/>
      <c r="CM2861" s="213"/>
      <c r="CN2861" s="213"/>
      <c r="CO2861" s="197"/>
      <c r="CP2861" s="197"/>
      <c r="CQ2861" s="197"/>
      <c r="CR2861" s="197"/>
      <c r="CS2861" s="197"/>
      <c r="CT2861" s="197"/>
      <c r="CU2861" s="197"/>
      <c r="CV2861" s="197"/>
      <c r="CW2861" s="197"/>
      <c r="CX2861" s="959"/>
      <c r="CY2861" s="959"/>
      <c r="CZ2861" s="959"/>
      <c r="DA2861" s="959"/>
      <c r="DB2861" s="959"/>
      <c r="DC2861" s="891">
        <v>9028</v>
      </c>
      <c r="DD2861" s="891" t="s">
        <v>811</v>
      </c>
      <c r="DE2861" s="891" t="s">
        <v>418</v>
      </c>
      <c r="DF2861" s="891">
        <v>5</v>
      </c>
      <c r="DG2861" s="959"/>
      <c r="DH2861" s="959"/>
      <c r="ER2861" s="905">
        <v>8855</v>
      </c>
      <c r="ES2861" s="906" t="s">
        <v>4424</v>
      </c>
      <c r="ET2861" s="2686">
        <v>9</v>
      </c>
      <c r="EV2861" s="985"/>
      <c r="EW2861" s="985"/>
      <c r="EX2861" s="387"/>
      <c r="EY2861" s="939"/>
      <c r="EZ2861" s="886"/>
    </row>
    <row r="2862" spans="88:156">
      <c r="CJ2862" s="197"/>
      <c r="CK2862" s="197"/>
      <c r="CL2862" s="197"/>
      <c r="CM2862" s="213"/>
      <c r="CN2862" s="213"/>
      <c r="CO2862" s="197"/>
      <c r="CP2862" s="197"/>
      <c r="CQ2862" s="197"/>
      <c r="CR2862" s="197"/>
      <c r="CS2862" s="197"/>
      <c r="CT2862" s="197"/>
      <c r="CU2862" s="197"/>
      <c r="CV2862" s="197"/>
      <c r="CW2862" s="197"/>
      <c r="CX2862" s="959"/>
      <c r="CY2862" s="959"/>
      <c r="CZ2862" s="959"/>
      <c r="DA2862" s="959"/>
      <c r="DB2862" s="959"/>
      <c r="DC2862" s="891">
        <v>9029</v>
      </c>
      <c r="DD2862" s="891" t="s">
        <v>811</v>
      </c>
      <c r="DE2862" s="891" t="s">
        <v>406</v>
      </c>
      <c r="DF2862" s="891">
        <v>5</v>
      </c>
      <c r="DG2862" s="959"/>
      <c r="DH2862" s="959"/>
      <c r="ER2862" s="905">
        <v>8856</v>
      </c>
      <c r="ES2862" s="906" t="s">
        <v>4425</v>
      </c>
      <c r="ET2862" s="2686">
        <v>9</v>
      </c>
      <c r="EV2862" s="985"/>
      <c r="EW2862" s="985"/>
      <c r="EX2862" s="387"/>
      <c r="EY2862" s="939"/>
      <c r="EZ2862" s="886"/>
    </row>
    <row r="2863" spans="88:156">
      <c r="CJ2863" s="197"/>
      <c r="CK2863" s="197"/>
      <c r="CL2863" s="197"/>
      <c r="CM2863" s="213"/>
      <c r="CN2863" s="213"/>
      <c r="CO2863" s="197"/>
      <c r="CP2863" s="197"/>
      <c r="CQ2863" s="197"/>
      <c r="CR2863" s="197"/>
      <c r="CS2863" s="197"/>
      <c r="CT2863" s="197"/>
      <c r="CU2863" s="197"/>
      <c r="CV2863" s="197"/>
      <c r="CW2863" s="197"/>
      <c r="CX2863" s="959"/>
      <c r="CY2863" s="959"/>
      <c r="CZ2863" s="959"/>
      <c r="DA2863" s="959"/>
      <c r="DB2863" s="959"/>
      <c r="DC2863" s="891">
        <v>9030</v>
      </c>
      <c r="DD2863" s="891" t="s">
        <v>811</v>
      </c>
      <c r="DE2863" s="891" t="s">
        <v>423</v>
      </c>
      <c r="DF2863" s="891">
        <v>5</v>
      </c>
      <c r="DG2863" s="959"/>
      <c r="DH2863" s="959"/>
      <c r="ER2863" s="905">
        <v>8857</v>
      </c>
      <c r="ES2863" s="906" t="s">
        <v>1782</v>
      </c>
      <c r="ET2863" s="2686">
        <v>9</v>
      </c>
      <c r="EV2863" s="985"/>
      <c r="EW2863" s="985"/>
      <c r="EX2863" s="387"/>
      <c r="EY2863" s="939"/>
      <c r="EZ2863" s="886"/>
    </row>
    <row r="2864" spans="88:156">
      <c r="CJ2864" s="197"/>
      <c r="CK2864" s="197"/>
      <c r="CL2864" s="197"/>
      <c r="CM2864" s="213"/>
      <c r="CN2864" s="213"/>
      <c r="CO2864" s="197"/>
      <c r="CP2864" s="197"/>
      <c r="CQ2864" s="197"/>
      <c r="CR2864" s="197"/>
      <c r="CS2864" s="197"/>
      <c r="CT2864" s="197"/>
      <c r="CU2864" s="197"/>
      <c r="CV2864" s="197"/>
      <c r="CW2864" s="197"/>
      <c r="CX2864" s="959"/>
      <c r="CY2864" s="959"/>
      <c r="CZ2864" s="959"/>
      <c r="DA2864" s="959"/>
      <c r="DB2864" s="959"/>
      <c r="DC2864" s="891">
        <v>9061</v>
      </c>
      <c r="DD2864" s="891" t="s">
        <v>817</v>
      </c>
      <c r="DE2864" s="891" t="s">
        <v>418</v>
      </c>
      <c r="DF2864" s="891">
        <v>5</v>
      </c>
      <c r="DG2864" s="959"/>
      <c r="DH2864" s="959"/>
      <c r="ER2864" s="905">
        <v>8858</v>
      </c>
      <c r="ES2864" s="906" t="s">
        <v>1783</v>
      </c>
      <c r="ET2864" s="2686">
        <v>9</v>
      </c>
      <c r="EV2864" s="985"/>
      <c r="EW2864" s="985"/>
      <c r="EX2864" s="387"/>
      <c r="EY2864" s="939"/>
      <c r="EZ2864" s="886"/>
    </row>
    <row r="2865" spans="88:156">
      <c r="CJ2865" s="197"/>
      <c r="CK2865" s="197"/>
      <c r="CL2865" s="197"/>
      <c r="CM2865" s="213"/>
      <c r="CN2865" s="213"/>
      <c r="CO2865" s="197"/>
      <c r="CP2865" s="197"/>
      <c r="CQ2865" s="197"/>
      <c r="CR2865" s="197"/>
      <c r="CS2865" s="197"/>
      <c r="CT2865" s="197"/>
      <c r="CU2865" s="197"/>
      <c r="CV2865" s="197"/>
      <c r="CW2865" s="197"/>
      <c r="CX2865" s="959"/>
      <c r="CY2865" s="959"/>
      <c r="CZ2865" s="959"/>
      <c r="DA2865" s="959"/>
      <c r="DB2865" s="959"/>
      <c r="DC2865" s="891">
        <v>9062</v>
      </c>
      <c r="DD2865" s="891" t="s">
        <v>818</v>
      </c>
      <c r="DE2865" s="891" t="s">
        <v>410</v>
      </c>
      <c r="DF2865" s="891">
        <v>5</v>
      </c>
      <c r="DG2865" s="959"/>
      <c r="DH2865" s="959"/>
      <c r="ER2865" s="905">
        <v>8858</v>
      </c>
      <c r="ES2865" s="906" t="s">
        <v>1784</v>
      </c>
      <c r="ET2865" s="2686">
        <v>9</v>
      </c>
      <c r="EV2865" s="985"/>
      <c r="EW2865" s="985"/>
      <c r="EX2865" s="387"/>
      <c r="EY2865" s="939"/>
      <c r="EZ2865" s="886"/>
    </row>
    <row r="2866" spans="88:156">
      <c r="CJ2866" s="197"/>
      <c r="CK2866" s="197"/>
      <c r="CL2866" s="197"/>
      <c r="CM2866" s="213"/>
      <c r="CN2866" s="213"/>
      <c r="CO2866" s="197"/>
      <c r="CP2866" s="197"/>
      <c r="CQ2866" s="197"/>
      <c r="CR2866" s="197"/>
      <c r="CS2866" s="197"/>
      <c r="CT2866" s="197"/>
      <c r="CU2866" s="197"/>
      <c r="CV2866" s="197"/>
      <c r="CW2866" s="197"/>
      <c r="CX2866" s="959"/>
      <c r="CY2866" s="959"/>
      <c r="CZ2866" s="959"/>
      <c r="DA2866" s="959"/>
      <c r="DB2866" s="959"/>
      <c r="DC2866" s="891">
        <v>9063</v>
      </c>
      <c r="DD2866" s="891" t="s">
        <v>819</v>
      </c>
      <c r="DE2866" s="891" t="s">
        <v>419</v>
      </c>
      <c r="DF2866" s="891">
        <v>5</v>
      </c>
      <c r="DG2866" s="959"/>
      <c r="DH2866" s="959"/>
      <c r="ER2866" s="905">
        <v>8858</v>
      </c>
      <c r="ES2866" s="906" t="s">
        <v>1785</v>
      </c>
      <c r="ET2866" s="2686">
        <v>9</v>
      </c>
      <c r="EV2866" s="985"/>
      <c r="EW2866" s="985"/>
      <c r="EX2866" s="387"/>
      <c r="EY2866" s="939"/>
      <c r="EZ2866" s="886"/>
    </row>
    <row r="2867" spans="88:156">
      <c r="CJ2867" s="197"/>
      <c r="CK2867" s="197"/>
      <c r="CL2867" s="197"/>
      <c r="CM2867" s="213"/>
      <c r="CN2867" s="213"/>
      <c r="CO2867" s="197"/>
      <c r="CP2867" s="197"/>
      <c r="CQ2867" s="197"/>
      <c r="CR2867" s="197"/>
      <c r="CS2867" s="197"/>
      <c r="CT2867" s="197"/>
      <c r="CU2867" s="197"/>
      <c r="CV2867" s="197"/>
      <c r="CW2867" s="197"/>
      <c r="CX2867" s="959"/>
      <c r="CY2867" s="959"/>
      <c r="CZ2867" s="959"/>
      <c r="DA2867" s="959"/>
      <c r="DB2867" s="959"/>
      <c r="DC2867" s="891">
        <v>9071</v>
      </c>
      <c r="DD2867" s="891" t="s">
        <v>2858</v>
      </c>
      <c r="DE2867" s="891" t="s">
        <v>432</v>
      </c>
      <c r="DF2867" s="891">
        <v>5</v>
      </c>
      <c r="DG2867" s="959"/>
      <c r="DH2867" s="959"/>
      <c r="ER2867" s="905">
        <v>8858</v>
      </c>
      <c r="ES2867" s="906" t="s">
        <v>4427</v>
      </c>
      <c r="ET2867" s="2686">
        <v>9</v>
      </c>
      <c r="EV2867" s="985"/>
      <c r="EW2867" s="985"/>
      <c r="EX2867" s="387"/>
      <c r="EY2867" s="939"/>
      <c r="EZ2867" s="886"/>
    </row>
    <row r="2868" spans="88:156">
      <c r="CJ2868" s="197"/>
      <c r="CK2868" s="197"/>
      <c r="CL2868" s="197"/>
      <c r="CM2868" s="213"/>
      <c r="CN2868" s="213"/>
      <c r="CO2868" s="197"/>
      <c r="CP2868" s="197"/>
      <c r="CQ2868" s="197"/>
      <c r="CR2868" s="197"/>
      <c r="CS2868" s="197"/>
      <c r="CT2868" s="197"/>
      <c r="CU2868" s="197"/>
      <c r="CV2868" s="197"/>
      <c r="CW2868" s="197"/>
      <c r="CX2868" s="959"/>
      <c r="CY2868" s="959"/>
      <c r="CZ2868" s="959"/>
      <c r="DA2868" s="959"/>
      <c r="DB2868" s="959"/>
      <c r="DC2868" s="891">
        <v>9072</v>
      </c>
      <c r="DD2868" s="891" t="s">
        <v>2859</v>
      </c>
      <c r="DE2868" s="891" t="s">
        <v>428</v>
      </c>
      <c r="DF2868" s="891">
        <v>5</v>
      </c>
      <c r="DG2868" s="959"/>
      <c r="DH2868" s="959"/>
      <c r="ER2868" s="905">
        <v>8861</v>
      </c>
      <c r="ES2868" s="906" t="s">
        <v>4428</v>
      </c>
      <c r="ET2868" s="2686">
        <v>9</v>
      </c>
      <c r="EV2868" s="985"/>
      <c r="EW2868" s="985"/>
      <c r="EX2868" s="387"/>
      <c r="EY2868" s="939"/>
      <c r="EZ2868" s="886"/>
    </row>
    <row r="2869" spans="88:156">
      <c r="CJ2869" s="197"/>
      <c r="CK2869" s="197"/>
      <c r="CL2869" s="197"/>
      <c r="CM2869" s="213"/>
      <c r="CN2869" s="213"/>
      <c r="CO2869" s="197"/>
      <c r="CP2869" s="197"/>
      <c r="CQ2869" s="197"/>
      <c r="CR2869" s="197"/>
      <c r="CS2869" s="197"/>
      <c r="CT2869" s="197"/>
      <c r="CU2869" s="197"/>
      <c r="CV2869" s="197"/>
      <c r="CW2869" s="197"/>
      <c r="CX2869" s="959"/>
      <c r="CY2869" s="959"/>
      <c r="CZ2869" s="959"/>
      <c r="DA2869" s="959"/>
      <c r="DB2869" s="959"/>
      <c r="DC2869" s="891">
        <v>9073</v>
      </c>
      <c r="DD2869" s="891" t="s">
        <v>2860</v>
      </c>
      <c r="DE2869" s="891" t="s">
        <v>410</v>
      </c>
      <c r="DF2869" s="891">
        <v>6</v>
      </c>
      <c r="DG2869" s="959"/>
      <c r="DH2869" s="959"/>
      <c r="ER2869" s="905">
        <v>8862</v>
      </c>
      <c r="ES2869" s="906" t="s">
        <v>4429</v>
      </c>
      <c r="ET2869" s="2686">
        <v>9</v>
      </c>
      <c r="EV2869" s="985"/>
      <c r="EW2869" s="985"/>
      <c r="EX2869" s="387"/>
      <c r="EY2869" s="939"/>
      <c r="EZ2869" s="886"/>
    </row>
    <row r="2870" spans="88:156">
      <c r="CJ2870" s="197"/>
      <c r="CK2870" s="197"/>
      <c r="CL2870" s="197"/>
      <c r="CM2870" s="213"/>
      <c r="CN2870" s="213"/>
      <c r="CO2870" s="197"/>
      <c r="CP2870" s="197"/>
      <c r="CQ2870" s="197"/>
      <c r="CR2870" s="197"/>
      <c r="CS2870" s="197"/>
      <c r="CT2870" s="197"/>
      <c r="CU2870" s="197"/>
      <c r="CV2870" s="197"/>
      <c r="CW2870" s="197"/>
      <c r="CX2870" s="959"/>
      <c r="CY2870" s="959"/>
      <c r="CZ2870" s="959"/>
      <c r="DA2870" s="959"/>
      <c r="DB2870" s="959"/>
      <c r="DC2870" s="891">
        <v>9074</v>
      </c>
      <c r="DD2870" s="891" t="s">
        <v>2861</v>
      </c>
      <c r="DE2870" s="891" t="s">
        <v>427</v>
      </c>
      <c r="DF2870" s="891">
        <v>6</v>
      </c>
      <c r="DG2870" s="959"/>
      <c r="DH2870" s="959"/>
      <c r="ER2870" s="905">
        <v>8863</v>
      </c>
      <c r="ES2870" s="906" t="s">
        <v>4430</v>
      </c>
      <c r="ET2870" s="2686">
        <v>9</v>
      </c>
      <c r="EV2870" s="985"/>
      <c r="EW2870" s="985"/>
      <c r="EX2870" s="387"/>
      <c r="EY2870" s="939"/>
      <c r="EZ2870" s="886"/>
    </row>
    <row r="2871" spans="88:156">
      <c r="CJ2871" s="197"/>
      <c r="CK2871" s="197"/>
      <c r="CL2871" s="197"/>
      <c r="CM2871" s="213"/>
      <c r="CN2871" s="213"/>
      <c r="CO2871" s="197"/>
      <c r="CP2871" s="197"/>
      <c r="CQ2871" s="197"/>
      <c r="CR2871" s="197"/>
      <c r="CS2871" s="197"/>
      <c r="CT2871" s="197"/>
      <c r="CU2871" s="197"/>
      <c r="CV2871" s="197"/>
      <c r="CW2871" s="197"/>
      <c r="CX2871" s="959"/>
      <c r="CY2871" s="959"/>
      <c r="CZ2871" s="959"/>
      <c r="DA2871" s="959"/>
      <c r="DB2871" s="959"/>
      <c r="DC2871" s="891">
        <v>9081</v>
      </c>
      <c r="DD2871" s="891" t="s">
        <v>2862</v>
      </c>
      <c r="DE2871" s="891" t="s">
        <v>417</v>
      </c>
      <c r="DF2871" s="891">
        <v>5</v>
      </c>
      <c r="DG2871" s="959"/>
      <c r="DH2871" s="959"/>
      <c r="ER2871" s="905">
        <v>8864</v>
      </c>
      <c r="ES2871" s="906" t="s">
        <v>4431</v>
      </c>
      <c r="ET2871" s="2686">
        <v>9</v>
      </c>
      <c r="EV2871" s="985"/>
      <c r="EW2871" s="985"/>
      <c r="EX2871" s="387"/>
      <c r="EY2871" s="939"/>
      <c r="EZ2871" s="886"/>
    </row>
    <row r="2872" spans="88:156">
      <c r="CJ2872" s="197"/>
      <c r="CK2872" s="197"/>
      <c r="CL2872" s="197"/>
      <c r="CM2872" s="213"/>
      <c r="CN2872" s="213"/>
      <c r="CO2872" s="197"/>
      <c r="CP2872" s="197"/>
      <c r="CQ2872" s="197"/>
      <c r="CR2872" s="197"/>
      <c r="CS2872" s="197"/>
      <c r="CT2872" s="197"/>
      <c r="CU2872" s="197"/>
      <c r="CV2872" s="197"/>
      <c r="CW2872" s="197"/>
      <c r="CX2872" s="959"/>
      <c r="CY2872" s="959"/>
      <c r="CZ2872" s="959"/>
      <c r="DA2872" s="959"/>
      <c r="DB2872" s="959"/>
      <c r="DC2872" s="891">
        <v>9082</v>
      </c>
      <c r="DD2872" s="891" t="s">
        <v>2863</v>
      </c>
      <c r="DE2872" s="891" t="s">
        <v>421</v>
      </c>
      <c r="DF2872" s="891">
        <v>5</v>
      </c>
      <c r="DG2872" s="959"/>
      <c r="DH2872" s="959"/>
      <c r="ER2872" s="905">
        <v>8865</v>
      </c>
      <c r="ES2872" s="906" t="s">
        <v>4432</v>
      </c>
      <c r="ET2872" s="2686">
        <v>9</v>
      </c>
      <c r="EV2872" s="985"/>
      <c r="EW2872" s="985"/>
      <c r="EX2872" s="387"/>
      <c r="EY2872" s="939"/>
      <c r="EZ2872" s="886"/>
    </row>
    <row r="2873" spans="88:156">
      <c r="CJ2873" s="197"/>
      <c r="CK2873" s="197"/>
      <c r="CL2873" s="197"/>
      <c r="CM2873" s="213"/>
      <c r="CN2873" s="213"/>
      <c r="CO2873" s="197"/>
      <c r="CP2873" s="197"/>
      <c r="CQ2873" s="197"/>
      <c r="CR2873" s="197"/>
      <c r="CS2873" s="197"/>
      <c r="CT2873" s="197"/>
      <c r="CU2873" s="197"/>
      <c r="CV2873" s="197"/>
      <c r="CW2873" s="197"/>
      <c r="CX2873" s="959"/>
      <c r="CY2873" s="959"/>
      <c r="CZ2873" s="959"/>
      <c r="DA2873" s="959"/>
      <c r="DB2873" s="959"/>
      <c r="DC2873" s="891">
        <v>9083</v>
      </c>
      <c r="DD2873" s="891" t="s">
        <v>2864</v>
      </c>
      <c r="DE2873" s="891" t="s">
        <v>432</v>
      </c>
      <c r="DF2873" s="891">
        <v>5</v>
      </c>
      <c r="DG2873" s="959"/>
      <c r="DH2873" s="959"/>
      <c r="ER2873" s="905">
        <v>8866</v>
      </c>
      <c r="ES2873" s="906" t="s">
        <v>4433</v>
      </c>
      <c r="ET2873" s="2686">
        <v>9</v>
      </c>
      <c r="EV2873" s="985"/>
      <c r="EW2873" s="985"/>
      <c r="EX2873" s="387"/>
      <c r="EY2873" s="939"/>
      <c r="EZ2873" s="886"/>
    </row>
    <row r="2874" spans="88:156">
      <c r="CJ2874" s="197"/>
      <c r="CK2874" s="197"/>
      <c r="CL2874" s="197"/>
      <c r="CM2874" s="213"/>
      <c r="CN2874" s="213"/>
      <c r="CO2874" s="197"/>
      <c r="CP2874" s="197"/>
      <c r="CQ2874" s="197"/>
      <c r="CR2874" s="197"/>
      <c r="CS2874" s="197"/>
      <c r="CT2874" s="197"/>
      <c r="CU2874" s="197"/>
      <c r="CV2874" s="197"/>
      <c r="CW2874" s="197"/>
      <c r="CX2874" s="959"/>
      <c r="CY2874" s="959"/>
      <c r="CZ2874" s="959"/>
      <c r="DA2874" s="959"/>
      <c r="DB2874" s="959"/>
      <c r="DC2874" s="891">
        <v>9084</v>
      </c>
      <c r="DD2874" s="891" t="s">
        <v>2865</v>
      </c>
      <c r="DE2874" s="891" t="s">
        <v>432</v>
      </c>
      <c r="DF2874" s="891">
        <v>5</v>
      </c>
      <c r="DG2874" s="959"/>
      <c r="DH2874" s="959"/>
      <c r="ER2874" s="905">
        <v>8866</v>
      </c>
      <c r="ES2874" s="906" t="s">
        <v>4446</v>
      </c>
      <c r="ET2874" s="2686">
        <v>9</v>
      </c>
      <c r="EV2874" s="985"/>
      <c r="EW2874" s="985"/>
      <c r="EX2874" s="387"/>
      <c r="EY2874" s="939"/>
      <c r="EZ2874" s="886"/>
    </row>
    <row r="2875" spans="88:156">
      <c r="CJ2875" s="197"/>
      <c r="CK2875" s="197"/>
      <c r="CL2875" s="197"/>
      <c r="CM2875" s="213"/>
      <c r="CN2875" s="213"/>
      <c r="CO2875" s="197"/>
      <c r="CP2875" s="197"/>
      <c r="CQ2875" s="197"/>
      <c r="CR2875" s="197"/>
      <c r="CS2875" s="197"/>
      <c r="CT2875" s="197"/>
      <c r="CU2875" s="197"/>
      <c r="CV2875" s="197"/>
      <c r="CW2875" s="197"/>
      <c r="CX2875" s="959"/>
      <c r="CY2875" s="959"/>
      <c r="CZ2875" s="959"/>
      <c r="DA2875" s="959"/>
      <c r="DB2875" s="959"/>
      <c r="DC2875" s="891">
        <v>9085</v>
      </c>
      <c r="DD2875" s="891" t="s">
        <v>2866</v>
      </c>
      <c r="DE2875" s="891" t="s">
        <v>406</v>
      </c>
      <c r="DF2875" s="891">
        <v>6</v>
      </c>
      <c r="DG2875" s="959"/>
      <c r="DH2875" s="959"/>
      <c r="ER2875" s="905">
        <v>8868</v>
      </c>
      <c r="ES2875" s="906" t="s">
        <v>1786</v>
      </c>
      <c r="ET2875" s="2686">
        <v>9</v>
      </c>
      <c r="EV2875" s="985"/>
      <c r="EW2875" s="985"/>
      <c r="EX2875" s="387"/>
      <c r="EY2875" s="939"/>
      <c r="EZ2875" s="886"/>
    </row>
    <row r="2876" spans="88:156">
      <c r="CJ2876" s="197"/>
      <c r="CK2876" s="197"/>
      <c r="CL2876" s="197"/>
      <c r="CM2876" s="213"/>
      <c r="CN2876" s="213"/>
      <c r="CO2876" s="197"/>
      <c r="CP2876" s="197"/>
      <c r="CQ2876" s="197"/>
      <c r="CR2876" s="197"/>
      <c r="CS2876" s="197"/>
      <c r="CT2876" s="197"/>
      <c r="CU2876" s="197"/>
      <c r="CV2876" s="197"/>
      <c r="CW2876" s="197"/>
      <c r="CX2876" s="959"/>
      <c r="CY2876" s="959"/>
      <c r="CZ2876" s="959"/>
      <c r="DA2876" s="959"/>
      <c r="DB2876" s="959"/>
      <c r="DC2876" s="891">
        <v>9086</v>
      </c>
      <c r="DD2876" s="891" t="s">
        <v>2867</v>
      </c>
      <c r="DE2876" s="891" t="s">
        <v>2808</v>
      </c>
      <c r="DF2876" s="891">
        <v>6</v>
      </c>
      <c r="DG2876" s="959"/>
      <c r="DH2876" s="959"/>
      <c r="ER2876" s="905">
        <v>8868</v>
      </c>
      <c r="ES2876" s="906" t="s">
        <v>1787</v>
      </c>
      <c r="ET2876" s="2686">
        <v>9</v>
      </c>
      <c r="EV2876" s="985"/>
      <c r="EW2876" s="985"/>
      <c r="EX2876" s="387"/>
      <c r="EY2876" s="939"/>
      <c r="EZ2876" s="886"/>
    </row>
    <row r="2877" spans="88:156">
      <c r="CJ2877" s="197"/>
      <c r="CK2877" s="197"/>
      <c r="CL2877" s="197"/>
      <c r="CM2877" s="213"/>
      <c r="CN2877" s="213"/>
      <c r="CO2877" s="197"/>
      <c r="CP2877" s="197"/>
      <c r="CQ2877" s="197"/>
      <c r="CR2877" s="197"/>
      <c r="CS2877" s="197"/>
      <c r="CT2877" s="197"/>
      <c r="CU2877" s="197"/>
      <c r="CV2877" s="197"/>
      <c r="CW2877" s="197"/>
      <c r="CX2877" s="959"/>
      <c r="CY2877" s="959"/>
      <c r="CZ2877" s="959"/>
      <c r="DA2877" s="959"/>
      <c r="DB2877" s="959"/>
      <c r="DC2877" s="891">
        <v>9088</v>
      </c>
      <c r="DD2877" s="891" t="s">
        <v>1318</v>
      </c>
      <c r="DE2877" s="891" t="s">
        <v>418</v>
      </c>
      <c r="DF2877" s="891">
        <v>6</v>
      </c>
      <c r="DG2877" s="959"/>
      <c r="DH2877" s="959"/>
      <c r="ER2877" s="905">
        <v>8868</v>
      </c>
      <c r="ES2877" s="906" t="s">
        <v>4435</v>
      </c>
      <c r="ET2877" s="2686">
        <v>9</v>
      </c>
      <c r="EV2877" s="985"/>
      <c r="EW2877" s="985"/>
      <c r="EX2877" s="387"/>
      <c r="EY2877" s="939"/>
      <c r="EZ2877" s="886"/>
    </row>
    <row r="2878" spans="88:156">
      <c r="CJ2878" s="197"/>
      <c r="CK2878" s="197"/>
      <c r="CL2878" s="197"/>
      <c r="CM2878" s="213"/>
      <c r="CN2878" s="213"/>
      <c r="CO2878" s="197"/>
      <c r="CP2878" s="197"/>
      <c r="CQ2878" s="197"/>
      <c r="CR2878" s="197"/>
      <c r="CS2878" s="197"/>
      <c r="CT2878" s="197"/>
      <c r="CU2878" s="197"/>
      <c r="CV2878" s="197"/>
      <c r="CW2878" s="197"/>
      <c r="CX2878" s="959"/>
      <c r="CY2878" s="959"/>
      <c r="CZ2878" s="959"/>
      <c r="DA2878" s="959"/>
      <c r="DB2878" s="959"/>
      <c r="DC2878" s="891">
        <v>9089</v>
      </c>
      <c r="DD2878" s="891" t="s">
        <v>1319</v>
      </c>
      <c r="DE2878" s="891" t="s">
        <v>2807</v>
      </c>
      <c r="DF2878" s="891">
        <v>6</v>
      </c>
      <c r="DG2878" s="959"/>
      <c r="DH2878" s="959"/>
      <c r="ER2878" s="905">
        <v>8868</v>
      </c>
      <c r="ES2878" s="906" t="s">
        <v>4434</v>
      </c>
      <c r="ET2878" s="2686">
        <v>9</v>
      </c>
      <c r="EV2878" s="985"/>
      <c r="EW2878" s="985"/>
      <c r="EX2878" s="387"/>
      <c r="EY2878" s="939"/>
      <c r="EZ2878" s="886"/>
    </row>
    <row r="2879" spans="88:156">
      <c r="CJ2879" s="197"/>
      <c r="CK2879" s="197"/>
      <c r="CL2879" s="197"/>
      <c r="CM2879" s="213"/>
      <c r="CN2879" s="213"/>
      <c r="CO2879" s="197"/>
      <c r="CP2879" s="197"/>
      <c r="CQ2879" s="197"/>
      <c r="CR2879" s="197"/>
      <c r="CS2879" s="197"/>
      <c r="CT2879" s="197"/>
      <c r="CU2879" s="197"/>
      <c r="CV2879" s="197"/>
      <c r="CW2879" s="197"/>
      <c r="CX2879" s="959"/>
      <c r="CY2879" s="959"/>
      <c r="CZ2879" s="959"/>
      <c r="DA2879" s="959"/>
      <c r="DB2879" s="959"/>
      <c r="DC2879" s="891">
        <v>9090</v>
      </c>
      <c r="DD2879" s="891" t="s">
        <v>2868</v>
      </c>
      <c r="DE2879" s="891" t="s">
        <v>2807</v>
      </c>
      <c r="DF2879" s="891">
        <v>6</v>
      </c>
      <c r="DG2879" s="959"/>
      <c r="DH2879" s="959"/>
      <c r="ER2879" s="905">
        <v>8872</v>
      </c>
      <c r="ES2879" s="906" t="s">
        <v>1788</v>
      </c>
      <c r="ET2879" s="2686">
        <v>9</v>
      </c>
      <c r="EV2879" s="985"/>
      <c r="EW2879" s="985"/>
      <c r="EX2879" s="387"/>
      <c r="EY2879" s="939"/>
      <c r="EZ2879" s="886"/>
    </row>
    <row r="2880" spans="88:156">
      <c r="CJ2880" s="197"/>
      <c r="CK2880" s="197"/>
      <c r="CL2880" s="197"/>
      <c r="CM2880" s="213"/>
      <c r="CN2880" s="213"/>
      <c r="CO2880" s="197"/>
      <c r="CP2880" s="197"/>
      <c r="CQ2880" s="197"/>
      <c r="CR2880" s="197"/>
      <c r="CS2880" s="197"/>
      <c r="CT2880" s="197"/>
      <c r="CU2880" s="197"/>
      <c r="CV2880" s="197"/>
      <c r="CW2880" s="197"/>
      <c r="CX2880" s="959"/>
      <c r="CY2880" s="959"/>
      <c r="CZ2880" s="959"/>
      <c r="DA2880" s="959"/>
      <c r="DB2880" s="959"/>
      <c r="DC2880" s="891">
        <v>9091</v>
      </c>
      <c r="DD2880" s="891" t="s">
        <v>2869</v>
      </c>
      <c r="DE2880" s="891" t="s">
        <v>2807</v>
      </c>
      <c r="DF2880" s="891">
        <v>6</v>
      </c>
      <c r="DG2880" s="959"/>
      <c r="DH2880" s="959"/>
      <c r="ER2880" s="905">
        <v>8872</v>
      </c>
      <c r="ES2880" s="906" t="s">
        <v>1789</v>
      </c>
      <c r="ET2880" s="2686">
        <v>9</v>
      </c>
      <c r="EV2880" s="985"/>
      <c r="EW2880" s="985"/>
      <c r="EX2880" s="387"/>
      <c r="EY2880" s="939"/>
      <c r="EZ2880" s="886"/>
    </row>
    <row r="2881" spans="88:156">
      <c r="CJ2881" s="197"/>
      <c r="CK2881" s="197"/>
      <c r="CL2881" s="197"/>
      <c r="CM2881" s="213"/>
      <c r="CN2881" s="213"/>
      <c r="CO2881" s="197"/>
      <c r="CP2881" s="197"/>
      <c r="CQ2881" s="197"/>
      <c r="CR2881" s="197"/>
      <c r="CS2881" s="197"/>
      <c r="CT2881" s="197"/>
      <c r="CU2881" s="197"/>
      <c r="CV2881" s="197"/>
      <c r="CW2881" s="197"/>
      <c r="CX2881" s="959"/>
      <c r="CY2881" s="959"/>
      <c r="CZ2881" s="959"/>
      <c r="DA2881" s="959"/>
      <c r="DB2881" s="959"/>
      <c r="DC2881" s="891">
        <v>9092</v>
      </c>
      <c r="DD2881" s="891" t="s">
        <v>2870</v>
      </c>
      <c r="DE2881" s="891" t="s">
        <v>2807</v>
      </c>
      <c r="DF2881" s="891">
        <v>6</v>
      </c>
      <c r="DG2881" s="959"/>
      <c r="DH2881" s="959"/>
      <c r="ER2881" s="905">
        <v>8873</v>
      </c>
      <c r="ES2881" s="906" t="s">
        <v>4437</v>
      </c>
      <c r="ET2881" s="2686">
        <v>9</v>
      </c>
      <c r="EV2881" s="985"/>
      <c r="EW2881" s="985"/>
      <c r="EX2881" s="387"/>
      <c r="EY2881" s="939"/>
      <c r="EZ2881" s="886"/>
    </row>
    <row r="2882" spans="88:156">
      <c r="CJ2882" s="197"/>
      <c r="CK2882" s="197"/>
      <c r="CL2882" s="197"/>
      <c r="CM2882" s="213"/>
      <c r="CN2882" s="213"/>
      <c r="CO2882" s="197"/>
      <c r="CP2882" s="197"/>
      <c r="CQ2882" s="197"/>
      <c r="CR2882" s="197"/>
      <c r="CS2882" s="197"/>
      <c r="CT2882" s="197"/>
      <c r="CU2882" s="197"/>
      <c r="CV2882" s="197"/>
      <c r="CW2882" s="197"/>
      <c r="CX2882" s="959"/>
      <c r="CY2882" s="959"/>
      <c r="CZ2882" s="959"/>
      <c r="DA2882" s="959"/>
      <c r="DB2882" s="959"/>
      <c r="DC2882" s="891">
        <v>9093</v>
      </c>
      <c r="DD2882" s="891" t="s">
        <v>2871</v>
      </c>
      <c r="DE2882" s="891" t="s">
        <v>420</v>
      </c>
      <c r="DF2882" s="891">
        <v>6</v>
      </c>
      <c r="DG2882" s="959"/>
      <c r="DH2882" s="959"/>
      <c r="ER2882" s="905">
        <v>8874</v>
      </c>
      <c r="ES2882" s="906" t="s">
        <v>1790</v>
      </c>
      <c r="ET2882" s="2686">
        <v>9</v>
      </c>
      <c r="EV2882" s="985"/>
      <c r="EW2882" s="985"/>
      <c r="EX2882" s="387"/>
      <c r="EY2882" s="939"/>
      <c r="EZ2882" s="886"/>
    </row>
    <row r="2883" spans="88:156">
      <c r="CJ2883" s="197"/>
      <c r="CK2883" s="197"/>
      <c r="CL2883" s="197"/>
      <c r="CM2883" s="213"/>
      <c r="CN2883" s="213"/>
      <c r="CO2883" s="197"/>
      <c r="CP2883" s="197"/>
      <c r="CQ2883" s="197"/>
      <c r="CR2883" s="197"/>
      <c r="CS2883" s="197"/>
      <c r="CT2883" s="197"/>
      <c r="CU2883" s="197"/>
      <c r="CV2883" s="197"/>
      <c r="CW2883" s="197"/>
      <c r="CX2883" s="959"/>
      <c r="CY2883" s="959"/>
      <c r="CZ2883" s="959"/>
      <c r="DA2883" s="959"/>
      <c r="DB2883" s="959"/>
      <c r="DC2883" s="891">
        <v>9094</v>
      </c>
      <c r="DD2883" s="891" t="s">
        <v>2872</v>
      </c>
      <c r="DE2883" s="891" t="s">
        <v>418</v>
      </c>
      <c r="DF2883" s="891">
        <v>6</v>
      </c>
      <c r="DG2883" s="959"/>
      <c r="DH2883" s="959"/>
      <c r="ER2883" s="905">
        <v>8874</v>
      </c>
      <c r="ES2883" s="906" t="s">
        <v>4438</v>
      </c>
      <c r="ET2883" s="2686">
        <v>9</v>
      </c>
      <c r="EV2883" s="985"/>
      <c r="EW2883" s="985"/>
      <c r="EX2883" s="387"/>
      <c r="EY2883" s="939"/>
      <c r="EZ2883" s="886"/>
    </row>
    <row r="2884" spans="88:156">
      <c r="CJ2884" s="197"/>
      <c r="CK2884" s="197"/>
      <c r="CL2884" s="197"/>
      <c r="CM2884" s="213"/>
      <c r="CN2884" s="213"/>
      <c r="CO2884" s="197"/>
      <c r="CP2884" s="197"/>
      <c r="CQ2884" s="197"/>
      <c r="CR2884" s="197"/>
      <c r="CS2884" s="197"/>
      <c r="CT2884" s="197"/>
      <c r="CU2884" s="197"/>
      <c r="CV2884" s="197"/>
      <c r="CW2884" s="197"/>
      <c r="CX2884" s="959"/>
      <c r="CY2884" s="959"/>
      <c r="CZ2884" s="959"/>
      <c r="DA2884" s="959"/>
      <c r="DB2884" s="959"/>
      <c r="DC2884" s="891">
        <v>9095</v>
      </c>
      <c r="DD2884" s="891" t="s">
        <v>2873</v>
      </c>
      <c r="DE2884" s="891" t="s">
        <v>420</v>
      </c>
      <c r="DF2884" s="891">
        <v>5</v>
      </c>
      <c r="DG2884" s="959"/>
      <c r="DH2884" s="959"/>
      <c r="ER2884" s="905">
        <v>8876</v>
      </c>
      <c r="ES2884" s="906" t="s">
        <v>4439</v>
      </c>
      <c r="ET2884" s="2686">
        <v>9</v>
      </c>
      <c r="EV2884" s="985"/>
      <c r="EW2884" s="985"/>
      <c r="EX2884" s="387"/>
      <c r="EY2884" s="939"/>
      <c r="EZ2884" s="886"/>
    </row>
    <row r="2885" spans="88:156">
      <c r="CJ2885" s="197"/>
      <c r="CK2885" s="197"/>
      <c r="CL2885" s="197"/>
      <c r="CM2885" s="213"/>
      <c r="CN2885" s="213"/>
      <c r="CO2885" s="197"/>
      <c r="CP2885" s="197"/>
      <c r="CQ2885" s="197"/>
      <c r="CR2885" s="197"/>
      <c r="CS2885" s="197"/>
      <c r="CT2885" s="197"/>
      <c r="CU2885" s="197"/>
      <c r="CV2885" s="197"/>
      <c r="CW2885" s="197"/>
      <c r="CX2885" s="959"/>
      <c r="CY2885" s="959"/>
      <c r="CZ2885" s="959"/>
      <c r="DA2885" s="959"/>
      <c r="DB2885" s="959"/>
      <c r="DC2885" s="891">
        <v>9096</v>
      </c>
      <c r="DD2885" s="891" t="s">
        <v>2874</v>
      </c>
      <c r="DE2885" s="891" t="s">
        <v>2807</v>
      </c>
      <c r="DF2885" s="891">
        <v>6</v>
      </c>
      <c r="DG2885" s="959"/>
      <c r="DH2885" s="959"/>
      <c r="ER2885" s="905">
        <v>8877</v>
      </c>
      <c r="ES2885" s="906" t="s">
        <v>4440</v>
      </c>
      <c r="ET2885" s="2686">
        <v>9</v>
      </c>
      <c r="EV2885" s="985"/>
      <c r="EW2885" s="985"/>
      <c r="EX2885" s="387"/>
      <c r="EY2885" s="939"/>
      <c r="EZ2885" s="886"/>
    </row>
    <row r="2886" spans="88:156">
      <c r="CJ2886" s="197"/>
      <c r="CK2886" s="197"/>
      <c r="CL2886" s="197"/>
      <c r="CM2886" s="213"/>
      <c r="CN2886" s="213"/>
      <c r="CO2886" s="197"/>
      <c r="CP2886" s="197"/>
      <c r="CQ2886" s="197"/>
      <c r="CR2886" s="197"/>
      <c r="CS2886" s="197"/>
      <c r="CT2886" s="197"/>
      <c r="CU2886" s="197"/>
      <c r="CV2886" s="197"/>
      <c r="CW2886" s="197"/>
      <c r="CX2886" s="959"/>
      <c r="CY2886" s="959"/>
      <c r="CZ2886" s="959"/>
      <c r="DA2886" s="959"/>
      <c r="DB2886" s="959"/>
      <c r="DC2886" s="891">
        <v>9097</v>
      </c>
      <c r="DD2886" s="891" t="s">
        <v>2875</v>
      </c>
      <c r="DE2886" s="891" t="s">
        <v>418</v>
      </c>
      <c r="DF2886" s="891">
        <v>6</v>
      </c>
      <c r="DG2886" s="959"/>
      <c r="DH2886" s="959"/>
      <c r="ER2886" s="905">
        <v>8878</v>
      </c>
      <c r="ES2886" s="906" t="s">
        <v>4441</v>
      </c>
      <c r="ET2886" s="2686">
        <v>9</v>
      </c>
      <c r="EV2886" s="985"/>
      <c r="EW2886" s="985"/>
      <c r="EX2886" s="387"/>
      <c r="EY2886" s="939"/>
      <c r="EZ2886" s="886"/>
    </row>
    <row r="2887" spans="88:156">
      <c r="CJ2887" s="197"/>
      <c r="CK2887" s="197"/>
      <c r="CL2887" s="197"/>
      <c r="CM2887" s="213"/>
      <c r="CN2887" s="213"/>
      <c r="CO2887" s="197"/>
      <c r="CP2887" s="197"/>
      <c r="CQ2887" s="197"/>
      <c r="CR2887" s="197"/>
      <c r="CS2887" s="197"/>
      <c r="CT2887" s="197"/>
      <c r="CU2887" s="197"/>
      <c r="CV2887" s="197"/>
      <c r="CW2887" s="197"/>
      <c r="CX2887" s="959"/>
      <c r="CY2887" s="959"/>
      <c r="CZ2887" s="959"/>
      <c r="DA2887" s="959"/>
      <c r="DB2887" s="959"/>
      <c r="DC2887" s="891">
        <v>9098</v>
      </c>
      <c r="DD2887" s="891" t="s">
        <v>2876</v>
      </c>
      <c r="DE2887" s="891" t="s">
        <v>2807</v>
      </c>
      <c r="DF2887" s="891">
        <v>6</v>
      </c>
      <c r="DG2887" s="959"/>
      <c r="DH2887" s="959"/>
      <c r="ER2887" s="905">
        <v>8879</v>
      </c>
      <c r="ES2887" s="906" t="s">
        <v>1791</v>
      </c>
      <c r="ET2887" s="2686">
        <v>9</v>
      </c>
      <c r="EV2887" s="985"/>
      <c r="EW2887" s="985"/>
      <c r="EX2887" s="387"/>
      <c r="EY2887" s="939"/>
      <c r="EZ2887" s="886"/>
    </row>
    <row r="2888" spans="88:156">
      <c r="CJ2888" s="197"/>
      <c r="CK2888" s="197"/>
      <c r="CL2888" s="197"/>
      <c r="CM2888" s="213"/>
      <c r="CN2888" s="213"/>
      <c r="CO2888" s="197"/>
      <c r="CP2888" s="197"/>
      <c r="CQ2888" s="197"/>
      <c r="CR2888" s="197"/>
      <c r="CS2888" s="197"/>
      <c r="CT2888" s="197"/>
      <c r="CU2888" s="197"/>
      <c r="CV2888" s="197"/>
      <c r="CW2888" s="197"/>
      <c r="CX2888" s="959"/>
      <c r="CY2888" s="959"/>
      <c r="CZ2888" s="959"/>
      <c r="DA2888" s="959"/>
      <c r="DB2888" s="959"/>
      <c r="DC2888" s="891">
        <v>9099</v>
      </c>
      <c r="DD2888" s="891" t="s">
        <v>2877</v>
      </c>
      <c r="DE2888" s="891" t="s">
        <v>418</v>
      </c>
      <c r="DF2888" s="891">
        <v>5</v>
      </c>
      <c r="DG2888" s="959"/>
      <c r="DH2888" s="959"/>
      <c r="ER2888" s="905">
        <v>8879</v>
      </c>
      <c r="ES2888" s="906" t="s">
        <v>4442</v>
      </c>
      <c r="ET2888" s="2686">
        <v>9</v>
      </c>
      <c r="EV2888" s="985"/>
      <c r="EW2888" s="985"/>
      <c r="EX2888" s="387"/>
      <c r="EY2888" s="939"/>
      <c r="EZ2888" s="886"/>
    </row>
    <row r="2889" spans="88:156">
      <c r="CJ2889" s="197"/>
      <c r="CK2889" s="197"/>
      <c r="CL2889" s="197"/>
      <c r="CM2889" s="213"/>
      <c r="CN2889" s="213"/>
      <c r="CO2889" s="197"/>
      <c r="CP2889" s="197"/>
      <c r="CQ2889" s="197"/>
      <c r="CR2889" s="197"/>
      <c r="CS2889" s="197"/>
      <c r="CT2889" s="197"/>
      <c r="CU2889" s="197"/>
      <c r="CV2889" s="197"/>
      <c r="CW2889" s="197"/>
      <c r="CX2889" s="959"/>
      <c r="CY2889" s="959"/>
      <c r="CZ2889" s="959"/>
      <c r="DA2889" s="959"/>
      <c r="DB2889" s="959"/>
      <c r="DC2889" s="891">
        <v>9100</v>
      </c>
      <c r="DD2889" s="891" t="s">
        <v>2878</v>
      </c>
      <c r="DE2889" s="891" t="s">
        <v>418</v>
      </c>
      <c r="DF2889" s="891">
        <v>6</v>
      </c>
      <c r="DG2889" s="959"/>
      <c r="DH2889" s="959"/>
      <c r="ER2889" s="905">
        <v>8881</v>
      </c>
      <c r="ES2889" s="906" t="s">
        <v>4443</v>
      </c>
      <c r="ET2889" s="2686">
        <v>9</v>
      </c>
      <c r="EV2889" s="985"/>
      <c r="EW2889" s="985"/>
      <c r="EX2889" s="387"/>
      <c r="EY2889" s="939"/>
      <c r="EZ2889" s="886"/>
    </row>
    <row r="2890" spans="88:156">
      <c r="CJ2890" s="197"/>
      <c r="CK2890" s="197"/>
      <c r="CL2890" s="197"/>
      <c r="CM2890" s="213"/>
      <c r="CN2890" s="213"/>
      <c r="CO2890" s="197"/>
      <c r="CP2890" s="197"/>
      <c r="CQ2890" s="197"/>
      <c r="CR2890" s="197"/>
      <c r="CS2890" s="197"/>
      <c r="CT2890" s="197"/>
      <c r="CU2890" s="197"/>
      <c r="CV2890" s="197"/>
      <c r="CW2890" s="197"/>
      <c r="CX2890" s="959"/>
      <c r="CY2890" s="959"/>
      <c r="CZ2890" s="959"/>
      <c r="DA2890" s="959"/>
      <c r="DB2890" s="959"/>
      <c r="DC2890" s="891">
        <v>9111</v>
      </c>
      <c r="DD2890" s="891" t="s">
        <v>2879</v>
      </c>
      <c r="DE2890" s="891" t="s">
        <v>435</v>
      </c>
      <c r="DF2890" s="891">
        <v>5</v>
      </c>
      <c r="DG2890" s="959"/>
      <c r="DH2890" s="959"/>
      <c r="ER2890" s="905">
        <v>8882</v>
      </c>
      <c r="ES2890" s="906" t="s">
        <v>4444</v>
      </c>
      <c r="ET2890" s="2686">
        <v>9</v>
      </c>
      <c r="EV2890" s="985"/>
      <c r="EW2890" s="985"/>
      <c r="EX2890" s="387"/>
      <c r="EY2890" s="939"/>
      <c r="EZ2890" s="886"/>
    </row>
    <row r="2891" spans="88:156">
      <c r="CJ2891" s="197"/>
      <c r="CK2891" s="197"/>
      <c r="CL2891" s="197"/>
      <c r="CM2891" s="213"/>
      <c r="CN2891" s="213"/>
      <c r="CO2891" s="197"/>
      <c r="CP2891" s="197"/>
      <c r="CQ2891" s="197"/>
      <c r="CR2891" s="197"/>
      <c r="CS2891" s="197"/>
      <c r="CT2891" s="197"/>
      <c r="CU2891" s="197"/>
      <c r="CV2891" s="197"/>
      <c r="CW2891" s="197"/>
      <c r="CX2891" s="959"/>
      <c r="CY2891" s="959"/>
      <c r="CZ2891" s="959"/>
      <c r="DA2891" s="959"/>
      <c r="DB2891" s="959"/>
      <c r="DC2891" s="891">
        <v>9112</v>
      </c>
      <c r="DD2891" s="891" t="s">
        <v>2880</v>
      </c>
      <c r="DE2891" s="891" t="s">
        <v>421</v>
      </c>
      <c r="DF2891" s="891">
        <v>6</v>
      </c>
      <c r="DG2891" s="959"/>
      <c r="DH2891" s="959"/>
      <c r="ER2891" s="905">
        <v>8883</v>
      </c>
      <c r="ES2891" s="906" t="s">
        <v>4445</v>
      </c>
      <c r="ET2891" s="2686">
        <v>9</v>
      </c>
      <c r="EV2891" s="985"/>
      <c r="EW2891" s="985"/>
      <c r="EX2891" s="387"/>
      <c r="EY2891" s="939"/>
      <c r="EZ2891" s="886"/>
    </row>
    <row r="2892" spans="88:156">
      <c r="CJ2892" s="197"/>
      <c r="CK2892" s="197"/>
      <c r="CL2892" s="197"/>
      <c r="CM2892" s="213"/>
      <c r="CN2892" s="213"/>
      <c r="CO2892" s="197"/>
      <c r="CP2892" s="197"/>
      <c r="CQ2892" s="197"/>
      <c r="CR2892" s="197"/>
      <c r="CS2892" s="197"/>
      <c r="CT2892" s="197"/>
      <c r="CU2892" s="197"/>
      <c r="CV2892" s="197"/>
      <c r="CW2892" s="197"/>
      <c r="CX2892" s="959"/>
      <c r="CY2892" s="959"/>
      <c r="CZ2892" s="959"/>
      <c r="DA2892" s="959"/>
      <c r="DB2892" s="959"/>
      <c r="DC2892" s="891">
        <v>9113</v>
      </c>
      <c r="DD2892" s="891" t="s">
        <v>2881</v>
      </c>
      <c r="DE2892" s="891" t="s">
        <v>417</v>
      </c>
      <c r="DF2892" s="891">
        <v>5</v>
      </c>
      <c r="DG2892" s="959"/>
      <c r="DH2892" s="959"/>
      <c r="ER2892" s="905">
        <v>8885</v>
      </c>
      <c r="ES2892" s="906" t="s">
        <v>1792</v>
      </c>
      <c r="ET2892" s="2686">
        <v>9</v>
      </c>
      <c r="EV2892" s="985"/>
      <c r="EW2892" s="985"/>
      <c r="EX2892" s="387"/>
      <c r="EY2892" s="939"/>
      <c r="EZ2892" s="886"/>
    </row>
    <row r="2893" spans="88:156">
      <c r="CJ2893" s="197"/>
      <c r="CK2893" s="197"/>
      <c r="CL2893" s="197"/>
      <c r="CM2893" s="213"/>
      <c r="CN2893" s="213"/>
      <c r="CO2893" s="197"/>
      <c r="CP2893" s="197"/>
      <c r="CQ2893" s="197"/>
      <c r="CR2893" s="197"/>
      <c r="CS2893" s="197"/>
      <c r="CT2893" s="197"/>
      <c r="CU2893" s="197"/>
      <c r="CV2893" s="197"/>
      <c r="CW2893" s="197"/>
      <c r="CX2893" s="959"/>
      <c r="CY2893" s="959"/>
      <c r="CZ2893" s="959"/>
      <c r="DA2893" s="959"/>
      <c r="DB2893" s="959"/>
      <c r="DC2893" s="891">
        <v>9121</v>
      </c>
      <c r="DD2893" s="891" t="s">
        <v>2882</v>
      </c>
      <c r="DE2893" s="891" t="s">
        <v>428</v>
      </c>
      <c r="DF2893" s="891">
        <v>5</v>
      </c>
      <c r="DG2893" s="959"/>
      <c r="DH2893" s="959"/>
      <c r="ER2893" s="905">
        <v>8885</v>
      </c>
      <c r="ES2893" s="906" t="s">
        <v>4447</v>
      </c>
      <c r="ET2893" s="2686">
        <v>9</v>
      </c>
      <c r="EV2893" s="985"/>
      <c r="EW2893" s="985"/>
      <c r="EX2893" s="387"/>
      <c r="EY2893" s="939"/>
      <c r="EZ2893" s="886"/>
    </row>
    <row r="2894" spans="88:156">
      <c r="CJ2894" s="197"/>
      <c r="CK2894" s="197"/>
      <c r="CL2894" s="197"/>
      <c r="CM2894" s="213"/>
      <c r="CN2894" s="213"/>
      <c r="CO2894" s="197"/>
      <c r="CP2894" s="197"/>
      <c r="CQ2894" s="197"/>
      <c r="CR2894" s="197"/>
      <c r="CS2894" s="197"/>
      <c r="CT2894" s="197"/>
      <c r="CU2894" s="197"/>
      <c r="CV2894" s="197"/>
      <c r="CW2894" s="197"/>
      <c r="CX2894" s="959"/>
      <c r="CY2894" s="959"/>
      <c r="CZ2894" s="959"/>
      <c r="DA2894" s="959"/>
      <c r="DB2894" s="959"/>
      <c r="DC2894" s="891">
        <v>9122</v>
      </c>
      <c r="DD2894" s="891" t="s">
        <v>2883</v>
      </c>
      <c r="DE2894" s="891" t="s">
        <v>427</v>
      </c>
      <c r="DF2894" s="891">
        <v>5</v>
      </c>
      <c r="DG2894" s="959"/>
      <c r="DH2894" s="959"/>
      <c r="ER2894" s="905">
        <v>8886</v>
      </c>
      <c r="ES2894" s="906" t="s">
        <v>4448</v>
      </c>
      <c r="ET2894" s="2686">
        <v>9</v>
      </c>
      <c r="EV2894" s="985"/>
      <c r="EW2894" s="985"/>
      <c r="EX2894" s="387"/>
      <c r="EY2894" s="939"/>
      <c r="EZ2894" s="886"/>
    </row>
    <row r="2895" spans="88:156">
      <c r="CJ2895" s="197"/>
      <c r="CK2895" s="197"/>
      <c r="CL2895" s="197"/>
      <c r="CM2895" s="213"/>
      <c r="CN2895" s="213"/>
      <c r="CO2895" s="197"/>
      <c r="CP2895" s="197"/>
      <c r="CQ2895" s="197"/>
      <c r="CR2895" s="197"/>
      <c r="CS2895" s="197"/>
      <c r="CT2895" s="197"/>
      <c r="CU2895" s="197"/>
      <c r="CV2895" s="197"/>
      <c r="CW2895" s="197"/>
      <c r="CX2895" s="959"/>
      <c r="CY2895" s="959"/>
      <c r="CZ2895" s="959"/>
      <c r="DA2895" s="959"/>
      <c r="DB2895" s="959"/>
      <c r="DC2895" s="891">
        <v>9123</v>
      </c>
      <c r="DD2895" s="891" t="s">
        <v>2884</v>
      </c>
      <c r="DE2895" s="891" t="s">
        <v>406</v>
      </c>
      <c r="DF2895" s="891">
        <v>6</v>
      </c>
      <c r="DG2895" s="959"/>
      <c r="DH2895" s="959"/>
      <c r="ER2895" s="905">
        <v>8887</v>
      </c>
      <c r="ES2895" s="906" t="s">
        <v>1793</v>
      </c>
      <c r="ET2895" s="2686">
        <v>9</v>
      </c>
      <c r="EV2895" s="985"/>
      <c r="EW2895" s="985"/>
      <c r="EX2895" s="387"/>
      <c r="EY2895" s="939"/>
      <c r="EZ2895" s="886"/>
    </row>
    <row r="2896" spans="88:156">
      <c r="CJ2896" s="197"/>
      <c r="CK2896" s="197"/>
      <c r="CL2896" s="197"/>
      <c r="CM2896" s="213"/>
      <c r="CN2896" s="213"/>
      <c r="CO2896" s="197"/>
      <c r="CP2896" s="197"/>
      <c r="CQ2896" s="197"/>
      <c r="CR2896" s="197"/>
      <c r="CS2896" s="197"/>
      <c r="CT2896" s="197"/>
      <c r="CU2896" s="197"/>
      <c r="CV2896" s="197"/>
      <c r="CW2896" s="197"/>
      <c r="CX2896" s="959"/>
      <c r="CY2896" s="959"/>
      <c r="CZ2896" s="959"/>
      <c r="DA2896" s="959"/>
      <c r="DB2896" s="959"/>
      <c r="DC2896" s="891">
        <v>9124</v>
      </c>
      <c r="DD2896" s="891" t="s">
        <v>2885</v>
      </c>
      <c r="DE2896" s="891" t="s">
        <v>431</v>
      </c>
      <c r="DF2896" s="891">
        <v>5</v>
      </c>
      <c r="DG2896" s="959"/>
      <c r="DH2896" s="959"/>
      <c r="ER2896" s="905">
        <v>8887</v>
      </c>
      <c r="ES2896" s="906" t="s">
        <v>4449</v>
      </c>
      <c r="ET2896" s="2686">
        <v>9</v>
      </c>
      <c r="EV2896" s="985"/>
      <c r="EW2896" s="985"/>
      <c r="EX2896" s="387"/>
      <c r="EY2896" s="939"/>
      <c r="EZ2896" s="886"/>
    </row>
    <row r="2897" spans="88:156">
      <c r="CJ2897" s="197"/>
      <c r="CK2897" s="197"/>
      <c r="CL2897" s="197"/>
      <c r="CM2897" s="213"/>
      <c r="CN2897" s="213"/>
      <c r="CO2897" s="197"/>
      <c r="CP2897" s="197"/>
      <c r="CQ2897" s="197"/>
      <c r="CR2897" s="197"/>
      <c r="CS2897" s="197"/>
      <c r="CT2897" s="197"/>
      <c r="CU2897" s="197"/>
      <c r="CV2897" s="197"/>
      <c r="CW2897" s="197"/>
      <c r="CX2897" s="959"/>
      <c r="CY2897" s="959"/>
      <c r="CZ2897" s="959"/>
      <c r="DA2897" s="959"/>
      <c r="DB2897" s="959"/>
      <c r="DC2897" s="891">
        <v>9125</v>
      </c>
      <c r="DD2897" s="891" t="s">
        <v>2777</v>
      </c>
      <c r="DE2897" s="891" t="s">
        <v>406</v>
      </c>
      <c r="DF2897" s="891">
        <v>6</v>
      </c>
      <c r="DG2897" s="959"/>
      <c r="DH2897" s="959"/>
      <c r="ER2897" s="905">
        <v>8888</v>
      </c>
      <c r="ES2897" s="906" t="s">
        <v>1794</v>
      </c>
      <c r="ET2897" s="2686">
        <v>9</v>
      </c>
      <c r="EV2897" s="985"/>
      <c r="EW2897" s="985"/>
      <c r="EX2897" s="387"/>
      <c r="EY2897" s="939"/>
      <c r="EZ2897" s="886"/>
    </row>
    <row r="2898" spans="88:156">
      <c r="CJ2898" s="197"/>
      <c r="CK2898" s="197"/>
      <c r="CL2898" s="197"/>
      <c r="CM2898" s="213"/>
      <c r="CN2898" s="213"/>
      <c r="CO2898" s="197"/>
      <c r="CP2898" s="197"/>
      <c r="CQ2898" s="197"/>
      <c r="CR2898" s="197"/>
      <c r="CS2898" s="197"/>
      <c r="CT2898" s="197"/>
      <c r="CU2898" s="197"/>
      <c r="CV2898" s="197"/>
      <c r="CW2898" s="197"/>
      <c r="CX2898" s="959"/>
      <c r="CY2898" s="959"/>
      <c r="CZ2898" s="959"/>
      <c r="DA2898" s="959"/>
      <c r="DB2898" s="959"/>
      <c r="DC2898" s="891">
        <v>9126</v>
      </c>
      <c r="DD2898" s="891" t="s">
        <v>2778</v>
      </c>
      <c r="DE2898" s="891" t="s">
        <v>434</v>
      </c>
      <c r="DF2898" s="891">
        <v>6</v>
      </c>
      <c r="DG2898" s="959"/>
      <c r="DH2898" s="959"/>
      <c r="ER2898" s="905">
        <v>8888</v>
      </c>
      <c r="ES2898" s="906" t="s">
        <v>1795</v>
      </c>
      <c r="ET2898" s="2686">
        <v>9</v>
      </c>
      <c r="EV2898" s="985"/>
      <c r="EW2898" s="985"/>
      <c r="EX2898" s="387"/>
      <c r="EY2898" s="939"/>
      <c r="EZ2898" s="886"/>
    </row>
    <row r="2899" spans="88:156">
      <c r="CJ2899" s="197"/>
      <c r="CK2899" s="197"/>
      <c r="CL2899" s="197"/>
      <c r="CM2899" s="213"/>
      <c r="CN2899" s="213"/>
      <c r="CO2899" s="197"/>
      <c r="CP2899" s="197"/>
      <c r="CQ2899" s="197"/>
      <c r="CR2899" s="197"/>
      <c r="CS2899" s="197"/>
      <c r="CT2899" s="197"/>
      <c r="CU2899" s="197"/>
      <c r="CV2899" s="197"/>
      <c r="CW2899" s="197"/>
      <c r="CX2899" s="959"/>
      <c r="CY2899" s="959"/>
      <c r="CZ2899" s="959"/>
      <c r="DA2899" s="959"/>
      <c r="DB2899" s="959"/>
      <c r="DC2899" s="891">
        <v>9127</v>
      </c>
      <c r="DD2899" s="891" t="s">
        <v>2773</v>
      </c>
      <c r="DE2899" s="891" t="s">
        <v>2807</v>
      </c>
      <c r="DF2899" s="891">
        <v>6</v>
      </c>
      <c r="DG2899" s="959"/>
      <c r="DH2899" s="959"/>
      <c r="ER2899" s="905">
        <v>8888</v>
      </c>
      <c r="ES2899" s="906" t="s">
        <v>4450</v>
      </c>
      <c r="ET2899" s="2686">
        <v>9</v>
      </c>
      <c r="EV2899" s="985"/>
      <c r="EW2899" s="985"/>
      <c r="EX2899" s="387"/>
      <c r="EY2899" s="939"/>
      <c r="EZ2899" s="886"/>
    </row>
    <row r="2900" spans="88:156">
      <c r="CJ2900" s="197"/>
      <c r="CK2900" s="197"/>
      <c r="CL2900" s="197"/>
      <c r="CM2900" s="213"/>
      <c r="CN2900" s="213"/>
      <c r="CO2900" s="197"/>
      <c r="CP2900" s="197"/>
      <c r="CQ2900" s="197"/>
      <c r="CR2900" s="197"/>
      <c r="CS2900" s="197"/>
      <c r="CT2900" s="197"/>
      <c r="CU2900" s="197"/>
      <c r="CV2900" s="197"/>
      <c r="CW2900" s="197"/>
      <c r="CX2900" s="959"/>
      <c r="CY2900" s="959"/>
      <c r="CZ2900" s="959"/>
      <c r="DA2900" s="959"/>
      <c r="DB2900" s="959"/>
      <c r="DC2900" s="891">
        <v>9131</v>
      </c>
      <c r="DD2900" s="891" t="s">
        <v>2886</v>
      </c>
      <c r="DE2900" s="891" t="s">
        <v>428</v>
      </c>
      <c r="DF2900" s="891">
        <v>6</v>
      </c>
      <c r="DG2900" s="959"/>
      <c r="DH2900" s="959"/>
      <c r="ER2900" s="905">
        <v>8891</v>
      </c>
      <c r="ES2900" s="906" t="s">
        <v>1796</v>
      </c>
      <c r="ET2900" s="2686">
        <v>9</v>
      </c>
      <c r="EV2900" s="985"/>
      <c r="EW2900" s="985"/>
      <c r="EX2900" s="387"/>
      <c r="EY2900" s="939"/>
      <c r="EZ2900" s="886"/>
    </row>
    <row r="2901" spans="88:156">
      <c r="CJ2901" s="197"/>
      <c r="CK2901" s="197"/>
      <c r="CL2901" s="197"/>
      <c r="CM2901" s="213"/>
      <c r="CN2901" s="213"/>
      <c r="CO2901" s="197"/>
      <c r="CP2901" s="197"/>
      <c r="CQ2901" s="197"/>
      <c r="CR2901" s="197"/>
      <c r="CS2901" s="197"/>
      <c r="CT2901" s="197"/>
      <c r="CU2901" s="197"/>
      <c r="CV2901" s="197"/>
      <c r="CW2901" s="197"/>
      <c r="CX2901" s="959"/>
      <c r="CY2901" s="959"/>
      <c r="CZ2901" s="959"/>
      <c r="DA2901" s="959"/>
      <c r="DB2901" s="959"/>
      <c r="DC2901" s="891">
        <v>9132</v>
      </c>
      <c r="DD2901" s="891" t="s">
        <v>2887</v>
      </c>
      <c r="DE2901" s="891" t="s">
        <v>406</v>
      </c>
      <c r="DF2901" s="891">
        <v>6</v>
      </c>
      <c r="DG2901" s="959"/>
      <c r="DH2901" s="959"/>
      <c r="ER2901" s="905">
        <v>8891</v>
      </c>
      <c r="ES2901" s="906" t="s">
        <v>4451</v>
      </c>
      <c r="ET2901" s="2686">
        <v>9</v>
      </c>
      <c r="EV2901" s="985"/>
      <c r="EW2901" s="985"/>
      <c r="EX2901" s="387"/>
      <c r="EY2901" s="939"/>
      <c r="EZ2901" s="886"/>
    </row>
    <row r="2902" spans="88:156">
      <c r="CJ2902" s="197"/>
      <c r="CK2902" s="197"/>
      <c r="CL2902" s="197"/>
      <c r="CM2902" s="213"/>
      <c r="CN2902" s="213"/>
      <c r="CO2902" s="197"/>
      <c r="CP2902" s="197"/>
      <c r="CQ2902" s="197"/>
      <c r="CR2902" s="197"/>
      <c r="CS2902" s="197"/>
      <c r="CT2902" s="197"/>
      <c r="CU2902" s="197"/>
      <c r="CV2902" s="197"/>
      <c r="CW2902" s="197"/>
      <c r="CX2902" s="959"/>
      <c r="CY2902" s="959"/>
      <c r="CZ2902" s="959"/>
      <c r="DA2902" s="959"/>
      <c r="DB2902" s="959"/>
      <c r="DC2902" s="891">
        <v>9133</v>
      </c>
      <c r="DD2902" s="891" t="s">
        <v>2888</v>
      </c>
      <c r="DE2902" s="891" t="s">
        <v>423</v>
      </c>
      <c r="DF2902" s="891">
        <v>6</v>
      </c>
      <c r="DG2902" s="959"/>
      <c r="DH2902" s="959"/>
      <c r="ER2902" s="905">
        <v>8893</v>
      </c>
      <c r="ES2902" s="906" t="s">
        <v>1797</v>
      </c>
      <c r="ET2902" s="2686">
        <v>9</v>
      </c>
      <c r="EV2902" s="985"/>
      <c r="EW2902" s="985"/>
      <c r="EX2902" s="387"/>
      <c r="EY2902" s="939"/>
      <c r="EZ2902" s="886"/>
    </row>
    <row r="2903" spans="88:156">
      <c r="CJ2903" s="197"/>
      <c r="CK2903" s="197"/>
      <c r="CL2903" s="197"/>
      <c r="CM2903" s="213"/>
      <c r="CN2903" s="213"/>
      <c r="CO2903" s="197"/>
      <c r="CP2903" s="197"/>
      <c r="CQ2903" s="197"/>
      <c r="CR2903" s="197"/>
      <c r="CS2903" s="197"/>
      <c r="CT2903" s="197"/>
      <c r="CU2903" s="197"/>
      <c r="CV2903" s="197"/>
      <c r="CW2903" s="197"/>
      <c r="CX2903" s="959"/>
      <c r="CY2903" s="959"/>
      <c r="CZ2903" s="959"/>
      <c r="DA2903" s="959"/>
      <c r="DB2903" s="959"/>
      <c r="DC2903" s="891">
        <v>9134</v>
      </c>
      <c r="DD2903" s="891" t="s">
        <v>2889</v>
      </c>
      <c r="DE2903" s="891" t="s">
        <v>432</v>
      </c>
      <c r="DF2903" s="891">
        <v>6</v>
      </c>
      <c r="DG2903" s="959"/>
      <c r="DH2903" s="959"/>
      <c r="ER2903" s="905">
        <v>8893</v>
      </c>
      <c r="ES2903" s="906" t="s">
        <v>4452</v>
      </c>
      <c r="ET2903" s="2686">
        <v>9</v>
      </c>
      <c r="EV2903" s="985"/>
      <c r="EW2903" s="985"/>
      <c r="EX2903" s="387"/>
      <c r="EY2903" s="939"/>
      <c r="EZ2903" s="886"/>
    </row>
    <row r="2904" spans="88:156">
      <c r="CJ2904" s="197"/>
      <c r="CK2904" s="197"/>
      <c r="CL2904" s="197"/>
      <c r="CM2904" s="213"/>
      <c r="CN2904" s="213"/>
      <c r="CO2904" s="197"/>
      <c r="CP2904" s="197"/>
      <c r="CQ2904" s="197"/>
      <c r="CR2904" s="197"/>
      <c r="CS2904" s="197"/>
      <c r="CT2904" s="197"/>
      <c r="CU2904" s="197"/>
      <c r="CV2904" s="197"/>
      <c r="CW2904" s="197"/>
      <c r="CX2904" s="959"/>
      <c r="CY2904" s="959"/>
      <c r="CZ2904" s="959"/>
      <c r="DA2904" s="959"/>
      <c r="DB2904" s="959"/>
      <c r="DC2904" s="891">
        <v>9135</v>
      </c>
      <c r="DD2904" s="891" t="s">
        <v>2890</v>
      </c>
      <c r="DE2904" s="891" t="s">
        <v>423</v>
      </c>
      <c r="DF2904" s="891">
        <v>6</v>
      </c>
      <c r="DG2904" s="959"/>
      <c r="DH2904" s="959"/>
      <c r="ER2904" s="905">
        <v>8895</v>
      </c>
      <c r="ES2904" s="906" t="s">
        <v>4453</v>
      </c>
      <c r="ET2904" s="2686">
        <v>9</v>
      </c>
      <c r="EV2904" s="985"/>
      <c r="EW2904" s="985"/>
      <c r="EX2904" s="387"/>
      <c r="EY2904" s="939"/>
      <c r="EZ2904" s="886"/>
    </row>
    <row r="2905" spans="88:156">
      <c r="CJ2905" s="197"/>
      <c r="CK2905" s="197"/>
      <c r="CL2905" s="197"/>
      <c r="CM2905" s="213"/>
      <c r="CN2905" s="213"/>
      <c r="CO2905" s="197"/>
      <c r="CP2905" s="197"/>
      <c r="CQ2905" s="197"/>
      <c r="CR2905" s="197"/>
      <c r="CS2905" s="197"/>
      <c r="CT2905" s="197"/>
      <c r="CU2905" s="197"/>
      <c r="CV2905" s="197"/>
      <c r="CW2905" s="197"/>
      <c r="CX2905" s="959"/>
      <c r="CY2905" s="959"/>
      <c r="CZ2905" s="959"/>
      <c r="DA2905" s="959"/>
      <c r="DB2905" s="959"/>
      <c r="DC2905" s="891">
        <v>9136</v>
      </c>
      <c r="DD2905" s="891" t="s">
        <v>2891</v>
      </c>
      <c r="DE2905" s="891" t="s">
        <v>434</v>
      </c>
      <c r="DF2905" s="891">
        <v>6</v>
      </c>
      <c r="DG2905" s="959"/>
      <c r="DH2905" s="959"/>
      <c r="ER2905" s="905">
        <v>8896</v>
      </c>
      <c r="ES2905" s="906" t="s">
        <v>4454</v>
      </c>
      <c r="ET2905" s="2686">
        <v>9</v>
      </c>
      <c r="EV2905" s="985"/>
      <c r="EW2905" s="985"/>
      <c r="EX2905" s="387"/>
      <c r="EY2905" s="939"/>
      <c r="EZ2905" s="886"/>
    </row>
    <row r="2906" spans="88:156">
      <c r="CJ2906" s="197"/>
      <c r="CK2906" s="197"/>
      <c r="CL2906" s="197"/>
      <c r="CM2906" s="213"/>
      <c r="CN2906" s="213"/>
      <c r="CO2906" s="197"/>
      <c r="CP2906" s="197"/>
      <c r="CQ2906" s="197"/>
      <c r="CR2906" s="197"/>
      <c r="CS2906" s="197"/>
      <c r="CT2906" s="197"/>
      <c r="CU2906" s="197"/>
      <c r="CV2906" s="197"/>
      <c r="CW2906" s="197"/>
      <c r="CX2906" s="959"/>
      <c r="CY2906" s="959"/>
      <c r="CZ2906" s="959"/>
      <c r="DA2906" s="959"/>
      <c r="DB2906" s="959"/>
      <c r="DC2906" s="891">
        <v>9141</v>
      </c>
      <c r="DD2906" s="891" t="s">
        <v>2892</v>
      </c>
      <c r="DE2906" s="891" t="s">
        <v>402</v>
      </c>
      <c r="DF2906" s="891">
        <v>5</v>
      </c>
      <c r="DG2906" s="959"/>
      <c r="DH2906" s="959"/>
      <c r="ER2906" s="905">
        <v>8897</v>
      </c>
      <c r="ES2906" s="906" t="s">
        <v>4455</v>
      </c>
      <c r="ET2906" s="2686">
        <v>9</v>
      </c>
      <c r="EV2906" s="985"/>
      <c r="EW2906" s="985"/>
      <c r="EX2906" s="387"/>
      <c r="EY2906" s="939"/>
      <c r="EZ2906" s="886"/>
    </row>
    <row r="2907" spans="88:156">
      <c r="CJ2907" s="197"/>
      <c r="CK2907" s="197"/>
      <c r="CL2907" s="197"/>
      <c r="CM2907" s="213"/>
      <c r="CN2907" s="213"/>
      <c r="CO2907" s="197"/>
      <c r="CP2907" s="197"/>
      <c r="CQ2907" s="197"/>
      <c r="CR2907" s="197"/>
      <c r="CS2907" s="197"/>
      <c r="CT2907" s="197"/>
      <c r="CU2907" s="197"/>
      <c r="CV2907" s="197"/>
      <c r="CW2907" s="197"/>
      <c r="CX2907" s="959"/>
      <c r="CY2907" s="959"/>
      <c r="CZ2907" s="959"/>
      <c r="DA2907" s="959"/>
      <c r="DB2907" s="959"/>
      <c r="DC2907" s="891">
        <v>9142</v>
      </c>
      <c r="DD2907" s="891" t="s">
        <v>2893</v>
      </c>
      <c r="DE2907" s="891" t="s">
        <v>402</v>
      </c>
      <c r="DF2907" s="891">
        <v>5</v>
      </c>
      <c r="DG2907" s="959"/>
      <c r="DH2907" s="959"/>
      <c r="ER2907" s="905">
        <v>8900</v>
      </c>
      <c r="ES2907" s="906" t="s">
        <v>4456</v>
      </c>
      <c r="ET2907" s="2686">
        <v>7</v>
      </c>
      <c r="EU2907" s="895">
        <v>1</v>
      </c>
      <c r="EV2907" s="985"/>
      <c r="EW2907" s="985"/>
      <c r="EX2907" s="387"/>
      <c r="EY2907" s="939"/>
      <c r="EZ2907" s="886"/>
    </row>
    <row r="2908" spans="88:156">
      <c r="CJ2908" s="197"/>
      <c r="CK2908" s="197"/>
      <c r="CL2908" s="197"/>
      <c r="CM2908" s="213"/>
      <c r="CN2908" s="213"/>
      <c r="CO2908" s="197"/>
      <c r="CP2908" s="197"/>
      <c r="CQ2908" s="197"/>
      <c r="CR2908" s="197"/>
      <c r="CS2908" s="197"/>
      <c r="CT2908" s="197"/>
      <c r="CU2908" s="197"/>
      <c r="CV2908" s="197"/>
      <c r="CW2908" s="197"/>
      <c r="CX2908" s="959"/>
      <c r="CY2908" s="959"/>
      <c r="CZ2908" s="959"/>
      <c r="DA2908" s="959"/>
      <c r="DB2908" s="959"/>
      <c r="DC2908" s="891">
        <v>9143</v>
      </c>
      <c r="DD2908" s="891" t="s">
        <v>2894</v>
      </c>
      <c r="DE2908" s="891" t="s">
        <v>2807</v>
      </c>
      <c r="DF2908" s="891">
        <v>5</v>
      </c>
      <c r="DG2908" s="959"/>
      <c r="DH2908" s="959"/>
      <c r="ER2908" s="905">
        <v>8904</v>
      </c>
      <c r="ES2908" s="906" t="s">
        <v>1798</v>
      </c>
      <c r="ET2908" s="2686">
        <v>7</v>
      </c>
      <c r="EU2908" s="895">
        <v>1</v>
      </c>
      <c r="EV2908" s="985"/>
      <c r="EW2908" s="985"/>
      <c r="EX2908" s="387"/>
      <c r="EY2908" s="939"/>
      <c r="EZ2908" s="886"/>
    </row>
    <row r="2909" spans="88:156">
      <c r="CJ2909" s="197"/>
      <c r="CK2909" s="197"/>
      <c r="CL2909" s="197"/>
      <c r="CM2909" s="213"/>
      <c r="CN2909" s="213"/>
      <c r="CO2909" s="197"/>
      <c r="CP2909" s="197"/>
      <c r="CQ2909" s="197"/>
      <c r="CR2909" s="197"/>
      <c r="CS2909" s="197"/>
      <c r="CT2909" s="197"/>
      <c r="CU2909" s="197"/>
      <c r="CV2909" s="197"/>
      <c r="CW2909" s="197"/>
      <c r="CX2909" s="959"/>
      <c r="CY2909" s="959"/>
      <c r="CZ2909" s="959"/>
      <c r="DA2909" s="959"/>
      <c r="DB2909" s="959"/>
      <c r="DC2909" s="891">
        <v>9144</v>
      </c>
      <c r="DD2909" s="891" t="s">
        <v>2895</v>
      </c>
      <c r="DE2909" s="891" t="s">
        <v>2807</v>
      </c>
      <c r="DF2909" s="891">
        <v>6</v>
      </c>
      <c r="DG2909" s="959"/>
      <c r="DH2909" s="959"/>
      <c r="ER2909" s="905">
        <v>8908</v>
      </c>
      <c r="ES2909" s="906" t="s">
        <v>1799</v>
      </c>
      <c r="ET2909" s="2686">
        <v>9</v>
      </c>
      <c r="EU2909" s="895">
        <v>1</v>
      </c>
      <c r="EV2909" s="985"/>
      <c r="EW2909" s="985"/>
      <c r="EX2909" s="387"/>
      <c r="EY2909" s="939"/>
      <c r="EZ2909" s="886"/>
    </row>
    <row r="2910" spans="88:156">
      <c r="CJ2910" s="197"/>
      <c r="CK2910" s="197"/>
      <c r="CL2910" s="197"/>
      <c r="CM2910" s="213"/>
      <c r="CN2910" s="213"/>
      <c r="CO2910" s="197"/>
      <c r="CP2910" s="197"/>
      <c r="CQ2910" s="197"/>
      <c r="CR2910" s="197"/>
      <c r="CS2910" s="197"/>
      <c r="CT2910" s="197"/>
      <c r="CU2910" s="197"/>
      <c r="CV2910" s="197"/>
      <c r="CW2910" s="197"/>
      <c r="CX2910" s="959"/>
      <c r="CY2910" s="959"/>
      <c r="CZ2910" s="959"/>
      <c r="DA2910" s="959"/>
      <c r="DB2910" s="959"/>
      <c r="DC2910" s="891">
        <v>9145</v>
      </c>
      <c r="DD2910" s="891" t="s">
        <v>2896</v>
      </c>
      <c r="DE2910" s="891" t="s">
        <v>428</v>
      </c>
      <c r="DF2910" s="891">
        <v>6</v>
      </c>
      <c r="DG2910" s="959"/>
      <c r="DH2910" s="959"/>
      <c r="ER2910" s="905">
        <v>8911</v>
      </c>
      <c r="ES2910" s="906" t="s">
        <v>1800</v>
      </c>
      <c r="ET2910" s="2686">
        <v>6</v>
      </c>
      <c r="EV2910" s="985"/>
      <c r="EW2910" s="985"/>
      <c r="EX2910" s="387"/>
      <c r="EY2910" s="939"/>
      <c r="EZ2910" s="886"/>
    </row>
    <row r="2911" spans="88:156">
      <c r="CJ2911" s="197"/>
      <c r="CK2911" s="197"/>
      <c r="CL2911" s="197"/>
      <c r="CM2911" s="213"/>
      <c r="CN2911" s="213"/>
      <c r="CO2911" s="197"/>
      <c r="CP2911" s="197"/>
      <c r="CQ2911" s="197"/>
      <c r="CR2911" s="197"/>
      <c r="CS2911" s="197"/>
      <c r="CT2911" s="197"/>
      <c r="CU2911" s="197"/>
      <c r="CV2911" s="197"/>
      <c r="CW2911" s="197"/>
      <c r="CX2911" s="959"/>
      <c r="CY2911" s="959"/>
      <c r="CZ2911" s="959"/>
      <c r="DA2911" s="959"/>
      <c r="DB2911" s="959"/>
      <c r="DC2911" s="891">
        <v>9146</v>
      </c>
      <c r="DD2911" s="891" t="s">
        <v>2897</v>
      </c>
      <c r="DE2911" s="891" t="s">
        <v>421</v>
      </c>
      <c r="DF2911" s="891">
        <v>6</v>
      </c>
      <c r="DG2911" s="959"/>
      <c r="DH2911" s="959"/>
      <c r="ER2911" s="905">
        <v>8911</v>
      </c>
      <c r="ES2911" s="906" t="s">
        <v>4459</v>
      </c>
      <c r="ET2911" s="2686">
        <v>6</v>
      </c>
      <c r="EV2911" s="985"/>
      <c r="EW2911" s="985"/>
      <c r="EX2911" s="387"/>
      <c r="EY2911" s="939"/>
      <c r="EZ2911" s="886"/>
    </row>
    <row r="2912" spans="88:156">
      <c r="CJ2912" s="197"/>
      <c r="CK2912" s="197"/>
      <c r="CL2912" s="197"/>
      <c r="CM2912" s="213"/>
      <c r="CN2912" s="213"/>
      <c r="CO2912" s="197"/>
      <c r="CP2912" s="197"/>
      <c r="CQ2912" s="197"/>
      <c r="CR2912" s="197"/>
      <c r="CS2912" s="197"/>
      <c r="CT2912" s="197"/>
      <c r="CU2912" s="197"/>
      <c r="CV2912" s="197"/>
      <c r="CW2912" s="197"/>
      <c r="CX2912" s="959"/>
      <c r="CY2912" s="959"/>
      <c r="CZ2912" s="959"/>
      <c r="DA2912" s="959"/>
      <c r="DB2912" s="959"/>
      <c r="DC2912" s="891">
        <v>9147</v>
      </c>
      <c r="DD2912" s="891" t="s">
        <v>2898</v>
      </c>
      <c r="DE2912" s="891" t="s">
        <v>410</v>
      </c>
      <c r="DF2912" s="891">
        <v>6</v>
      </c>
      <c r="DG2912" s="959"/>
      <c r="DH2912" s="959"/>
      <c r="ER2912" s="905">
        <v>8912</v>
      </c>
      <c r="ES2912" s="906" t="s">
        <v>107</v>
      </c>
      <c r="ET2912" s="2686">
        <v>6</v>
      </c>
      <c r="EV2912" s="985"/>
      <c r="EW2912" s="985"/>
      <c r="EX2912" s="387"/>
      <c r="EY2912" s="939"/>
      <c r="EZ2912" s="886"/>
    </row>
    <row r="2913" spans="88:156">
      <c r="CJ2913" s="197"/>
      <c r="CK2913" s="197"/>
      <c r="CL2913" s="197"/>
      <c r="CM2913" s="213"/>
      <c r="CN2913" s="213"/>
      <c r="CO2913" s="197"/>
      <c r="CP2913" s="197"/>
      <c r="CQ2913" s="197"/>
      <c r="CR2913" s="197"/>
      <c r="CS2913" s="197"/>
      <c r="CT2913" s="197"/>
      <c r="CU2913" s="197"/>
      <c r="CV2913" s="197"/>
      <c r="CW2913" s="197"/>
      <c r="CX2913" s="959"/>
      <c r="CY2913" s="959"/>
      <c r="CZ2913" s="959"/>
      <c r="DA2913" s="959"/>
      <c r="DB2913" s="959"/>
      <c r="DC2913" s="891">
        <v>9151</v>
      </c>
      <c r="DD2913" s="891" t="s">
        <v>2899</v>
      </c>
      <c r="DE2913" s="891" t="s">
        <v>421</v>
      </c>
      <c r="DF2913" s="891">
        <v>5</v>
      </c>
      <c r="DG2913" s="959"/>
      <c r="DH2913" s="959"/>
      <c r="ER2913" s="905">
        <v>8912</v>
      </c>
      <c r="ES2913" s="906" t="s">
        <v>4460</v>
      </c>
      <c r="ET2913" s="2686">
        <v>6</v>
      </c>
      <c r="EV2913" s="985"/>
      <c r="EW2913" s="985"/>
      <c r="EX2913" s="387"/>
      <c r="EY2913" s="939"/>
      <c r="EZ2913" s="886"/>
    </row>
    <row r="2914" spans="88:156">
      <c r="CJ2914" s="197"/>
      <c r="CK2914" s="197"/>
      <c r="CL2914" s="197"/>
      <c r="CM2914" s="213"/>
      <c r="CN2914" s="213"/>
      <c r="CO2914" s="197"/>
      <c r="CP2914" s="197"/>
      <c r="CQ2914" s="197"/>
      <c r="CR2914" s="197"/>
      <c r="CS2914" s="197"/>
      <c r="CT2914" s="197"/>
      <c r="CU2914" s="197"/>
      <c r="CV2914" s="197"/>
      <c r="CW2914" s="197"/>
      <c r="CX2914" s="959"/>
      <c r="CY2914" s="959"/>
      <c r="CZ2914" s="959"/>
      <c r="DA2914" s="959"/>
      <c r="DB2914" s="959"/>
      <c r="DC2914" s="891">
        <v>9152</v>
      </c>
      <c r="DD2914" s="891" t="s">
        <v>2900</v>
      </c>
      <c r="DE2914" s="891" t="s">
        <v>423</v>
      </c>
      <c r="DF2914" s="891">
        <v>5</v>
      </c>
      <c r="DG2914" s="959"/>
      <c r="DH2914" s="959"/>
      <c r="ER2914" s="905">
        <v>8913</v>
      </c>
      <c r="ES2914" s="906" t="s">
        <v>108</v>
      </c>
      <c r="ET2914" s="2686">
        <v>6</v>
      </c>
      <c r="EV2914" s="985"/>
      <c r="EW2914" s="985"/>
      <c r="EX2914" s="387"/>
      <c r="EY2914" s="939"/>
      <c r="EZ2914" s="886"/>
    </row>
    <row r="2915" spans="88:156">
      <c r="CJ2915" s="197"/>
      <c r="CK2915" s="197"/>
      <c r="CL2915" s="197"/>
      <c r="CM2915" s="213"/>
      <c r="CN2915" s="213"/>
      <c r="CO2915" s="197"/>
      <c r="CP2915" s="197"/>
      <c r="CQ2915" s="197"/>
      <c r="CR2915" s="197"/>
      <c r="CS2915" s="197"/>
      <c r="CT2915" s="197"/>
      <c r="CU2915" s="197"/>
      <c r="CV2915" s="197"/>
      <c r="CW2915" s="197"/>
      <c r="CX2915" s="959"/>
      <c r="CY2915" s="959"/>
      <c r="CZ2915" s="959"/>
      <c r="DA2915" s="959"/>
      <c r="DB2915" s="959"/>
      <c r="DC2915" s="891">
        <v>9153</v>
      </c>
      <c r="DD2915" s="891" t="s">
        <v>2901</v>
      </c>
      <c r="DE2915" s="891" t="s">
        <v>423</v>
      </c>
      <c r="DF2915" s="891">
        <v>6</v>
      </c>
      <c r="DG2915" s="959"/>
      <c r="DH2915" s="959"/>
      <c r="ER2915" s="905">
        <v>8913</v>
      </c>
      <c r="ES2915" s="906" t="s">
        <v>109</v>
      </c>
      <c r="ET2915" s="2686">
        <v>6</v>
      </c>
      <c r="EV2915" s="985"/>
      <c r="EW2915" s="985"/>
      <c r="EX2915" s="387"/>
      <c r="EY2915" s="939"/>
      <c r="EZ2915" s="886"/>
    </row>
    <row r="2916" spans="88:156">
      <c r="CJ2916" s="197"/>
      <c r="CK2916" s="197"/>
      <c r="CL2916" s="197"/>
      <c r="CM2916" s="213"/>
      <c r="CN2916" s="213"/>
      <c r="CO2916" s="197"/>
      <c r="CP2916" s="197"/>
      <c r="CQ2916" s="197"/>
      <c r="CR2916" s="197"/>
      <c r="CS2916" s="197"/>
      <c r="CT2916" s="197"/>
      <c r="CU2916" s="197"/>
      <c r="CV2916" s="197"/>
      <c r="CW2916" s="197"/>
      <c r="CX2916" s="959"/>
      <c r="CY2916" s="959"/>
      <c r="CZ2916" s="959"/>
      <c r="DA2916" s="959"/>
      <c r="DB2916" s="959"/>
      <c r="DC2916" s="891">
        <v>9154</v>
      </c>
      <c r="DD2916" s="891" t="s">
        <v>919</v>
      </c>
      <c r="DE2916" s="891" t="s">
        <v>423</v>
      </c>
      <c r="DF2916" s="891">
        <v>5</v>
      </c>
      <c r="DG2916" s="959"/>
      <c r="DH2916" s="959"/>
      <c r="ER2916" s="905">
        <v>8913</v>
      </c>
      <c r="ES2916" s="906" t="s">
        <v>4461</v>
      </c>
      <c r="ET2916" s="2686">
        <v>6</v>
      </c>
      <c r="EV2916" s="985"/>
      <c r="EW2916" s="985"/>
      <c r="EX2916" s="387"/>
      <c r="EY2916" s="939"/>
      <c r="EZ2916" s="886"/>
    </row>
    <row r="2917" spans="88:156">
      <c r="CJ2917" s="197"/>
      <c r="CK2917" s="197"/>
      <c r="CL2917" s="197"/>
      <c r="CM2917" s="213"/>
      <c r="CN2917" s="213"/>
      <c r="CO2917" s="197"/>
      <c r="CP2917" s="197"/>
      <c r="CQ2917" s="197"/>
      <c r="CR2917" s="197"/>
      <c r="CS2917" s="197"/>
      <c r="CT2917" s="197"/>
      <c r="CU2917" s="197"/>
      <c r="CV2917" s="197"/>
      <c r="CW2917" s="197"/>
      <c r="CX2917" s="959"/>
      <c r="CY2917" s="959"/>
      <c r="CZ2917" s="959"/>
      <c r="DA2917" s="959"/>
      <c r="DB2917" s="959"/>
      <c r="DC2917" s="891">
        <v>9155</v>
      </c>
      <c r="DD2917" s="891" t="s">
        <v>920</v>
      </c>
      <c r="DE2917" s="891" t="s">
        <v>432</v>
      </c>
      <c r="DF2917" s="891">
        <v>6</v>
      </c>
      <c r="DG2917" s="959"/>
      <c r="DH2917" s="959"/>
      <c r="ER2917" s="905">
        <v>8914</v>
      </c>
      <c r="ES2917" s="906" t="s">
        <v>4462</v>
      </c>
      <c r="ET2917" s="2686">
        <v>9</v>
      </c>
      <c r="EV2917" s="985"/>
      <c r="EW2917" s="985"/>
      <c r="EX2917" s="387"/>
      <c r="EY2917" s="939"/>
      <c r="EZ2917" s="886"/>
    </row>
    <row r="2918" spans="88:156">
      <c r="CJ2918" s="197"/>
      <c r="CK2918" s="197"/>
      <c r="CL2918" s="197"/>
      <c r="CM2918" s="213"/>
      <c r="CN2918" s="213"/>
      <c r="CO2918" s="197"/>
      <c r="CP2918" s="197"/>
      <c r="CQ2918" s="197"/>
      <c r="CR2918" s="197"/>
      <c r="CS2918" s="197"/>
      <c r="CT2918" s="197"/>
      <c r="CU2918" s="197"/>
      <c r="CV2918" s="197"/>
      <c r="CW2918" s="197"/>
      <c r="CX2918" s="959"/>
      <c r="CY2918" s="959"/>
      <c r="CZ2918" s="959"/>
      <c r="DA2918" s="959"/>
      <c r="DB2918" s="959"/>
      <c r="DC2918" s="891">
        <v>9161</v>
      </c>
      <c r="DD2918" s="891" t="s">
        <v>921</v>
      </c>
      <c r="DE2918" s="891" t="s">
        <v>419</v>
      </c>
      <c r="DF2918" s="891">
        <v>6</v>
      </c>
      <c r="DG2918" s="959"/>
      <c r="DH2918" s="959"/>
      <c r="ER2918" s="905">
        <v>8915</v>
      </c>
      <c r="ES2918" s="906" t="s">
        <v>4463</v>
      </c>
      <c r="ET2918" s="2686">
        <v>9</v>
      </c>
      <c r="EV2918" s="985"/>
      <c r="EW2918" s="985"/>
      <c r="EX2918" s="387"/>
      <c r="EY2918" s="939"/>
      <c r="EZ2918" s="886"/>
    </row>
    <row r="2919" spans="88:156">
      <c r="CJ2919" s="197"/>
      <c r="CK2919" s="197"/>
      <c r="CL2919" s="197"/>
      <c r="CM2919" s="213"/>
      <c r="CN2919" s="213"/>
      <c r="CO2919" s="197"/>
      <c r="CP2919" s="197"/>
      <c r="CQ2919" s="197"/>
      <c r="CR2919" s="197"/>
      <c r="CS2919" s="197"/>
      <c r="CT2919" s="197"/>
      <c r="CU2919" s="197"/>
      <c r="CV2919" s="197"/>
      <c r="CW2919" s="197"/>
      <c r="CX2919" s="959"/>
      <c r="CY2919" s="959"/>
      <c r="CZ2919" s="959"/>
      <c r="DA2919" s="959"/>
      <c r="DB2919" s="959"/>
      <c r="DC2919" s="891">
        <v>9162</v>
      </c>
      <c r="DD2919" s="891" t="s">
        <v>922</v>
      </c>
      <c r="DE2919" s="891" t="s">
        <v>421</v>
      </c>
      <c r="DF2919" s="891">
        <v>6</v>
      </c>
      <c r="DG2919" s="959"/>
      <c r="DH2919" s="959"/>
      <c r="ER2919" s="905">
        <v>8917</v>
      </c>
      <c r="ES2919" s="906" t="s">
        <v>110</v>
      </c>
      <c r="ET2919" s="2686">
        <v>9</v>
      </c>
      <c r="EV2919" s="985"/>
      <c r="EW2919" s="985"/>
      <c r="EX2919" s="387"/>
      <c r="EY2919" s="939"/>
      <c r="EZ2919" s="886"/>
    </row>
    <row r="2920" spans="88:156">
      <c r="CJ2920" s="197"/>
      <c r="CK2920" s="197"/>
      <c r="CL2920" s="197"/>
      <c r="CM2920" s="213"/>
      <c r="CN2920" s="213"/>
      <c r="CO2920" s="197"/>
      <c r="CP2920" s="197"/>
      <c r="CQ2920" s="197"/>
      <c r="CR2920" s="197"/>
      <c r="CS2920" s="197"/>
      <c r="CT2920" s="197"/>
      <c r="CU2920" s="197"/>
      <c r="CV2920" s="197"/>
      <c r="CW2920" s="197"/>
      <c r="CX2920" s="959"/>
      <c r="CY2920" s="959"/>
      <c r="CZ2920" s="959"/>
      <c r="DA2920" s="959"/>
      <c r="DB2920" s="959"/>
      <c r="DC2920" s="891">
        <v>9163</v>
      </c>
      <c r="DD2920" s="891" t="s">
        <v>923</v>
      </c>
      <c r="DE2920" s="891" t="s">
        <v>423</v>
      </c>
      <c r="DF2920" s="891">
        <v>6</v>
      </c>
      <c r="DG2920" s="959"/>
      <c r="DH2920" s="959"/>
      <c r="ER2920" s="905">
        <v>8918</v>
      </c>
      <c r="ES2920" s="906" t="s">
        <v>111</v>
      </c>
      <c r="ET2920" s="2686">
        <v>9</v>
      </c>
      <c r="EV2920" s="985"/>
      <c r="EW2920" s="985"/>
      <c r="EX2920" s="387"/>
      <c r="EY2920" s="939"/>
      <c r="EZ2920" s="886"/>
    </row>
    <row r="2921" spans="88:156">
      <c r="CJ2921" s="197"/>
      <c r="CK2921" s="197"/>
      <c r="CL2921" s="197"/>
      <c r="CM2921" s="213"/>
      <c r="CN2921" s="213"/>
      <c r="CO2921" s="197"/>
      <c r="CP2921" s="197"/>
      <c r="CQ2921" s="197"/>
      <c r="CR2921" s="197"/>
      <c r="CS2921" s="197"/>
      <c r="CT2921" s="197"/>
      <c r="CU2921" s="197"/>
      <c r="CV2921" s="197"/>
      <c r="CW2921" s="197"/>
      <c r="CX2921" s="959"/>
      <c r="CY2921" s="959"/>
      <c r="CZ2921" s="959"/>
      <c r="DA2921" s="959"/>
      <c r="DB2921" s="959"/>
      <c r="DC2921" s="891">
        <v>9164</v>
      </c>
      <c r="DD2921" s="891" t="s">
        <v>924</v>
      </c>
      <c r="DE2921" s="891" t="s">
        <v>417</v>
      </c>
      <c r="DF2921" s="891">
        <v>6</v>
      </c>
      <c r="DG2921" s="959"/>
      <c r="DH2921" s="959"/>
      <c r="ER2921" s="905">
        <v>8918</v>
      </c>
      <c r="ES2921" s="906" t="s">
        <v>4466</v>
      </c>
      <c r="ET2921" s="2686">
        <v>9</v>
      </c>
      <c r="EV2921" s="985"/>
      <c r="EW2921" s="985"/>
      <c r="EX2921" s="387"/>
      <c r="EY2921" s="939"/>
      <c r="EZ2921" s="886"/>
    </row>
    <row r="2922" spans="88:156">
      <c r="CJ2922" s="197"/>
      <c r="CK2922" s="197"/>
      <c r="CL2922" s="197"/>
      <c r="CM2922" s="213"/>
      <c r="CN2922" s="213"/>
      <c r="CO2922" s="197"/>
      <c r="CP2922" s="197"/>
      <c r="CQ2922" s="197"/>
      <c r="CR2922" s="197"/>
      <c r="CS2922" s="197"/>
      <c r="CT2922" s="197"/>
      <c r="CU2922" s="197"/>
      <c r="CV2922" s="197"/>
      <c r="CW2922" s="197"/>
      <c r="CX2922" s="959"/>
      <c r="CY2922" s="959"/>
      <c r="CZ2922" s="959"/>
      <c r="DA2922" s="959"/>
      <c r="DB2922" s="959"/>
      <c r="DC2922" s="891">
        <v>9165</v>
      </c>
      <c r="DD2922" s="891" t="s">
        <v>3238</v>
      </c>
      <c r="DE2922" s="891" t="s">
        <v>432</v>
      </c>
      <c r="DF2922" s="891">
        <v>6</v>
      </c>
      <c r="DG2922" s="959"/>
      <c r="DH2922" s="959"/>
      <c r="ER2922" s="905">
        <v>8919</v>
      </c>
      <c r="ES2922" s="906" t="s">
        <v>4467</v>
      </c>
      <c r="ET2922" s="2686">
        <v>9</v>
      </c>
      <c r="EV2922" s="985"/>
      <c r="EW2922" s="985"/>
      <c r="EX2922" s="387"/>
      <c r="EY2922" s="939"/>
      <c r="EZ2922" s="886"/>
    </row>
    <row r="2923" spans="88:156">
      <c r="CJ2923" s="197"/>
      <c r="CK2923" s="197"/>
      <c r="CL2923" s="197"/>
      <c r="CM2923" s="213"/>
      <c r="CN2923" s="213"/>
      <c r="CO2923" s="197"/>
      <c r="CP2923" s="197"/>
      <c r="CQ2923" s="197"/>
      <c r="CR2923" s="197"/>
      <c r="CS2923" s="197"/>
      <c r="CT2923" s="197"/>
      <c r="CU2923" s="197"/>
      <c r="CV2923" s="197"/>
      <c r="CW2923" s="197"/>
      <c r="CX2923" s="959"/>
      <c r="CY2923" s="959"/>
      <c r="CZ2923" s="959"/>
      <c r="DA2923" s="959"/>
      <c r="DB2923" s="959"/>
      <c r="DC2923" s="891">
        <v>9167</v>
      </c>
      <c r="DD2923" s="891" t="s">
        <v>3239</v>
      </c>
      <c r="DE2923" s="891" t="s">
        <v>432</v>
      </c>
      <c r="DF2923" s="891">
        <v>6</v>
      </c>
      <c r="DG2923" s="959"/>
      <c r="DH2923" s="959"/>
      <c r="ER2923" s="905">
        <v>8921</v>
      </c>
      <c r="ES2923" s="906" t="s">
        <v>112</v>
      </c>
      <c r="ET2923" s="2686">
        <v>6</v>
      </c>
      <c r="EV2923" s="985"/>
      <c r="EW2923" s="985"/>
      <c r="EX2923" s="387"/>
      <c r="EY2923" s="939"/>
      <c r="EZ2923" s="886"/>
    </row>
    <row r="2924" spans="88:156">
      <c r="CJ2924" s="197"/>
      <c r="CK2924" s="197"/>
      <c r="CL2924" s="197"/>
      <c r="CM2924" s="213"/>
      <c r="CN2924" s="213"/>
      <c r="CO2924" s="197"/>
      <c r="CP2924" s="197"/>
      <c r="CQ2924" s="197"/>
      <c r="CR2924" s="197"/>
      <c r="CS2924" s="197"/>
      <c r="CT2924" s="197"/>
      <c r="CU2924" s="197"/>
      <c r="CV2924" s="197"/>
      <c r="CW2924" s="197"/>
      <c r="CX2924" s="959"/>
      <c r="CY2924" s="959"/>
      <c r="CZ2924" s="959"/>
      <c r="DA2924" s="959"/>
      <c r="DB2924" s="959"/>
      <c r="DC2924" s="891">
        <v>9168</v>
      </c>
      <c r="DD2924" s="891" t="s">
        <v>3240</v>
      </c>
      <c r="DE2924" s="891" t="s">
        <v>435</v>
      </c>
      <c r="DF2924" s="891">
        <v>6</v>
      </c>
      <c r="DG2924" s="959"/>
      <c r="DH2924" s="959"/>
      <c r="ER2924" s="905">
        <v>8921</v>
      </c>
      <c r="ES2924" s="906" t="s">
        <v>113</v>
      </c>
      <c r="ET2924" s="2686">
        <v>6</v>
      </c>
      <c r="EV2924" s="985"/>
      <c r="EW2924" s="985"/>
      <c r="EX2924" s="387"/>
      <c r="EY2924" s="939"/>
      <c r="EZ2924" s="886"/>
    </row>
    <row r="2925" spans="88:156">
      <c r="CJ2925" s="197"/>
      <c r="CK2925" s="197"/>
      <c r="CL2925" s="197"/>
      <c r="CM2925" s="213"/>
      <c r="CN2925" s="213"/>
      <c r="CO2925" s="197"/>
      <c r="CP2925" s="197"/>
      <c r="CQ2925" s="197"/>
      <c r="CR2925" s="197"/>
      <c r="CS2925" s="197"/>
      <c r="CT2925" s="197"/>
      <c r="CU2925" s="197"/>
      <c r="CV2925" s="197"/>
      <c r="CW2925" s="197"/>
      <c r="CX2925" s="959"/>
      <c r="CY2925" s="959"/>
      <c r="CZ2925" s="959"/>
      <c r="DA2925" s="959"/>
      <c r="DB2925" s="959"/>
      <c r="DC2925" s="891">
        <v>9169</v>
      </c>
      <c r="DD2925" s="891" t="s">
        <v>3241</v>
      </c>
      <c r="DE2925" s="891" t="s">
        <v>432</v>
      </c>
      <c r="DF2925" s="891">
        <v>6</v>
      </c>
      <c r="DG2925" s="959"/>
      <c r="DH2925" s="959"/>
      <c r="ER2925" s="905">
        <v>8921</v>
      </c>
      <c r="ES2925" s="906" t="s">
        <v>114</v>
      </c>
      <c r="ET2925" s="2686">
        <v>6</v>
      </c>
      <c r="EU2925" s="895">
        <v>1</v>
      </c>
      <c r="EV2925" s="985"/>
      <c r="EW2925" s="985"/>
      <c r="EX2925" s="387"/>
      <c r="EY2925" s="939"/>
      <c r="EZ2925" s="886"/>
    </row>
    <row r="2926" spans="88:156">
      <c r="CJ2926" s="197"/>
      <c r="CK2926" s="197"/>
      <c r="CL2926" s="197"/>
      <c r="CM2926" s="213"/>
      <c r="CN2926" s="213"/>
      <c r="CO2926" s="197"/>
      <c r="CP2926" s="197"/>
      <c r="CQ2926" s="197"/>
      <c r="CR2926" s="197"/>
      <c r="CS2926" s="197"/>
      <c r="CT2926" s="197"/>
      <c r="CU2926" s="197"/>
      <c r="CV2926" s="197"/>
      <c r="CW2926" s="197"/>
      <c r="CX2926" s="959"/>
      <c r="CY2926" s="959"/>
      <c r="CZ2926" s="959"/>
      <c r="DA2926" s="959"/>
      <c r="DB2926" s="959"/>
      <c r="DC2926" s="891">
        <v>9171</v>
      </c>
      <c r="DD2926" s="891" t="s">
        <v>3242</v>
      </c>
      <c r="DE2926" s="891" t="s">
        <v>432</v>
      </c>
      <c r="DF2926" s="891">
        <v>5</v>
      </c>
      <c r="DG2926" s="959"/>
      <c r="DH2926" s="959"/>
      <c r="ER2926" s="905">
        <v>8921</v>
      </c>
      <c r="ES2926" s="906" t="s">
        <v>115</v>
      </c>
      <c r="ET2926" s="2686">
        <v>6</v>
      </c>
      <c r="EV2926" s="985"/>
      <c r="EW2926" s="985"/>
      <c r="EX2926" s="387"/>
      <c r="EY2926" s="939"/>
      <c r="EZ2926" s="886"/>
    </row>
    <row r="2927" spans="88:156">
      <c r="CJ2927" s="197"/>
      <c r="CK2927" s="197"/>
      <c r="CL2927" s="197"/>
      <c r="CM2927" s="213"/>
      <c r="CN2927" s="213"/>
      <c r="CO2927" s="197"/>
      <c r="CP2927" s="197"/>
      <c r="CQ2927" s="197"/>
      <c r="CR2927" s="197"/>
      <c r="CS2927" s="197"/>
      <c r="CT2927" s="197"/>
      <c r="CU2927" s="197"/>
      <c r="CV2927" s="197"/>
      <c r="CW2927" s="197"/>
      <c r="CX2927" s="959"/>
      <c r="CY2927" s="959"/>
      <c r="CZ2927" s="959"/>
      <c r="DA2927" s="959"/>
      <c r="DB2927" s="959"/>
      <c r="DC2927" s="891">
        <v>9172</v>
      </c>
      <c r="DD2927" s="891" t="s">
        <v>3243</v>
      </c>
      <c r="DE2927" s="891" t="s">
        <v>412</v>
      </c>
      <c r="DF2927" s="891">
        <v>5</v>
      </c>
      <c r="DG2927" s="959"/>
      <c r="DH2927" s="959"/>
      <c r="ER2927" s="905">
        <v>8923</v>
      </c>
      <c r="ES2927" s="906" t="s">
        <v>4469</v>
      </c>
      <c r="ET2927" s="2686">
        <v>9</v>
      </c>
      <c r="EV2927" s="985"/>
      <c r="EW2927" s="985"/>
      <c r="EX2927" s="387"/>
      <c r="EY2927" s="939"/>
      <c r="EZ2927" s="886"/>
    </row>
    <row r="2928" spans="88:156">
      <c r="CJ2928" s="197"/>
      <c r="CK2928" s="197"/>
      <c r="CL2928" s="197"/>
      <c r="CM2928" s="213"/>
      <c r="CN2928" s="213"/>
      <c r="CO2928" s="197"/>
      <c r="CP2928" s="197"/>
      <c r="CQ2928" s="197"/>
      <c r="CR2928" s="197"/>
      <c r="CS2928" s="197"/>
      <c r="CT2928" s="197"/>
      <c r="CU2928" s="197"/>
      <c r="CV2928" s="197"/>
      <c r="CW2928" s="197"/>
      <c r="CX2928" s="959"/>
      <c r="CY2928" s="959"/>
      <c r="CZ2928" s="959"/>
      <c r="DA2928" s="959"/>
      <c r="DB2928" s="959"/>
      <c r="DC2928" s="891">
        <v>9173</v>
      </c>
      <c r="DD2928" s="891" t="s">
        <v>3244</v>
      </c>
      <c r="DE2928" s="891" t="s">
        <v>419</v>
      </c>
      <c r="DF2928" s="891">
        <v>6</v>
      </c>
      <c r="DG2928" s="959"/>
      <c r="DH2928" s="959"/>
      <c r="ER2928" s="905">
        <v>8924</v>
      </c>
      <c r="ES2928" s="906" t="s">
        <v>4470</v>
      </c>
      <c r="ET2928" s="2686">
        <v>6</v>
      </c>
      <c r="EV2928" s="985"/>
      <c r="EW2928" s="985"/>
      <c r="EX2928" s="387"/>
      <c r="EY2928" s="939"/>
      <c r="EZ2928" s="886"/>
    </row>
    <row r="2929" spans="88:156">
      <c r="CJ2929" s="197"/>
      <c r="CK2929" s="197"/>
      <c r="CL2929" s="197"/>
      <c r="CM2929" s="213"/>
      <c r="CN2929" s="213"/>
      <c r="CO2929" s="197"/>
      <c r="CP2929" s="197"/>
      <c r="CQ2929" s="197"/>
      <c r="CR2929" s="197"/>
      <c r="CS2929" s="197"/>
      <c r="CT2929" s="197"/>
      <c r="CU2929" s="197"/>
      <c r="CV2929" s="197"/>
      <c r="CW2929" s="197"/>
      <c r="CX2929" s="959"/>
      <c r="CY2929" s="959"/>
      <c r="CZ2929" s="959"/>
      <c r="DA2929" s="959"/>
      <c r="DB2929" s="959"/>
      <c r="DC2929" s="891">
        <v>9174</v>
      </c>
      <c r="DD2929" s="891" t="s">
        <v>3245</v>
      </c>
      <c r="DE2929" s="891" t="s">
        <v>432</v>
      </c>
      <c r="DF2929" s="891">
        <v>6</v>
      </c>
      <c r="DG2929" s="959"/>
      <c r="DH2929" s="959"/>
      <c r="ER2929" s="905">
        <v>8925</v>
      </c>
      <c r="ES2929" s="906" t="s">
        <v>116</v>
      </c>
      <c r="ET2929" s="2686">
        <v>6</v>
      </c>
      <c r="EV2929" s="985"/>
      <c r="EW2929" s="985"/>
      <c r="EX2929" s="387"/>
      <c r="EY2929" s="939"/>
      <c r="EZ2929" s="886"/>
    </row>
    <row r="2930" spans="88:156">
      <c r="CJ2930" s="197"/>
      <c r="CK2930" s="197"/>
      <c r="CL2930" s="197"/>
      <c r="CM2930" s="213"/>
      <c r="CN2930" s="213"/>
      <c r="CO2930" s="197"/>
      <c r="CP2930" s="197"/>
      <c r="CQ2930" s="197"/>
      <c r="CR2930" s="197"/>
      <c r="CS2930" s="197"/>
      <c r="CT2930" s="197"/>
      <c r="CU2930" s="197"/>
      <c r="CV2930" s="197"/>
      <c r="CW2930" s="197"/>
      <c r="CX2930" s="959"/>
      <c r="CY2930" s="959"/>
      <c r="CZ2930" s="959"/>
      <c r="DA2930" s="959"/>
      <c r="DB2930" s="959"/>
      <c r="DC2930" s="891">
        <v>9175</v>
      </c>
      <c r="DD2930" s="891" t="s">
        <v>3246</v>
      </c>
      <c r="DE2930" s="891" t="s">
        <v>2808</v>
      </c>
      <c r="DF2930" s="891">
        <v>6</v>
      </c>
      <c r="DG2930" s="959"/>
      <c r="DH2930" s="959"/>
      <c r="ER2930" s="905">
        <v>8925</v>
      </c>
      <c r="ES2930" s="906" t="s">
        <v>4472</v>
      </c>
      <c r="ET2930" s="2686">
        <v>6</v>
      </c>
      <c r="EV2930" s="985"/>
      <c r="EW2930" s="985"/>
      <c r="EX2930" s="387"/>
      <c r="EY2930" s="939"/>
      <c r="EZ2930" s="886"/>
    </row>
    <row r="2931" spans="88:156">
      <c r="CJ2931" s="197"/>
      <c r="CK2931" s="197"/>
      <c r="CL2931" s="197"/>
      <c r="CM2931" s="213"/>
      <c r="CN2931" s="213"/>
      <c r="CO2931" s="197"/>
      <c r="CP2931" s="197"/>
      <c r="CQ2931" s="197"/>
      <c r="CR2931" s="197"/>
      <c r="CS2931" s="197"/>
      <c r="CT2931" s="197"/>
      <c r="CU2931" s="197"/>
      <c r="CV2931" s="197"/>
      <c r="CW2931" s="197"/>
      <c r="CX2931" s="959"/>
      <c r="CY2931" s="959"/>
      <c r="CZ2931" s="959"/>
      <c r="DA2931" s="959"/>
      <c r="DB2931" s="959"/>
      <c r="DC2931" s="891">
        <v>9176</v>
      </c>
      <c r="DD2931" s="891" t="s">
        <v>3247</v>
      </c>
      <c r="DE2931" s="891" t="s">
        <v>417</v>
      </c>
      <c r="DF2931" s="891">
        <v>5</v>
      </c>
      <c r="DG2931" s="959"/>
      <c r="DH2931" s="959"/>
      <c r="ER2931" s="905">
        <v>8925</v>
      </c>
      <c r="ES2931" s="906" t="s">
        <v>4473</v>
      </c>
      <c r="ET2931" s="2686">
        <v>6</v>
      </c>
      <c r="EV2931" s="985"/>
      <c r="EW2931" s="985"/>
      <c r="EX2931" s="387"/>
      <c r="EY2931" s="939"/>
      <c r="EZ2931" s="886"/>
    </row>
    <row r="2932" spans="88:156">
      <c r="CJ2932" s="197"/>
      <c r="CK2932" s="197"/>
      <c r="CL2932" s="197"/>
      <c r="CM2932" s="213"/>
      <c r="CN2932" s="213"/>
      <c r="CO2932" s="197"/>
      <c r="CP2932" s="197"/>
      <c r="CQ2932" s="197"/>
      <c r="CR2932" s="197"/>
      <c r="CS2932" s="197"/>
      <c r="CT2932" s="197"/>
      <c r="CU2932" s="197"/>
      <c r="CV2932" s="197"/>
      <c r="CW2932" s="197"/>
      <c r="CX2932" s="959"/>
      <c r="CY2932" s="959"/>
      <c r="CZ2932" s="959"/>
      <c r="DA2932" s="959"/>
      <c r="DB2932" s="959"/>
      <c r="DC2932" s="891">
        <v>9177</v>
      </c>
      <c r="DD2932" s="891" t="s">
        <v>3248</v>
      </c>
      <c r="DE2932" s="891" t="s">
        <v>421</v>
      </c>
      <c r="DF2932" s="891">
        <v>6</v>
      </c>
      <c r="DG2932" s="959"/>
      <c r="DH2932" s="959"/>
      <c r="ER2932" s="905">
        <v>8925</v>
      </c>
      <c r="ES2932" s="906" t="s">
        <v>117</v>
      </c>
      <c r="ET2932" s="2686">
        <v>6</v>
      </c>
      <c r="EV2932" s="985"/>
      <c r="EW2932" s="985"/>
      <c r="EX2932" s="387"/>
      <c r="EY2932" s="939"/>
      <c r="EZ2932" s="886"/>
    </row>
    <row r="2933" spans="88:156">
      <c r="CJ2933" s="197"/>
      <c r="CK2933" s="197"/>
      <c r="CL2933" s="197"/>
      <c r="CM2933" s="213"/>
      <c r="CN2933" s="213"/>
      <c r="CO2933" s="197"/>
      <c r="CP2933" s="197"/>
      <c r="CQ2933" s="197"/>
      <c r="CR2933" s="197"/>
      <c r="CS2933" s="197"/>
      <c r="CT2933" s="197"/>
      <c r="CU2933" s="197"/>
      <c r="CV2933" s="197"/>
      <c r="CW2933" s="197"/>
      <c r="CX2933" s="959"/>
      <c r="CY2933" s="959"/>
      <c r="CZ2933" s="959"/>
      <c r="DA2933" s="959"/>
      <c r="DB2933" s="959"/>
      <c r="DC2933" s="891">
        <v>9178</v>
      </c>
      <c r="DD2933" s="891" t="s">
        <v>3249</v>
      </c>
      <c r="DE2933" s="891" t="s">
        <v>428</v>
      </c>
      <c r="DF2933" s="891">
        <v>5</v>
      </c>
      <c r="DG2933" s="959"/>
      <c r="DH2933" s="959"/>
      <c r="ER2933" s="905">
        <v>8925</v>
      </c>
      <c r="ES2933" s="906" t="s">
        <v>4471</v>
      </c>
      <c r="ET2933" s="2686">
        <v>6</v>
      </c>
      <c r="EV2933" s="985"/>
      <c r="EW2933" s="985"/>
      <c r="EX2933" s="387"/>
      <c r="EY2933" s="939"/>
      <c r="EZ2933" s="886"/>
    </row>
    <row r="2934" spans="88:156">
      <c r="CJ2934" s="197"/>
      <c r="CK2934" s="197"/>
      <c r="CL2934" s="197"/>
      <c r="CM2934" s="213"/>
      <c r="CN2934" s="213"/>
      <c r="CO2934" s="197"/>
      <c r="CP2934" s="197"/>
      <c r="CQ2934" s="197"/>
      <c r="CR2934" s="197"/>
      <c r="CS2934" s="197"/>
      <c r="CT2934" s="197"/>
      <c r="CU2934" s="197"/>
      <c r="CV2934" s="197"/>
      <c r="CW2934" s="197"/>
      <c r="CX2934" s="959"/>
      <c r="CY2934" s="959"/>
      <c r="CZ2934" s="959"/>
      <c r="DA2934" s="959"/>
      <c r="DB2934" s="959"/>
      <c r="DC2934" s="891">
        <v>9181</v>
      </c>
      <c r="DD2934" s="891" t="s">
        <v>3250</v>
      </c>
      <c r="DE2934" s="891" t="s">
        <v>432</v>
      </c>
      <c r="DF2934" s="891">
        <v>6</v>
      </c>
      <c r="DG2934" s="959"/>
      <c r="DH2934" s="959"/>
      <c r="ER2934" s="905">
        <v>8929</v>
      </c>
      <c r="ES2934" s="906" t="s">
        <v>4474</v>
      </c>
      <c r="ET2934" s="2686">
        <v>9</v>
      </c>
      <c r="EV2934" s="985"/>
      <c r="EW2934" s="985"/>
      <c r="EX2934" s="387"/>
      <c r="EY2934" s="939"/>
      <c r="EZ2934" s="886"/>
    </row>
    <row r="2935" spans="88:156">
      <c r="CJ2935" s="197"/>
      <c r="CK2935" s="197"/>
      <c r="CL2935" s="197"/>
      <c r="CM2935" s="213"/>
      <c r="CN2935" s="213"/>
      <c r="CO2935" s="197"/>
      <c r="CP2935" s="197"/>
      <c r="CQ2935" s="197"/>
      <c r="CR2935" s="197"/>
      <c r="CS2935" s="197"/>
      <c r="CT2935" s="197"/>
      <c r="CU2935" s="197"/>
      <c r="CV2935" s="197"/>
      <c r="CW2935" s="197"/>
      <c r="CX2935" s="959"/>
      <c r="CY2935" s="959"/>
      <c r="CZ2935" s="959"/>
      <c r="DA2935" s="959"/>
      <c r="DB2935" s="959"/>
      <c r="DC2935" s="891">
        <v>9182</v>
      </c>
      <c r="DD2935" s="891" t="s">
        <v>3251</v>
      </c>
      <c r="DE2935" s="891" t="s">
        <v>412</v>
      </c>
      <c r="DF2935" s="891">
        <v>6</v>
      </c>
      <c r="DG2935" s="959"/>
      <c r="DH2935" s="959"/>
      <c r="ER2935" s="905">
        <v>8931</v>
      </c>
      <c r="ES2935" s="906" t="s">
        <v>118</v>
      </c>
      <c r="ET2935" s="2686">
        <v>9</v>
      </c>
      <c r="EV2935" s="985"/>
      <c r="EW2935" s="985"/>
      <c r="EX2935" s="387"/>
      <c r="EY2935" s="939"/>
      <c r="EZ2935" s="886"/>
    </row>
    <row r="2936" spans="88:156">
      <c r="CJ2936" s="197"/>
      <c r="CK2936" s="197"/>
      <c r="CL2936" s="197"/>
      <c r="CM2936" s="213"/>
      <c r="CN2936" s="213"/>
      <c r="CO2936" s="197"/>
      <c r="CP2936" s="197"/>
      <c r="CQ2936" s="197"/>
      <c r="CR2936" s="197"/>
      <c r="CS2936" s="197"/>
      <c r="CT2936" s="197"/>
      <c r="CU2936" s="197"/>
      <c r="CV2936" s="197"/>
      <c r="CW2936" s="197"/>
      <c r="CX2936" s="959"/>
      <c r="CY2936" s="959"/>
      <c r="CZ2936" s="959"/>
      <c r="DA2936" s="959"/>
      <c r="DB2936" s="959"/>
      <c r="DC2936" s="891">
        <v>9183</v>
      </c>
      <c r="DD2936" s="891" t="s">
        <v>3252</v>
      </c>
      <c r="DE2936" s="891" t="s">
        <v>433</v>
      </c>
      <c r="DF2936" s="891">
        <v>5</v>
      </c>
      <c r="DG2936" s="959"/>
      <c r="DH2936" s="959"/>
      <c r="ER2936" s="905">
        <v>8931</v>
      </c>
      <c r="ES2936" s="906" t="s">
        <v>4475</v>
      </c>
      <c r="ET2936" s="2686">
        <v>9</v>
      </c>
      <c r="EV2936" s="985"/>
      <c r="EW2936" s="985"/>
      <c r="EX2936" s="387"/>
      <c r="EY2936" s="939"/>
      <c r="EZ2936" s="886"/>
    </row>
    <row r="2937" spans="88:156">
      <c r="CJ2937" s="197"/>
      <c r="CK2937" s="197"/>
      <c r="CL2937" s="197"/>
      <c r="CM2937" s="213"/>
      <c r="CN2937" s="213"/>
      <c r="CO2937" s="197"/>
      <c r="CP2937" s="197"/>
      <c r="CQ2937" s="197"/>
      <c r="CR2937" s="197"/>
      <c r="CS2937" s="197"/>
      <c r="CT2937" s="197"/>
      <c r="CU2937" s="197"/>
      <c r="CV2937" s="197"/>
      <c r="CW2937" s="197"/>
      <c r="CX2937" s="959"/>
      <c r="CY2937" s="959"/>
      <c r="CZ2937" s="959"/>
      <c r="DA2937" s="959"/>
      <c r="DB2937" s="959"/>
      <c r="DC2937" s="891">
        <v>9184</v>
      </c>
      <c r="DD2937" s="891" t="s">
        <v>3253</v>
      </c>
      <c r="DE2937" s="891" t="s">
        <v>435</v>
      </c>
      <c r="DF2937" s="891">
        <v>5</v>
      </c>
      <c r="DG2937" s="959"/>
      <c r="DH2937" s="959"/>
      <c r="ER2937" s="905">
        <v>8932</v>
      </c>
      <c r="ES2937" s="906" t="s">
        <v>119</v>
      </c>
      <c r="ET2937" s="2686">
        <v>9</v>
      </c>
      <c r="EV2937" s="985"/>
      <c r="EW2937" s="985"/>
      <c r="EX2937" s="387"/>
      <c r="EY2937" s="939"/>
      <c r="EZ2937" s="886"/>
    </row>
    <row r="2938" spans="88:156">
      <c r="CJ2938" s="197"/>
      <c r="CK2938" s="197"/>
      <c r="CL2938" s="197"/>
      <c r="CM2938" s="213"/>
      <c r="CN2938" s="213"/>
      <c r="CO2938" s="197"/>
      <c r="CP2938" s="197"/>
      <c r="CQ2938" s="197"/>
      <c r="CR2938" s="197"/>
      <c r="CS2938" s="197"/>
      <c r="CT2938" s="197"/>
      <c r="CU2938" s="197"/>
      <c r="CV2938" s="197"/>
      <c r="CW2938" s="197"/>
      <c r="CX2938" s="959"/>
      <c r="CY2938" s="959"/>
      <c r="CZ2938" s="959"/>
      <c r="DA2938" s="959"/>
      <c r="DB2938" s="959"/>
      <c r="DC2938" s="891">
        <v>9200</v>
      </c>
      <c r="DD2938" s="891" t="s">
        <v>3254</v>
      </c>
      <c r="DE2938" s="891" t="s">
        <v>423</v>
      </c>
      <c r="DF2938" s="891">
        <v>6</v>
      </c>
      <c r="DG2938" s="959"/>
      <c r="DH2938" s="959"/>
      <c r="ER2938" s="905">
        <v>8932</v>
      </c>
      <c r="ES2938" s="906" t="s">
        <v>4476</v>
      </c>
      <c r="ET2938" s="2686">
        <v>9</v>
      </c>
      <c r="EV2938" s="985"/>
      <c r="EW2938" s="985"/>
      <c r="EX2938" s="387"/>
      <c r="EY2938" s="939"/>
      <c r="EZ2938" s="886"/>
    </row>
    <row r="2939" spans="88:156">
      <c r="CJ2939" s="197"/>
      <c r="CK2939" s="197"/>
      <c r="CL2939" s="197"/>
      <c r="CM2939" s="213"/>
      <c r="CN2939" s="213"/>
      <c r="CO2939" s="197"/>
      <c r="CP2939" s="197"/>
      <c r="CQ2939" s="197"/>
      <c r="CR2939" s="197"/>
      <c r="CS2939" s="197"/>
      <c r="CT2939" s="197"/>
      <c r="CU2939" s="197"/>
      <c r="CV2939" s="197"/>
      <c r="CW2939" s="197"/>
      <c r="CX2939" s="959"/>
      <c r="CY2939" s="959"/>
      <c r="CZ2939" s="959"/>
      <c r="DA2939" s="959"/>
      <c r="DB2939" s="959"/>
      <c r="DC2939" s="891">
        <v>9211</v>
      </c>
      <c r="DD2939" s="891" t="s">
        <v>3255</v>
      </c>
      <c r="DE2939" s="891" t="s">
        <v>432</v>
      </c>
      <c r="DF2939" s="891">
        <v>6</v>
      </c>
      <c r="DG2939" s="959"/>
      <c r="DH2939" s="959"/>
      <c r="ER2939" s="905">
        <v>8932</v>
      </c>
      <c r="ES2939" s="906" t="s">
        <v>4477</v>
      </c>
      <c r="ET2939" s="2686">
        <v>9</v>
      </c>
      <c r="EV2939" s="985"/>
      <c r="EW2939" s="985"/>
      <c r="EX2939" s="387"/>
      <c r="EY2939" s="939"/>
      <c r="EZ2939" s="886"/>
    </row>
    <row r="2940" spans="88:156">
      <c r="CJ2940" s="197"/>
      <c r="CK2940" s="197"/>
      <c r="CL2940" s="197"/>
      <c r="CM2940" s="213"/>
      <c r="CN2940" s="213"/>
      <c r="CO2940" s="197"/>
      <c r="CP2940" s="197"/>
      <c r="CQ2940" s="197"/>
      <c r="CR2940" s="197"/>
      <c r="CS2940" s="197"/>
      <c r="CT2940" s="197"/>
      <c r="CU2940" s="197"/>
      <c r="CV2940" s="197"/>
      <c r="CW2940" s="197"/>
      <c r="CX2940" s="959"/>
      <c r="CY2940" s="959"/>
      <c r="CZ2940" s="959"/>
      <c r="DA2940" s="959"/>
      <c r="DB2940" s="959"/>
      <c r="DC2940" s="891">
        <v>9221</v>
      </c>
      <c r="DD2940" s="891" t="s">
        <v>3256</v>
      </c>
      <c r="DE2940" s="891" t="s">
        <v>431</v>
      </c>
      <c r="DF2940" s="891">
        <v>6</v>
      </c>
      <c r="DG2940" s="959"/>
      <c r="DH2940" s="959"/>
      <c r="ER2940" s="905">
        <v>8934</v>
      </c>
      <c r="ES2940" s="906" t="s">
        <v>4478</v>
      </c>
      <c r="ET2940" s="2686">
        <v>9</v>
      </c>
      <c r="EV2940" s="985"/>
      <c r="EW2940" s="985"/>
      <c r="EX2940" s="387"/>
      <c r="EY2940" s="939"/>
      <c r="EZ2940" s="886"/>
    </row>
    <row r="2941" spans="88:156">
      <c r="CJ2941" s="197"/>
      <c r="CK2941" s="197"/>
      <c r="CL2941" s="197"/>
      <c r="CM2941" s="213"/>
      <c r="CN2941" s="213"/>
      <c r="CO2941" s="197"/>
      <c r="CP2941" s="197"/>
      <c r="CQ2941" s="197"/>
      <c r="CR2941" s="197"/>
      <c r="CS2941" s="197"/>
      <c r="CT2941" s="197"/>
      <c r="CU2941" s="197"/>
      <c r="CV2941" s="197"/>
      <c r="CW2941" s="197"/>
      <c r="CX2941" s="959"/>
      <c r="CY2941" s="959"/>
      <c r="CZ2941" s="959"/>
      <c r="DA2941" s="959"/>
      <c r="DB2941" s="959"/>
      <c r="DC2941" s="891">
        <v>9222</v>
      </c>
      <c r="DD2941" s="891" t="s">
        <v>3257</v>
      </c>
      <c r="DE2941" s="891" t="s">
        <v>419</v>
      </c>
      <c r="DF2941" s="891">
        <v>6</v>
      </c>
      <c r="DG2941" s="959"/>
      <c r="DH2941" s="959"/>
      <c r="ER2941" s="905">
        <v>8935</v>
      </c>
      <c r="ES2941" s="906" t="s">
        <v>120</v>
      </c>
      <c r="ET2941" s="2686">
        <v>9</v>
      </c>
      <c r="EV2941" s="985"/>
      <c r="EW2941" s="985"/>
      <c r="EX2941" s="387"/>
      <c r="EY2941" s="939"/>
      <c r="EZ2941" s="886"/>
    </row>
    <row r="2942" spans="88:156">
      <c r="CJ2942" s="197"/>
      <c r="CK2942" s="197"/>
      <c r="CL2942" s="197"/>
      <c r="CM2942" s="213"/>
      <c r="CN2942" s="213"/>
      <c r="CO2942" s="197"/>
      <c r="CP2942" s="197"/>
      <c r="CQ2942" s="197"/>
      <c r="CR2942" s="197"/>
      <c r="CS2942" s="197"/>
      <c r="CT2942" s="197"/>
      <c r="CU2942" s="197"/>
      <c r="CV2942" s="197"/>
      <c r="CW2942" s="197"/>
      <c r="CX2942" s="959"/>
      <c r="CY2942" s="959"/>
      <c r="CZ2942" s="959"/>
      <c r="DA2942" s="959"/>
      <c r="DB2942" s="959"/>
      <c r="DC2942" s="891">
        <v>9223</v>
      </c>
      <c r="DD2942" s="891" t="s">
        <v>3258</v>
      </c>
      <c r="DE2942" s="891" t="s">
        <v>404</v>
      </c>
      <c r="DF2942" s="891">
        <v>6</v>
      </c>
      <c r="DG2942" s="959"/>
      <c r="DH2942" s="959"/>
      <c r="ER2942" s="905">
        <v>8935</v>
      </c>
      <c r="ES2942" s="906" t="s">
        <v>121</v>
      </c>
      <c r="ET2942" s="2686">
        <v>9</v>
      </c>
      <c r="EV2942" s="985"/>
      <c r="EW2942" s="985"/>
      <c r="EX2942" s="387"/>
      <c r="EY2942" s="939"/>
      <c r="EZ2942" s="886"/>
    </row>
    <row r="2943" spans="88:156">
      <c r="CJ2943" s="197"/>
      <c r="CK2943" s="197"/>
      <c r="CL2943" s="197"/>
      <c r="CM2943" s="213"/>
      <c r="CN2943" s="213"/>
      <c r="CO2943" s="197"/>
      <c r="CP2943" s="197"/>
      <c r="CQ2943" s="197"/>
      <c r="CR2943" s="197"/>
      <c r="CS2943" s="197"/>
      <c r="CT2943" s="197"/>
      <c r="CU2943" s="197"/>
      <c r="CV2943" s="197"/>
      <c r="CW2943" s="197"/>
      <c r="CX2943" s="959"/>
      <c r="CY2943" s="959"/>
      <c r="CZ2943" s="959"/>
      <c r="DA2943" s="959"/>
      <c r="DB2943" s="959"/>
      <c r="DC2943" s="891">
        <v>9224</v>
      </c>
      <c r="DD2943" s="891" t="s">
        <v>3259</v>
      </c>
      <c r="DE2943" s="891" t="s">
        <v>433</v>
      </c>
      <c r="DF2943" s="891">
        <v>6</v>
      </c>
      <c r="DG2943" s="959"/>
      <c r="DH2943" s="959"/>
      <c r="ER2943" s="905">
        <v>8935</v>
      </c>
      <c r="ES2943" s="906" t="s">
        <v>122</v>
      </c>
      <c r="ET2943" s="2686">
        <v>9</v>
      </c>
      <c r="EV2943" s="985"/>
      <c r="EW2943" s="985"/>
      <c r="EX2943" s="387"/>
      <c r="EY2943" s="939"/>
      <c r="EZ2943" s="886"/>
    </row>
    <row r="2944" spans="88:156">
      <c r="CJ2944" s="197"/>
      <c r="CK2944" s="197"/>
      <c r="CL2944" s="197"/>
      <c r="CM2944" s="213"/>
      <c r="CN2944" s="213"/>
      <c r="CO2944" s="197"/>
      <c r="CP2944" s="197"/>
      <c r="CQ2944" s="197"/>
      <c r="CR2944" s="197"/>
      <c r="CS2944" s="197"/>
      <c r="CT2944" s="197"/>
      <c r="CU2944" s="197"/>
      <c r="CV2944" s="197"/>
      <c r="CW2944" s="197"/>
      <c r="CX2944" s="959"/>
      <c r="CY2944" s="959"/>
      <c r="CZ2944" s="959"/>
      <c r="DA2944" s="959"/>
      <c r="DB2944" s="959"/>
      <c r="DC2944" s="891">
        <v>9225</v>
      </c>
      <c r="DD2944" s="891" t="s">
        <v>3260</v>
      </c>
      <c r="DE2944" s="891" t="s">
        <v>412</v>
      </c>
      <c r="DF2944" s="891">
        <v>6</v>
      </c>
      <c r="DG2944" s="959"/>
      <c r="DH2944" s="959"/>
      <c r="ER2944" s="905">
        <v>8935</v>
      </c>
      <c r="ES2944" s="906" t="s">
        <v>123</v>
      </c>
      <c r="ET2944" s="2686">
        <v>9</v>
      </c>
      <c r="EV2944" s="985"/>
      <c r="EW2944" s="985"/>
      <c r="EX2944" s="387"/>
      <c r="EY2944" s="939"/>
      <c r="EZ2944" s="886"/>
    </row>
    <row r="2945" spans="88:156">
      <c r="CJ2945" s="197"/>
      <c r="CK2945" s="197"/>
      <c r="CL2945" s="197"/>
      <c r="CM2945" s="213"/>
      <c r="CN2945" s="213"/>
      <c r="CO2945" s="197"/>
      <c r="CP2945" s="197"/>
      <c r="CQ2945" s="197"/>
      <c r="CR2945" s="197"/>
      <c r="CS2945" s="197"/>
      <c r="CT2945" s="197"/>
      <c r="CU2945" s="197"/>
      <c r="CV2945" s="197"/>
      <c r="CW2945" s="197"/>
      <c r="CX2945" s="959"/>
      <c r="CY2945" s="959"/>
      <c r="CZ2945" s="959"/>
      <c r="DA2945" s="959"/>
      <c r="DB2945" s="959"/>
      <c r="DC2945" s="891">
        <v>9226</v>
      </c>
      <c r="DD2945" s="891" t="s">
        <v>3261</v>
      </c>
      <c r="DE2945" s="891" t="s">
        <v>402</v>
      </c>
      <c r="DF2945" s="891">
        <v>6</v>
      </c>
      <c r="DG2945" s="959"/>
      <c r="DH2945" s="959"/>
      <c r="ER2945" s="905">
        <v>8935</v>
      </c>
      <c r="ES2945" s="906" t="s">
        <v>4479</v>
      </c>
      <c r="ET2945" s="2686">
        <v>9</v>
      </c>
      <c r="EV2945" s="985"/>
      <c r="EW2945" s="985"/>
      <c r="EX2945" s="387"/>
      <c r="EY2945" s="939"/>
      <c r="EZ2945" s="886"/>
    </row>
    <row r="2946" spans="88:156">
      <c r="CJ2946" s="197"/>
      <c r="CK2946" s="197"/>
      <c r="CL2946" s="197"/>
      <c r="CM2946" s="213"/>
      <c r="CN2946" s="213"/>
      <c r="CO2946" s="197"/>
      <c r="CP2946" s="197"/>
      <c r="CQ2946" s="197"/>
      <c r="CR2946" s="197"/>
      <c r="CS2946" s="197"/>
      <c r="CT2946" s="197"/>
      <c r="CU2946" s="197"/>
      <c r="CV2946" s="197"/>
      <c r="CW2946" s="197"/>
      <c r="CX2946" s="959"/>
      <c r="CY2946" s="959"/>
      <c r="CZ2946" s="959"/>
      <c r="DA2946" s="959"/>
      <c r="DB2946" s="959"/>
      <c r="DC2946" s="891">
        <v>9228</v>
      </c>
      <c r="DD2946" s="891" t="s">
        <v>3262</v>
      </c>
      <c r="DE2946" s="891" t="s">
        <v>423</v>
      </c>
      <c r="DF2946" s="891">
        <v>6</v>
      </c>
      <c r="DG2946" s="959"/>
      <c r="DH2946" s="959"/>
      <c r="ER2946" s="905">
        <v>8936</v>
      </c>
      <c r="ES2946" s="906" t="s">
        <v>4480</v>
      </c>
      <c r="ET2946" s="2686">
        <v>9</v>
      </c>
      <c r="EV2946" s="985"/>
      <c r="EW2946" s="985"/>
      <c r="EX2946" s="387"/>
      <c r="EY2946" s="939"/>
      <c r="EZ2946" s="886"/>
    </row>
    <row r="2947" spans="88:156">
      <c r="CJ2947" s="197"/>
      <c r="CK2947" s="197"/>
      <c r="CL2947" s="197"/>
      <c r="CM2947" s="213"/>
      <c r="CN2947" s="213"/>
      <c r="CO2947" s="197"/>
      <c r="CP2947" s="197"/>
      <c r="CQ2947" s="197"/>
      <c r="CR2947" s="197"/>
      <c r="CS2947" s="197"/>
      <c r="CT2947" s="197"/>
      <c r="CU2947" s="197"/>
      <c r="CV2947" s="197"/>
      <c r="CW2947" s="197"/>
      <c r="CX2947" s="959"/>
      <c r="CY2947" s="959"/>
      <c r="CZ2947" s="959"/>
      <c r="DA2947" s="959"/>
      <c r="DB2947" s="959"/>
      <c r="DC2947" s="891">
        <v>9231</v>
      </c>
      <c r="DD2947" s="891" t="s">
        <v>3263</v>
      </c>
      <c r="DE2947" s="891" t="s">
        <v>432</v>
      </c>
      <c r="DF2947" s="891">
        <v>6</v>
      </c>
      <c r="DG2947" s="959"/>
      <c r="DH2947" s="959"/>
      <c r="ER2947" s="905">
        <v>8943</v>
      </c>
      <c r="ES2947" s="906" t="s">
        <v>4482</v>
      </c>
      <c r="ET2947" s="2686">
        <v>6</v>
      </c>
      <c r="EV2947" s="985"/>
      <c r="EW2947" s="985"/>
      <c r="EX2947" s="387"/>
      <c r="EY2947" s="939"/>
      <c r="EZ2947" s="886"/>
    </row>
    <row r="2948" spans="88:156">
      <c r="CJ2948" s="197"/>
      <c r="CK2948" s="197"/>
      <c r="CL2948" s="197"/>
      <c r="CM2948" s="213"/>
      <c r="CN2948" s="213"/>
      <c r="CO2948" s="197"/>
      <c r="CP2948" s="197"/>
      <c r="CQ2948" s="197"/>
      <c r="CR2948" s="197"/>
      <c r="CS2948" s="197"/>
      <c r="CT2948" s="197"/>
      <c r="CU2948" s="197"/>
      <c r="CV2948" s="197"/>
      <c r="CW2948" s="197"/>
      <c r="CX2948" s="959"/>
      <c r="CY2948" s="959"/>
      <c r="CZ2948" s="959"/>
      <c r="DA2948" s="959"/>
      <c r="DB2948" s="959"/>
      <c r="DC2948" s="891">
        <v>9232</v>
      </c>
      <c r="DD2948" s="891" t="s">
        <v>3264</v>
      </c>
      <c r="DE2948" s="891" t="s">
        <v>431</v>
      </c>
      <c r="DF2948" s="891">
        <v>6</v>
      </c>
      <c r="DG2948" s="959"/>
      <c r="DH2948" s="959"/>
      <c r="ER2948" s="905">
        <v>8943</v>
      </c>
      <c r="ES2948" s="906" t="s">
        <v>4481</v>
      </c>
      <c r="ET2948" s="2686">
        <v>9</v>
      </c>
      <c r="EV2948" s="985"/>
      <c r="EW2948" s="985"/>
      <c r="EX2948" s="387"/>
      <c r="EY2948" s="939"/>
      <c r="EZ2948" s="886"/>
    </row>
    <row r="2949" spans="88:156">
      <c r="CJ2949" s="197"/>
      <c r="CK2949" s="197"/>
      <c r="CL2949" s="197"/>
      <c r="CM2949" s="213"/>
      <c r="CN2949" s="213"/>
      <c r="CO2949" s="197"/>
      <c r="CP2949" s="197"/>
      <c r="CQ2949" s="197"/>
      <c r="CR2949" s="197"/>
      <c r="CS2949" s="197"/>
      <c r="CT2949" s="197"/>
      <c r="CU2949" s="197"/>
      <c r="CV2949" s="197"/>
      <c r="CW2949" s="197"/>
      <c r="CX2949" s="959"/>
      <c r="CY2949" s="959"/>
      <c r="CZ2949" s="959"/>
      <c r="DA2949" s="959"/>
      <c r="DB2949" s="959"/>
      <c r="DC2949" s="891">
        <v>9233</v>
      </c>
      <c r="DD2949" s="891" t="s">
        <v>3265</v>
      </c>
      <c r="DE2949" s="891" t="s">
        <v>418</v>
      </c>
      <c r="DF2949" s="891">
        <v>5</v>
      </c>
      <c r="DG2949" s="959"/>
      <c r="DH2949" s="959"/>
      <c r="ER2949" s="905">
        <v>8944</v>
      </c>
      <c r="ES2949" s="906" t="s">
        <v>4483</v>
      </c>
      <c r="ET2949" s="2686">
        <v>6</v>
      </c>
      <c r="EV2949" s="985"/>
      <c r="EW2949" s="985"/>
      <c r="EX2949" s="387"/>
      <c r="EY2949" s="939"/>
      <c r="EZ2949" s="886"/>
    </row>
    <row r="2950" spans="88:156">
      <c r="CJ2950" s="197"/>
      <c r="CK2950" s="197"/>
      <c r="CL2950" s="197"/>
      <c r="CM2950" s="213"/>
      <c r="CN2950" s="213"/>
      <c r="CO2950" s="197"/>
      <c r="CP2950" s="197"/>
      <c r="CQ2950" s="197"/>
      <c r="CR2950" s="197"/>
      <c r="CS2950" s="197"/>
      <c r="CT2950" s="197"/>
      <c r="CU2950" s="197"/>
      <c r="CV2950" s="197"/>
      <c r="CW2950" s="197"/>
      <c r="CX2950" s="959"/>
      <c r="CY2950" s="959"/>
      <c r="CZ2950" s="959"/>
      <c r="DA2950" s="959"/>
      <c r="DB2950" s="959"/>
      <c r="DC2950" s="891">
        <v>9234</v>
      </c>
      <c r="DD2950" s="891" t="s">
        <v>3266</v>
      </c>
      <c r="DE2950" s="891" t="s">
        <v>402</v>
      </c>
      <c r="DF2950" s="891">
        <v>6</v>
      </c>
      <c r="DG2950" s="959"/>
      <c r="DH2950" s="959"/>
      <c r="ER2950" s="905">
        <v>8945</v>
      </c>
      <c r="ES2950" s="906" t="s">
        <v>4484</v>
      </c>
      <c r="ET2950" s="2686">
        <v>9</v>
      </c>
      <c r="EV2950" s="985"/>
      <c r="EW2950" s="985"/>
      <c r="EX2950" s="387"/>
      <c r="EY2950" s="939"/>
      <c r="EZ2950" s="886"/>
    </row>
    <row r="2951" spans="88:156">
      <c r="CJ2951" s="197"/>
      <c r="CK2951" s="197"/>
      <c r="CL2951" s="197"/>
      <c r="CM2951" s="213"/>
      <c r="CN2951" s="213"/>
      <c r="CO2951" s="197"/>
      <c r="CP2951" s="197"/>
      <c r="CQ2951" s="197"/>
      <c r="CR2951" s="197"/>
      <c r="CS2951" s="197"/>
      <c r="CT2951" s="197"/>
      <c r="CU2951" s="197"/>
      <c r="CV2951" s="197"/>
      <c r="CW2951" s="197"/>
      <c r="CX2951" s="959"/>
      <c r="CY2951" s="959"/>
      <c r="CZ2951" s="959"/>
      <c r="DA2951" s="959"/>
      <c r="DB2951" s="959"/>
      <c r="DC2951" s="891">
        <v>9235</v>
      </c>
      <c r="DD2951" s="891" t="s">
        <v>3267</v>
      </c>
      <c r="DE2951" s="891" t="s">
        <v>418</v>
      </c>
      <c r="DF2951" s="891">
        <v>6</v>
      </c>
      <c r="DG2951" s="959"/>
      <c r="DH2951" s="959"/>
      <c r="ER2951" s="905">
        <v>8946</v>
      </c>
      <c r="ES2951" s="906" t="s">
        <v>124</v>
      </c>
      <c r="ET2951" s="2686">
        <v>9</v>
      </c>
      <c r="EV2951" s="985"/>
      <c r="EW2951" s="985"/>
      <c r="EX2951" s="387"/>
      <c r="EY2951" s="939"/>
      <c r="EZ2951" s="886"/>
    </row>
    <row r="2952" spans="88:156">
      <c r="CJ2952" s="197"/>
      <c r="CK2952" s="197"/>
      <c r="CL2952" s="197"/>
      <c r="CM2952" s="213"/>
      <c r="CN2952" s="213"/>
      <c r="CO2952" s="197"/>
      <c r="CP2952" s="197"/>
      <c r="CQ2952" s="197"/>
      <c r="CR2952" s="197"/>
      <c r="CS2952" s="197"/>
      <c r="CT2952" s="197"/>
      <c r="CU2952" s="197"/>
      <c r="CV2952" s="197"/>
      <c r="CW2952" s="197"/>
      <c r="CX2952" s="959"/>
      <c r="CY2952" s="959"/>
      <c r="CZ2952" s="959"/>
      <c r="DA2952" s="959"/>
      <c r="DB2952" s="959"/>
      <c r="DC2952" s="891">
        <v>9241</v>
      </c>
      <c r="DD2952" s="891" t="s">
        <v>3268</v>
      </c>
      <c r="DE2952" s="891" t="s">
        <v>412</v>
      </c>
      <c r="DF2952" s="891">
        <v>6</v>
      </c>
      <c r="DG2952" s="959"/>
      <c r="DH2952" s="959"/>
      <c r="ER2952" s="905">
        <v>8946</v>
      </c>
      <c r="ES2952" s="906" t="s">
        <v>125</v>
      </c>
      <c r="ET2952" s="2686">
        <v>9</v>
      </c>
      <c r="EV2952" s="985"/>
      <c r="EW2952" s="985"/>
      <c r="EX2952" s="387"/>
      <c r="EY2952" s="939"/>
      <c r="EZ2952" s="886"/>
    </row>
    <row r="2953" spans="88:156">
      <c r="CJ2953" s="197"/>
      <c r="CK2953" s="197"/>
      <c r="CL2953" s="197"/>
      <c r="CM2953" s="213"/>
      <c r="CN2953" s="213"/>
      <c r="CO2953" s="197"/>
      <c r="CP2953" s="197"/>
      <c r="CQ2953" s="197"/>
      <c r="CR2953" s="197"/>
      <c r="CS2953" s="197"/>
      <c r="CT2953" s="197"/>
      <c r="CU2953" s="197"/>
      <c r="CV2953" s="197"/>
      <c r="CW2953" s="197"/>
      <c r="CX2953" s="959"/>
      <c r="CY2953" s="959"/>
      <c r="CZ2953" s="959"/>
      <c r="DA2953" s="959"/>
      <c r="DB2953" s="959"/>
      <c r="DC2953" s="891">
        <v>9242</v>
      </c>
      <c r="DD2953" s="891" t="s">
        <v>3268</v>
      </c>
      <c r="DE2953" s="891" t="s">
        <v>417</v>
      </c>
      <c r="DF2953" s="891">
        <v>6</v>
      </c>
      <c r="DG2953" s="959"/>
      <c r="DH2953" s="959"/>
      <c r="ER2953" s="905">
        <v>8946</v>
      </c>
      <c r="ES2953" s="906" t="s">
        <v>4485</v>
      </c>
      <c r="ET2953" s="2686">
        <v>9</v>
      </c>
      <c r="EV2953" s="985"/>
      <c r="EW2953" s="985"/>
      <c r="EX2953" s="387"/>
      <c r="EY2953" s="939"/>
      <c r="EZ2953" s="886"/>
    </row>
    <row r="2954" spans="88:156">
      <c r="CJ2954" s="197"/>
      <c r="CK2954" s="197"/>
      <c r="CL2954" s="197"/>
      <c r="CM2954" s="213"/>
      <c r="CN2954" s="213"/>
      <c r="CO2954" s="197"/>
      <c r="CP2954" s="197"/>
      <c r="CQ2954" s="197"/>
      <c r="CR2954" s="197"/>
      <c r="CS2954" s="197"/>
      <c r="CT2954" s="197"/>
      <c r="CU2954" s="197"/>
      <c r="CV2954" s="197"/>
      <c r="CW2954" s="197"/>
      <c r="CX2954" s="959"/>
      <c r="CY2954" s="959"/>
      <c r="CZ2954" s="959"/>
      <c r="DA2954" s="959"/>
      <c r="DB2954" s="959"/>
      <c r="DC2954" s="891">
        <v>9243</v>
      </c>
      <c r="DD2954" s="891" t="s">
        <v>3269</v>
      </c>
      <c r="DE2954" s="891" t="s">
        <v>418</v>
      </c>
      <c r="DF2954" s="891">
        <v>6</v>
      </c>
      <c r="DG2954" s="959"/>
      <c r="DH2954" s="959"/>
      <c r="ER2954" s="905">
        <v>8947</v>
      </c>
      <c r="ES2954" s="906" t="s">
        <v>126</v>
      </c>
      <c r="ET2954" s="2686">
        <v>9</v>
      </c>
      <c r="EV2954" s="985"/>
      <c r="EW2954" s="985"/>
      <c r="EX2954" s="387"/>
      <c r="EY2954" s="939"/>
      <c r="EZ2954" s="886"/>
    </row>
    <row r="2955" spans="88:156">
      <c r="CJ2955" s="197"/>
      <c r="CK2955" s="197"/>
      <c r="CL2955" s="197"/>
      <c r="CM2955" s="213"/>
      <c r="CN2955" s="213"/>
      <c r="CO2955" s="197"/>
      <c r="CP2955" s="197"/>
      <c r="CQ2955" s="197"/>
      <c r="CR2955" s="197"/>
      <c r="CS2955" s="197"/>
      <c r="CT2955" s="197"/>
      <c r="CU2955" s="197"/>
      <c r="CV2955" s="197"/>
      <c r="CW2955" s="197"/>
      <c r="CX2955" s="959"/>
      <c r="CY2955" s="959"/>
      <c r="CZ2955" s="959"/>
      <c r="DA2955" s="959"/>
      <c r="DB2955" s="959"/>
      <c r="DC2955" s="891">
        <v>9244</v>
      </c>
      <c r="DD2955" s="891" t="s">
        <v>3270</v>
      </c>
      <c r="DE2955" s="891" t="s">
        <v>434</v>
      </c>
      <c r="DF2955" s="891">
        <v>6</v>
      </c>
      <c r="DG2955" s="959"/>
      <c r="DH2955" s="959"/>
      <c r="ER2955" s="905">
        <v>8947</v>
      </c>
      <c r="ES2955" s="906" t="s">
        <v>4486</v>
      </c>
      <c r="ET2955" s="2686">
        <v>9</v>
      </c>
      <c r="EV2955" s="985"/>
      <c r="EW2955" s="985"/>
      <c r="EX2955" s="387"/>
      <c r="EY2955" s="939"/>
      <c r="EZ2955" s="886"/>
    </row>
    <row r="2956" spans="88:156">
      <c r="CJ2956" s="197"/>
      <c r="CK2956" s="197"/>
      <c r="CL2956" s="197"/>
      <c r="CM2956" s="213"/>
      <c r="CN2956" s="213"/>
      <c r="CO2956" s="197"/>
      <c r="CP2956" s="197"/>
      <c r="CQ2956" s="197"/>
      <c r="CR2956" s="197"/>
      <c r="CS2956" s="197"/>
      <c r="CT2956" s="197"/>
      <c r="CU2956" s="197"/>
      <c r="CV2956" s="197"/>
      <c r="CW2956" s="197"/>
      <c r="CX2956" s="959"/>
      <c r="CY2956" s="959"/>
      <c r="CZ2956" s="959"/>
      <c r="DA2956" s="959"/>
      <c r="DB2956" s="959"/>
      <c r="DC2956" s="891">
        <v>9245</v>
      </c>
      <c r="DD2956" s="891" t="s">
        <v>3271</v>
      </c>
      <c r="DE2956" s="891" t="s">
        <v>434</v>
      </c>
      <c r="DF2956" s="891">
        <v>6</v>
      </c>
      <c r="DG2956" s="959"/>
      <c r="DH2956" s="959"/>
      <c r="ER2956" s="905">
        <v>8948</v>
      </c>
      <c r="ES2956" s="906" t="s">
        <v>127</v>
      </c>
      <c r="ET2956" s="2686">
        <v>9</v>
      </c>
      <c r="EV2956" s="985"/>
      <c r="EW2956" s="985"/>
      <c r="EX2956" s="387"/>
      <c r="EY2956" s="939"/>
      <c r="EZ2956" s="886"/>
    </row>
    <row r="2957" spans="88:156">
      <c r="CJ2957" s="197"/>
      <c r="CK2957" s="197"/>
      <c r="CL2957" s="197"/>
      <c r="CM2957" s="213"/>
      <c r="CN2957" s="213"/>
      <c r="CO2957" s="197"/>
      <c r="CP2957" s="197"/>
      <c r="CQ2957" s="197"/>
      <c r="CR2957" s="197"/>
      <c r="CS2957" s="197"/>
      <c r="CT2957" s="197"/>
      <c r="CU2957" s="197"/>
      <c r="CV2957" s="197"/>
      <c r="CW2957" s="197"/>
      <c r="CX2957" s="959"/>
      <c r="CY2957" s="959"/>
      <c r="CZ2957" s="959"/>
      <c r="DA2957" s="959"/>
      <c r="DB2957" s="959"/>
      <c r="DC2957" s="891">
        <v>9300</v>
      </c>
      <c r="DD2957" s="891" t="s">
        <v>3272</v>
      </c>
      <c r="DE2957" s="891" t="s">
        <v>434</v>
      </c>
      <c r="DF2957" s="891">
        <v>6</v>
      </c>
      <c r="DG2957" s="959"/>
      <c r="DH2957" s="959"/>
      <c r="ER2957" s="905">
        <v>8948</v>
      </c>
      <c r="ES2957" s="906" t="s">
        <v>4487</v>
      </c>
      <c r="ET2957" s="2686">
        <v>9</v>
      </c>
      <c r="EV2957" s="985"/>
      <c r="EW2957" s="985"/>
      <c r="EX2957" s="387"/>
      <c r="EY2957" s="939"/>
      <c r="EZ2957" s="886"/>
    </row>
    <row r="2958" spans="88:156">
      <c r="CJ2958" s="197"/>
      <c r="CK2958" s="197"/>
      <c r="CL2958" s="197"/>
      <c r="CM2958" s="213"/>
      <c r="CN2958" s="213"/>
      <c r="CO2958" s="197"/>
      <c r="CP2958" s="197"/>
      <c r="CQ2958" s="197"/>
      <c r="CR2958" s="197"/>
      <c r="CS2958" s="197"/>
      <c r="CT2958" s="197"/>
      <c r="CU2958" s="197"/>
      <c r="CV2958" s="197"/>
      <c r="CW2958" s="197"/>
      <c r="CX2958" s="959"/>
      <c r="CY2958" s="959"/>
      <c r="CZ2958" s="959"/>
      <c r="DA2958" s="959"/>
      <c r="DB2958" s="959"/>
      <c r="DC2958" s="891">
        <v>9311</v>
      </c>
      <c r="DD2958" s="891" t="s">
        <v>3273</v>
      </c>
      <c r="DE2958" s="891" t="s">
        <v>434</v>
      </c>
      <c r="DF2958" s="891">
        <v>6</v>
      </c>
      <c r="DG2958" s="959"/>
      <c r="DH2958" s="959"/>
      <c r="ER2958" s="905">
        <v>8949</v>
      </c>
      <c r="ES2958" s="906" t="s">
        <v>4488</v>
      </c>
      <c r="ET2958" s="2686">
        <v>9</v>
      </c>
      <c r="EV2958" s="985"/>
      <c r="EW2958" s="985"/>
      <c r="EX2958" s="387"/>
      <c r="EY2958" s="939"/>
      <c r="EZ2958" s="886"/>
    </row>
    <row r="2959" spans="88:156">
      <c r="CJ2959" s="197"/>
      <c r="CK2959" s="197"/>
      <c r="CL2959" s="197"/>
      <c r="CM2959" s="213"/>
      <c r="CN2959" s="213"/>
      <c r="CO2959" s="197"/>
      <c r="CP2959" s="197"/>
      <c r="CQ2959" s="197"/>
      <c r="CR2959" s="197"/>
      <c r="CS2959" s="197"/>
      <c r="CT2959" s="197"/>
      <c r="CU2959" s="197"/>
      <c r="CV2959" s="197"/>
      <c r="CW2959" s="197"/>
      <c r="CX2959" s="959"/>
      <c r="CY2959" s="959"/>
      <c r="CZ2959" s="959"/>
      <c r="DA2959" s="959"/>
      <c r="DB2959" s="959"/>
      <c r="DC2959" s="891">
        <v>9312</v>
      </c>
      <c r="DD2959" s="891" t="s">
        <v>3274</v>
      </c>
      <c r="DE2959" s="891" t="s">
        <v>421</v>
      </c>
      <c r="DF2959" s="891">
        <v>6</v>
      </c>
      <c r="DG2959" s="959"/>
      <c r="DH2959" s="959"/>
      <c r="ER2959" s="905">
        <v>8951</v>
      </c>
      <c r="ES2959" s="906" t="s">
        <v>128</v>
      </c>
      <c r="ET2959" s="2686">
        <v>9</v>
      </c>
      <c r="EV2959" s="985"/>
      <c r="EW2959" s="985"/>
      <c r="EX2959" s="387"/>
      <c r="EY2959" s="939"/>
      <c r="EZ2959" s="886"/>
    </row>
    <row r="2960" spans="88:156">
      <c r="CJ2960" s="197"/>
      <c r="CK2960" s="197"/>
      <c r="CL2960" s="197"/>
      <c r="CM2960" s="213"/>
      <c r="CN2960" s="213"/>
      <c r="CO2960" s="197"/>
      <c r="CP2960" s="197"/>
      <c r="CQ2960" s="197"/>
      <c r="CR2960" s="197"/>
      <c r="CS2960" s="197"/>
      <c r="CT2960" s="197"/>
      <c r="CU2960" s="197"/>
      <c r="CV2960" s="197"/>
      <c r="CW2960" s="197"/>
      <c r="CX2960" s="959"/>
      <c r="CY2960" s="959"/>
      <c r="CZ2960" s="959"/>
      <c r="DA2960" s="959"/>
      <c r="DB2960" s="959"/>
      <c r="DC2960" s="891">
        <v>9313</v>
      </c>
      <c r="DD2960" s="891" t="s">
        <v>3275</v>
      </c>
      <c r="DE2960" s="891" t="s">
        <v>418</v>
      </c>
      <c r="DF2960" s="891">
        <v>6</v>
      </c>
      <c r="DG2960" s="959"/>
      <c r="DH2960" s="959"/>
      <c r="ER2960" s="905">
        <v>8951</v>
      </c>
      <c r="ES2960" s="906" t="s">
        <v>4489</v>
      </c>
      <c r="ET2960" s="2686">
        <v>9</v>
      </c>
      <c r="EV2960" s="985"/>
      <c r="EW2960" s="985"/>
      <c r="EX2960" s="387"/>
      <c r="EY2960" s="939"/>
      <c r="EZ2960" s="886"/>
    </row>
    <row r="2961" spans="88:156">
      <c r="CJ2961" s="197"/>
      <c r="CK2961" s="197"/>
      <c r="CL2961" s="197"/>
      <c r="CM2961" s="213"/>
      <c r="CN2961" s="213"/>
      <c r="CO2961" s="197"/>
      <c r="CP2961" s="197"/>
      <c r="CQ2961" s="197"/>
      <c r="CR2961" s="197"/>
      <c r="CS2961" s="197"/>
      <c r="CT2961" s="197"/>
      <c r="CU2961" s="197"/>
      <c r="CV2961" s="197"/>
      <c r="CW2961" s="197"/>
      <c r="CX2961" s="959"/>
      <c r="CY2961" s="959"/>
      <c r="CZ2961" s="959"/>
      <c r="DA2961" s="959"/>
      <c r="DB2961" s="959"/>
      <c r="DC2961" s="891">
        <v>9314</v>
      </c>
      <c r="DD2961" s="891" t="s">
        <v>3276</v>
      </c>
      <c r="DE2961" s="891" t="s">
        <v>417</v>
      </c>
      <c r="DF2961" s="891">
        <v>6</v>
      </c>
      <c r="DG2961" s="959"/>
      <c r="DH2961" s="959"/>
      <c r="ER2961" s="905">
        <v>8953</v>
      </c>
      <c r="ES2961" s="906" t="s">
        <v>4490</v>
      </c>
      <c r="ET2961" s="2686">
        <v>9</v>
      </c>
      <c r="EV2961" s="985"/>
      <c r="EW2961" s="985"/>
      <c r="EX2961" s="387"/>
      <c r="EY2961" s="939"/>
      <c r="EZ2961" s="886"/>
    </row>
    <row r="2962" spans="88:156">
      <c r="CJ2962" s="197"/>
      <c r="CK2962" s="197"/>
      <c r="CL2962" s="197"/>
      <c r="CM2962" s="213"/>
      <c r="CN2962" s="213"/>
      <c r="CO2962" s="197"/>
      <c r="CP2962" s="197"/>
      <c r="CQ2962" s="197"/>
      <c r="CR2962" s="197"/>
      <c r="CS2962" s="197"/>
      <c r="CT2962" s="197"/>
      <c r="CU2962" s="197"/>
      <c r="CV2962" s="197"/>
      <c r="CW2962" s="197"/>
      <c r="CX2962" s="959"/>
      <c r="CY2962" s="959"/>
      <c r="CZ2962" s="959"/>
      <c r="DA2962" s="959"/>
      <c r="DB2962" s="959"/>
      <c r="DC2962" s="891">
        <v>9315</v>
      </c>
      <c r="DD2962" s="891" t="s">
        <v>3277</v>
      </c>
      <c r="DE2962" s="891" t="s">
        <v>417</v>
      </c>
      <c r="DF2962" s="891">
        <v>6</v>
      </c>
      <c r="DG2962" s="959"/>
      <c r="DH2962" s="959"/>
      <c r="ER2962" s="905">
        <v>8954</v>
      </c>
      <c r="ES2962" s="906" t="s">
        <v>4491</v>
      </c>
      <c r="ET2962" s="2686">
        <v>9</v>
      </c>
      <c r="EV2962" s="985"/>
      <c r="EW2962" s="985"/>
      <c r="EX2962" s="387"/>
      <c r="EY2962" s="939"/>
      <c r="EZ2962" s="886"/>
    </row>
    <row r="2963" spans="88:156">
      <c r="CJ2963" s="197"/>
      <c r="CK2963" s="197"/>
      <c r="CL2963" s="197"/>
      <c r="CM2963" s="213"/>
      <c r="CN2963" s="213"/>
      <c r="CO2963" s="197"/>
      <c r="CP2963" s="197"/>
      <c r="CQ2963" s="197"/>
      <c r="CR2963" s="197"/>
      <c r="CS2963" s="197"/>
      <c r="CT2963" s="197"/>
      <c r="CU2963" s="197"/>
      <c r="CV2963" s="197"/>
      <c r="CW2963" s="197"/>
      <c r="CX2963" s="959"/>
      <c r="CY2963" s="959"/>
      <c r="CZ2963" s="959"/>
      <c r="DA2963" s="959"/>
      <c r="DB2963" s="959"/>
      <c r="DC2963" s="891">
        <v>9316</v>
      </c>
      <c r="DD2963" s="891" t="s">
        <v>3278</v>
      </c>
      <c r="DE2963" s="891" t="s">
        <v>421</v>
      </c>
      <c r="DF2963" s="891">
        <v>6</v>
      </c>
      <c r="DG2963" s="959"/>
      <c r="DH2963" s="959"/>
      <c r="ER2963" s="905">
        <v>8956</v>
      </c>
      <c r="ES2963" s="906" t="s">
        <v>129</v>
      </c>
      <c r="ET2963" s="2686">
        <v>9</v>
      </c>
      <c r="EV2963" s="985"/>
      <c r="EW2963" s="985"/>
      <c r="EX2963" s="387"/>
      <c r="EY2963" s="939"/>
      <c r="EZ2963" s="886"/>
    </row>
    <row r="2964" spans="88:156">
      <c r="CJ2964" s="197"/>
      <c r="CK2964" s="197"/>
      <c r="CL2964" s="197"/>
      <c r="CM2964" s="213"/>
      <c r="CN2964" s="213"/>
      <c r="CO2964" s="197"/>
      <c r="CP2964" s="197"/>
      <c r="CQ2964" s="197"/>
      <c r="CR2964" s="197"/>
      <c r="CS2964" s="197"/>
      <c r="CT2964" s="197"/>
      <c r="CU2964" s="197"/>
      <c r="CV2964" s="197"/>
      <c r="CW2964" s="197"/>
      <c r="CX2964" s="959"/>
      <c r="CY2964" s="959"/>
      <c r="CZ2964" s="959"/>
      <c r="DA2964" s="959"/>
      <c r="DB2964" s="959"/>
      <c r="DC2964" s="891">
        <v>9317</v>
      </c>
      <c r="DD2964" s="891" t="s">
        <v>3279</v>
      </c>
      <c r="DE2964" s="891" t="s">
        <v>421</v>
      </c>
      <c r="DF2964" s="891">
        <v>6</v>
      </c>
      <c r="DG2964" s="959"/>
      <c r="DH2964" s="959"/>
      <c r="ER2964" s="905">
        <v>8956</v>
      </c>
      <c r="ES2964" s="906" t="s">
        <v>130</v>
      </c>
      <c r="ET2964" s="2686">
        <v>9</v>
      </c>
      <c r="EV2964" s="985"/>
      <c r="EW2964" s="985"/>
      <c r="EX2964" s="387"/>
      <c r="EY2964" s="939"/>
      <c r="EZ2964" s="886"/>
    </row>
    <row r="2965" spans="88:156">
      <c r="CJ2965" s="197"/>
      <c r="CK2965" s="197"/>
      <c r="CL2965" s="197"/>
      <c r="CM2965" s="213"/>
      <c r="CN2965" s="213"/>
      <c r="CO2965" s="197"/>
      <c r="CP2965" s="197"/>
      <c r="CQ2965" s="197"/>
      <c r="CR2965" s="197"/>
      <c r="CS2965" s="197"/>
      <c r="CT2965" s="197"/>
      <c r="CU2965" s="197"/>
      <c r="CV2965" s="197"/>
      <c r="CW2965" s="197"/>
      <c r="CX2965" s="959"/>
      <c r="CY2965" s="959"/>
      <c r="CZ2965" s="959"/>
      <c r="DA2965" s="959"/>
      <c r="DB2965" s="959"/>
      <c r="DC2965" s="891">
        <v>9321</v>
      </c>
      <c r="DD2965" s="891" t="s">
        <v>3830</v>
      </c>
      <c r="DE2965" s="891" t="s">
        <v>417</v>
      </c>
      <c r="DF2965" s="891">
        <v>6</v>
      </c>
      <c r="DG2965" s="959"/>
      <c r="DH2965" s="959"/>
      <c r="ER2965" s="905">
        <v>8956</v>
      </c>
      <c r="ES2965" s="906" t="s">
        <v>4492</v>
      </c>
      <c r="ET2965" s="2686">
        <v>9</v>
      </c>
      <c r="EV2965" s="985"/>
      <c r="EW2965" s="985"/>
      <c r="EX2965" s="387"/>
      <c r="EY2965" s="939"/>
      <c r="EZ2965" s="886"/>
    </row>
    <row r="2966" spans="88:156">
      <c r="CJ2966" s="197"/>
      <c r="CK2966" s="197"/>
      <c r="CL2966" s="197"/>
      <c r="CM2966" s="213"/>
      <c r="CN2966" s="213"/>
      <c r="CO2966" s="197"/>
      <c r="CP2966" s="197"/>
      <c r="CQ2966" s="197"/>
      <c r="CR2966" s="197"/>
      <c r="CS2966" s="197"/>
      <c r="CT2966" s="197"/>
      <c r="CU2966" s="197"/>
      <c r="CV2966" s="197"/>
      <c r="CW2966" s="197"/>
      <c r="CX2966" s="959"/>
      <c r="CY2966" s="959"/>
      <c r="CZ2966" s="959"/>
      <c r="DA2966" s="959"/>
      <c r="DB2966" s="959"/>
      <c r="DC2966" s="891">
        <v>9322</v>
      </c>
      <c r="DD2966" s="891" t="s">
        <v>3831</v>
      </c>
      <c r="DE2966" s="891" t="s">
        <v>417</v>
      </c>
      <c r="DF2966" s="891">
        <v>6</v>
      </c>
      <c r="DG2966" s="959"/>
      <c r="DH2966" s="959"/>
      <c r="ER2966" s="905">
        <v>8957</v>
      </c>
      <c r="ES2966" s="906" t="s">
        <v>131</v>
      </c>
      <c r="ET2966" s="2686">
        <v>9</v>
      </c>
      <c r="EV2966" s="985"/>
      <c r="EW2966" s="985"/>
      <c r="EX2966" s="387"/>
      <c r="EY2966" s="939"/>
      <c r="EZ2966" s="886"/>
    </row>
    <row r="2967" spans="88:156">
      <c r="CJ2967" s="197"/>
      <c r="CK2967" s="197"/>
      <c r="CL2967" s="197"/>
      <c r="CM2967" s="213"/>
      <c r="CN2967" s="213"/>
      <c r="CO2967" s="197"/>
      <c r="CP2967" s="197"/>
      <c r="CQ2967" s="197"/>
      <c r="CR2967" s="197"/>
      <c r="CS2967" s="197"/>
      <c r="CT2967" s="197"/>
      <c r="CU2967" s="197"/>
      <c r="CV2967" s="197"/>
      <c r="CW2967" s="197"/>
      <c r="CX2967" s="959"/>
      <c r="CY2967" s="959"/>
      <c r="CZ2967" s="959"/>
      <c r="DA2967" s="959"/>
      <c r="DB2967" s="959"/>
      <c r="DC2967" s="891">
        <v>9323</v>
      </c>
      <c r="DD2967" s="891" t="s">
        <v>3832</v>
      </c>
      <c r="DE2967" s="891" t="s">
        <v>421</v>
      </c>
      <c r="DF2967" s="891">
        <v>6</v>
      </c>
      <c r="DG2967" s="959"/>
      <c r="DH2967" s="959"/>
      <c r="ER2967" s="905">
        <v>8957</v>
      </c>
      <c r="ES2967" s="906" t="s">
        <v>132</v>
      </c>
      <c r="ET2967" s="2686">
        <v>9</v>
      </c>
      <c r="EV2967" s="985"/>
      <c r="EW2967" s="985"/>
      <c r="EX2967" s="387"/>
      <c r="EY2967" s="939"/>
      <c r="EZ2967" s="886"/>
    </row>
    <row r="2968" spans="88:156">
      <c r="CJ2968" s="197"/>
      <c r="CK2968" s="197"/>
      <c r="CL2968" s="197"/>
      <c r="CM2968" s="213"/>
      <c r="CN2968" s="213"/>
      <c r="CO2968" s="197"/>
      <c r="CP2968" s="197"/>
      <c r="CQ2968" s="197"/>
      <c r="CR2968" s="197"/>
      <c r="CS2968" s="197"/>
      <c r="CT2968" s="197"/>
      <c r="CU2968" s="197"/>
      <c r="CV2968" s="197"/>
      <c r="CW2968" s="197"/>
      <c r="CX2968" s="959"/>
      <c r="CY2968" s="959"/>
      <c r="CZ2968" s="959"/>
      <c r="DA2968" s="959"/>
      <c r="DB2968" s="959"/>
      <c r="DC2968" s="891">
        <v>9324</v>
      </c>
      <c r="DD2968" s="891" t="s">
        <v>3833</v>
      </c>
      <c r="DE2968" s="891" t="s">
        <v>417</v>
      </c>
      <c r="DF2968" s="891">
        <v>6</v>
      </c>
      <c r="DG2968" s="959"/>
      <c r="DH2968" s="959"/>
      <c r="ER2968" s="905">
        <v>8957</v>
      </c>
      <c r="ES2968" s="906" t="s">
        <v>133</v>
      </c>
      <c r="ET2968" s="2686">
        <v>9</v>
      </c>
      <c r="EV2968" s="985"/>
      <c r="EW2968" s="985"/>
      <c r="EX2968" s="387"/>
      <c r="EY2968" s="939"/>
      <c r="EZ2968" s="886"/>
    </row>
    <row r="2969" spans="88:156">
      <c r="CJ2969" s="197"/>
      <c r="CK2969" s="197"/>
      <c r="CL2969" s="197"/>
      <c r="CM2969" s="213"/>
      <c r="CN2969" s="213"/>
      <c r="CO2969" s="197"/>
      <c r="CP2969" s="197"/>
      <c r="CQ2969" s="197"/>
      <c r="CR2969" s="197"/>
      <c r="CS2969" s="197"/>
      <c r="CT2969" s="197"/>
      <c r="CU2969" s="197"/>
      <c r="CV2969" s="197"/>
      <c r="CW2969" s="197"/>
      <c r="CX2969" s="959"/>
      <c r="CY2969" s="959"/>
      <c r="CZ2969" s="959"/>
      <c r="DA2969" s="959"/>
      <c r="DB2969" s="959"/>
      <c r="DC2969" s="891">
        <v>9325</v>
      </c>
      <c r="DD2969" s="891" t="s">
        <v>3834</v>
      </c>
      <c r="DE2969" s="891" t="s">
        <v>417</v>
      </c>
      <c r="DF2969" s="891">
        <v>6</v>
      </c>
      <c r="DG2969" s="959"/>
      <c r="DH2969" s="959"/>
      <c r="ER2969" s="905">
        <v>8957</v>
      </c>
      <c r="ES2969" s="906" t="s">
        <v>4493</v>
      </c>
      <c r="ET2969" s="2686">
        <v>9</v>
      </c>
      <c r="EV2969" s="985"/>
      <c r="EW2969" s="985"/>
      <c r="EX2969" s="387"/>
      <c r="EY2969" s="939"/>
      <c r="EZ2969" s="886"/>
    </row>
    <row r="2970" spans="88:156">
      <c r="CJ2970" s="197"/>
      <c r="CK2970" s="197"/>
      <c r="CL2970" s="197"/>
      <c r="CM2970" s="213"/>
      <c r="CN2970" s="213"/>
      <c r="CO2970" s="197"/>
      <c r="CP2970" s="197"/>
      <c r="CQ2970" s="197"/>
      <c r="CR2970" s="197"/>
      <c r="CS2970" s="197"/>
      <c r="CT2970" s="197"/>
      <c r="CU2970" s="197"/>
      <c r="CV2970" s="197"/>
      <c r="CW2970" s="197"/>
      <c r="CX2970" s="959"/>
      <c r="CY2970" s="959"/>
      <c r="CZ2970" s="959"/>
      <c r="DA2970" s="959"/>
      <c r="DB2970" s="959"/>
      <c r="DC2970" s="891">
        <v>9326</v>
      </c>
      <c r="DD2970" s="891" t="s">
        <v>3839</v>
      </c>
      <c r="DE2970" s="891" t="s">
        <v>421</v>
      </c>
      <c r="DF2970" s="891">
        <v>6</v>
      </c>
      <c r="DG2970" s="959"/>
      <c r="DH2970" s="959"/>
      <c r="ER2970" s="905">
        <v>8958</v>
      </c>
      <c r="ES2970" s="906" t="s">
        <v>4494</v>
      </c>
      <c r="ET2970" s="2686">
        <v>9</v>
      </c>
      <c r="EV2970" s="985"/>
      <c r="EW2970" s="985"/>
      <c r="EX2970" s="387"/>
      <c r="EY2970" s="939"/>
      <c r="EZ2970" s="886"/>
    </row>
    <row r="2971" spans="88:156">
      <c r="CJ2971" s="197"/>
      <c r="CK2971" s="197"/>
      <c r="CL2971" s="197"/>
      <c r="CM2971" s="213"/>
      <c r="CN2971" s="213"/>
      <c r="CO2971" s="197"/>
      <c r="CP2971" s="197"/>
      <c r="CQ2971" s="197"/>
      <c r="CR2971" s="197"/>
      <c r="CS2971" s="197"/>
      <c r="CT2971" s="197"/>
      <c r="CU2971" s="197"/>
      <c r="CV2971" s="197"/>
      <c r="CW2971" s="197"/>
      <c r="CX2971" s="959"/>
      <c r="CY2971" s="959"/>
      <c r="CZ2971" s="959"/>
      <c r="DA2971" s="959"/>
      <c r="DB2971" s="959"/>
      <c r="DC2971" s="891">
        <v>9327</v>
      </c>
      <c r="DD2971" s="891" t="s">
        <v>3840</v>
      </c>
      <c r="DE2971" s="891" t="s">
        <v>417</v>
      </c>
      <c r="DF2971" s="891">
        <v>6</v>
      </c>
      <c r="DG2971" s="959"/>
      <c r="DH2971" s="959"/>
      <c r="ER2971" s="905">
        <v>8960</v>
      </c>
      <c r="ES2971" s="906" t="s">
        <v>4495</v>
      </c>
      <c r="ET2971" s="2686">
        <v>9</v>
      </c>
      <c r="EV2971" s="985"/>
      <c r="EW2971" s="985"/>
      <c r="EX2971" s="387"/>
      <c r="EY2971" s="939"/>
      <c r="EZ2971" s="886"/>
    </row>
    <row r="2972" spans="88:156">
      <c r="CJ2972" s="197"/>
      <c r="CK2972" s="197"/>
      <c r="CL2972" s="197"/>
      <c r="CM2972" s="213"/>
      <c r="CN2972" s="213"/>
      <c r="CO2972" s="197"/>
      <c r="CP2972" s="197"/>
      <c r="CQ2972" s="197"/>
      <c r="CR2972" s="197"/>
      <c r="CS2972" s="197"/>
      <c r="CT2972" s="197"/>
      <c r="CU2972" s="197"/>
      <c r="CV2972" s="197"/>
      <c r="CW2972" s="197"/>
      <c r="CX2972" s="959"/>
      <c r="CY2972" s="959"/>
      <c r="CZ2972" s="959"/>
      <c r="DA2972" s="959"/>
      <c r="DB2972" s="959"/>
      <c r="DC2972" s="891">
        <v>9330</v>
      </c>
      <c r="DD2972" s="891" t="s">
        <v>3841</v>
      </c>
      <c r="DE2972" s="891" t="s">
        <v>417</v>
      </c>
      <c r="DF2972" s="891">
        <v>6</v>
      </c>
      <c r="DG2972" s="959"/>
      <c r="DH2972" s="959"/>
      <c r="ER2972" s="905">
        <v>8966</v>
      </c>
      <c r="ES2972" s="906" t="s">
        <v>134</v>
      </c>
      <c r="ET2972" s="2686">
        <v>9</v>
      </c>
      <c r="EV2972" s="985"/>
      <c r="EW2972" s="985"/>
      <c r="EX2972" s="387"/>
      <c r="EY2972" s="939"/>
      <c r="EZ2972" s="886"/>
    </row>
    <row r="2973" spans="88:156">
      <c r="CJ2973" s="197"/>
      <c r="CK2973" s="197"/>
      <c r="CL2973" s="197"/>
      <c r="CM2973" s="213"/>
      <c r="CN2973" s="213"/>
      <c r="CO2973" s="197"/>
      <c r="CP2973" s="197"/>
      <c r="CQ2973" s="197"/>
      <c r="CR2973" s="197"/>
      <c r="CS2973" s="197"/>
      <c r="CT2973" s="197"/>
      <c r="CU2973" s="197"/>
      <c r="CV2973" s="197"/>
      <c r="CW2973" s="197"/>
      <c r="CX2973" s="959"/>
      <c r="CY2973" s="959"/>
      <c r="CZ2973" s="959"/>
      <c r="DA2973" s="959"/>
      <c r="DB2973" s="959"/>
      <c r="DC2973" s="891">
        <v>9339</v>
      </c>
      <c r="DD2973" s="891" t="s">
        <v>3842</v>
      </c>
      <c r="DE2973" s="891" t="s">
        <v>417</v>
      </c>
      <c r="DF2973" s="891">
        <v>6</v>
      </c>
      <c r="DG2973" s="959"/>
      <c r="DH2973" s="959"/>
      <c r="ER2973" s="905">
        <v>8969</v>
      </c>
      <c r="ES2973" s="906" t="s">
        <v>135</v>
      </c>
      <c r="ET2973" s="2686">
        <v>9</v>
      </c>
      <c r="EV2973" s="985"/>
      <c r="EW2973" s="985"/>
      <c r="EX2973" s="387"/>
      <c r="EY2973" s="939"/>
      <c r="EZ2973" s="886"/>
    </row>
    <row r="2974" spans="88:156">
      <c r="CJ2974" s="197"/>
      <c r="CK2974" s="197"/>
      <c r="CL2974" s="197"/>
      <c r="CM2974" s="213"/>
      <c r="CN2974" s="213"/>
      <c r="CO2974" s="197"/>
      <c r="CP2974" s="197"/>
      <c r="CQ2974" s="197"/>
      <c r="CR2974" s="197"/>
      <c r="CS2974" s="197"/>
      <c r="CT2974" s="197"/>
      <c r="CU2974" s="197"/>
      <c r="CV2974" s="197"/>
      <c r="CW2974" s="197"/>
      <c r="CX2974" s="959"/>
      <c r="CY2974" s="959"/>
      <c r="CZ2974" s="959"/>
      <c r="DA2974" s="959"/>
      <c r="DB2974" s="959"/>
      <c r="DC2974" s="891">
        <v>9341</v>
      </c>
      <c r="DD2974" s="891" t="s">
        <v>3843</v>
      </c>
      <c r="DE2974" s="891" t="s">
        <v>417</v>
      </c>
      <c r="DF2974" s="891">
        <v>6</v>
      </c>
      <c r="DG2974" s="959"/>
      <c r="DH2974" s="959"/>
      <c r="ER2974" s="905">
        <v>8969</v>
      </c>
      <c r="ES2974" s="906" t="s">
        <v>136</v>
      </c>
      <c r="ET2974" s="2686">
        <v>9</v>
      </c>
      <c r="EV2974" s="985"/>
      <c r="EW2974" s="985"/>
      <c r="EX2974" s="387"/>
      <c r="EY2974" s="939"/>
      <c r="EZ2974" s="886"/>
    </row>
    <row r="2975" spans="88:156">
      <c r="CJ2975" s="197"/>
      <c r="CK2975" s="197"/>
      <c r="CL2975" s="197"/>
      <c r="CM2975" s="213"/>
      <c r="CN2975" s="213"/>
      <c r="CO2975" s="197"/>
      <c r="CP2975" s="197"/>
      <c r="CQ2975" s="197"/>
      <c r="CR2975" s="197"/>
      <c r="CS2975" s="197"/>
      <c r="CT2975" s="197"/>
      <c r="CU2975" s="197"/>
      <c r="CV2975" s="197"/>
      <c r="CW2975" s="197"/>
      <c r="CX2975" s="959"/>
      <c r="CY2975" s="959"/>
      <c r="CZ2975" s="959"/>
      <c r="DA2975" s="959"/>
      <c r="DB2975" s="959"/>
      <c r="DC2975" s="891">
        <v>9342</v>
      </c>
      <c r="DD2975" s="891" t="s">
        <v>3844</v>
      </c>
      <c r="DE2975" s="891" t="s">
        <v>421</v>
      </c>
      <c r="DF2975" s="891">
        <v>6</v>
      </c>
      <c r="DG2975" s="959"/>
      <c r="DH2975" s="959"/>
      <c r="ER2975" s="905">
        <v>8969</v>
      </c>
      <c r="ES2975" s="906" t="s">
        <v>137</v>
      </c>
      <c r="ET2975" s="2686">
        <v>9</v>
      </c>
      <c r="EV2975" s="985"/>
      <c r="EW2975" s="985"/>
      <c r="EX2975" s="387"/>
      <c r="EY2975" s="939"/>
      <c r="EZ2975" s="886"/>
    </row>
    <row r="2976" spans="88:156">
      <c r="CJ2976" s="197"/>
      <c r="CK2976" s="197"/>
      <c r="CL2976" s="197"/>
      <c r="CM2976" s="213"/>
      <c r="CN2976" s="213"/>
      <c r="CO2976" s="197"/>
      <c r="CP2976" s="197"/>
      <c r="CQ2976" s="197"/>
      <c r="CR2976" s="197"/>
      <c r="CS2976" s="197"/>
      <c r="CT2976" s="197"/>
      <c r="CU2976" s="197"/>
      <c r="CV2976" s="197"/>
      <c r="CW2976" s="197"/>
      <c r="CX2976" s="959"/>
      <c r="CY2976" s="959"/>
      <c r="CZ2976" s="959"/>
      <c r="DA2976" s="959"/>
      <c r="DB2976" s="959"/>
      <c r="DC2976" s="891">
        <v>9343</v>
      </c>
      <c r="DD2976" s="891" t="s">
        <v>3845</v>
      </c>
      <c r="DE2976" s="891" t="s">
        <v>417</v>
      </c>
      <c r="DF2976" s="891">
        <v>6</v>
      </c>
      <c r="DG2976" s="959"/>
      <c r="DH2976" s="959"/>
      <c r="ER2976" s="905">
        <v>8969</v>
      </c>
      <c r="ES2976" s="906" t="s">
        <v>4497</v>
      </c>
      <c r="ET2976" s="2686">
        <v>9</v>
      </c>
      <c r="EV2976" s="985"/>
      <c r="EW2976" s="985"/>
      <c r="EX2976" s="387"/>
      <c r="EY2976" s="939"/>
      <c r="EZ2976" s="886"/>
    </row>
    <row r="2977" spans="88:156">
      <c r="CJ2977" s="197"/>
      <c r="CK2977" s="197"/>
      <c r="CL2977" s="197"/>
      <c r="CM2977" s="213"/>
      <c r="CN2977" s="213"/>
      <c r="CO2977" s="197"/>
      <c r="CP2977" s="197"/>
      <c r="CQ2977" s="197"/>
      <c r="CR2977" s="197"/>
      <c r="CS2977" s="197"/>
      <c r="CT2977" s="197"/>
      <c r="CU2977" s="197"/>
      <c r="CV2977" s="197"/>
      <c r="CW2977" s="197"/>
      <c r="CX2977" s="959"/>
      <c r="CY2977" s="959"/>
      <c r="CZ2977" s="959"/>
      <c r="DA2977" s="959"/>
      <c r="DB2977" s="959"/>
      <c r="DC2977" s="891">
        <v>9344</v>
      </c>
      <c r="DD2977" s="891" t="s">
        <v>3846</v>
      </c>
      <c r="DE2977" s="891" t="s">
        <v>402</v>
      </c>
      <c r="DF2977" s="891">
        <v>6</v>
      </c>
      <c r="DG2977" s="959"/>
      <c r="DH2977" s="959"/>
      <c r="ER2977" s="905">
        <v>8971</v>
      </c>
      <c r="ES2977" s="906" t="s">
        <v>138</v>
      </c>
      <c r="ET2977" s="2686">
        <v>9</v>
      </c>
      <c r="EV2977" s="985"/>
      <c r="EW2977" s="985"/>
      <c r="EX2977" s="387"/>
      <c r="EY2977" s="939"/>
      <c r="EZ2977" s="886"/>
    </row>
    <row r="2978" spans="88:156">
      <c r="CJ2978" s="197"/>
      <c r="CK2978" s="197"/>
      <c r="CL2978" s="197"/>
      <c r="CM2978" s="213"/>
      <c r="CN2978" s="213"/>
      <c r="CO2978" s="197"/>
      <c r="CP2978" s="197"/>
      <c r="CQ2978" s="197"/>
      <c r="CR2978" s="197"/>
      <c r="CS2978" s="197"/>
      <c r="CT2978" s="197"/>
      <c r="CU2978" s="197"/>
      <c r="CV2978" s="197"/>
      <c r="CW2978" s="197"/>
      <c r="CX2978" s="959"/>
      <c r="CY2978" s="959"/>
      <c r="CZ2978" s="959"/>
      <c r="DA2978" s="959"/>
      <c r="DB2978" s="959"/>
      <c r="DC2978" s="891">
        <v>9345</v>
      </c>
      <c r="DD2978" s="891" t="s">
        <v>3847</v>
      </c>
      <c r="DE2978" s="891" t="s">
        <v>402</v>
      </c>
      <c r="DF2978" s="891">
        <v>6</v>
      </c>
      <c r="DG2978" s="959"/>
      <c r="DH2978" s="959"/>
      <c r="ER2978" s="905">
        <v>8971</v>
      </c>
      <c r="ES2978" s="906" t="s">
        <v>4498</v>
      </c>
      <c r="ET2978" s="2686">
        <v>9</v>
      </c>
      <c r="EV2978" s="985"/>
      <c r="EW2978" s="985"/>
      <c r="EX2978" s="387"/>
      <c r="EY2978" s="939"/>
      <c r="EZ2978" s="886"/>
    </row>
    <row r="2979" spans="88:156">
      <c r="CJ2979" s="197"/>
      <c r="CK2979" s="197"/>
      <c r="CL2979" s="197"/>
      <c r="CM2979" s="213"/>
      <c r="CN2979" s="213"/>
      <c r="CO2979" s="197"/>
      <c r="CP2979" s="197"/>
      <c r="CQ2979" s="197"/>
      <c r="CR2979" s="197"/>
      <c r="CS2979" s="197"/>
      <c r="CT2979" s="197"/>
      <c r="CU2979" s="197"/>
      <c r="CV2979" s="197"/>
      <c r="CW2979" s="197"/>
      <c r="CX2979" s="959"/>
      <c r="CY2979" s="959"/>
      <c r="CZ2979" s="959"/>
      <c r="DA2979" s="959"/>
      <c r="DB2979" s="959"/>
      <c r="DC2979" s="891">
        <v>9346</v>
      </c>
      <c r="DD2979" s="891" t="s">
        <v>3848</v>
      </c>
      <c r="DE2979" s="891" t="s">
        <v>418</v>
      </c>
      <c r="DF2979" s="891">
        <v>6</v>
      </c>
      <c r="DG2979" s="959"/>
      <c r="DH2979" s="959"/>
      <c r="ER2979" s="905">
        <v>8973</v>
      </c>
      <c r="ES2979" s="906" t="s">
        <v>4499</v>
      </c>
      <c r="ET2979" s="2686">
        <v>9</v>
      </c>
      <c r="EV2979" s="985"/>
      <c r="EW2979" s="985"/>
      <c r="EX2979" s="387"/>
      <c r="EY2979" s="939"/>
      <c r="EZ2979" s="886"/>
    </row>
    <row r="2980" spans="88:156">
      <c r="CJ2980" s="197"/>
      <c r="CK2980" s="197"/>
      <c r="CL2980" s="197"/>
      <c r="CM2980" s="213"/>
      <c r="CN2980" s="213"/>
      <c r="CO2980" s="197"/>
      <c r="CP2980" s="197"/>
      <c r="CQ2980" s="197"/>
      <c r="CR2980" s="197"/>
      <c r="CS2980" s="197"/>
      <c r="CT2980" s="197"/>
      <c r="CU2980" s="197"/>
      <c r="CV2980" s="197"/>
      <c r="CW2980" s="197"/>
      <c r="CX2980" s="959"/>
      <c r="CY2980" s="959"/>
      <c r="CZ2980" s="959"/>
      <c r="DA2980" s="959"/>
      <c r="DB2980" s="959"/>
      <c r="DC2980" s="891">
        <v>9351</v>
      </c>
      <c r="DD2980" s="891" t="s">
        <v>3849</v>
      </c>
      <c r="DE2980" s="891" t="s">
        <v>418</v>
      </c>
      <c r="DF2980" s="891">
        <v>6</v>
      </c>
      <c r="DG2980" s="959"/>
      <c r="DH2980" s="959"/>
      <c r="ER2980" s="905">
        <v>8973</v>
      </c>
      <c r="ES2980" s="906" t="s">
        <v>139</v>
      </c>
      <c r="ET2980" s="2686">
        <v>9</v>
      </c>
      <c r="EV2980" s="985"/>
      <c r="EW2980" s="985"/>
      <c r="EX2980" s="387"/>
      <c r="EY2980" s="939"/>
      <c r="EZ2980" s="886"/>
    </row>
    <row r="2981" spans="88:156">
      <c r="CJ2981" s="197"/>
      <c r="CK2981" s="197"/>
      <c r="CL2981" s="197"/>
      <c r="CM2981" s="213"/>
      <c r="CN2981" s="213"/>
      <c r="CO2981" s="197"/>
      <c r="CP2981" s="197"/>
      <c r="CQ2981" s="197"/>
      <c r="CR2981" s="197"/>
      <c r="CS2981" s="197"/>
      <c r="CT2981" s="197"/>
      <c r="CU2981" s="197"/>
      <c r="CV2981" s="197"/>
      <c r="CW2981" s="197"/>
      <c r="CX2981" s="959"/>
      <c r="CY2981" s="959"/>
      <c r="CZ2981" s="959"/>
      <c r="DA2981" s="959"/>
      <c r="DB2981" s="959"/>
      <c r="DC2981" s="891">
        <v>9352</v>
      </c>
      <c r="DD2981" s="891" t="s">
        <v>3850</v>
      </c>
      <c r="DE2981" s="891" t="s">
        <v>418</v>
      </c>
      <c r="DF2981" s="891">
        <v>6</v>
      </c>
      <c r="DG2981" s="959"/>
      <c r="DH2981" s="959"/>
      <c r="ER2981" s="905">
        <v>8973</v>
      </c>
      <c r="ES2981" s="906" t="s">
        <v>140</v>
      </c>
      <c r="ET2981" s="2686">
        <v>9</v>
      </c>
      <c r="EV2981" s="985"/>
      <c r="EW2981" s="985"/>
      <c r="EX2981" s="387"/>
      <c r="EY2981" s="939"/>
      <c r="EZ2981" s="886"/>
    </row>
    <row r="2982" spans="88:156">
      <c r="CJ2982" s="197"/>
      <c r="CK2982" s="197"/>
      <c r="CL2982" s="197"/>
      <c r="CM2982" s="213"/>
      <c r="CN2982" s="213"/>
      <c r="CO2982" s="197"/>
      <c r="CP2982" s="197"/>
      <c r="CQ2982" s="197"/>
      <c r="CR2982" s="197"/>
      <c r="CS2982" s="197"/>
      <c r="CT2982" s="197"/>
      <c r="CU2982" s="197"/>
      <c r="CV2982" s="197"/>
      <c r="CW2982" s="197"/>
      <c r="CX2982" s="959"/>
      <c r="CY2982" s="959"/>
      <c r="CZ2982" s="959"/>
      <c r="DA2982" s="959"/>
      <c r="DB2982" s="959"/>
      <c r="DC2982" s="891">
        <v>9353</v>
      </c>
      <c r="DD2982" s="891" t="s">
        <v>3851</v>
      </c>
      <c r="DE2982" s="891" t="s">
        <v>406</v>
      </c>
      <c r="DF2982" s="891">
        <v>6</v>
      </c>
      <c r="DG2982" s="959"/>
      <c r="DH2982" s="959"/>
      <c r="ER2982" s="905">
        <v>8973</v>
      </c>
      <c r="ES2982" s="906" t="s">
        <v>141</v>
      </c>
      <c r="ET2982" s="2686">
        <v>9</v>
      </c>
      <c r="EV2982" s="985"/>
      <c r="EW2982" s="985"/>
      <c r="EX2982" s="387"/>
      <c r="EY2982" s="939"/>
      <c r="EZ2982" s="886"/>
    </row>
    <row r="2983" spans="88:156">
      <c r="CJ2983" s="197"/>
      <c r="CK2983" s="197"/>
      <c r="CL2983" s="197"/>
      <c r="CM2983" s="213"/>
      <c r="CN2983" s="213"/>
      <c r="CO2983" s="197"/>
      <c r="CP2983" s="197"/>
      <c r="CQ2983" s="197"/>
      <c r="CR2983" s="197"/>
      <c r="CS2983" s="197"/>
      <c r="CT2983" s="197"/>
      <c r="CU2983" s="197"/>
      <c r="CV2983" s="197"/>
      <c r="CW2983" s="197"/>
      <c r="CX2983" s="959"/>
      <c r="CY2983" s="959"/>
      <c r="CZ2983" s="959"/>
      <c r="DA2983" s="959"/>
      <c r="DB2983" s="959"/>
      <c r="DC2983" s="891">
        <v>9354</v>
      </c>
      <c r="DD2983" s="891" t="s">
        <v>3852</v>
      </c>
      <c r="DE2983" s="891" t="s">
        <v>421</v>
      </c>
      <c r="DF2983" s="891">
        <v>6</v>
      </c>
      <c r="DG2983" s="959"/>
      <c r="DH2983" s="959"/>
      <c r="ER2983" s="905">
        <v>8973</v>
      </c>
      <c r="ES2983" s="906" t="s">
        <v>142</v>
      </c>
      <c r="ET2983" s="2686">
        <v>9</v>
      </c>
      <c r="EV2983" s="985"/>
      <c r="EW2983" s="985"/>
      <c r="EX2983" s="387"/>
      <c r="EY2983" s="939"/>
      <c r="EZ2983" s="886"/>
    </row>
    <row r="2984" spans="88:156">
      <c r="CJ2984" s="197"/>
      <c r="CK2984" s="197"/>
      <c r="CL2984" s="197"/>
      <c r="CM2984" s="213"/>
      <c r="CN2984" s="213"/>
      <c r="CO2984" s="197"/>
      <c r="CP2984" s="197"/>
      <c r="CQ2984" s="197"/>
      <c r="CR2984" s="197"/>
      <c r="CS2984" s="197"/>
      <c r="CT2984" s="197"/>
      <c r="CU2984" s="197"/>
      <c r="CV2984" s="197"/>
      <c r="CW2984" s="197"/>
      <c r="CX2984" s="959"/>
      <c r="CY2984" s="959"/>
      <c r="CZ2984" s="959"/>
      <c r="DA2984" s="959"/>
      <c r="DB2984" s="959"/>
      <c r="DC2984" s="891">
        <v>9361</v>
      </c>
      <c r="DD2984" s="891" t="s">
        <v>3853</v>
      </c>
      <c r="DE2984" s="891" t="s">
        <v>412</v>
      </c>
      <c r="DF2984" s="891">
        <v>6</v>
      </c>
      <c r="DG2984" s="959"/>
      <c r="DH2984" s="959"/>
      <c r="ER2984" s="905">
        <v>8973</v>
      </c>
      <c r="ES2984" s="906" t="s">
        <v>143</v>
      </c>
      <c r="ET2984" s="2686">
        <v>9</v>
      </c>
      <c r="EV2984" s="985"/>
      <c r="EW2984" s="985"/>
      <c r="EX2984" s="387"/>
      <c r="EY2984" s="939"/>
      <c r="EZ2984" s="886"/>
    </row>
    <row r="2985" spans="88:156">
      <c r="CJ2985" s="197"/>
      <c r="CK2985" s="197"/>
      <c r="CL2985" s="197"/>
      <c r="CM2985" s="213"/>
      <c r="CN2985" s="213"/>
      <c r="CO2985" s="197"/>
      <c r="CP2985" s="197"/>
      <c r="CQ2985" s="197"/>
      <c r="CR2985" s="197"/>
      <c r="CS2985" s="197"/>
      <c r="CT2985" s="197"/>
      <c r="CU2985" s="197"/>
      <c r="CV2985" s="197"/>
      <c r="CW2985" s="197"/>
      <c r="CX2985" s="959"/>
      <c r="CY2985" s="959"/>
      <c r="CZ2985" s="959"/>
      <c r="DA2985" s="959"/>
      <c r="DB2985" s="959"/>
      <c r="DC2985" s="891">
        <v>9362</v>
      </c>
      <c r="DD2985" s="891" t="s">
        <v>3854</v>
      </c>
      <c r="DE2985" s="891" t="s">
        <v>412</v>
      </c>
      <c r="DF2985" s="891">
        <v>6</v>
      </c>
      <c r="DG2985" s="959"/>
      <c r="DH2985" s="959"/>
      <c r="ER2985" s="905">
        <v>8973</v>
      </c>
      <c r="ES2985" s="906" t="s">
        <v>4500</v>
      </c>
      <c r="ET2985" s="2686">
        <v>9</v>
      </c>
      <c r="EV2985" s="985"/>
      <c r="EW2985" s="985"/>
      <c r="EX2985" s="387"/>
      <c r="EY2985" s="939"/>
      <c r="EZ2985" s="886"/>
    </row>
    <row r="2986" spans="88:156">
      <c r="CJ2986" s="197"/>
      <c r="CK2986" s="197"/>
      <c r="CL2986" s="197"/>
      <c r="CM2986" s="213"/>
      <c r="CN2986" s="213"/>
      <c r="CO2986" s="197"/>
      <c r="CP2986" s="197"/>
      <c r="CQ2986" s="197"/>
      <c r="CR2986" s="197"/>
      <c r="CS2986" s="197"/>
      <c r="CT2986" s="197"/>
      <c r="CU2986" s="197"/>
      <c r="CV2986" s="197"/>
      <c r="CW2986" s="197"/>
      <c r="CX2986" s="959"/>
      <c r="CY2986" s="959"/>
      <c r="CZ2986" s="959"/>
      <c r="DA2986" s="959"/>
      <c r="DB2986" s="959"/>
      <c r="DC2986" s="891">
        <v>9363</v>
      </c>
      <c r="DD2986" s="891" t="s">
        <v>3855</v>
      </c>
      <c r="DE2986" s="891" t="s">
        <v>417</v>
      </c>
      <c r="DF2986" s="891">
        <v>6</v>
      </c>
      <c r="DG2986" s="959"/>
      <c r="DH2986" s="959"/>
      <c r="ER2986" s="905">
        <v>8975</v>
      </c>
      <c r="ES2986" s="906" t="s">
        <v>4501</v>
      </c>
      <c r="ET2986" s="2686">
        <v>9</v>
      </c>
      <c r="EV2986" s="985"/>
      <c r="EW2986" s="985"/>
      <c r="EX2986" s="387"/>
      <c r="EY2986" s="939"/>
      <c r="EZ2986" s="886"/>
    </row>
    <row r="2987" spans="88:156">
      <c r="CJ2987" s="197"/>
      <c r="CK2987" s="197"/>
      <c r="CL2987" s="197"/>
      <c r="CM2987" s="213"/>
      <c r="CN2987" s="213"/>
      <c r="CO2987" s="197"/>
      <c r="CP2987" s="197"/>
      <c r="CQ2987" s="197"/>
      <c r="CR2987" s="197"/>
      <c r="CS2987" s="197"/>
      <c r="CT2987" s="197"/>
      <c r="CU2987" s="197"/>
      <c r="CV2987" s="197"/>
      <c r="CW2987" s="197"/>
      <c r="CX2987" s="959"/>
      <c r="CY2987" s="959"/>
      <c r="CZ2987" s="959"/>
      <c r="DA2987" s="959"/>
      <c r="DB2987" s="959"/>
      <c r="DC2987" s="891">
        <v>9364</v>
      </c>
      <c r="DD2987" s="891" t="s">
        <v>3856</v>
      </c>
      <c r="DE2987" s="891" t="s">
        <v>412</v>
      </c>
      <c r="DF2987" s="891">
        <v>6</v>
      </c>
      <c r="DG2987" s="959"/>
      <c r="DH2987" s="959"/>
      <c r="ER2987" s="905">
        <v>8976</v>
      </c>
      <c r="ES2987" s="906" t="s">
        <v>144</v>
      </c>
      <c r="ET2987" s="2686">
        <v>9</v>
      </c>
      <c r="EV2987" s="985"/>
      <c r="EW2987" s="985"/>
      <c r="EX2987" s="387"/>
      <c r="EY2987" s="939"/>
      <c r="EZ2987" s="886"/>
    </row>
    <row r="2988" spans="88:156">
      <c r="CJ2988" s="197"/>
      <c r="CK2988" s="197"/>
      <c r="CL2988" s="197"/>
      <c r="CM2988" s="213"/>
      <c r="CN2988" s="213"/>
      <c r="CO2988" s="197"/>
      <c r="CP2988" s="197"/>
      <c r="CQ2988" s="197"/>
      <c r="CR2988" s="197"/>
      <c r="CS2988" s="197"/>
      <c r="CT2988" s="197"/>
      <c r="CU2988" s="197"/>
      <c r="CV2988" s="197"/>
      <c r="CW2988" s="197"/>
      <c r="CX2988" s="959"/>
      <c r="CY2988" s="959"/>
      <c r="CZ2988" s="959"/>
      <c r="DA2988" s="959"/>
      <c r="DB2988" s="959"/>
      <c r="DC2988" s="891">
        <v>9365</v>
      </c>
      <c r="DD2988" s="891" t="s">
        <v>3857</v>
      </c>
      <c r="DE2988" s="891" t="s">
        <v>412</v>
      </c>
      <c r="DF2988" s="891">
        <v>6</v>
      </c>
      <c r="DG2988" s="959"/>
      <c r="DH2988" s="959"/>
      <c r="ER2988" s="905">
        <v>8976</v>
      </c>
      <c r="ES2988" s="906" t="s">
        <v>4502</v>
      </c>
      <c r="ET2988" s="2686">
        <v>9</v>
      </c>
      <c r="EV2988" s="985"/>
      <c r="EW2988" s="985"/>
      <c r="EX2988" s="387"/>
      <c r="EY2988" s="939"/>
      <c r="EZ2988" s="886"/>
    </row>
    <row r="2989" spans="88:156">
      <c r="CJ2989" s="197"/>
      <c r="CK2989" s="197"/>
      <c r="CL2989" s="197"/>
      <c r="CM2989" s="213"/>
      <c r="CN2989" s="213"/>
      <c r="CO2989" s="197"/>
      <c r="CP2989" s="197"/>
      <c r="CQ2989" s="197"/>
      <c r="CR2989" s="197"/>
      <c r="CS2989" s="197"/>
      <c r="CT2989" s="197"/>
      <c r="CU2989" s="197"/>
      <c r="CV2989" s="197"/>
      <c r="CW2989" s="197"/>
      <c r="CX2989" s="959"/>
      <c r="CY2989" s="959"/>
      <c r="CZ2989" s="959"/>
      <c r="DA2989" s="959"/>
      <c r="DB2989" s="959"/>
      <c r="DC2989" s="891">
        <v>9371</v>
      </c>
      <c r="DD2989" s="891" t="s">
        <v>3858</v>
      </c>
      <c r="DE2989" s="891" t="s">
        <v>428</v>
      </c>
      <c r="DF2989" s="891">
        <v>6</v>
      </c>
      <c r="DG2989" s="959"/>
      <c r="DH2989" s="959"/>
      <c r="ER2989" s="905">
        <v>8977</v>
      </c>
      <c r="ES2989" s="906" t="s">
        <v>3291</v>
      </c>
      <c r="ET2989" s="2686">
        <v>9</v>
      </c>
      <c r="EV2989" s="985"/>
      <c r="EW2989" s="985"/>
      <c r="EX2989" s="387"/>
      <c r="EY2989" s="939"/>
      <c r="EZ2989" s="886"/>
    </row>
    <row r="2990" spans="88:156">
      <c r="CJ2990" s="197"/>
      <c r="CK2990" s="197"/>
      <c r="CL2990" s="197"/>
      <c r="CM2990" s="213"/>
      <c r="CN2990" s="213"/>
      <c r="CO2990" s="197"/>
      <c r="CP2990" s="197"/>
      <c r="CQ2990" s="197"/>
      <c r="CR2990" s="197"/>
      <c r="CS2990" s="197"/>
      <c r="CT2990" s="197"/>
      <c r="CU2990" s="197"/>
      <c r="CV2990" s="197"/>
      <c r="CW2990" s="197"/>
      <c r="CX2990" s="959"/>
      <c r="CY2990" s="959"/>
      <c r="CZ2990" s="959"/>
      <c r="DA2990" s="959"/>
      <c r="DB2990" s="959"/>
      <c r="DC2990" s="891">
        <v>9372</v>
      </c>
      <c r="DD2990" s="891" t="s">
        <v>3859</v>
      </c>
      <c r="DE2990" s="891" t="s">
        <v>2808</v>
      </c>
      <c r="DF2990" s="891">
        <v>6</v>
      </c>
      <c r="DG2990" s="959"/>
      <c r="DH2990" s="959"/>
      <c r="ER2990" s="905">
        <v>8977</v>
      </c>
      <c r="ES2990" s="906" t="s">
        <v>3292</v>
      </c>
      <c r="ET2990" s="2686">
        <v>9</v>
      </c>
      <c r="EV2990" s="985"/>
      <c r="EW2990" s="985"/>
      <c r="EX2990" s="387"/>
      <c r="EY2990" s="939"/>
      <c r="EZ2990" s="886"/>
    </row>
    <row r="2991" spans="88:156">
      <c r="CJ2991" s="197"/>
      <c r="CK2991" s="197"/>
      <c r="CL2991" s="197"/>
      <c r="CM2991" s="213"/>
      <c r="CN2991" s="213"/>
      <c r="CO2991" s="197"/>
      <c r="CP2991" s="197"/>
      <c r="CQ2991" s="197"/>
      <c r="CR2991" s="197"/>
      <c r="CS2991" s="197"/>
      <c r="CT2991" s="197"/>
      <c r="CU2991" s="197"/>
      <c r="CV2991" s="197"/>
      <c r="CW2991" s="197"/>
      <c r="CX2991" s="959"/>
      <c r="CY2991" s="959"/>
      <c r="CZ2991" s="959"/>
      <c r="DA2991" s="959"/>
      <c r="DB2991" s="959"/>
      <c r="DC2991" s="891">
        <v>9373</v>
      </c>
      <c r="DD2991" s="891" t="s">
        <v>3860</v>
      </c>
      <c r="DE2991" s="891" t="s">
        <v>404</v>
      </c>
      <c r="DF2991" s="891">
        <v>6</v>
      </c>
      <c r="DG2991" s="959"/>
      <c r="DH2991" s="959"/>
      <c r="ER2991" s="905">
        <v>8977</v>
      </c>
      <c r="ES2991" s="906" t="s">
        <v>4503</v>
      </c>
      <c r="ET2991" s="2686">
        <v>9</v>
      </c>
      <c r="EV2991" s="985"/>
      <c r="EW2991" s="985"/>
      <c r="EX2991" s="387"/>
      <c r="EY2991" s="939"/>
      <c r="EZ2991" s="886"/>
    </row>
    <row r="2992" spans="88:156">
      <c r="CJ2992" s="197"/>
      <c r="CK2992" s="197"/>
      <c r="CL2992" s="197"/>
      <c r="CM2992" s="213"/>
      <c r="CN2992" s="213"/>
      <c r="CO2992" s="197"/>
      <c r="CP2992" s="197"/>
      <c r="CQ2992" s="197"/>
      <c r="CR2992" s="197"/>
      <c r="CS2992" s="197"/>
      <c r="CT2992" s="197"/>
      <c r="CU2992" s="197"/>
      <c r="CV2992" s="197"/>
      <c r="CW2992" s="197"/>
      <c r="CX2992" s="959"/>
      <c r="CY2992" s="959"/>
      <c r="CZ2992" s="959"/>
      <c r="DA2992" s="959"/>
      <c r="DB2992" s="959"/>
      <c r="DC2992" s="891">
        <v>9374</v>
      </c>
      <c r="DD2992" s="891" t="s">
        <v>3861</v>
      </c>
      <c r="DE2992" s="891" t="s">
        <v>404</v>
      </c>
      <c r="DF2992" s="891">
        <v>6</v>
      </c>
      <c r="DG2992" s="959"/>
      <c r="DH2992" s="959"/>
      <c r="ER2992" s="905">
        <v>8978</v>
      </c>
      <c r="ES2992" s="906" t="s">
        <v>3293</v>
      </c>
      <c r="ET2992" s="2686">
        <v>9</v>
      </c>
      <c r="EV2992" s="985"/>
      <c r="EW2992" s="985"/>
      <c r="EX2992" s="387"/>
      <c r="EY2992" s="939"/>
      <c r="EZ2992" s="886"/>
    </row>
    <row r="2993" spans="88:156">
      <c r="CJ2993" s="197"/>
      <c r="CK2993" s="197"/>
      <c r="CL2993" s="197"/>
      <c r="CM2993" s="213"/>
      <c r="CN2993" s="213"/>
      <c r="CO2993" s="197"/>
      <c r="CP2993" s="197"/>
      <c r="CQ2993" s="197"/>
      <c r="CR2993" s="197"/>
      <c r="CS2993" s="197"/>
      <c r="CT2993" s="197"/>
      <c r="CU2993" s="197"/>
      <c r="CV2993" s="197"/>
      <c r="CW2993" s="197"/>
      <c r="CX2993" s="959"/>
      <c r="CY2993" s="959"/>
      <c r="CZ2993" s="959"/>
      <c r="DA2993" s="959"/>
      <c r="DB2993" s="959"/>
      <c r="DC2993" s="891">
        <v>9375</v>
      </c>
      <c r="DD2993" s="891" t="s">
        <v>3862</v>
      </c>
      <c r="DE2993" s="891" t="s">
        <v>423</v>
      </c>
      <c r="DF2993" s="891">
        <v>6</v>
      </c>
      <c r="DG2993" s="959"/>
      <c r="DH2993" s="959"/>
      <c r="ER2993" s="905">
        <v>8978</v>
      </c>
      <c r="ES2993" s="906" t="s">
        <v>2903</v>
      </c>
      <c r="ET2993" s="2686">
        <v>9</v>
      </c>
      <c r="EV2993" s="985"/>
      <c r="EW2993" s="985"/>
      <c r="EX2993" s="387"/>
      <c r="EY2993" s="939"/>
      <c r="EZ2993" s="886"/>
    </row>
    <row r="2994" spans="88:156">
      <c r="CJ2994" s="197"/>
      <c r="CK2994" s="197"/>
      <c r="CL2994" s="197"/>
      <c r="CM2994" s="213"/>
      <c r="CN2994" s="213"/>
      <c r="CO2994" s="197"/>
      <c r="CP2994" s="197"/>
      <c r="CQ2994" s="197"/>
      <c r="CR2994" s="197"/>
      <c r="CS2994" s="197"/>
      <c r="CT2994" s="197"/>
      <c r="CU2994" s="197"/>
      <c r="CV2994" s="197"/>
      <c r="CW2994" s="197"/>
      <c r="CX2994" s="959"/>
      <c r="CY2994" s="959"/>
      <c r="CZ2994" s="959"/>
      <c r="DA2994" s="959"/>
      <c r="DB2994" s="959"/>
      <c r="DC2994" s="891">
        <v>9400</v>
      </c>
      <c r="DD2994" s="891" t="s">
        <v>3863</v>
      </c>
      <c r="DE2994" s="891" t="s">
        <v>432</v>
      </c>
      <c r="DF2994" s="891">
        <v>5</v>
      </c>
      <c r="DG2994" s="959"/>
      <c r="DH2994" s="959"/>
      <c r="ER2994" s="905">
        <v>8978</v>
      </c>
      <c r="ES2994" s="906" t="s">
        <v>2904</v>
      </c>
      <c r="ET2994" s="2686">
        <v>9</v>
      </c>
      <c r="EV2994" s="985"/>
      <c r="EW2994" s="985"/>
      <c r="EX2994" s="387"/>
      <c r="EY2994" s="939"/>
      <c r="EZ2994" s="886"/>
    </row>
    <row r="2995" spans="88:156">
      <c r="CJ2995" s="197"/>
      <c r="CK2995" s="197"/>
      <c r="CL2995" s="197"/>
      <c r="CM2995" s="213"/>
      <c r="CN2995" s="213"/>
      <c r="CO2995" s="197"/>
      <c r="CP2995" s="197"/>
      <c r="CQ2995" s="197"/>
      <c r="CR2995" s="197"/>
      <c r="CS2995" s="197"/>
      <c r="CT2995" s="197"/>
      <c r="CU2995" s="197"/>
      <c r="CV2995" s="197"/>
      <c r="CW2995" s="197"/>
      <c r="CX2995" s="959"/>
      <c r="CY2995" s="959"/>
      <c r="CZ2995" s="959"/>
      <c r="DA2995" s="959"/>
      <c r="DB2995" s="959"/>
      <c r="DC2995" s="891">
        <v>9407</v>
      </c>
      <c r="DD2995" s="891" t="s">
        <v>3864</v>
      </c>
      <c r="DE2995" s="891" t="s">
        <v>428</v>
      </c>
      <c r="DF2995" s="891">
        <v>5</v>
      </c>
      <c r="DG2995" s="959"/>
      <c r="DH2995" s="959"/>
      <c r="ER2995" s="905">
        <v>8978</v>
      </c>
      <c r="ES2995" s="906" t="s">
        <v>2905</v>
      </c>
      <c r="ET2995" s="2686">
        <v>9</v>
      </c>
      <c r="EV2995" s="985"/>
      <c r="EW2995" s="985"/>
      <c r="EX2995" s="387"/>
      <c r="EY2995" s="939"/>
      <c r="EZ2995" s="886"/>
    </row>
    <row r="2996" spans="88:156">
      <c r="CJ2996" s="197"/>
      <c r="CK2996" s="197"/>
      <c r="CL2996" s="197"/>
      <c r="CM2996" s="213"/>
      <c r="CN2996" s="213"/>
      <c r="CO2996" s="197"/>
      <c r="CP2996" s="197"/>
      <c r="CQ2996" s="197"/>
      <c r="CR2996" s="197"/>
      <c r="CS2996" s="197"/>
      <c r="CT2996" s="197"/>
      <c r="CU2996" s="197"/>
      <c r="CV2996" s="197"/>
      <c r="CW2996" s="197"/>
      <c r="CX2996" s="959"/>
      <c r="CY2996" s="959"/>
      <c r="CZ2996" s="959"/>
      <c r="DA2996" s="959"/>
      <c r="DB2996" s="959"/>
      <c r="DC2996" s="891">
        <v>9408</v>
      </c>
      <c r="DD2996" s="891" t="s">
        <v>3865</v>
      </c>
      <c r="DE2996" s="891" t="s">
        <v>428</v>
      </c>
      <c r="DF2996" s="891">
        <v>6</v>
      </c>
      <c r="DG2996" s="959"/>
      <c r="DH2996" s="959"/>
      <c r="ER2996" s="905">
        <v>8978</v>
      </c>
      <c r="ES2996" s="906" t="s">
        <v>4504</v>
      </c>
      <c r="ET2996" s="2686">
        <v>9</v>
      </c>
      <c r="EV2996" s="985"/>
      <c r="EW2996" s="985"/>
      <c r="EX2996" s="387"/>
      <c r="EY2996" s="939"/>
      <c r="EZ2996" s="886"/>
    </row>
    <row r="2997" spans="88:156">
      <c r="CJ2997" s="197"/>
      <c r="CK2997" s="197"/>
      <c r="CL2997" s="197"/>
      <c r="CM2997" s="213"/>
      <c r="CN2997" s="213"/>
      <c r="CO2997" s="197"/>
      <c r="CP2997" s="197"/>
      <c r="CQ2997" s="197"/>
      <c r="CR2997" s="197"/>
      <c r="CS2997" s="197"/>
      <c r="CT2997" s="197"/>
      <c r="CU2997" s="197"/>
      <c r="CV2997" s="197"/>
      <c r="CW2997" s="197"/>
      <c r="CX2997" s="959"/>
      <c r="CY2997" s="959"/>
      <c r="CZ2997" s="959"/>
      <c r="DA2997" s="959"/>
      <c r="DB2997" s="959"/>
      <c r="DC2997" s="891">
        <v>9421</v>
      </c>
      <c r="DD2997" s="891" t="s">
        <v>3866</v>
      </c>
      <c r="DE2997" s="891" t="s">
        <v>419</v>
      </c>
      <c r="DF2997" s="891">
        <v>5</v>
      </c>
      <c r="DG2997" s="959"/>
      <c r="DH2997" s="959"/>
      <c r="ER2997" s="905">
        <v>8981</v>
      </c>
      <c r="ES2997" s="906" t="s">
        <v>2906</v>
      </c>
      <c r="ET2997" s="2686">
        <v>9</v>
      </c>
      <c r="EV2997" s="985"/>
      <c r="EW2997" s="985"/>
      <c r="EX2997" s="387"/>
      <c r="EY2997" s="939"/>
      <c r="EZ2997" s="886"/>
    </row>
    <row r="2998" spans="88:156">
      <c r="CJ2998" s="197"/>
      <c r="CK2998" s="197"/>
      <c r="CL2998" s="197"/>
      <c r="CM2998" s="213"/>
      <c r="CN2998" s="213"/>
      <c r="CO2998" s="197"/>
      <c r="CP2998" s="197"/>
      <c r="CQ2998" s="197"/>
      <c r="CR2998" s="197"/>
      <c r="CS2998" s="197"/>
      <c r="CT2998" s="197"/>
      <c r="CU2998" s="197"/>
      <c r="CV2998" s="197"/>
      <c r="CW2998" s="197"/>
      <c r="CX2998" s="959"/>
      <c r="CY2998" s="959"/>
      <c r="CZ2998" s="959"/>
      <c r="DA2998" s="959"/>
      <c r="DB2998" s="959"/>
      <c r="DC2998" s="891">
        <v>9422</v>
      </c>
      <c r="DD2998" s="891" t="s">
        <v>3867</v>
      </c>
      <c r="DE2998" s="891" t="s">
        <v>412</v>
      </c>
      <c r="DF2998" s="891">
        <v>6</v>
      </c>
      <c r="DG2998" s="959"/>
      <c r="DH2998" s="959"/>
      <c r="ER2998" s="905">
        <v>8981</v>
      </c>
      <c r="ES2998" s="906" t="s">
        <v>4505</v>
      </c>
      <c r="ET2998" s="2686">
        <v>9</v>
      </c>
      <c r="EV2998" s="985"/>
      <c r="EW2998" s="985"/>
      <c r="EX2998" s="387"/>
      <c r="EY2998" s="939"/>
      <c r="EZ2998" s="886"/>
    </row>
    <row r="2999" spans="88:156">
      <c r="CJ2999" s="197"/>
      <c r="CK2999" s="197"/>
      <c r="CL2999" s="197"/>
      <c r="CM2999" s="213"/>
      <c r="CN2999" s="213"/>
      <c r="CO2999" s="197"/>
      <c r="CP2999" s="197"/>
      <c r="CQ2999" s="197"/>
      <c r="CR2999" s="197"/>
      <c r="CS2999" s="197"/>
      <c r="CT2999" s="197"/>
      <c r="CU2999" s="197"/>
      <c r="CV2999" s="197"/>
      <c r="CW2999" s="197"/>
      <c r="CX2999" s="959"/>
      <c r="CY2999" s="959"/>
      <c r="CZ2999" s="959"/>
      <c r="DA2999" s="959"/>
      <c r="DB2999" s="959"/>
      <c r="DC2999" s="891">
        <v>9423</v>
      </c>
      <c r="DD2999" s="891" t="s">
        <v>3868</v>
      </c>
      <c r="DE2999" s="891" t="s">
        <v>412</v>
      </c>
      <c r="DF2999" s="891">
        <v>6</v>
      </c>
      <c r="DG2999" s="959"/>
      <c r="DH2999" s="959"/>
      <c r="ER2999" s="905">
        <v>8983</v>
      </c>
      <c r="ES2999" s="906" t="s">
        <v>4464</v>
      </c>
      <c r="ET2999" s="2686">
        <v>6</v>
      </c>
      <c r="EV2999" s="985"/>
      <c r="EW2999" s="985"/>
      <c r="EX2999" s="387"/>
      <c r="EY2999" s="939"/>
      <c r="EZ2999" s="886"/>
    </row>
    <row r="3000" spans="88:156">
      <c r="CJ3000" s="197"/>
      <c r="CK3000" s="197"/>
      <c r="CL3000" s="197"/>
      <c r="CM3000" s="213"/>
      <c r="CN3000" s="213"/>
      <c r="CO3000" s="197"/>
      <c r="CP3000" s="197"/>
      <c r="CQ3000" s="197"/>
      <c r="CR3000" s="197"/>
      <c r="CS3000" s="197"/>
      <c r="CT3000" s="197"/>
      <c r="CU3000" s="197"/>
      <c r="CV3000" s="197"/>
      <c r="CW3000" s="197"/>
      <c r="CX3000" s="959"/>
      <c r="CY3000" s="959"/>
      <c r="CZ3000" s="959"/>
      <c r="DA3000" s="959"/>
      <c r="DB3000" s="959"/>
      <c r="DC3000" s="891">
        <v>9431</v>
      </c>
      <c r="DD3000" s="891" t="s">
        <v>3869</v>
      </c>
      <c r="DE3000" s="891" t="s">
        <v>421</v>
      </c>
      <c r="DF3000" s="891">
        <v>6</v>
      </c>
      <c r="DG3000" s="959"/>
      <c r="DH3000" s="959"/>
      <c r="ER3000" s="905">
        <v>8983</v>
      </c>
      <c r="ES3000" s="906" t="s">
        <v>2907</v>
      </c>
      <c r="ET3000" s="2686">
        <v>6</v>
      </c>
      <c r="EV3000" s="985"/>
      <c r="EW3000" s="985"/>
      <c r="EX3000" s="387"/>
      <c r="EY3000" s="939"/>
      <c r="EZ3000" s="886"/>
    </row>
    <row r="3001" spans="88:156">
      <c r="CJ3001" s="197"/>
      <c r="CK3001" s="197"/>
      <c r="CL3001" s="197"/>
      <c r="CM3001" s="213"/>
      <c r="CN3001" s="213"/>
      <c r="CO3001" s="197"/>
      <c r="CP3001" s="197"/>
      <c r="CQ3001" s="197"/>
      <c r="CR3001" s="197"/>
      <c r="CS3001" s="197"/>
      <c r="CT3001" s="197"/>
      <c r="CU3001" s="197"/>
      <c r="CV3001" s="197"/>
      <c r="CW3001" s="197"/>
      <c r="CX3001" s="959"/>
      <c r="CY3001" s="959"/>
      <c r="CZ3001" s="959"/>
      <c r="DA3001" s="959"/>
      <c r="DB3001" s="959"/>
      <c r="DC3001" s="891">
        <v>9433</v>
      </c>
      <c r="DD3001" s="891" t="s">
        <v>3870</v>
      </c>
      <c r="DE3001" s="891" t="s">
        <v>417</v>
      </c>
      <c r="DF3001" s="891">
        <v>6</v>
      </c>
      <c r="DG3001" s="959"/>
      <c r="DH3001" s="959"/>
      <c r="ER3001" s="905">
        <v>8983</v>
      </c>
      <c r="ES3001" s="906" t="s">
        <v>4506</v>
      </c>
      <c r="ET3001" s="2686">
        <v>6</v>
      </c>
      <c r="EV3001" s="985"/>
      <c r="EW3001" s="985"/>
      <c r="EX3001" s="387"/>
      <c r="EY3001" s="939"/>
      <c r="EZ3001" s="886"/>
    </row>
    <row r="3002" spans="88:156">
      <c r="CJ3002" s="197"/>
      <c r="CK3002" s="197"/>
      <c r="CL3002" s="197"/>
      <c r="CM3002" s="213"/>
      <c r="CN3002" s="213"/>
      <c r="CO3002" s="197"/>
      <c r="CP3002" s="197"/>
      <c r="CQ3002" s="197"/>
      <c r="CR3002" s="197"/>
      <c r="CS3002" s="197"/>
      <c r="CT3002" s="197"/>
      <c r="CU3002" s="197"/>
      <c r="CV3002" s="197"/>
      <c r="CW3002" s="197"/>
      <c r="CX3002" s="959"/>
      <c r="CY3002" s="959"/>
      <c r="CZ3002" s="959"/>
      <c r="DA3002" s="959"/>
      <c r="DB3002" s="959"/>
      <c r="DC3002" s="891">
        <v>9434</v>
      </c>
      <c r="DD3002" s="891" t="s">
        <v>4768</v>
      </c>
      <c r="DE3002" s="891" t="s">
        <v>410</v>
      </c>
      <c r="DF3002" s="891">
        <v>6</v>
      </c>
      <c r="DG3002" s="959"/>
      <c r="DH3002" s="959"/>
      <c r="ER3002" s="905">
        <v>8984</v>
      </c>
      <c r="ES3002" s="906" t="s">
        <v>2908</v>
      </c>
      <c r="ET3002" s="2686">
        <v>9</v>
      </c>
      <c r="EV3002" s="985"/>
      <c r="EW3002" s="985"/>
      <c r="EX3002" s="387"/>
      <c r="EY3002" s="939"/>
      <c r="EZ3002" s="886"/>
    </row>
    <row r="3003" spans="88:156">
      <c r="CJ3003" s="197"/>
      <c r="CK3003" s="197"/>
      <c r="CL3003" s="197"/>
      <c r="CM3003" s="213"/>
      <c r="CN3003" s="213"/>
      <c r="CO3003" s="197"/>
      <c r="CP3003" s="197"/>
      <c r="CQ3003" s="197"/>
      <c r="CR3003" s="197"/>
      <c r="CS3003" s="197"/>
      <c r="CT3003" s="197"/>
      <c r="CU3003" s="197"/>
      <c r="CV3003" s="197"/>
      <c r="CW3003" s="197"/>
      <c r="CX3003" s="959"/>
      <c r="CY3003" s="959"/>
      <c r="CZ3003" s="959"/>
      <c r="DA3003" s="959"/>
      <c r="DB3003" s="959"/>
      <c r="DC3003" s="891">
        <v>9435</v>
      </c>
      <c r="DD3003" s="891" t="s">
        <v>4769</v>
      </c>
      <c r="DE3003" s="891" t="s">
        <v>420</v>
      </c>
      <c r="DF3003" s="891">
        <v>6</v>
      </c>
      <c r="DG3003" s="959"/>
      <c r="DH3003" s="959"/>
      <c r="ER3003" s="905">
        <v>8984</v>
      </c>
      <c r="ES3003" s="906" t="s">
        <v>2909</v>
      </c>
      <c r="ET3003" s="2686">
        <v>9</v>
      </c>
      <c r="EV3003" s="985"/>
      <c r="EW3003" s="985"/>
      <c r="EX3003" s="387"/>
      <c r="EY3003" s="939"/>
      <c r="EZ3003" s="886"/>
    </row>
    <row r="3004" spans="88:156">
      <c r="CJ3004" s="197"/>
      <c r="CK3004" s="197"/>
      <c r="CL3004" s="197"/>
      <c r="CM3004" s="213"/>
      <c r="CN3004" s="213"/>
      <c r="CO3004" s="197"/>
      <c r="CP3004" s="197"/>
      <c r="CQ3004" s="197"/>
      <c r="CR3004" s="197"/>
      <c r="CS3004" s="197"/>
      <c r="CT3004" s="197"/>
      <c r="CU3004" s="197"/>
      <c r="CV3004" s="197"/>
      <c r="CW3004" s="197"/>
      <c r="CX3004" s="959"/>
      <c r="CY3004" s="959"/>
      <c r="CZ3004" s="959"/>
      <c r="DA3004" s="959"/>
      <c r="DB3004" s="959"/>
      <c r="DC3004" s="891">
        <v>9436</v>
      </c>
      <c r="DD3004" s="891" t="s">
        <v>4770</v>
      </c>
      <c r="DE3004" s="891" t="s">
        <v>432</v>
      </c>
      <c r="DF3004" s="891">
        <v>6</v>
      </c>
      <c r="DG3004" s="959"/>
      <c r="DH3004" s="959"/>
      <c r="ER3004" s="905">
        <v>8984</v>
      </c>
      <c r="ES3004" s="906" t="s">
        <v>4507</v>
      </c>
      <c r="ET3004" s="2686">
        <v>9</v>
      </c>
      <c r="EV3004" s="985"/>
      <c r="EW3004" s="985"/>
      <c r="EX3004" s="387"/>
      <c r="EY3004" s="939"/>
      <c r="EZ3004" s="886"/>
    </row>
    <row r="3005" spans="88:156">
      <c r="CJ3005" s="197"/>
      <c r="CK3005" s="197"/>
      <c r="CL3005" s="197"/>
      <c r="CM3005" s="213"/>
      <c r="CN3005" s="213"/>
      <c r="CO3005" s="197"/>
      <c r="CP3005" s="197"/>
      <c r="CQ3005" s="197"/>
      <c r="CR3005" s="197"/>
      <c r="CS3005" s="197"/>
      <c r="CT3005" s="197"/>
      <c r="CU3005" s="197"/>
      <c r="CV3005" s="197"/>
      <c r="CW3005" s="197"/>
      <c r="CX3005" s="959"/>
      <c r="CY3005" s="959"/>
      <c r="CZ3005" s="959"/>
      <c r="DA3005" s="959"/>
      <c r="DB3005" s="959"/>
      <c r="DC3005" s="891">
        <v>9437</v>
      </c>
      <c r="DD3005" s="891" t="s">
        <v>4771</v>
      </c>
      <c r="DE3005" s="891" t="s">
        <v>412</v>
      </c>
      <c r="DF3005" s="891">
        <v>6</v>
      </c>
      <c r="DG3005" s="959"/>
      <c r="DH3005" s="959"/>
      <c r="ER3005" s="905">
        <v>8985</v>
      </c>
      <c r="ES3005" s="906" t="s">
        <v>799</v>
      </c>
      <c r="ET3005" s="2686">
        <v>9</v>
      </c>
      <c r="EV3005" s="985"/>
      <c r="EW3005" s="985"/>
      <c r="EX3005" s="387"/>
      <c r="EY3005" s="939"/>
      <c r="EZ3005" s="886"/>
    </row>
    <row r="3006" spans="88:156">
      <c r="CJ3006" s="197"/>
      <c r="CK3006" s="197"/>
      <c r="CL3006" s="197"/>
      <c r="CM3006" s="213"/>
      <c r="CN3006" s="213"/>
      <c r="CO3006" s="197"/>
      <c r="CP3006" s="197"/>
      <c r="CQ3006" s="197"/>
      <c r="CR3006" s="197"/>
      <c r="CS3006" s="197"/>
      <c r="CT3006" s="197"/>
      <c r="CU3006" s="197"/>
      <c r="CV3006" s="197"/>
      <c r="CW3006" s="197"/>
      <c r="CX3006" s="959"/>
      <c r="CY3006" s="959"/>
      <c r="CZ3006" s="959"/>
      <c r="DA3006" s="959"/>
      <c r="DB3006" s="959"/>
      <c r="DC3006" s="891">
        <v>9438</v>
      </c>
      <c r="DD3006" s="891" t="s">
        <v>4769</v>
      </c>
      <c r="DE3006" s="891" t="s">
        <v>406</v>
      </c>
      <c r="DF3006" s="891">
        <v>6</v>
      </c>
      <c r="DG3006" s="959"/>
      <c r="DH3006" s="959"/>
      <c r="ER3006" s="905">
        <v>8986</v>
      </c>
      <c r="ES3006" s="906" t="s">
        <v>2910</v>
      </c>
      <c r="ET3006" s="2686">
        <v>9</v>
      </c>
      <c r="EV3006" s="985"/>
      <c r="EW3006" s="985"/>
      <c r="EX3006" s="387"/>
      <c r="EY3006" s="939"/>
      <c r="EZ3006" s="886"/>
    </row>
    <row r="3007" spans="88:156">
      <c r="CJ3007" s="197"/>
      <c r="CK3007" s="197"/>
      <c r="CL3007" s="197"/>
      <c r="CM3007" s="213"/>
      <c r="CN3007" s="213"/>
      <c r="CO3007" s="197"/>
      <c r="CP3007" s="197"/>
      <c r="CQ3007" s="197"/>
      <c r="CR3007" s="197"/>
      <c r="CS3007" s="197"/>
      <c r="CT3007" s="197"/>
      <c r="CU3007" s="197"/>
      <c r="CV3007" s="197"/>
      <c r="CW3007" s="197"/>
      <c r="CX3007" s="959"/>
      <c r="CY3007" s="959"/>
      <c r="CZ3007" s="959"/>
      <c r="DA3007" s="959"/>
      <c r="DB3007" s="959"/>
      <c r="DC3007" s="891">
        <v>9441</v>
      </c>
      <c r="DD3007" s="891" t="s">
        <v>4772</v>
      </c>
      <c r="DE3007" s="891" t="s">
        <v>435</v>
      </c>
      <c r="DF3007" s="891">
        <v>6</v>
      </c>
      <c r="DG3007" s="959"/>
      <c r="DH3007" s="959"/>
      <c r="ER3007" s="905">
        <v>8986</v>
      </c>
      <c r="ES3007" s="906" t="s">
        <v>2911</v>
      </c>
      <c r="ET3007" s="2686">
        <v>9</v>
      </c>
      <c r="EV3007" s="985"/>
      <c r="EW3007" s="985"/>
      <c r="EX3007" s="387"/>
      <c r="EY3007" s="939"/>
      <c r="EZ3007" s="886"/>
    </row>
    <row r="3008" spans="88:156">
      <c r="CJ3008" s="197"/>
      <c r="CK3008" s="197"/>
      <c r="CL3008" s="197"/>
      <c r="CM3008" s="213"/>
      <c r="CN3008" s="213"/>
      <c r="CO3008" s="197"/>
      <c r="CP3008" s="197"/>
      <c r="CQ3008" s="197"/>
      <c r="CR3008" s="197"/>
      <c r="CS3008" s="197"/>
      <c r="CT3008" s="197"/>
      <c r="CU3008" s="197"/>
      <c r="CV3008" s="197"/>
      <c r="CW3008" s="197"/>
      <c r="CX3008" s="959"/>
      <c r="CY3008" s="959"/>
      <c r="CZ3008" s="959"/>
      <c r="DA3008" s="959"/>
      <c r="DB3008" s="959"/>
      <c r="DC3008" s="891">
        <v>9442</v>
      </c>
      <c r="DD3008" s="891" t="s">
        <v>4773</v>
      </c>
      <c r="DE3008" s="891" t="s">
        <v>427</v>
      </c>
      <c r="DF3008" s="891">
        <v>6</v>
      </c>
      <c r="DG3008" s="959"/>
      <c r="DH3008" s="959"/>
      <c r="ER3008" s="905">
        <v>8986</v>
      </c>
      <c r="ES3008" s="906" t="s">
        <v>800</v>
      </c>
      <c r="ET3008" s="2686">
        <v>9</v>
      </c>
      <c r="EV3008" s="985"/>
      <c r="EW3008" s="985"/>
      <c r="EX3008" s="387"/>
      <c r="EY3008" s="939"/>
      <c r="EZ3008" s="886"/>
    </row>
    <row r="3009" spans="88:156">
      <c r="CJ3009" s="197"/>
      <c r="CK3009" s="197"/>
      <c r="CL3009" s="197"/>
      <c r="CM3009" s="213"/>
      <c r="CN3009" s="213"/>
      <c r="CO3009" s="197"/>
      <c r="CP3009" s="197"/>
      <c r="CQ3009" s="197"/>
      <c r="CR3009" s="197"/>
      <c r="CS3009" s="197"/>
      <c r="CT3009" s="197"/>
      <c r="CU3009" s="197"/>
      <c r="CV3009" s="197"/>
      <c r="CW3009" s="197"/>
      <c r="CX3009" s="959"/>
      <c r="CY3009" s="959"/>
      <c r="CZ3009" s="959"/>
      <c r="DA3009" s="959"/>
      <c r="DB3009" s="959"/>
      <c r="DC3009" s="891">
        <v>9443</v>
      </c>
      <c r="DD3009" s="891" t="s">
        <v>4774</v>
      </c>
      <c r="DE3009" s="891" t="s">
        <v>418</v>
      </c>
      <c r="DF3009" s="891">
        <v>6</v>
      </c>
      <c r="DG3009" s="959"/>
      <c r="DH3009" s="959"/>
      <c r="ER3009" s="905">
        <v>8988</v>
      </c>
      <c r="ES3009" s="906" t="s">
        <v>2912</v>
      </c>
      <c r="ET3009" s="2686">
        <v>9</v>
      </c>
      <c r="EV3009" s="985"/>
      <c r="EW3009" s="985"/>
      <c r="EX3009" s="387"/>
      <c r="EY3009" s="939"/>
      <c r="EZ3009" s="886"/>
    </row>
    <row r="3010" spans="88:156">
      <c r="CJ3010" s="197"/>
      <c r="CK3010" s="197"/>
      <c r="CL3010" s="197"/>
      <c r="CM3010" s="213"/>
      <c r="CN3010" s="213"/>
      <c r="CO3010" s="197"/>
      <c r="CP3010" s="197"/>
      <c r="CQ3010" s="197"/>
      <c r="CR3010" s="197"/>
      <c r="CS3010" s="197"/>
      <c r="CT3010" s="197"/>
      <c r="CU3010" s="197"/>
      <c r="CV3010" s="197"/>
      <c r="CW3010" s="197"/>
      <c r="CX3010" s="959"/>
      <c r="CY3010" s="959"/>
      <c r="CZ3010" s="959"/>
      <c r="DA3010" s="959"/>
      <c r="DB3010" s="959"/>
      <c r="DC3010" s="891">
        <v>9444</v>
      </c>
      <c r="DD3010" s="891" t="s">
        <v>4775</v>
      </c>
      <c r="DE3010" s="891" t="s">
        <v>412</v>
      </c>
      <c r="DF3010" s="891">
        <v>6</v>
      </c>
      <c r="DG3010" s="959"/>
      <c r="DH3010" s="959"/>
      <c r="ER3010" s="905">
        <v>8988</v>
      </c>
      <c r="ES3010" s="906" t="s">
        <v>801</v>
      </c>
      <c r="ET3010" s="2686">
        <v>9</v>
      </c>
      <c r="EV3010" s="985"/>
      <c r="EW3010" s="985"/>
      <c r="EX3010" s="387"/>
      <c r="EY3010" s="939"/>
      <c r="EZ3010" s="886"/>
    </row>
    <row r="3011" spans="88:156">
      <c r="CJ3011" s="197"/>
      <c r="CK3011" s="197"/>
      <c r="CL3011" s="197"/>
      <c r="CM3011" s="213"/>
      <c r="CN3011" s="213"/>
      <c r="CO3011" s="197"/>
      <c r="CP3011" s="197"/>
      <c r="CQ3011" s="197"/>
      <c r="CR3011" s="197"/>
      <c r="CS3011" s="197"/>
      <c r="CT3011" s="197"/>
      <c r="CU3011" s="197"/>
      <c r="CV3011" s="197"/>
      <c r="CW3011" s="197"/>
      <c r="CX3011" s="959"/>
      <c r="CY3011" s="959"/>
      <c r="CZ3011" s="959"/>
      <c r="DA3011" s="959"/>
      <c r="DB3011" s="959"/>
      <c r="DC3011" s="891">
        <v>9451</v>
      </c>
      <c r="DD3011" s="891" t="s">
        <v>4776</v>
      </c>
      <c r="DE3011" s="891" t="s">
        <v>421</v>
      </c>
      <c r="DF3011" s="891">
        <v>6</v>
      </c>
      <c r="DG3011" s="959"/>
      <c r="DH3011" s="959"/>
      <c r="ER3011" s="905">
        <v>8989</v>
      </c>
      <c r="ES3011" s="906" t="s">
        <v>802</v>
      </c>
      <c r="ET3011" s="2686">
        <v>9</v>
      </c>
      <c r="EV3011" s="985"/>
      <c r="EW3011" s="985"/>
      <c r="EX3011" s="387"/>
      <c r="EY3011" s="939"/>
      <c r="EZ3011" s="886"/>
    </row>
    <row r="3012" spans="88:156">
      <c r="CJ3012" s="197"/>
      <c r="CK3012" s="197"/>
      <c r="CL3012" s="197"/>
      <c r="CM3012" s="213"/>
      <c r="CN3012" s="213"/>
      <c r="CO3012" s="197"/>
      <c r="CP3012" s="197"/>
      <c r="CQ3012" s="197"/>
      <c r="CR3012" s="197"/>
      <c r="CS3012" s="197"/>
      <c r="CT3012" s="197"/>
      <c r="CU3012" s="197"/>
      <c r="CV3012" s="197"/>
      <c r="CW3012" s="197"/>
      <c r="CX3012" s="959"/>
      <c r="CY3012" s="959"/>
      <c r="CZ3012" s="959"/>
      <c r="DA3012" s="959"/>
      <c r="DB3012" s="959"/>
      <c r="DC3012" s="891">
        <v>9461</v>
      </c>
      <c r="DD3012" s="891" t="s">
        <v>4777</v>
      </c>
      <c r="DE3012" s="891" t="s">
        <v>417</v>
      </c>
      <c r="DF3012" s="891">
        <v>6</v>
      </c>
      <c r="DG3012" s="959"/>
      <c r="DH3012" s="959"/>
      <c r="ER3012" s="905">
        <v>8990</v>
      </c>
      <c r="ES3012" s="906" t="s">
        <v>4465</v>
      </c>
      <c r="ET3012" s="2686">
        <v>9</v>
      </c>
      <c r="EV3012" s="985"/>
      <c r="EW3012" s="985"/>
      <c r="EX3012" s="387"/>
      <c r="EY3012" s="939"/>
      <c r="EZ3012" s="886"/>
    </row>
    <row r="3013" spans="88:156">
      <c r="CJ3013" s="197"/>
      <c r="CK3013" s="197"/>
      <c r="CL3013" s="197"/>
      <c r="CM3013" s="213"/>
      <c r="CN3013" s="213"/>
      <c r="CO3013" s="197"/>
      <c r="CP3013" s="197"/>
      <c r="CQ3013" s="197"/>
      <c r="CR3013" s="197"/>
      <c r="CS3013" s="197"/>
      <c r="CT3013" s="197"/>
      <c r="CU3013" s="197"/>
      <c r="CV3013" s="197"/>
      <c r="CW3013" s="197"/>
      <c r="CX3013" s="959"/>
      <c r="CY3013" s="959"/>
      <c r="CZ3013" s="959"/>
      <c r="DA3013" s="959"/>
      <c r="DB3013" s="959"/>
      <c r="DC3013" s="891">
        <v>9462</v>
      </c>
      <c r="DD3013" s="891" t="s">
        <v>4778</v>
      </c>
      <c r="DE3013" s="891" t="s">
        <v>421</v>
      </c>
      <c r="DF3013" s="891">
        <v>6</v>
      </c>
      <c r="DG3013" s="959"/>
      <c r="DH3013" s="959"/>
      <c r="ER3013" s="905">
        <v>8991</v>
      </c>
      <c r="ES3013" s="906" t="s">
        <v>2913</v>
      </c>
      <c r="ET3013" s="2686">
        <v>6</v>
      </c>
      <c r="EV3013" s="985"/>
      <c r="EW3013" s="985"/>
      <c r="EX3013" s="387"/>
      <c r="EY3013" s="939"/>
      <c r="EZ3013" s="886"/>
    </row>
    <row r="3014" spans="88:156">
      <c r="CJ3014" s="197"/>
      <c r="CK3014" s="197"/>
      <c r="CL3014" s="197"/>
      <c r="CM3014" s="213"/>
      <c r="CN3014" s="213"/>
      <c r="CO3014" s="197"/>
      <c r="CP3014" s="197"/>
      <c r="CQ3014" s="197"/>
      <c r="CR3014" s="197"/>
      <c r="CS3014" s="197"/>
      <c r="CT3014" s="197"/>
      <c r="CU3014" s="197"/>
      <c r="CV3014" s="197"/>
      <c r="CW3014" s="197"/>
      <c r="CX3014" s="959"/>
      <c r="CY3014" s="959"/>
      <c r="CZ3014" s="959"/>
      <c r="DA3014" s="959"/>
      <c r="DB3014" s="959"/>
      <c r="DC3014" s="891">
        <v>9463</v>
      </c>
      <c r="DD3014" s="891" t="s">
        <v>4779</v>
      </c>
      <c r="DE3014" s="891" t="s">
        <v>417</v>
      </c>
      <c r="DF3014" s="891">
        <v>6</v>
      </c>
      <c r="DG3014" s="959"/>
      <c r="DH3014" s="959"/>
      <c r="ER3014" s="905">
        <v>8991</v>
      </c>
      <c r="ES3014" s="906" t="s">
        <v>2914</v>
      </c>
      <c r="ET3014" s="2686">
        <v>6</v>
      </c>
      <c r="EV3014" s="985"/>
      <c r="EW3014" s="985"/>
      <c r="EX3014" s="387"/>
      <c r="EY3014" s="939"/>
      <c r="EZ3014" s="886"/>
    </row>
    <row r="3015" spans="88:156">
      <c r="CJ3015" s="197"/>
      <c r="CK3015" s="197"/>
      <c r="CL3015" s="197"/>
      <c r="CM3015" s="213"/>
      <c r="CN3015" s="213"/>
      <c r="CO3015" s="197"/>
      <c r="CP3015" s="197"/>
      <c r="CQ3015" s="197"/>
      <c r="CR3015" s="197"/>
      <c r="CS3015" s="197"/>
      <c r="CT3015" s="197"/>
      <c r="CU3015" s="197"/>
      <c r="CV3015" s="197"/>
      <c r="CW3015" s="197"/>
      <c r="CX3015" s="959"/>
      <c r="CY3015" s="959"/>
      <c r="CZ3015" s="959"/>
      <c r="DA3015" s="959"/>
      <c r="DB3015" s="959"/>
      <c r="DC3015" s="891">
        <v>9464</v>
      </c>
      <c r="DD3015" s="891" t="s">
        <v>4780</v>
      </c>
      <c r="DE3015" s="891" t="s">
        <v>432</v>
      </c>
      <c r="DF3015" s="891">
        <v>6</v>
      </c>
      <c r="DG3015" s="959"/>
      <c r="DH3015" s="959"/>
      <c r="ER3015" s="905">
        <v>8991</v>
      </c>
      <c r="ES3015" s="906" t="s">
        <v>803</v>
      </c>
      <c r="ET3015" s="2686">
        <v>6</v>
      </c>
      <c r="EV3015" s="985"/>
      <c r="EW3015" s="985"/>
      <c r="EX3015" s="387"/>
      <c r="EY3015" s="939"/>
      <c r="EZ3015" s="886"/>
    </row>
    <row r="3016" spans="88:156">
      <c r="CJ3016" s="197"/>
      <c r="CK3016" s="197"/>
      <c r="CL3016" s="197"/>
      <c r="CM3016" s="213"/>
      <c r="CN3016" s="213"/>
      <c r="CO3016" s="197"/>
      <c r="CP3016" s="197"/>
      <c r="CQ3016" s="197"/>
      <c r="CR3016" s="197"/>
      <c r="CS3016" s="197"/>
      <c r="CT3016" s="197"/>
      <c r="CU3016" s="197"/>
      <c r="CV3016" s="197"/>
      <c r="CW3016" s="197"/>
      <c r="CX3016" s="959"/>
      <c r="CY3016" s="959"/>
      <c r="CZ3016" s="959"/>
      <c r="DA3016" s="959"/>
      <c r="DB3016" s="959"/>
      <c r="DC3016" s="891">
        <v>9471</v>
      </c>
      <c r="DD3016" s="891" t="s">
        <v>4781</v>
      </c>
      <c r="DE3016" s="891" t="s">
        <v>417</v>
      </c>
      <c r="DF3016" s="891">
        <v>6</v>
      </c>
      <c r="DG3016" s="959"/>
      <c r="DH3016" s="959"/>
      <c r="ER3016" s="905">
        <v>8992</v>
      </c>
      <c r="ES3016" s="906" t="s">
        <v>2915</v>
      </c>
      <c r="ET3016" s="2686">
        <v>6</v>
      </c>
      <c r="EV3016" s="985"/>
      <c r="EW3016" s="985"/>
      <c r="EX3016" s="387"/>
      <c r="EY3016" s="939"/>
      <c r="EZ3016" s="886"/>
    </row>
    <row r="3017" spans="88:156">
      <c r="CJ3017" s="197"/>
      <c r="CK3017" s="197"/>
      <c r="CL3017" s="197"/>
      <c r="CM3017" s="213"/>
      <c r="CN3017" s="213"/>
      <c r="CO3017" s="197"/>
      <c r="CP3017" s="197"/>
      <c r="CQ3017" s="197"/>
      <c r="CR3017" s="197"/>
      <c r="CS3017" s="197"/>
      <c r="CT3017" s="197"/>
      <c r="CU3017" s="197"/>
      <c r="CV3017" s="197"/>
      <c r="CW3017" s="197"/>
      <c r="CX3017" s="959"/>
      <c r="CY3017" s="959"/>
      <c r="CZ3017" s="959"/>
      <c r="DA3017" s="959"/>
      <c r="DB3017" s="959"/>
      <c r="DC3017" s="891">
        <v>9472</v>
      </c>
      <c r="DD3017" s="891" t="s">
        <v>4782</v>
      </c>
      <c r="DE3017" s="891" t="s">
        <v>428</v>
      </c>
      <c r="DF3017" s="891">
        <v>6</v>
      </c>
      <c r="DG3017" s="959"/>
      <c r="DH3017" s="959"/>
      <c r="ER3017" s="905">
        <v>8992</v>
      </c>
      <c r="ES3017" s="906" t="s">
        <v>2916</v>
      </c>
      <c r="ET3017" s="2686">
        <v>6</v>
      </c>
      <c r="EV3017" s="985"/>
      <c r="EW3017" s="985"/>
      <c r="EX3017" s="387"/>
      <c r="EY3017" s="939"/>
      <c r="EZ3017" s="886"/>
    </row>
    <row r="3018" spans="88:156">
      <c r="CJ3018" s="197"/>
      <c r="CK3018" s="197"/>
      <c r="CL3018" s="197"/>
      <c r="CM3018" s="213"/>
      <c r="CN3018" s="213"/>
      <c r="CO3018" s="197"/>
      <c r="CP3018" s="197"/>
      <c r="CQ3018" s="197"/>
      <c r="CR3018" s="197"/>
      <c r="CS3018" s="197"/>
      <c r="CT3018" s="197"/>
      <c r="CU3018" s="197"/>
      <c r="CV3018" s="197"/>
      <c r="CW3018" s="197"/>
      <c r="CX3018" s="959"/>
      <c r="CY3018" s="959"/>
      <c r="CZ3018" s="959"/>
      <c r="DA3018" s="959"/>
      <c r="DB3018" s="959"/>
      <c r="DC3018" s="891">
        <v>9473</v>
      </c>
      <c r="DD3018" s="891" t="s">
        <v>4783</v>
      </c>
      <c r="DE3018" s="891" t="s">
        <v>2808</v>
      </c>
      <c r="DF3018" s="891">
        <v>6</v>
      </c>
      <c r="DG3018" s="959"/>
      <c r="DH3018" s="959"/>
      <c r="ER3018" s="905">
        <v>8992</v>
      </c>
      <c r="ES3018" s="906" t="s">
        <v>3127</v>
      </c>
      <c r="ET3018" s="2686">
        <v>6</v>
      </c>
      <c r="EV3018" s="985"/>
      <c r="EW3018" s="985"/>
      <c r="EX3018" s="387"/>
      <c r="EY3018" s="939"/>
      <c r="EZ3018" s="886"/>
    </row>
    <row r="3019" spans="88:156">
      <c r="CJ3019" s="197"/>
      <c r="CK3019" s="197"/>
      <c r="CL3019" s="197"/>
      <c r="CM3019" s="213"/>
      <c r="CN3019" s="213"/>
      <c r="CO3019" s="197"/>
      <c r="CP3019" s="197"/>
      <c r="CQ3019" s="197"/>
      <c r="CR3019" s="197"/>
      <c r="CS3019" s="197"/>
      <c r="CT3019" s="197"/>
      <c r="CU3019" s="197"/>
      <c r="CV3019" s="197"/>
      <c r="CW3019" s="197"/>
      <c r="CX3019" s="959"/>
      <c r="CY3019" s="959"/>
      <c r="CZ3019" s="959"/>
      <c r="DA3019" s="959"/>
      <c r="DB3019" s="959"/>
      <c r="DC3019" s="891">
        <v>9474</v>
      </c>
      <c r="DD3019" s="891" t="s">
        <v>4784</v>
      </c>
      <c r="DE3019" s="891" t="s">
        <v>419</v>
      </c>
      <c r="DF3019" s="891">
        <v>6</v>
      </c>
      <c r="DG3019" s="959"/>
      <c r="DH3019" s="959"/>
      <c r="ER3019" s="905">
        <v>8992</v>
      </c>
      <c r="ES3019" s="906" t="s">
        <v>804</v>
      </c>
      <c r="ET3019" s="2686">
        <v>6</v>
      </c>
      <c r="EV3019" s="985"/>
      <c r="EW3019" s="985"/>
      <c r="EX3019" s="387"/>
      <c r="EY3019" s="939"/>
      <c r="EZ3019" s="886"/>
    </row>
    <row r="3020" spans="88:156">
      <c r="CJ3020" s="197"/>
      <c r="CK3020" s="197"/>
      <c r="CL3020" s="197"/>
      <c r="CM3020" s="213"/>
      <c r="CN3020" s="213"/>
      <c r="CO3020" s="197"/>
      <c r="CP3020" s="197"/>
      <c r="CQ3020" s="197"/>
      <c r="CR3020" s="197"/>
      <c r="CS3020" s="197"/>
      <c r="CT3020" s="197"/>
      <c r="CU3020" s="197"/>
      <c r="CV3020" s="197"/>
      <c r="CW3020" s="197"/>
      <c r="CX3020" s="959"/>
      <c r="CY3020" s="959"/>
      <c r="CZ3020" s="959"/>
      <c r="DA3020" s="959"/>
      <c r="DB3020" s="959"/>
      <c r="DC3020" s="891">
        <v>9475</v>
      </c>
      <c r="DD3020" s="891" t="s">
        <v>4785</v>
      </c>
      <c r="DE3020" s="891" t="s">
        <v>412</v>
      </c>
      <c r="DF3020" s="891">
        <v>6</v>
      </c>
      <c r="DG3020" s="959"/>
      <c r="DH3020" s="959"/>
      <c r="ER3020" s="905">
        <v>8994</v>
      </c>
      <c r="ES3020" s="906" t="s">
        <v>3128</v>
      </c>
      <c r="ET3020" s="2686">
        <v>9</v>
      </c>
      <c r="EV3020" s="985"/>
      <c r="EW3020" s="985"/>
      <c r="EX3020" s="387"/>
      <c r="EY3020" s="939"/>
      <c r="EZ3020" s="886"/>
    </row>
    <row r="3021" spans="88:156">
      <c r="CJ3021" s="197"/>
      <c r="CK3021" s="197"/>
      <c r="CL3021" s="197"/>
      <c r="CM3021" s="213"/>
      <c r="CN3021" s="213"/>
      <c r="CO3021" s="197"/>
      <c r="CP3021" s="197"/>
      <c r="CQ3021" s="197"/>
      <c r="CR3021" s="197"/>
      <c r="CS3021" s="197"/>
      <c r="CT3021" s="197"/>
      <c r="CU3021" s="197"/>
      <c r="CV3021" s="197"/>
      <c r="CW3021" s="197"/>
      <c r="CX3021" s="959"/>
      <c r="CY3021" s="959"/>
      <c r="CZ3021" s="959"/>
      <c r="DA3021" s="959"/>
      <c r="DB3021" s="959"/>
      <c r="DC3021" s="891">
        <v>9476</v>
      </c>
      <c r="DD3021" s="891" t="s">
        <v>4786</v>
      </c>
      <c r="DE3021" s="891" t="s">
        <v>432</v>
      </c>
      <c r="DF3021" s="891">
        <v>6</v>
      </c>
      <c r="DG3021" s="959"/>
      <c r="DH3021" s="959"/>
      <c r="ER3021" s="905">
        <v>8994</v>
      </c>
      <c r="ES3021" s="906" t="s">
        <v>805</v>
      </c>
      <c r="ET3021" s="2686">
        <v>9</v>
      </c>
      <c r="EV3021" s="985"/>
      <c r="EW3021" s="985"/>
      <c r="EX3021" s="387"/>
      <c r="EY3021" s="939"/>
      <c r="EZ3021" s="886"/>
    </row>
    <row r="3022" spans="88:156">
      <c r="CJ3022" s="197"/>
      <c r="CK3022" s="197"/>
      <c r="CL3022" s="197"/>
      <c r="CM3022" s="213"/>
      <c r="CN3022" s="213"/>
      <c r="CO3022" s="197"/>
      <c r="CP3022" s="197"/>
      <c r="CQ3022" s="197"/>
      <c r="CR3022" s="197"/>
      <c r="CS3022" s="197"/>
      <c r="CT3022" s="197"/>
      <c r="CU3022" s="197"/>
      <c r="CV3022" s="197"/>
      <c r="CW3022" s="197"/>
      <c r="CX3022" s="959"/>
      <c r="CY3022" s="959"/>
      <c r="CZ3022" s="959"/>
      <c r="DA3022" s="959"/>
      <c r="DB3022" s="959"/>
      <c r="DC3022" s="891">
        <v>9481</v>
      </c>
      <c r="DD3022" s="891" t="s">
        <v>4787</v>
      </c>
      <c r="DE3022" s="891" t="s">
        <v>412</v>
      </c>
      <c r="DF3022" s="891">
        <v>6</v>
      </c>
      <c r="DG3022" s="959"/>
      <c r="DH3022" s="959"/>
      <c r="ER3022" s="905">
        <v>8995</v>
      </c>
      <c r="ES3022" s="906" t="s">
        <v>3129</v>
      </c>
      <c r="ET3022" s="2686">
        <v>9</v>
      </c>
      <c r="EV3022" s="985"/>
      <c r="EW3022" s="985"/>
      <c r="EX3022" s="387"/>
      <c r="EY3022" s="939"/>
      <c r="EZ3022" s="886"/>
    </row>
    <row r="3023" spans="88:156">
      <c r="CJ3023" s="197"/>
      <c r="CK3023" s="197"/>
      <c r="CL3023" s="197"/>
      <c r="CM3023" s="213"/>
      <c r="CN3023" s="213"/>
      <c r="CO3023" s="197"/>
      <c r="CP3023" s="197"/>
      <c r="CQ3023" s="197"/>
      <c r="CR3023" s="197"/>
      <c r="CS3023" s="197"/>
      <c r="CT3023" s="197"/>
      <c r="CU3023" s="197"/>
      <c r="CV3023" s="197"/>
      <c r="CW3023" s="197"/>
      <c r="CX3023" s="959"/>
      <c r="CY3023" s="959"/>
      <c r="CZ3023" s="959"/>
      <c r="DA3023" s="959"/>
      <c r="DB3023" s="959"/>
      <c r="DC3023" s="891">
        <v>9482</v>
      </c>
      <c r="DD3023" s="891" t="s">
        <v>4788</v>
      </c>
      <c r="DE3023" s="891" t="s">
        <v>419</v>
      </c>
      <c r="DF3023" s="891">
        <v>6</v>
      </c>
      <c r="DG3023" s="959"/>
      <c r="DH3023" s="959"/>
      <c r="ER3023" s="905">
        <v>8995</v>
      </c>
      <c r="ES3023" s="906" t="s">
        <v>806</v>
      </c>
      <c r="ET3023" s="2686">
        <v>9</v>
      </c>
      <c r="EV3023" s="985"/>
      <c r="EW3023" s="985"/>
      <c r="EX3023" s="387"/>
      <c r="EY3023" s="939"/>
      <c r="EZ3023" s="886"/>
    </row>
    <row r="3024" spans="88:156">
      <c r="CJ3024" s="197"/>
      <c r="CK3024" s="197"/>
      <c r="CL3024" s="197"/>
      <c r="CM3024" s="213"/>
      <c r="CN3024" s="213"/>
      <c r="CO3024" s="197"/>
      <c r="CP3024" s="197"/>
      <c r="CQ3024" s="197"/>
      <c r="CR3024" s="197"/>
      <c r="CS3024" s="197"/>
      <c r="CT3024" s="197"/>
      <c r="CU3024" s="197"/>
      <c r="CV3024" s="197"/>
      <c r="CW3024" s="197"/>
      <c r="CX3024" s="959"/>
      <c r="CY3024" s="959"/>
      <c r="CZ3024" s="959"/>
      <c r="DA3024" s="959"/>
      <c r="DB3024" s="959"/>
      <c r="DC3024" s="891">
        <v>9483</v>
      </c>
      <c r="DD3024" s="891" t="s">
        <v>4789</v>
      </c>
      <c r="DE3024" s="891" t="s">
        <v>432</v>
      </c>
      <c r="DF3024" s="891">
        <v>6</v>
      </c>
      <c r="DG3024" s="959"/>
      <c r="DH3024" s="959"/>
      <c r="ER3024" s="905">
        <v>8996</v>
      </c>
      <c r="ES3024" s="906" t="s">
        <v>807</v>
      </c>
      <c r="ET3024" s="2686">
        <v>9</v>
      </c>
      <c r="EV3024" s="985"/>
      <c r="EW3024" s="985"/>
      <c r="EX3024" s="387"/>
      <c r="EY3024" s="939"/>
      <c r="EZ3024" s="886"/>
    </row>
    <row r="3025" spans="88:156">
      <c r="CJ3025" s="197"/>
      <c r="CK3025" s="197"/>
      <c r="CL3025" s="197"/>
      <c r="CM3025" s="213"/>
      <c r="CN3025" s="213"/>
      <c r="CO3025" s="197"/>
      <c r="CP3025" s="197"/>
      <c r="CQ3025" s="197"/>
      <c r="CR3025" s="197"/>
      <c r="CS3025" s="197"/>
      <c r="CT3025" s="197"/>
      <c r="CU3025" s="197"/>
      <c r="CV3025" s="197"/>
      <c r="CW3025" s="197"/>
      <c r="CX3025" s="959"/>
      <c r="CY3025" s="959"/>
      <c r="CZ3025" s="959"/>
      <c r="DA3025" s="959"/>
      <c r="DB3025" s="959"/>
      <c r="DC3025" s="891">
        <v>9484</v>
      </c>
      <c r="DD3025" s="891" t="s">
        <v>4790</v>
      </c>
      <c r="DE3025" s="891" t="s">
        <v>2808</v>
      </c>
      <c r="DF3025" s="891">
        <v>6</v>
      </c>
      <c r="DG3025" s="959"/>
      <c r="DH3025" s="959"/>
      <c r="ER3025" s="905">
        <v>8997</v>
      </c>
      <c r="ES3025" s="906" t="s">
        <v>808</v>
      </c>
      <c r="ET3025" s="2686">
        <v>9</v>
      </c>
      <c r="EV3025" s="985"/>
      <c r="EW3025" s="985"/>
      <c r="EX3025" s="387"/>
      <c r="EY3025" s="939"/>
      <c r="EZ3025" s="886"/>
    </row>
    <row r="3026" spans="88:156">
      <c r="CJ3026" s="197"/>
      <c r="CK3026" s="197"/>
      <c r="CL3026" s="197"/>
      <c r="CM3026" s="213"/>
      <c r="CN3026" s="213"/>
      <c r="CO3026" s="197"/>
      <c r="CP3026" s="197"/>
      <c r="CQ3026" s="197"/>
      <c r="CR3026" s="197"/>
      <c r="CS3026" s="197"/>
      <c r="CT3026" s="197"/>
      <c r="CU3026" s="197"/>
      <c r="CV3026" s="197"/>
      <c r="CW3026" s="197"/>
      <c r="CX3026" s="959"/>
      <c r="CY3026" s="959"/>
      <c r="CZ3026" s="959"/>
      <c r="DA3026" s="959"/>
      <c r="DB3026" s="959"/>
      <c r="DC3026" s="891">
        <v>9485</v>
      </c>
      <c r="DD3026" s="891" t="s">
        <v>4791</v>
      </c>
      <c r="DE3026" s="891" t="s">
        <v>423</v>
      </c>
      <c r="DF3026" s="891">
        <v>6</v>
      </c>
      <c r="DG3026" s="959"/>
      <c r="DH3026" s="959"/>
      <c r="ER3026" s="905">
        <v>8998</v>
      </c>
      <c r="ES3026" s="906" t="s">
        <v>3130</v>
      </c>
      <c r="ET3026" s="2686">
        <v>9</v>
      </c>
      <c r="EV3026" s="985"/>
      <c r="EW3026" s="985"/>
      <c r="EX3026" s="387"/>
      <c r="EY3026" s="939"/>
      <c r="EZ3026" s="886"/>
    </row>
    <row r="3027" spans="88:156">
      <c r="CJ3027" s="197"/>
      <c r="CK3027" s="197"/>
      <c r="CL3027" s="197"/>
      <c r="CM3027" s="213"/>
      <c r="CN3027" s="213"/>
      <c r="CO3027" s="197"/>
      <c r="CP3027" s="197"/>
      <c r="CQ3027" s="197"/>
      <c r="CR3027" s="197"/>
      <c r="CS3027" s="197"/>
      <c r="CT3027" s="197"/>
      <c r="CU3027" s="197"/>
      <c r="CV3027" s="197"/>
      <c r="CW3027" s="197"/>
      <c r="CX3027" s="959"/>
      <c r="CY3027" s="959"/>
      <c r="CZ3027" s="959"/>
      <c r="DA3027" s="959"/>
      <c r="DB3027" s="959"/>
      <c r="DC3027" s="891">
        <v>9491</v>
      </c>
      <c r="DD3027" s="891" t="s">
        <v>4792</v>
      </c>
      <c r="DE3027" s="891" t="s">
        <v>423</v>
      </c>
      <c r="DF3027" s="891">
        <v>6</v>
      </c>
      <c r="DG3027" s="959"/>
      <c r="DH3027" s="959"/>
      <c r="ER3027" s="905">
        <v>8998</v>
      </c>
      <c r="ES3027" s="906" t="s">
        <v>809</v>
      </c>
      <c r="ET3027" s="2686">
        <v>9</v>
      </c>
      <c r="EV3027" s="985"/>
      <c r="EW3027" s="985"/>
      <c r="EX3027" s="387"/>
      <c r="EY3027" s="939"/>
      <c r="EZ3027" s="886"/>
    </row>
    <row r="3028" spans="88:156">
      <c r="CJ3028" s="197"/>
      <c r="CK3028" s="197"/>
      <c r="CL3028" s="197"/>
      <c r="CM3028" s="213"/>
      <c r="CN3028" s="213"/>
      <c r="CO3028" s="197"/>
      <c r="CP3028" s="197"/>
      <c r="CQ3028" s="197"/>
      <c r="CR3028" s="197"/>
      <c r="CS3028" s="197"/>
      <c r="CT3028" s="197"/>
      <c r="CU3028" s="197"/>
      <c r="CV3028" s="197"/>
      <c r="CW3028" s="197"/>
      <c r="CX3028" s="959"/>
      <c r="CY3028" s="959"/>
      <c r="CZ3028" s="959"/>
      <c r="DA3028" s="959"/>
      <c r="DB3028" s="959"/>
      <c r="DC3028" s="891">
        <v>9492</v>
      </c>
      <c r="DD3028" s="891" t="s">
        <v>4793</v>
      </c>
      <c r="DE3028" s="891" t="s">
        <v>423</v>
      </c>
      <c r="DF3028" s="891">
        <v>6</v>
      </c>
      <c r="DG3028" s="959"/>
      <c r="DH3028" s="959"/>
      <c r="ER3028" s="905">
        <v>8999</v>
      </c>
      <c r="ES3028" s="906" t="s">
        <v>3131</v>
      </c>
      <c r="ET3028" s="2686">
        <v>6</v>
      </c>
      <c r="EV3028" s="985"/>
      <c r="EW3028" s="985"/>
      <c r="EX3028" s="387"/>
      <c r="EY3028" s="939"/>
      <c r="EZ3028" s="886"/>
    </row>
    <row r="3029" spans="88:156">
      <c r="CJ3029" s="197"/>
      <c r="CK3029" s="197"/>
      <c r="CL3029" s="197"/>
      <c r="CM3029" s="213"/>
      <c r="CN3029" s="213"/>
      <c r="CO3029" s="197"/>
      <c r="CP3029" s="197"/>
      <c r="CQ3029" s="197"/>
      <c r="CR3029" s="197"/>
      <c r="CS3029" s="197"/>
      <c r="CT3029" s="197"/>
      <c r="CU3029" s="197"/>
      <c r="CV3029" s="197"/>
      <c r="CW3029" s="197"/>
      <c r="CX3029" s="959"/>
      <c r="CY3029" s="959"/>
      <c r="CZ3029" s="959"/>
      <c r="DA3029" s="959"/>
      <c r="DB3029" s="959"/>
      <c r="DC3029" s="891">
        <v>9493</v>
      </c>
      <c r="DD3029" s="891" t="s">
        <v>4794</v>
      </c>
      <c r="DE3029" s="891" t="s">
        <v>423</v>
      </c>
      <c r="DF3029" s="891">
        <v>5</v>
      </c>
      <c r="DG3029" s="959"/>
      <c r="DH3029" s="959"/>
      <c r="ER3029" s="905">
        <v>8999</v>
      </c>
      <c r="ES3029" s="906" t="s">
        <v>810</v>
      </c>
      <c r="ET3029" s="2686">
        <v>9</v>
      </c>
      <c r="EV3029" s="985"/>
      <c r="EW3029" s="985"/>
      <c r="EX3029" s="387"/>
      <c r="EY3029" s="939"/>
      <c r="EZ3029" s="886"/>
    </row>
    <row r="3030" spans="88:156">
      <c r="CJ3030" s="197"/>
      <c r="CK3030" s="197"/>
      <c r="CL3030" s="197"/>
      <c r="CM3030" s="213"/>
      <c r="CN3030" s="213"/>
      <c r="CO3030" s="197"/>
      <c r="CP3030" s="197"/>
      <c r="CQ3030" s="197"/>
      <c r="CR3030" s="197"/>
      <c r="CS3030" s="197"/>
      <c r="CT3030" s="197"/>
      <c r="CU3030" s="197"/>
      <c r="CV3030" s="197"/>
      <c r="CW3030" s="197"/>
      <c r="CX3030" s="959"/>
      <c r="CY3030" s="959"/>
      <c r="CZ3030" s="959"/>
      <c r="DA3030" s="959"/>
      <c r="DB3030" s="959"/>
      <c r="DC3030" s="891">
        <v>9494</v>
      </c>
      <c r="DD3030" s="891" t="s">
        <v>4795</v>
      </c>
      <c r="DE3030" s="891" t="s">
        <v>423</v>
      </c>
      <c r="DF3030" s="891">
        <v>6</v>
      </c>
      <c r="DG3030" s="959"/>
      <c r="DH3030" s="959"/>
      <c r="ER3030" s="905">
        <v>9000</v>
      </c>
      <c r="ES3030" s="906" t="s">
        <v>811</v>
      </c>
      <c r="ET3030" s="2686">
        <v>5</v>
      </c>
      <c r="EV3030" s="985"/>
      <c r="EW3030" s="985"/>
      <c r="EX3030" s="387"/>
      <c r="EY3030" s="939"/>
      <c r="EZ3030" s="886"/>
    </row>
    <row r="3031" spans="88:156">
      <c r="CJ3031" s="197"/>
      <c r="CK3031" s="197"/>
      <c r="CL3031" s="197"/>
      <c r="CM3031" s="213"/>
      <c r="CN3031" s="213"/>
      <c r="CO3031" s="197"/>
      <c r="CP3031" s="197"/>
      <c r="CQ3031" s="197"/>
      <c r="CR3031" s="197"/>
      <c r="CS3031" s="197"/>
      <c r="CT3031" s="197"/>
      <c r="CU3031" s="197"/>
      <c r="CV3031" s="197"/>
      <c r="CW3031" s="197"/>
      <c r="CX3031" s="959"/>
      <c r="CY3031" s="959"/>
      <c r="CZ3031" s="959"/>
      <c r="DA3031" s="959"/>
      <c r="DB3031" s="959"/>
      <c r="DC3031" s="891">
        <v>9495</v>
      </c>
      <c r="DD3031" s="891" t="s">
        <v>4796</v>
      </c>
      <c r="DE3031" s="891" t="s">
        <v>428</v>
      </c>
      <c r="DF3031" s="891">
        <v>6</v>
      </c>
      <c r="DG3031" s="959"/>
      <c r="DH3031" s="959"/>
      <c r="ER3031" s="905">
        <v>9010</v>
      </c>
      <c r="ES3031" s="906" t="s">
        <v>3132</v>
      </c>
      <c r="ET3031" s="2686">
        <v>9</v>
      </c>
      <c r="EV3031" s="985"/>
      <c r="EW3031" s="985"/>
      <c r="EX3031" s="387"/>
      <c r="EY3031" s="939"/>
      <c r="EZ3031" s="886"/>
    </row>
    <row r="3032" spans="88:156">
      <c r="CJ3032" s="197"/>
      <c r="CK3032" s="197"/>
      <c r="CL3032" s="197"/>
      <c r="CM3032" s="213"/>
      <c r="CN3032" s="213"/>
      <c r="CO3032" s="197"/>
      <c r="CP3032" s="197"/>
      <c r="CQ3032" s="197"/>
      <c r="CR3032" s="197"/>
      <c r="CS3032" s="197"/>
      <c r="CT3032" s="197"/>
      <c r="CU3032" s="197"/>
      <c r="CV3032" s="197"/>
      <c r="CW3032" s="197"/>
      <c r="CX3032" s="959"/>
      <c r="CY3032" s="959"/>
      <c r="CZ3032" s="959"/>
      <c r="DA3032" s="959"/>
      <c r="DB3032" s="959"/>
      <c r="DC3032" s="891">
        <v>9500</v>
      </c>
      <c r="DD3032" s="891" t="s">
        <v>4797</v>
      </c>
      <c r="DE3032" s="891" t="s">
        <v>419</v>
      </c>
      <c r="DF3032" s="891">
        <v>6</v>
      </c>
      <c r="DG3032" s="959"/>
      <c r="DH3032" s="959"/>
      <c r="ER3032" s="905">
        <v>9011</v>
      </c>
      <c r="ES3032" s="906" t="s">
        <v>3133</v>
      </c>
      <c r="ET3032" s="2686">
        <v>5</v>
      </c>
      <c r="EV3032" s="985"/>
      <c r="EW3032" s="985"/>
      <c r="EX3032" s="387"/>
      <c r="EY3032" s="939"/>
      <c r="EZ3032" s="886"/>
    </row>
    <row r="3033" spans="88:156">
      <c r="CJ3033" s="197"/>
      <c r="CK3033" s="197"/>
      <c r="CL3033" s="197"/>
      <c r="CM3033" s="213"/>
      <c r="CN3033" s="213"/>
      <c r="CO3033" s="197"/>
      <c r="CP3033" s="197"/>
      <c r="CQ3033" s="197"/>
      <c r="CR3033" s="197"/>
      <c r="CS3033" s="197"/>
      <c r="CT3033" s="197"/>
      <c r="CU3033" s="197"/>
      <c r="CV3033" s="197"/>
      <c r="CW3033" s="197"/>
      <c r="CX3033" s="959"/>
      <c r="CY3033" s="959"/>
      <c r="CZ3033" s="959"/>
      <c r="DA3033" s="959"/>
      <c r="DB3033" s="959"/>
      <c r="DC3033" s="891">
        <v>9511</v>
      </c>
      <c r="DD3033" s="891" t="s">
        <v>4832</v>
      </c>
      <c r="DE3033" s="891" t="s">
        <v>2808</v>
      </c>
      <c r="DF3033" s="891">
        <v>6</v>
      </c>
      <c r="DG3033" s="959"/>
      <c r="DH3033" s="959"/>
      <c r="ER3033" s="973">
        <v>9011</v>
      </c>
      <c r="ES3033" s="906" t="s">
        <v>811</v>
      </c>
      <c r="ET3033" s="2686">
        <v>5</v>
      </c>
      <c r="EV3033" s="985"/>
      <c r="EW3033" s="985"/>
      <c r="EX3033" s="387"/>
      <c r="EY3033" s="939"/>
      <c r="EZ3033" s="886"/>
    </row>
    <row r="3034" spans="88:156">
      <c r="CJ3034" s="197"/>
      <c r="CK3034" s="197"/>
      <c r="CL3034" s="197"/>
      <c r="CM3034" s="213"/>
      <c r="CN3034" s="213"/>
      <c r="CO3034" s="197"/>
      <c r="CP3034" s="197"/>
      <c r="CQ3034" s="197"/>
      <c r="CR3034" s="197"/>
      <c r="CS3034" s="197"/>
      <c r="CT3034" s="197"/>
      <c r="CU3034" s="197"/>
      <c r="CV3034" s="197"/>
      <c r="CW3034" s="197"/>
      <c r="CX3034" s="959"/>
      <c r="CY3034" s="959"/>
      <c r="CZ3034" s="959"/>
      <c r="DA3034" s="959"/>
      <c r="DB3034" s="959"/>
      <c r="DC3034" s="891">
        <v>9512</v>
      </c>
      <c r="DD3034" s="891" t="s">
        <v>4833</v>
      </c>
      <c r="DE3034" s="891" t="s">
        <v>406</v>
      </c>
      <c r="DF3034" s="891">
        <v>6</v>
      </c>
      <c r="DG3034" s="959"/>
      <c r="DH3034" s="959"/>
      <c r="ER3034" s="905">
        <v>9012</v>
      </c>
      <c r="ES3034" s="906" t="s">
        <v>3134</v>
      </c>
      <c r="ET3034" s="2686">
        <v>5</v>
      </c>
      <c r="EV3034" s="985"/>
      <c r="EW3034" s="985"/>
      <c r="EX3034" s="387"/>
      <c r="EY3034" s="939"/>
      <c r="EZ3034" s="886"/>
    </row>
    <row r="3035" spans="88:156">
      <c r="CJ3035" s="197"/>
      <c r="CK3035" s="197"/>
      <c r="CL3035" s="197"/>
      <c r="CM3035" s="213"/>
      <c r="CN3035" s="213"/>
      <c r="CO3035" s="197"/>
      <c r="CP3035" s="197"/>
      <c r="CQ3035" s="197"/>
      <c r="CR3035" s="197"/>
      <c r="CS3035" s="197"/>
      <c r="CT3035" s="197"/>
      <c r="CU3035" s="197"/>
      <c r="CV3035" s="197"/>
      <c r="CW3035" s="197"/>
      <c r="CX3035" s="959"/>
      <c r="CY3035" s="959"/>
      <c r="CZ3035" s="959"/>
      <c r="DA3035" s="959"/>
      <c r="DB3035" s="959"/>
      <c r="DC3035" s="891">
        <v>9513</v>
      </c>
      <c r="DD3035" s="891" t="s">
        <v>4834</v>
      </c>
      <c r="DE3035" s="891" t="s">
        <v>406</v>
      </c>
      <c r="DF3035" s="891">
        <v>6</v>
      </c>
      <c r="DG3035" s="959"/>
      <c r="DH3035" s="959"/>
      <c r="ER3035" s="905">
        <v>9012</v>
      </c>
      <c r="ES3035" s="906" t="s">
        <v>811</v>
      </c>
      <c r="ET3035" s="2686">
        <v>5</v>
      </c>
      <c r="EV3035" s="985"/>
      <c r="EW3035" s="985"/>
      <c r="EX3035" s="387"/>
      <c r="EY3035" s="939"/>
      <c r="EZ3035" s="886"/>
    </row>
    <row r="3036" spans="88:156">
      <c r="CJ3036" s="197"/>
      <c r="CK3036" s="197"/>
      <c r="CL3036" s="197"/>
      <c r="CM3036" s="213"/>
      <c r="CN3036" s="213"/>
      <c r="CO3036" s="197"/>
      <c r="CP3036" s="197"/>
      <c r="CQ3036" s="197"/>
      <c r="CR3036" s="197"/>
      <c r="CS3036" s="197"/>
      <c r="CT3036" s="197"/>
      <c r="CU3036" s="197"/>
      <c r="CV3036" s="197"/>
      <c r="CW3036" s="197"/>
      <c r="CX3036" s="959"/>
      <c r="CY3036" s="959"/>
      <c r="CZ3036" s="959"/>
      <c r="DA3036" s="959"/>
      <c r="DB3036" s="959"/>
      <c r="DC3036" s="891">
        <v>9514</v>
      </c>
      <c r="DD3036" s="891" t="s">
        <v>4835</v>
      </c>
      <c r="DE3036" s="891" t="s">
        <v>428</v>
      </c>
      <c r="DF3036" s="891">
        <v>6</v>
      </c>
      <c r="DG3036" s="959"/>
      <c r="DH3036" s="959"/>
      <c r="ER3036" s="905">
        <v>9019</v>
      </c>
      <c r="ES3036" s="906" t="s">
        <v>3135</v>
      </c>
      <c r="ET3036" s="2686">
        <v>5</v>
      </c>
      <c r="EV3036" s="985"/>
      <c r="EW3036" s="985"/>
      <c r="EX3036" s="387"/>
      <c r="EY3036" s="939"/>
      <c r="EZ3036" s="886"/>
    </row>
    <row r="3037" spans="88:156">
      <c r="CJ3037" s="197"/>
      <c r="CK3037" s="197"/>
      <c r="CL3037" s="197"/>
      <c r="CM3037" s="213"/>
      <c r="CN3037" s="213"/>
      <c r="CO3037" s="197"/>
      <c r="CP3037" s="197"/>
      <c r="CQ3037" s="197"/>
      <c r="CR3037" s="197"/>
      <c r="CS3037" s="197"/>
      <c r="CT3037" s="197"/>
      <c r="CU3037" s="197"/>
      <c r="CV3037" s="197"/>
      <c r="CW3037" s="197"/>
      <c r="CX3037" s="959"/>
      <c r="CY3037" s="959"/>
      <c r="CZ3037" s="959"/>
      <c r="DA3037" s="959"/>
      <c r="DB3037" s="959"/>
      <c r="DC3037" s="891">
        <v>9515</v>
      </c>
      <c r="DD3037" s="891" t="s">
        <v>4836</v>
      </c>
      <c r="DE3037" s="891" t="s">
        <v>410</v>
      </c>
      <c r="DF3037" s="891">
        <v>6</v>
      </c>
      <c r="DG3037" s="959"/>
      <c r="DH3037" s="959"/>
      <c r="ER3037" s="905">
        <v>9019</v>
      </c>
      <c r="ES3037" s="906" t="s">
        <v>811</v>
      </c>
      <c r="ET3037" s="2686">
        <v>5</v>
      </c>
      <c r="EV3037" s="985"/>
      <c r="EW3037" s="985"/>
      <c r="EX3037" s="387"/>
      <c r="EY3037" s="939"/>
      <c r="EZ3037" s="886"/>
    </row>
    <row r="3038" spans="88:156">
      <c r="CJ3038" s="197"/>
      <c r="CK3038" s="197"/>
      <c r="CL3038" s="197"/>
      <c r="CM3038" s="213"/>
      <c r="CN3038" s="213"/>
      <c r="CO3038" s="197"/>
      <c r="CP3038" s="197"/>
      <c r="CQ3038" s="197"/>
      <c r="CR3038" s="197"/>
      <c r="CS3038" s="197"/>
      <c r="CT3038" s="197"/>
      <c r="CU3038" s="197"/>
      <c r="CV3038" s="197"/>
      <c r="CW3038" s="197"/>
      <c r="CX3038" s="959"/>
      <c r="CY3038" s="959"/>
      <c r="CZ3038" s="959"/>
      <c r="DA3038" s="959"/>
      <c r="DB3038" s="959"/>
      <c r="DC3038" s="891">
        <v>9516</v>
      </c>
      <c r="DD3038" s="891" t="s">
        <v>4837</v>
      </c>
      <c r="DE3038" s="891" t="s">
        <v>417</v>
      </c>
      <c r="DF3038" s="891">
        <v>6</v>
      </c>
      <c r="DG3038" s="959"/>
      <c r="DH3038" s="959"/>
      <c r="ER3038" s="905">
        <v>9021</v>
      </c>
      <c r="ES3038" s="906" t="s">
        <v>811</v>
      </c>
      <c r="ET3038" s="2686">
        <v>5</v>
      </c>
      <c r="EV3038" s="985"/>
      <c r="EW3038" s="985"/>
      <c r="EX3038" s="387"/>
      <c r="EY3038" s="939"/>
      <c r="EZ3038" s="886"/>
    </row>
    <row r="3039" spans="88:156">
      <c r="CJ3039" s="197"/>
      <c r="CK3039" s="197"/>
      <c r="CL3039" s="197"/>
      <c r="CM3039" s="213"/>
      <c r="CN3039" s="213"/>
      <c r="CO3039" s="197"/>
      <c r="CP3039" s="197"/>
      <c r="CQ3039" s="197"/>
      <c r="CR3039" s="197"/>
      <c r="CS3039" s="197"/>
      <c r="CT3039" s="197"/>
      <c r="CU3039" s="197"/>
      <c r="CV3039" s="197"/>
      <c r="CW3039" s="197"/>
      <c r="CX3039" s="959"/>
      <c r="CY3039" s="959"/>
      <c r="CZ3039" s="959"/>
      <c r="DA3039" s="959"/>
      <c r="DB3039" s="959"/>
      <c r="DC3039" s="891">
        <v>9517</v>
      </c>
      <c r="DD3039" s="891" t="s">
        <v>4838</v>
      </c>
      <c r="DE3039" s="891" t="s">
        <v>421</v>
      </c>
      <c r="DF3039" s="891">
        <v>6</v>
      </c>
      <c r="DG3039" s="959"/>
      <c r="DH3039" s="959"/>
      <c r="ER3039" s="905">
        <v>9022</v>
      </c>
      <c r="ES3039" s="906" t="s">
        <v>811</v>
      </c>
      <c r="ET3039" s="2686">
        <v>5</v>
      </c>
      <c r="EV3039" s="985"/>
      <c r="EW3039" s="985"/>
      <c r="EX3039" s="387"/>
      <c r="EY3039" s="939"/>
      <c r="EZ3039" s="886"/>
    </row>
    <row r="3040" spans="88:156">
      <c r="CJ3040" s="197"/>
      <c r="CK3040" s="197"/>
      <c r="CL3040" s="197"/>
      <c r="CM3040" s="213"/>
      <c r="CN3040" s="213"/>
      <c r="CO3040" s="197"/>
      <c r="CP3040" s="197"/>
      <c r="CQ3040" s="197"/>
      <c r="CR3040" s="197"/>
      <c r="CS3040" s="197"/>
      <c r="CT3040" s="197"/>
      <c r="CU3040" s="197"/>
      <c r="CV3040" s="197"/>
      <c r="CW3040" s="197"/>
      <c r="CX3040" s="959"/>
      <c r="CY3040" s="959"/>
      <c r="CZ3040" s="959"/>
      <c r="DA3040" s="959"/>
      <c r="DB3040" s="959"/>
      <c r="DC3040" s="891">
        <v>9521</v>
      </c>
      <c r="DD3040" s="891" t="s">
        <v>4839</v>
      </c>
      <c r="DE3040" s="891" t="s">
        <v>431</v>
      </c>
      <c r="DF3040" s="891">
        <v>6</v>
      </c>
      <c r="DG3040" s="959"/>
      <c r="DH3040" s="959"/>
      <c r="ER3040" s="905">
        <v>9023</v>
      </c>
      <c r="ES3040" s="906" t="s">
        <v>811</v>
      </c>
      <c r="ET3040" s="2686">
        <v>5</v>
      </c>
      <c r="EV3040" s="985"/>
      <c r="EW3040" s="985"/>
      <c r="EX3040" s="387"/>
      <c r="EY3040" s="939"/>
      <c r="EZ3040" s="886"/>
    </row>
    <row r="3041" spans="88:156">
      <c r="CJ3041" s="197"/>
      <c r="CK3041" s="197"/>
      <c r="CL3041" s="197"/>
      <c r="CM3041" s="213"/>
      <c r="CN3041" s="213"/>
      <c r="CO3041" s="197"/>
      <c r="CP3041" s="197"/>
      <c r="CQ3041" s="197"/>
      <c r="CR3041" s="197"/>
      <c r="CS3041" s="197"/>
      <c r="CT3041" s="197"/>
      <c r="CU3041" s="197"/>
      <c r="CV3041" s="197"/>
      <c r="CW3041" s="197"/>
      <c r="CX3041" s="959"/>
      <c r="CY3041" s="959"/>
      <c r="CZ3041" s="959"/>
      <c r="DA3041" s="959"/>
      <c r="DB3041" s="959"/>
      <c r="DC3041" s="891">
        <v>9522</v>
      </c>
      <c r="DD3041" s="891" t="s">
        <v>4840</v>
      </c>
      <c r="DE3041" s="891" t="s">
        <v>412</v>
      </c>
      <c r="DF3041" s="891">
        <v>6</v>
      </c>
      <c r="DG3041" s="959"/>
      <c r="DH3041" s="959"/>
      <c r="ER3041" s="905">
        <v>9024</v>
      </c>
      <c r="ES3041" s="906" t="s">
        <v>811</v>
      </c>
      <c r="ET3041" s="2686">
        <v>5</v>
      </c>
      <c r="EV3041" s="985"/>
      <c r="EW3041" s="985"/>
      <c r="EX3041" s="387"/>
      <c r="EY3041" s="939"/>
      <c r="EZ3041" s="886"/>
    </row>
    <row r="3042" spans="88:156">
      <c r="CJ3042" s="197"/>
      <c r="CK3042" s="197"/>
      <c r="CL3042" s="197"/>
      <c r="CM3042" s="213"/>
      <c r="CN3042" s="213"/>
      <c r="CO3042" s="197"/>
      <c r="CP3042" s="197"/>
      <c r="CQ3042" s="197"/>
      <c r="CR3042" s="197"/>
      <c r="CS3042" s="197"/>
      <c r="CT3042" s="197"/>
      <c r="CU3042" s="197"/>
      <c r="CV3042" s="197"/>
      <c r="CW3042" s="197"/>
      <c r="CX3042" s="959"/>
      <c r="CY3042" s="959"/>
      <c r="CZ3042" s="959"/>
      <c r="DA3042" s="959"/>
      <c r="DB3042" s="959"/>
      <c r="DC3042" s="891">
        <v>9523</v>
      </c>
      <c r="DD3042" s="891" t="s">
        <v>4841</v>
      </c>
      <c r="DE3042" s="891" t="s">
        <v>412</v>
      </c>
      <c r="DF3042" s="891">
        <v>6</v>
      </c>
      <c r="DG3042" s="959"/>
      <c r="DH3042" s="959"/>
      <c r="ER3042" s="905">
        <v>9025</v>
      </c>
      <c r="ES3042" s="906" t="s">
        <v>811</v>
      </c>
      <c r="ET3042" s="2686">
        <v>5</v>
      </c>
      <c r="EV3042" s="985"/>
      <c r="EW3042" s="985"/>
      <c r="EX3042" s="387"/>
      <c r="EY3042" s="939"/>
      <c r="EZ3042" s="886"/>
    </row>
    <row r="3043" spans="88:156">
      <c r="CJ3043" s="197"/>
      <c r="CK3043" s="197"/>
      <c r="CL3043" s="197"/>
      <c r="CM3043" s="213"/>
      <c r="CN3043" s="213"/>
      <c r="CO3043" s="197"/>
      <c r="CP3043" s="197"/>
      <c r="CQ3043" s="197"/>
      <c r="CR3043" s="197"/>
      <c r="CS3043" s="197"/>
      <c r="CT3043" s="197"/>
      <c r="CU3043" s="197"/>
      <c r="CV3043" s="197"/>
      <c r="CW3043" s="197"/>
      <c r="CX3043" s="959"/>
      <c r="CY3043" s="959"/>
      <c r="CZ3043" s="959"/>
      <c r="DA3043" s="959"/>
      <c r="DB3043" s="959"/>
      <c r="DC3043" s="891">
        <v>9531</v>
      </c>
      <c r="DD3043" s="891" t="s">
        <v>4842</v>
      </c>
      <c r="DE3043" s="891" t="s">
        <v>421</v>
      </c>
      <c r="DF3043" s="891">
        <v>6</v>
      </c>
      <c r="DG3043" s="959"/>
      <c r="DH3043" s="959"/>
      <c r="ER3043" s="905">
        <v>9026</v>
      </c>
      <c r="ES3043" s="906" t="s">
        <v>811</v>
      </c>
      <c r="ET3043" s="2686">
        <v>5</v>
      </c>
      <c r="EV3043" s="985"/>
      <c r="EW3043" s="985"/>
      <c r="EX3043" s="387"/>
      <c r="EY3043" s="939"/>
      <c r="EZ3043" s="886"/>
    </row>
    <row r="3044" spans="88:156">
      <c r="CJ3044" s="197"/>
      <c r="CK3044" s="197"/>
      <c r="CL3044" s="197"/>
      <c r="CM3044" s="213"/>
      <c r="CN3044" s="213"/>
      <c r="CO3044" s="197"/>
      <c r="CP3044" s="197"/>
      <c r="CQ3044" s="197"/>
      <c r="CR3044" s="197"/>
      <c r="CS3044" s="197"/>
      <c r="CT3044" s="197"/>
      <c r="CU3044" s="197"/>
      <c r="CV3044" s="197"/>
      <c r="CW3044" s="197"/>
      <c r="CX3044" s="959"/>
      <c r="CY3044" s="959"/>
      <c r="CZ3044" s="959"/>
      <c r="DA3044" s="959"/>
      <c r="DB3044" s="959"/>
      <c r="DC3044" s="891">
        <v>9532</v>
      </c>
      <c r="DD3044" s="891" t="s">
        <v>4843</v>
      </c>
      <c r="DE3044" s="891" t="s">
        <v>431</v>
      </c>
      <c r="DF3044" s="891">
        <v>6</v>
      </c>
      <c r="DG3044" s="959"/>
      <c r="DH3044" s="959"/>
      <c r="ER3044" s="905">
        <v>9027</v>
      </c>
      <c r="ES3044" s="906" t="s">
        <v>811</v>
      </c>
      <c r="ET3044" s="2686">
        <v>5</v>
      </c>
      <c r="EV3044" s="985"/>
      <c r="EW3044" s="985"/>
      <c r="EX3044" s="387"/>
      <c r="EY3044" s="939"/>
      <c r="EZ3044" s="886"/>
    </row>
    <row r="3045" spans="88:156">
      <c r="CJ3045" s="197"/>
      <c r="CK3045" s="197"/>
      <c r="CL3045" s="197"/>
      <c r="CM3045" s="213"/>
      <c r="CN3045" s="213"/>
      <c r="CO3045" s="197"/>
      <c r="CP3045" s="197"/>
      <c r="CQ3045" s="197"/>
      <c r="CR3045" s="197"/>
      <c r="CS3045" s="197"/>
      <c r="CT3045" s="197"/>
      <c r="CU3045" s="197"/>
      <c r="CV3045" s="197"/>
      <c r="CW3045" s="197"/>
      <c r="CX3045" s="959"/>
      <c r="CY3045" s="959"/>
      <c r="CZ3045" s="959"/>
      <c r="DA3045" s="959"/>
      <c r="DB3045" s="959"/>
      <c r="DC3045" s="891">
        <v>9533</v>
      </c>
      <c r="DD3045" s="891" t="s">
        <v>4844</v>
      </c>
      <c r="DE3045" s="891" t="s">
        <v>2808</v>
      </c>
      <c r="DF3045" s="891">
        <v>6</v>
      </c>
      <c r="DG3045" s="959"/>
      <c r="DH3045" s="959"/>
      <c r="ER3045" s="905">
        <v>9028</v>
      </c>
      <c r="ES3045" s="906" t="s">
        <v>811</v>
      </c>
      <c r="ET3045" s="2686">
        <v>5</v>
      </c>
      <c r="EV3045" s="985"/>
      <c r="EW3045" s="985"/>
      <c r="EX3045" s="387"/>
      <c r="EY3045" s="939"/>
      <c r="EZ3045" s="886"/>
    </row>
    <row r="3046" spans="88:156">
      <c r="CJ3046" s="197"/>
      <c r="CK3046" s="197"/>
      <c r="CL3046" s="197"/>
      <c r="CM3046" s="213"/>
      <c r="CN3046" s="213"/>
      <c r="CO3046" s="197"/>
      <c r="CP3046" s="197"/>
      <c r="CQ3046" s="197"/>
      <c r="CR3046" s="197"/>
      <c r="CS3046" s="197"/>
      <c r="CT3046" s="197"/>
      <c r="CU3046" s="197"/>
      <c r="CV3046" s="197"/>
      <c r="CW3046" s="197"/>
      <c r="CX3046" s="959"/>
      <c r="CY3046" s="959"/>
      <c r="CZ3046" s="959"/>
      <c r="DA3046" s="959"/>
      <c r="DB3046" s="959"/>
      <c r="DC3046" s="891">
        <v>9534</v>
      </c>
      <c r="DD3046" s="891" t="s">
        <v>4845</v>
      </c>
      <c r="DE3046" s="891" t="s">
        <v>423</v>
      </c>
      <c r="DF3046" s="891">
        <v>6</v>
      </c>
      <c r="DG3046" s="959"/>
      <c r="DH3046" s="959"/>
      <c r="ER3046" s="905">
        <v>9029</v>
      </c>
      <c r="ES3046" s="906" t="s">
        <v>811</v>
      </c>
      <c r="ET3046" s="2686">
        <v>5</v>
      </c>
      <c r="EV3046" s="985"/>
      <c r="EW3046" s="985"/>
      <c r="EX3046" s="387"/>
      <c r="EY3046" s="939"/>
      <c r="EZ3046" s="886"/>
    </row>
    <row r="3047" spans="88:156">
      <c r="CJ3047" s="197"/>
      <c r="CK3047" s="197"/>
      <c r="CL3047" s="197"/>
      <c r="CM3047" s="213"/>
      <c r="CN3047" s="213"/>
      <c r="CO3047" s="197"/>
      <c r="CP3047" s="197"/>
      <c r="CQ3047" s="197"/>
      <c r="CR3047" s="197"/>
      <c r="CS3047" s="197"/>
      <c r="CT3047" s="197"/>
      <c r="CU3047" s="197"/>
      <c r="CV3047" s="197"/>
      <c r="CW3047" s="197"/>
      <c r="CX3047" s="959"/>
      <c r="CY3047" s="959"/>
      <c r="CZ3047" s="959"/>
      <c r="DA3047" s="959"/>
      <c r="DB3047" s="959"/>
      <c r="DC3047" s="891">
        <v>9541</v>
      </c>
      <c r="DD3047" s="891" t="s">
        <v>2743</v>
      </c>
      <c r="DE3047" s="891" t="s">
        <v>412</v>
      </c>
      <c r="DF3047" s="891">
        <v>6</v>
      </c>
      <c r="DG3047" s="959"/>
      <c r="DH3047" s="959"/>
      <c r="ER3047" s="905">
        <v>9030</v>
      </c>
      <c r="ES3047" s="906" t="s">
        <v>811</v>
      </c>
      <c r="ET3047" s="2686">
        <v>5</v>
      </c>
      <c r="EV3047" s="985"/>
      <c r="EW3047" s="985"/>
      <c r="EX3047" s="387"/>
      <c r="EY3047" s="939"/>
      <c r="EZ3047" s="886"/>
    </row>
    <row r="3048" spans="88:156">
      <c r="CJ3048" s="197"/>
      <c r="CK3048" s="197"/>
      <c r="CL3048" s="197"/>
      <c r="CM3048" s="213"/>
      <c r="CN3048" s="213"/>
      <c r="CO3048" s="197"/>
      <c r="CP3048" s="197"/>
      <c r="CQ3048" s="197"/>
      <c r="CR3048" s="197"/>
      <c r="CS3048" s="197"/>
      <c r="CT3048" s="197"/>
      <c r="CU3048" s="197"/>
      <c r="CV3048" s="197"/>
      <c r="CW3048" s="197"/>
      <c r="CX3048" s="959"/>
      <c r="CY3048" s="959"/>
      <c r="CZ3048" s="959"/>
      <c r="DA3048" s="959"/>
      <c r="DB3048" s="959"/>
      <c r="DC3048" s="891">
        <v>9542</v>
      </c>
      <c r="DD3048" s="891" t="s">
        <v>2744</v>
      </c>
      <c r="DE3048" s="891" t="s">
        <v>412</v>
      </c>
      <c r="DF3048" s="891">
        <v>6</v>
      </c>
      <c r="DG3048" s="959"/>
      <c r="DH3048" s="959"/>
      <c r="ER3048" s="905">
        <v>9061</v>
      </c>
      <c r="ES3048" s="906" t="s">
        <v>817</v>
      </c>
      <c r="ET3048" s="2686">
        <v>6</v>
      </c>
      <c r="EV3048" s="985"/>
      <c r="EW3048" s="985"/>
      <c r="EX3048" s="387"/>
      <c r="EY3048" s="939"/>
      <c r="EZ3048" s="886"/>
    </row>
    <row r="3049" spans="88:156">
      <c r="CJ3049" s="197"/>
      <c r="CK3049" s="197"/>
      <c r="CL3049" s="197"/>
      <c r="CM3049" s="213"/>
      <c r="CN3049" s="213"/>
      <c r="CO3049" s="197"/>
      <c r="CP3049" s="197"/>
      <c r="CQ3049" s="197"/>
      <c r="CR3049" s="197"/>
      <c r="CS3049" s="197"/>
      <c r="CT3049" s="197"/>
      <c r="CU3049" s="197"/>
      <c r="CV3049" s="197"/>
      <c r="CW3049" s="197"/>
      <c r="CX3049" s="959"/>
      <c r="CY3049" s="959"/>
      <c r="CZ3049" s="959"/>
      <c r="DA3049" s="959"/>
      <c r="DB3049" s="959"/>
      <c r="DC3049" s="891">
        <v>9544</v>
      </c>
      <c r="DD3049" s="891" t="s">
        <v>2745</v>
      </c>
      <c r="DE3049" s="891" t="s">
        <v>412</v>
      </c>
      <c r="DF3049" s="891">
        <v>6</v>
      </c>
      <c r="DG3049" s="959"/>
      <c r="DH3049" s="959"/>
      <c r="ER3049" s="905">
        <v>9062</v>
      </c>
      <c r="ES3049" s="906" t="s">
        <v>3136</v>
      </c>
      <c r="ET3049" s="2686">
        <v>9</v>
      </c>
      <c r="EV3049" s="985"/>
      <c r="EW3049" s="985"/>
      <c r="EX3049" s="387"/>
      <c r="EY3049" s="939"/>
      <c r="EZ3049" s="886"/>
    </row>
    <row r="3050" spans="88:156">
      <c r="CJ3050" s="197"/>
      <c r="CK3050" s="197"/>
      <c r="CL3050" s="197"/>
      <c r="CM3050" s="213"/>
      <c r="CN3050" s="213"/>
      <c r="CO3050" s="197"/>
      <c r="CP3050" s="197"/>
      <c r="CQ3050" s="197"/>
      <c r="CR3050" s="197"/>
      <c r="CS3050" s="197"/>
      <c r="CT3050" s="197"/>
      <c r="CU3050" s="197"/>
      <c r="CV3050" s="197"/>
      <c r="CW3050" s="197"/>
      <c r="CX3050" s="959"/>
      <c r="CY3050" s="959"/>
      <c r="CZ3050" s="959"/>
      <c r="DA3050" s="959"/>
      <c r="DB3050" s="959"/>
      <c r="DC3050" s="891">
        <v>9545</v>
      </c>
      <c r="DD3050" s="891" t="s">
        <v>2746</v>
      </c>
      <c r="DE3050" s="891" t="s">
        <v>412</v>
      </c>
      <c r="DF3050" s="891">
        <v>6</v>
      </c>
      <c r="DG3050" s="959"/>
      <c r="DH3050" s="959"/>
      <c r="ER3050" s="905">
        <v>9062</v>
      </c>
      <c r="ES3050" s="906" t="s">
        <v>818</v>
      </c>
      <c r="ET3050" s="2686">
        <v>9</v>
      </c>
      <c r="EV3050" s="985"/>
      <c r="EW3050" s="985"/>
      <c r="EX3050" s="387"/>
      <c r="EY3050" s="939"/>
      <c r="EZ3050" s="886"/>
    </row>
    <row r="3051" spans="88:156">
      <c r="CJ3051" s="197"/>
      <c r="CK3051" s="197"/>
      <c r="CL3051" s="197"/>
      <c r="CM3051" s="213"/>
      <c r="CN3051" s="213"/>
      <c r="CO3051" s="197"/>
      <c r="CP3051" s="197"/>
      <c r="CQ3051" s="197"/>
      <c r="CR3051" s="197"/>
      <c r="CS3051" s="197"/>
      <c r="CT3051" s="197"/>
      <c r="CU3051" s="197"/>
      <c r="CV3051" s="197"/>
      <c r="CW3051" s="197"/>
      <c r="CX3051" s="959"/>
      <c r="CY3051" s="959"/>
      <c r="CZ3051" s="959"/>
      <c r="DA3051" s="959"/>
      <c r="DB3051" s="959"/>
      <c r="DC3051" s="891">
        <v>9547</v>
      </c>
      <c r="DD3051" s="891" t="s">
        <v>2747</v>
      </c>
      <c r="DE3051" s="891" t="s">
        <v>412</v>
      </c>
      <c r="DF3051" s="891">
        <v>6</v>
      </c>
      <c r="DG3051" s="959"/>
      <c r="DH3051" s="959"/>
      <c r="ER3051" s="905">
        <v>9063</v>
      </c>
      <c r="ES3051" s="906" t="s">
        <v>819</v>
      </c>
      <c r="ET3051" s="2686">
        <v>9</v>
      </c>
      <c r="EV3051" s="985"/>
      <c r="EW3051" s="985"/>
      <c r="EX3051" s="387"/>
      <c r="EY3051" s="939"/>
      <c r="EZ3051" s="886"/>
    </row>
    <row r="3052" spans="88:156">
      <c r="CJ3052" s="197"/>
      <c r="CK3052" s="197"/>
      <c r="CL3052" s="197"/>
      <c r="CM3052" s="213"/>
      <c r="CN3052" s="213"/>
      <c r="CO3052" s="197"/>
      <c r="CP3052" s="197"/>
      <c r="CQ3052" s="197"/>
      <c r="CR3052" s="197"/>
      <c r="CS3052" s="197"/>
      <c r="CT3052" s="197"/>
      <c r="CU3052" s="197"/>
      <c r="CV3052" s="197"/>
      <c r="CW3052" s="197"/>
      <c r="CX3052" s="959"/>
      <c r="CY3052" s="959"/>
      <c r="CZ3052" s="959"/>
      <c r="DA3052" s="959"/>
      <c r="DB3052" s="959"/>
      <c r="DC3052" s="891">
        <v>9548</v>
      </c>
      <c r="DD3052" s="891" t="s">
        <v>2748</v>
      </c>
      <c r="DE3052" s="891" t="s">
        <v>412</v>
      </c>
      <c r="DF3052" s="891">
        <v>6</v>
      </c>
      <c r="DG3052" s="959"/>
      <c r="DH3052" s="959"/>
      <c r="ER3052" s="905">
        <v>9071</v>
      </c>
      <c r="ES3052" s="906" t="s">
        <v>2858</v>
      </c>
      <c r="ET3052" s="2686">
        <v>9</v>
      </c>
      <c r="EV3052" s="985"/>
      <c r="EW3052" s="985"/>
      <c r="EX3052" s="387"/>
      <c r="EY3052" s="939"/>
      <c r="EZ3052" s="886"/>
    </row>
    <row r="3053" spans="88:156">
      <c r="CJ3053" s="197"/>
      <c r="CK3053" s="197"/>
      <c r="CL3053" s="197"/>
      <c r="CM3053" s="213"/>
      <c r="CN3053" s="213"/>
      <c r="CO3053" s="197"/>
      <c r="CP3053" s="197"/>
      <c r="CQ3053" s="197"/>
      <c r="CR3053" s="197"/>
      <c r="CS3053" s="197"/>
      <c r="CT3053" s="197"/>
      <c r="CU3053" s="197"/>
      <c r="CV3053" s="197"/>
      <c r="CW3053" s="197"/>
      <c r="CX3053" s="959"/>
      <c r="CY3053" s="959"/>
      <c r="CZ3053" s="959"/>
      <c r="DA3053" s="959"/>
      <c r="DB3053" s="959"/>
      <c r="DC3053" s="891">
        <v>9549</v>
      </c>
      <c r="DD3053" s="891" t="s">
        <v>4858</v>
      </c>
      <c r="DE3053" s="891" t="s">
        <v>412</v>
      </c>
      <c r="DF3053" s="891">
        <v>6</v>
      </c>
      <c r="DG3053" s="959"/>
      <c r="DH3053" s="959"/>
      <c r="ER3053" s="905">
        <v>9072</v>
      </c>
      <c r="ES3053" s="906" t="s">
        <v>2859</v>
      </c>
      <c r="ET3053" s="2686">
        <v>9</v>
      </c>
      <c r="EV3053" s="985"/>
      <c r="EW3053" s="985"/>
      <c r="EX3053" s="387"/>
      <c r="EY3053" s="939"/>
      <c r="EZ3053" s="886"/>
    </row>
    <row r="3054" spans="88:156">
      <c r="CJ3054" s="197"/>
      <c r="CK3054" s="197"/>
      <c r="CL3054" s="197"/>
      <c r="CM3054" s="213"/>
      <c r="CN3054" s="213"/>
      <c r="CO3054" s="197"/>
      <c r="CP3054" s="197"/>
      <c r="CQ3054" s="197"/>
      <c r="CR3054" s="197"/>
      <c r="CS3054" s="197"/>
      <c r="CT3054" s="197"/>
      <c r="CU3054" s="197"/>
      <c r="CV3054" s="197"/>
      <c r="CW3054" s="197"/>
      <c r="CX3054" s="959"/>
      <c r="CY3054" s="959"/>
      <c r="CZ3054" s="959"/>
      <c r="DA3054" s="959"/>
      <c r="DB3054" s="959"/>
      <c r="DC3054" s="891">
        <v>9551</v>
      </c>
      <c r="DD3054" s="891" t="s">
        <v>4859</v>
      </c>
      <c r="DE3054" s="891" t="s">
        <v>412</v>
      </c>
      <c r="DF3054" s="891">
        <v>6</v>
      </c>
      <c r="DG3054" s="959"/>
      <c r="DH3054" s="959"/>
      <c r="ER3054" s="905">
        <v>9073</v>
      </c>
      <c r="ES3054" s="906" t="s">
        <v>3137</v>
      </c>
      <c r="ET3054" s="2686">
        <v>9</v>
      </c>
      <c r="EV3054" s="985"/>
      <c r="EW3054" s="985"/>
      <c r="EX3054" s="387"/>
      <c r="EY3054" s="939"/>
      <c r="EZ3054" s="886"/>
    </row>
    <row r="3055" spans="88:156">
      <c r="CJ3055" s="197"/>
      <c r="CK3055" s="197"/>
      <c r="CL3055" s="197"/>
      <c r="CM3055" s="213"/>
      <c r="CN3055" s="213"/>
      <c r="CO3055" s="197"/>
      <c r="CP3055" s="197"/>
      <c r="CQ3055" s="197"/>
      <c r="CR3055" s="197"/>
      <c r="CS3055" s="197"/>
      <c r="CT3055" s="197"/>
      <c r="CU3055" s="197"/>
      <c r="CV3055" s="197"/>
      <c r="CW3055" s="197"/>
      <c r="CX3055" s="959"/>
      <c r="CY3055" s="959"/>
      <c r="CZ3055" s="959"/>
      <c r="DA3055" s="959"/>
      <c r="DB3055" s="959"/>
      <c r="DC3055" s="891">
        <v>9552</v>
      </c>
      <c r="DD3055" s="891" t="s">
        <v>4860</v>
      </c>
      <c r="DE3055" s="891" t="s">
        <v>412</v>
      </c>
      <c r="DF3055" s="891">
        <v>6</v>
      </c>
      <c r="DG3055" s="959"/>
      <c r="DH3055" s="959"/>
      <c r="ER3055" s="905">
        <v>9074</v>
      </c>
      <c r="ES3055" s="906" t="s">
        <v>2861</v>
      </c>
      <c r="ET3055" s="2686">
        <v>9</v>
      </c>
      <c r="EV3055" s="985"/>
      <c r="EW3055" s="985"/>
      <c r="EX3055" s="387"/>
      <c r="EY3055" s="939"/>
      <c r="EZ3055" s="886"/>
    </row>
    <row r="3056" spans="88:156">
      <c r="CJ3056" s="197"/>
      <c r="CK3056" s="197"/>
      <c r="CL3056" s="197"/>
      <c r="CM3056" s="213"/>
      <c r="CN3056" s="213"/>
      <c r="CO3056" s="197"/>
      <c r="CP3056" s="197"/>
      <c r="CQ3056" s="197"/>
      <c r="CR3056" s="197"/>
      <c r="CS3056" s="197"/>
      <c r="CT3056" s="197"/>
      <c r="CU3056" s="197"/>
      <c r="CV3056" s="197"/>
      <c r="CW3056" s="197"/>
      <c r="CX3056" s="959"/>
      <c r="CY3056" s="959"/>
      <c r="CZ3056" s="959"/>
      <c r="DA3056" s="959"/>
      <c r="DB3056" s="959"/>
      <c r="DC3056" s="891">
        <v>9553</v>
      </c>
      <c r="DD3056" s="891" t="s">
        <v>4861</v>
      </c>
      <c r="DE3056" s="891" t="s">
        <v>412</v>
      </c>
      <c r="DF3056" s="891">
        <v>6</v>
      </c>
      <c r="DG3056" s="959"/>
      <c r="DH3056" s="959"/>
      <c r="ER3056" s="905">
        <v>9081</v>
      </c>
      <c r="ES3056" s="906" t="s">
        <v>2862</v>
      </c>
      <c r="ET3056" s="2686">
        <v>9</v>
      </c>
      <c r="EV3056" s="985"/>
      <c r="EW3056" s="985"/>
      <c r="EX3056" s="387"/>
      <c r="EY3056" s="939"/>
      <c r="EZ3056" s="886"/>
    </row>
    <row r="3057" spans="88:156">
      <c r="CJ3057" s="197"/>
      <c r="CK3057" s="197"/>
      <c r="CL3057" s="197"/>
      <c r="CM3057" s="213"/>
      <c r="CN3057" s="213"/>
      <c r="CO3057" s="197"/>
      <c r="CP3057" s="197"/>
      <c r="CQ3057" s="197"/>
      <c r="CR3057" s="197"/>
      <c r="CS3057" s="197"/>
      <c r="CT3057" s="197"/>
      <c r="CU3057" s="197"/>
      <c r="CV3057" s="197"/>
      <c r="CW3057" s="197"/>
      <c r="CX3057" s="959"/>
      <c r="CY3057" s="959"/>
      <c r="CZ3057" s="959"/>
      <c r="DA3057" s="959"/>
      <c r="DB3057" s="959"/>
      <c r="DC3057" s="891">
        <v>9554</v>
      </c>
      <c r="DD3057" s="891" t="s">
        <v>4862</v>
      </c>
      <c r="DE3057" s="891" t="s">
        <v>412</v>
      </c>
      <c r="DF3057" s="891">
        <v>6</v>
      </c>
      <c r="DG3057" s="959"/>
      <c r="DH3057" s="959"/>
      <c r="ER3057" s="905">
        <v>9082</v>
      </c>
      <c r="ES3057" s="906" t="s">
        <v>2863</v>
      </c>
      <c r="ET3057" s="2686">
        <v>9</v>
      </c>
      <c r="EV3057" s="985"/>
      <c r="EW3057" s="985"/>
      <c r="EX3057" s="387"/>
      <c r="EY3057" s="939"/>
      <c r="EZ3057" s="886"/>
    </row>
    <row r="3058" spans="88:156">
      <c r="CJ3058" s="197"/>
      <c r="CK3058" s="197"/>
      <c r="CL3058" s="197"/>
      <c r="CM3058" s="213"/>
      <c r="CN3058" s="213"/>
      <c r="CO3058" s="197"/>
      <c r="CP3058" s="197"/>
      <c r="CQ3058" s="197"/>
      <c r="CR3058" s="197"/>
      <c r="CS3058" s="197"/>
      <c r="CT3058" s="197"/>
      <c r="CU3058" s="197"/>
      <c r="CV3058" s="197"/>
      <c r="CW3058" s="197"/>
      <c r="CX3058" s="959"/>
      <c r="CY3058" s="959"/>
      <c r="CZ3058" s="959"/>
      <c r="DA3058" s="959"/>
      <c r="DB3058" s="959"/>
      <c r="DC3058" s="891">
        <v>9555</v>
      </c>
      <c r="DD3058" s="891" t="s">
        <v>4863</v>
      </c>
      <c r="DE3058" s="891" t="s">
        <v>412</v>
      </c>
      <c r="DF3058" s="891">
        <v>6</v>
      </c>
      <c r="DG3058" s="959"/>
      <c r="DH3058" s="959"/>
      <c r="ER3058" s="905">
        <v>9083</v>
      </c>
      <c r="ES3058" s="906" t="s">
        <v>2864</v>
      </c>
      <c r="ET3058" s="2686">
        <v>9</v>
      </c>
      <c r="EV3058" s="985"/>
      <c r="EW3058" s="985"/>
      <c r="EX3058" s="387"/>
      <c r="EY3058" s="939"/>
      <c r="EZ3058" s="886"/>
    </row>
    <row r="3059" spans="88:156">
      <c r="CJ3059" s="197"/>
      <c r="CK3059" s="197"/>
      <c r="CL3059" s="197"/>
      <c r="CM3059" s="213"/>
      <c r="CN3059" s="213"/>
      <c r="CO3059" s="197"/>
      <c r="CP3059" s="197"/>
      <c r="CQ3059" s="197"/>
      <c r="CR3059" s="197"/>
      <c r="CS3059" s="197"/>
      <c r="CT3059" s="197"/>
      <c r="CU3059" s="197"/>
      <c r="CV3059" s="197"/>
      <c r="CW3059" s="197"/>
      <c r="CX3059" s="959"/>
      <c r="CY3059" s="959"/>
      <c r="CZ3059" s="959"/>
      <c r="DA3059" s="959"/>
      <c r="DB3059" s="959"/>
      <c r="DC3059" s="891">
        <v>9556</v>
      </c>
      <c r="DD3059" s="891" t="s">
        <v>4864</v>
      </c>
      <c r="DE3059" s="891" t="s">
        <v>412</v>
      </c>
      <c r="DF3059" s="891">
        <v>6</v>
      </c>
      <c r="DG3059" s="959"/>
      <c r="DH3059" s="959"/>
      <c r="ER3059" s="905">
        <v>9084</v>
      </c>
      <c r="ES3059" s="906" t="s">
        <v>2865</v>
      </c>
      <c r="ET3059" s="2686">
        <v>9</v>
      </c>
      <c r="EV3059" s="985"/>
      <c r="EW3059" s="985"/>
      <c r="EX3059" s="387"/>
      <c r="EY3059" s="939"/>
      <c r="EZ3059" s="886"/>
    </row>
    <row r="3060" spans="88:156">
      <c r="CJ3060" s="197"/>
      <c r="CK3060" s="197"/>
      <c r="CL3060" s="197"/>
      <c r="CM3060" s="213"/>
      <c r="CN3060" s="213"/>
      <c r="CO3060" s="197"/>
      <c r="CP3060" s="197"/>
      <c r="CQ3060" s="197"/>
      <c r="CR3060" s="197"/>
      <c r="CS3060" s="197"/>
      <c r="CT3060" s="197"/>
      <c r="CU3060" s="197"/>
      <c r="CV3060" s="197"/>
      <c r="CW3060" s="197"/>
      <c r="CX3060" s="959"/>
      <c r="CY3060" s="959"/>
      <c r="CZ3060" s="959"/>
      <c r="DA3060" s="959"/>
      <c r="DB3060" s="959"/>
      <c r="DC3060" s="891">
        <v>9561</v>
      </c>
      <c r="DD3060" s="891" t="s">
        <v>4865</v>
      </c>
      <c r="DE3060" s="891" t="s">
        <v>412</v>
      </c>
      <c r="DF3060" s="891">
        <v>6</v>
      </c>
      <c r="DG3060" s="959"/>
      <c r="DH3060" s="959"/>
      <c r="ER3060" s="905">
        <v>9085</v>
      </c>
      <c r="ES3060" s="906" t="s">
        <v>2866</v>
      </c>
      <c r="ET3060" s="2686">
        <v>9</v>
      </c>
      <c r="EV3060" s="985"/>
      <c r="EW3060" s="985"/>
      <c r="EX3060" s="387"/>
      <c r="EY3060" s="939"/>
      <c r="EZ3060" s="886"/>
    </row>
    <row r="3061" spans="88:156">
      <c r="CJ3061" s="197"/>
      <c r="CK3061" s="197"/>
      <c r="CL3061" s="197"/>
      <c r="CM3061" s="213"/>
      <c r="CN3061" s="213"/>
      <c r="CO3061" s="197"/>
      <c r="CP3061" s="197"/>
      <c r="CQ3061" s="197"/>
      <c r="CR3061" s="197"/>
      <c r="CS3061" s="197"/>
      <c r="CT3061" s="197"/>
      <c r="CU3061" s="197"/>
      <c r="CV3061" s="197"/>
      <c r="CW3061" s="197"/>
      <c r="CX3061" s="959"/>
      <c r="CY3061" s="959"/>
      <c r="CZ3061" s="959"/>
      <c r="DA3061" s="959"/>
      <c r="DB3061" s="959"/>
      <c r="DC3061" s="891">
        <v>9600</v>
      </c>
      <c r="DD3061" s="891" t="s">
        <v>3378</v>
      </c>
      <c r="DE3061" s="891" t="s">
        <v>412</v>
      </c>
      <c r="DF3061" s="891">
        <v>6</v>
      </c>
      <c r="DG3061" s="959"/>
      <c r="DH3061" s="959"/>
      <c r="ER3061" s="905">
        <v>9086</v>
      </c>
      <c r="ES3061" s="906" t="s">
        <v>2867</v>
      </c>
      <c r="ET3061" s="2686">
        <v>9</v>
      </c>
      <c r="EV3061" s="985"/>
      <c r="EW3061" s="985"/>
      <c r="EX3061" s="387"/>
      <c r="EY3061" s="939"/>
      <c r="EZ3061" s="886"/>
    </row>
    <row r="3062" spans="88:156">
      <c r="CJ3062" s="197"/>
      <c r="CK3062" s="197"/>
      <c r="CL3062" s="197"/>
      <c r="CM3062" s="213"/>
      <c r="CN3062" s="213"/>
      <c r="CO3062" s="197"/>
      <c r="CP3062" s="197"/>
      <c r="CQ3062" s="197"/>
      <c r="CR3062" s="197"/>
      <c r="CS3062" s="197"/>
      <c r="CT3062" s="197"/>
      <c r="CU3062" s="197"/>
      <c r="CV3062" s="197"/>
      <c r="CW3062" s="197"/>
      <c r="CX3062" s="959"/>
      <c r="CY3062" s="959"/>
      <c r="CZ3062" s="959"/>
      <c r="DA3062" s="959"/>
      <c r="DB3062" s="959"/>
      <c r="DC3062" s="891">
        <v>9608</v>
      </c>
      <c r="DD3062" s="891" t="s">
        <v>3379</v>
      </c>
      <c r="DE3062" s="891" t="s">
        <v>412</v>
      </c>
      <c r="DF3062" s="891">
        <v>6</v>
      </c>
      <c r="DG3062" s="959"/>
      <c r="DH3062" s="959"/>
      <c r="ER3062" s="905">
        <v>9088</v>
      </c>
      <c r="ES3062" s="906" t="s">
        <v>1318</v>
      </c>
      <c r="ET3062" s="2686">
        <v>9</v>
      </c>
      <c r="EV3062" s="985"/>
      <c r="EW3062" s="985"/>
      <c r="EX3062" s="387"/>
      <c r="EY3062" s="939"/>
      <c r="EZ3062" s="886"/>
    </row>
    <row r="3063" spans="88:156">
      <c r="CJ3063" s="197"/>
      <c r="CK3063" s="197"/>
      <c r="CL3063" s="197"/>
      <c r="CM3063" s="213"/>
      <c r="CN3063" s="213"/>
      <c r="CO3063" s="197"/>
      <c r="CP3063" s="197"/>
      <c r="CQ3063" s="197"/>
      <c r="CR3063" s="197"/>
      <c r="CS3063" s="197"/>
      <c r="CT3063" s="197"/>
      <c r="CU3063" s="197"/>
      <c r="CV3063" s="197"/>
      <c r="CW3063" s="197"/>
      <c r="CX3063" s="959"/>
      <c r="CY3063" s="959"/>
      <c r="CZ3063" s="959"/>
      <c r="DA3063" s="959"/>
      <c r="DB3063" s="959"/>
      <c r="DC3063" s="891">
        <v>9609</v>
      </c>
      <c r="DD3063" s="891" t="s">
        <v>3380</v>
      </c>
      <c r="DE3063" s="891" t="s">
        <v>412</v>
      </c>
      <c r="DF3063" s="891">
        <v>6</v>
      </c>
      <c r="DG3063" s="959"/>
      <c r="DH3063" s="959"/>
      <c r="ER3063" s="905">
        <v>9089</v>
      </c>
      <c r="ES3063" s="906" t="s">
        <v>1319</v>
      </c>
      <c r="ET3063" s="2686">
        <v>9</v>
      </c>
      <c r="EV3063" s="985"/>
      <c r="EW3063" s="985"/>
      <c r="EX3063" s="387"/>
      <c r="EY3063" s="939"/>
      <c r="EZ3063" s="886"/>
    </row>
    <row r="3064" spans="88:156">
      <c r="CJ3064" s="197"/>
      <c r="CK3064" s="197"/>
      <c r="CL3064" s="197"/>
      <c r="CM3064" s="213"/>
      <c r="CN3064" s="213"/>
      <c r="CO3064" s="197"/>
      <c r="CP3064" s="197"/>
      <c r="CQ3064" s="197"/>
      <c r="CR3064" s="197"/>
      <c r="CS3064" s="197"/>
      <c r="CT3064" s="197"/>
      <c r="CU3064" s="197"/>
      <c r="CV3064" s="197"/>
      <c r="CW3064" s="197"/>
      <c r="CX3064" s="959"/>
      <c r="CY3064" s="959"/>
      <c r="CZ3064" s="959"/>
      <c r="DA3064" s="959"/>
      <c r="DB3064" s="959"/>
      <c r="DC3064" s="891">
        <v>9611</v>
      </c>
      <c r="DD3064" s="891" t="s">
        <v>3381</v>
      </c>
      <c r="DE3064" s="891" t="s">
        <v>412</v>
      </c>
      <c r="DF3064" s="891">
        <v>6</v>
      </c>
      <c r="DG3064" s="959"/>
      <c r="DH3064" s="959"/>
      <c r="ER3064" s="905">
        <v>9090</v>
      </c>
      <c r="ES3064" s="906" t="s">
        <v>2868</v>
      </c>
      <c r="ET3064" s="2686">
        <v>9</v>
      </c>
      <c r="EV3064" s="985"/>
      <c r="EW3064" s="985"/>
      <c r="EX3064" s="387"/>
      <c r="EY3064" s="939"/>
      <c r="EZ3064" s="886"/>
    </row>
    <row r="3065" spans="88:156">
      <c r="CJ3065" s="197"/>
      <c r="CK3065" s="197"/>
      <c r="CL3065" s="197"/>
      <c r="CM3065" s="213"/>
      <c r="CN3065" s="213"/>
      <c r="CO3065" s="197"/>
      <c r="CP3065" s="197"/>
      <c r="CQ3065" s="197"/>
      <c r="CR3065" s="197"/>
      <c r="CS3065" s="197"/>
      <c r="CT3065" s="197"/>
      <c r="CU3065" s="197"/>
      <c r="CV3065" s="197"/>
      <c r="CW3065" s="197"/>
      <c r="CX3065" s="959"/>
      <c r="CY3065" s="959"/>
      <c r="CZ3065" s="959"/>
      <c r="DA3065" s="959"/>
      <c r="DB3065" s="959"/>
      <c r="DC3065" s="891">
        <v>9612</v>
      </c>
      <c r="DD3065" s="891" t="s">
        <v>3382</v>
      </c>
      <c r="DE3065" s="891" t="s">
        <v>412</v>
      </c>
      <c r="DF3065" s="891">
        <v>6</v>
      </c>
      <c r="DG3065" s="959"/>
      <c r="DH3065" s="959"/>
      <c r="ER3065" s="905">
        <v>9091</v>
      </c>
      <c r="ES3065" s="906" t="s">
        <v>2869</v>
      </c>
      <c r="ET3065" s="2686">
        <v>9</v>
      </c>
      <c r="EV3065" s="985"/>
      <c r="EW3065" s="985"/>
      <c r="EX3065" s="387"/>
      <c r="EY3065" s="939"/>
      <c r="EZ3065" s="886"/>
    </row>
    <row r="3066" spans="88:156">
      <c r="CJ3066" s="197"/>
      <c r="CK3066" s="197"/>
      <c r="CL3066" s="197"/>
      <c r="CM3066" s="213"/>
      <c r="CN3066" s="213"/>
      <c r="CO3066" s="197"/>
      <c r="CP3066" s="197"/>
      <c r="CQ3066" s="197"/>
      <c r="CR3066" s="197"/>
      <c r="CS3066" s="197"/>
      <c r="CT3066" s="197"/>
      <c r="CU3066" s="197"/>
      <c r="CV3066" s="197"/>
      <c r="CW3066" s="197"/>
      <c r="CX3066" s="959"/>
      <c r="CY3066" s="959"/>
      <c r="CZ3066" s="959"/>
      <c r="DA3066" s="959"/>
      <c r="DB3066" s="959"/>
      <c r="DC3066" s="891">
        <v>9621</v>
      </c>
      <c r="DD3066" s="891" t="s">
        <v>3383</v>
      </c>
      <c r="DE3066" s="891" t="s">
        <v>412</v>
      </c>
      <c r="DF3066" s="891">
        <v>6</v>
      </c>
      <c r="DG3066" s="959"/>
      <c r="DH3066" s="959"/>
      <c r="ER3066" s="905">
        <v>9092</v>
      </c>
      <c r="ES3066" s="906" t="s">
        <v>2870</v>
      </c>
      <c r="ET3066" s="2686">
        <v>9</v>
      </c>
      <c r="EV3066" s="985"/>
      <c r="EW3066" s="985"/>
      <c r="EX3066" s="387"/>
      <c r="EY3066" s="939"/>
      <c r="EZ3066" s="886"/>
    </row>
    <row r="3067" spans="88:156">
      <c r="CJ3067" s="197"/>
      <c r="CK3067" s="197"/>
      <c r="CL3067" s="197"/>
      <c r="CM3067" s="213"/>
      <c r="CN3067" s="213"/>
      <c r="CO3067" s="197"/>
      <c r="CP3067" s="197"/>
      <c r="CQ3067" s="197"/>
      <c r="CR3067" s="197"/>
      <c r="CS3067" s="197"/>
      <c r="CT3067" s="197"/>
      <c r="CU3067" s="197"/>
      <c r="CV3067" s="197"/>
      <c r="CW3067" s="197"/>
      <c r="CX3067" s="959"/>
      <c r="CY3067" s="959"/>
      <c r="CZ3067" s="959"/>
      <c r="DA3067" s="959"/>
      <c r="DB3067" s="959"/>
      <c r="DC3067" s="891">
        <v>9622</v>
      </c>
      <c r="DD3067" s="891" t="s">
        <v>3384</v>
      </c>
      <c r="DE3067" s="891" t="s">
        <v>412</v>
      </c>
      <c r="DF3067" s="891">
        <v>6</v>
      </c>
      <c r="DG3067" s="959"/>
      <c r="DH3067" s="959"/>
      <c r="ER3067" s="905">
        <v>9093</v>
      </c>
      <c r="ES3067" s="906" t="s">
        <v>2871</v>
      </c>
      <c r="ET3067" s="2686">
        <v>9</v>
      </c>
      <c r="EV3067" s="985"/>
      <c r="EW3067" s="985"/>
      <c r="EX3067" s="387"/>
      <c r="EY3067" s="939"/>
      <c r="EZ3067" s="886"/>
    </row>
    <row r="3068" spans="88:156">
      <c r="CJ3068" s="197"/>
      <c r="CK3068" s="197"/>
      <c r="CL3068" s="197"/>
      <c r="CM3068" s="213"/>
      <c r="CN3068" s="213"/>
      <c r="CO3068" s="197"/>
      <c r="CP3068" s="197"/>
      <c r="CQ3068" s="197"/>
      <c r="CR3068" s="197"/>
      <c r="CS3068" s="197"/>
      <c r="CT3068" s="197"/>
      <c r="CU3068" s="197"/>
      <c r="CV3068" s="197"/>
      <c r="CW3068" s="197"/>
      <c r="CX3068" s="959"/>
      <c r="CY3068" s="959"/>
      <c r="CZ3068" s="959"/>
      <c r="DA3068" s="959"/>
      <c r="DB3068" s="959"/>
      <c r="DC3068" s="891">
        <v>9623</v>
      </c>
      <c r="DD3068" s="891" t="s">
        <v>3385</v>
      </c>
      <c r="DE3068" s="891" t="s">
        <v>421</v>
      </c>
      <c r="DF3068" s="891">
        <v>6</v>
      </c>
      <c r="DG3068" s="959"/>
      <c r="DH3068" s="959"/>
      <c r="ER3068" s="905">
        <v>9094</v>
      </c>
      <c r="ES3068" s="906" t="s">
        <v>2872</v>
      </c>
      <c r="ET3068" s="2686">
        <v>9</v>
      </c>
      <c r="EV3068" s="985"/>
      <c r="EW3068" s="985"/>
      <c r="EX3068" s="387"/>
      <c r="EY3068" s="939"/>
      <c r="EZ3068" s="886"/>
    </row>
    <row r="3069" spans="88:156">
      <c r="CJ3069" s="197"/>
      <c r="CK3069" s="197"/>
      <c r="CL3069" s="197"/>
      <c r="CM3069" s="213"/>
      <c r="CN3069" s="213"/>
      <c r="CO3069" s="197"/>
      <c r="CP3069" s="197"/>
      <c r="CQ3069" s="197"/>
      <c r="CR3069" s="197"/>
      <c r="CS3069" s="197"/>
      <c r="CT3069" s="197"/>
      <c r="CU3069" s="197"/>
      <c r="CV3069" s="197"/>
      <c r="CW3069" s="197"/>
      <c r="CX3069" s="959"/>
      <c r="CY3069" s="959"/>
      <c r="CZ3069" s="959"/>
      <c r="DA3069" s="959"/>
      <c r="DB3069" s="959"/>
      <c r="DC3069" s="891">
        <v>9624</v>
      </c>
      <c r="DD3069" s="891" t="s">
        <v>3386</v>
      </c>
      <c r="DE3069" s="891" t="s">
        <v>419</v>
      </c>
      <c r="DF3069" s="891">
        <v>6</v>
      </c>
      <c r="DG3069" s="959"/>
      <c r="DH3069" s="959"/>
      <c r="ER3069" s="905">
        <v>9095</v>
      </c>
      <c r="ES3069" s="906" t="s">
        <v>2873</v>
      </c>
      <c r="ET3069" s="2686">
        <v>9</v>
      </c>
      <c r="EV3069" s="985"/>
      <c r="EW3069" s="985"/>
      <c r="EX3069" s="387"/>
      <c r="EY3069" s="939"/>
      <c r="EZ3069" s="886"/>
    </row>
    <row r="3070" spans="88:156">
      <c r="CJ3070" s="197"/>
      <c r="CK3070" s="197"/>
      <c r="CL3070" s="197"/>
      <c r="CM3070" s="213"/>
      <c r="CN3070" s="213"/>
      <c r="CO3070" s="197"/>
      <c r="CP3070" s="197"/>
      <c r="CQ3070" s="197"/>
      <c r="CR3070" s="197"/>
      <c r="CS3070" s="197"/>
      <c r="CT3070" s="197"/>
      <c r="CU3070" s="197"/>
      <c r="CV3070" s="197"/>
      <c r="CW3070" s="197"/>
      <c r="CX3070" s="959"/>
      <c r="CY3070" s="959"/>
      <c r="CZ3070" s="959"/>
      <c r="DA3070" s="959"/>
      <c r="DB3070" s="959"/>
      <c r="DC3070" s="891">
        <v>9625</v>
      </c>
      <c r="DD3070" s="891" t="s">
        <v>3387</v>
      </c>
      <c r="DE3070" s="891" t="s">
        <v>2808</v>
      </c>
      <c r="DF3070" s="891">
        <v>6</v>
      </c>
      <c r="DG3070" s="959"/>
      <c r="DH3070" s="959"/>
      <c r="ER3070" s="905">
        <v>9096</v>
      </c>
      <c r="ES3070" s="906" t="s">
        <v>2874</v>
      </c>
      <c r="ET3070" s="2686">
        <v>9</v>
      </c>
      <c r="EV3070" s="985"/>
      <c r="EW3070" s="985"/>
      <c r="EX3070" s="387"/>
      <c r="EY3070" s="939"/>
      <c r="EZ3070" s="886"/>
    </row>
    <row r="3071" spans="88:156">
      <c r="CJ3071" s="197"/>
      <c r="CK3071" s="197"/>
      <c r="CL3071" s="197"/>
      <c r="CM3071" s="213"/>
      <c r="CN3071" s="213"/>
      <c r="CO3071" s="197"/>
      <c r="CP3071" s="197"/>
      <c r="CQ3071" s="197"/>
      <c r="CR3071" s="197"/>
      <c r="CS3071" s="197"/>
      <c r="CT3071" s="197"/>
      <c r="CU3071" s="197"/>
      <c r="CV3071" s="197"/>
      <c r="CW3071" s="197"/>
      <c r="CX3071" s="959"/>
      <c r="CY3071" s="959"/>
      <c r="CZ3071" s="959"/>
      <c r="DA3071" s="959"/>
      <c r="DB3071" s="959"/>
      <c r="DC3071" s="891">
        <v>9631</v>
      </c>
      <c r="DD3071" s="891" t="s">
        <v>3388</v>
      </c>
      <c r="DE3071" s="891" t="s">
        <v>2808</v>
      </c>
      <c r="DF3071" s="891">
        <v>6</v>
      </c>
      <c r="DG3071" s="959"/>
      <c r="DH3071" s="959"/>
      <c r="ER3071" s="905">
        <v>9097</v>
      </c>
      <c r="ES3071" s="906" t="s">
        <v>2875</v>
      </c>
      <c r="ET3071" s="2686">
        <v>9</v>
      </c>
      <c r="EV3071" s="985"/>
      <c r="EW3071" s="985"/>
      <c r="EX3071" s="387"/>
      <c r="EY3071" s="939"/>
      <c r="EZ3071" s="886"/>
    </row>
    <row r="3072" spans="88:156">
      <c r="CJ3072" s="197"/>
      <c r="CK3072" s="197"/>
      <c r="CL3072" s="197"/>
      <c r="CM3072" s="213"/>
      <c r="CN3072" s="213"/>
      <c r="CO3072" s="197"/>
      <c r="CP3072" s="197"/>
      <c r="CQ3072" s="197"/>
      <c r="CR3072" s="197"/>
      <c r="CS3072" s="197"/>
      <c r="CT3072" s="197"/>
      <c r="CU3072" s="197"/>
      <c r="CV3072" s="197"/>
      <c r="CW3072" s="197"/>
      <c r="CX3072" s="959"/>
      <c r="CY3072" s="959"/>
      <c r="CZ3072" s="959"/>
      <c r="DA3072" s="959"/>
      <c r="DB3072" s="959"/>
      <c r="DC3072" s="891">
        <v>9632</v>
      </c>
      <c r="DD3072" s="891" t="s">
        <v>3389</v>
      </c>
      <c r="DE3072" s="891" t="s">
        <v>2808</v>
      </c>
      <c r="DF3072" s="891">
        <v>6</v>
      </c>
      <c r="DG3072" s="959"/>
      <c r="DH3072" s="959"/>
      <c r="ER3072" s="905">
        <v>9098</v>
      </c>
      <c r="ES3072" s="905" t="s">
        <v>3138</v>
      </c>
      <c r="ET3072" s="2686">
        <v>9</v>
      </c>
      <c r="EV3072" s="985"/>
      <c r="EW3072" s="985"/>
      <c r="EX3072" s="387"/>
      <c r="EY3072" s="939"/>
      <c r="EZ3072" s="886"/>
    </row>
    <row r="3073" spans="88:156">
      <c r="CJ3073" s="197"/>
      <c r="CK3073" s="197"/>
      <c r="CL3073" s="197"/>
      <c r="CM3073" s="213"/>
      <c r="CN3073" s="213"/>
      <c r="CO3073" s="197"/>
      <c r="CP3073" s="197"/>
      <c r="CQ3073" s="197"/>
      <c r="CR3073" s="197"/>
      <c r="CS3073" s="197"/>
      <c r="CT3073" s="197"/>
      <c r="CU3073" s="197"/>
      <c r="CV3073" s="197"/>
      <c r="CW3073" s="197"/>
      <c r="CX3073" s="959"/>
      <c r="CY3073" s="959"/>
      <c r="CZ3073" s="959"/>
      <c r="DA3073" s="959"/>
      <c r="DB3073" s="959"/>
      <c r="DC3073" s="891">
        <v>9633</v>
      </c>
      <c r="DD3073" s="891" t="s">
        <v>3390</v>
      </c>
      <c r="DE3073" s="891" t="s">
        <v>2808</v>
      </c>
      <c r="DF3073" s="891">
        <v>6</v>
      </c>
      <c r="DG3073" s="959"/>
      <c r="DH3073" s="959"/>
      <c r="ER3073" s="905">
        <v>9099</v>
      </c>
      <c r="ES3073" s="906" t="s">
        <v>2877</v>
      </c>
      <c r="ET3073" s="2686">
        <v>9</v>
      </c>
      <c r="EV3073" s="985"/>
      <c r="EW3073" s="985"/>
      <c r="EX3073" s="387"/>
      <c r="EY3073" s="939"/>
      <c r="EZ3073" s="886"/>
    </row>
    <row r="3074" spans="88:156">
      <c r="CJ3074" s="197"/>
      <c r="CK3074" s="197"/>
      <c r="CL3074" s="197"/>
      <c r="CM3074" s="213"/>
      <c r="CN3074" s="213"/>
      <c r="CO3074" s="197"/>
      <c r="CP3074" s="197"/>
      <c r="CQ3074" s="197"/>
      <c r="CR3074" s="197"/>
      <c r="CS3074" s="197"/>
      <c r="CT3074" s="197"/>
      <c r="CU3074" s="197"/>
      <c r="CV3074" s="197"/>
      <c r="CW3074" s="197"/>
      <c r="CX3074" s="959"/>
      <c r="CY3074" s="959"/>
      <c r="CZ3074" s="959"/>
      <c r="DA3074" s="959"/>
      <c r="DB3074" s="959"/>
      <c r="DC3074" s="891">
        <v>9634</v>
      </c>
      <c r="DD3074" s="891" t="s">
        <v>3391</v>
      </c>
      <c r="DE3074" s="891" t="s">
        <v>2808</v>
      </c>
      <c r="DF3074" s="891">
        <v>6</v>
      </c>
      <c r="DG3074" s="959"/>
      <c r="DH3074" s="959"/>
      <c r="ER3074" s="905">
        <v>9100</v>
      </c>
      <c r="ES3074" s="906" t="s">
        <v>2878</v>
      </c>
      <c r="ET3074" s="2686">
        <v>9</v>
      </c>
      <c r="EV3074" s="985"/>
      <c r="EW3074" s="985"/>
      <c r="EX3074" s="387"/>
      <c r="EY3074" s="939"/>
      <c r="EZ3074" s="886"/>
    </row>
    <row r="3075" spans="88:156">
      <c r="CJ3075" s="197"/>
      <c r="CK3075" s="197"/>
      <c r="CL3075" s="197"/>
      <c r="CM3075" s="213"/>
      <c r="CN3075" s="213"/>
      <c r="CO3075" s="197"/>
      <c r="CP3075" s="197"/>
      <c r="CQ3075" s="197"/>
      <c r="CR3075" s="197"/>
      <c r="CS3075" s="197"/>
      <c r="CT3075" s="197"/>
      <c r="CU3075" s="197"/>
      <c r="CV3075" s="197"/>
      <c r="CW3075" s="197"/>
      <c r="CX3075" s="959"/>
      <c r="CY3075" s="959"/>
      <c r="CZ3075" s="959"/>
      <c r="DA3075" s="959"/>
      <c r="DB3075" s="959"/>
      <c r="DC3075" s="891">
        <v>9635</v>
      </c>
      <c r="DD3075" s="891" t="s">
        <v>3388</v>
      </c>
      <c r="DE3075" s="891" t="s">
        <v>2808</v>
      </c>
      <c r="DF3075" s="891">
        <v>6</v>
      </c>
      <c r="DG3075" s="959"/>
      <c r="DH3075" s="959"/>
      <c r="ER3075" s="905">
        <v>9111</v>
      </c>
      <c r="ES3075" s="906" t="s">
        <v>2879</v>
      </c>
      <c r="ET3075" s="2686">
        <v>9</v>
      </c>
      <c r="EV3075" s="985"/>
      <c r="EW3075" s="985"/>
      <c r="EX3075" s="387"/>
      <c r="EY3075" s="939"/>
      <c r="EZ3075" s="886"/>
    </row>
    <row r="3076" spans="88:156">
      <c r="CJ3076" s="197"/>
      <c r="CK3076" s="197"/>
      <c r="CL3076" s="197"/>
      <c r="CM3076" s="213"/>
      <c r="CN3076" s="213"/>
      <c r="CO3076" s="197"/>
      <c r="CP3076" s="197"/>
      <c r="CQ3076" s="197"/>
      <c r="CR3076" s="197"/>
      <c r="CS3076" s="197"/>
      <c r="CT3076" s="197"/>
      <c r="CU3076" s="197"/>
      <c r="CV3076" s="197"/>
      <c r="CW3076" s="197"/>
      <c r="CX3076" s="959"/>
      <c r="CY3076" s="959"/>
      <c r="CZ3076" s="959"/>
      <c r="DA3076" s="959"/>
      <c r="DB3076" s="959"/>
      <c r="DC3076" s="891">
        <v>9636</v>
      </c>
      <c r="DD3076" s="891" t="s">
        <v>3392</v>
      </c>
      <c r="DE3076" s="891" t="s">
        <v>2808</v>
      </c>
      <c r="DF3076" s="891">
        <v>6</v>
      </c>
      <c r="DG3076" s="959"/>
      <c r="DH3076" s="959"/>
      <c r="ER3076" s="905">
        <v>9112</v>
      </c>
      <c r="ES3076" s="906" t="s">
        <v>2880</v>
      </c>
      <c r="ET3076" s="2686">
        <v>9</v>
      </c>
      <c r="EV3076" s="985"/>
      <c r="EW3076" s="985"/>
      <c r="EX3076" s="387"/>
      <c r="EY3076" s="939"/>
      <c r="EZ3076" s="886"/>
    </row>
    <row r="3077" spans="88:156">
      <c r="CJ3077" s="197"/>
      <c r="CK3077" s="197"/>
      <c r="CL3077" s="197"/>
      <c r="CM3077" s="213"/>
      <c r="CN3077" s="213"/>
      <c r="CO3077" s="197"/>
      <c r="CP3077" s="197"/>
      <c r="CQ3077" s="197"/>
      <c r="CR3077" s="197"/>
      <c r="CS3077" s="197"/>
      <c r="CT3077" s="197"/>
      <c r="CU3077" s="197"/>
      <c r="CV3077" s="197"/>
      <c r="CW3077" s="197"/>
      <c r="CX3077" s="959"/>
      <c r="CY3077" s="959"/>
      <c r="CZ3077" s="959"/>
      <c r="DA3077" s="959"/>
      <c r="DB3077" s="959"/>
      <c r="DC3077" s="891">
        <v>9641</v>
      </c>
      <c r="DD3077" s="891" t="s">
        <v>3393</v>
      </c>
      <c r="DE3077" s="891" t="s">
        <v>2808</v>
      </c>
      <c r="DF3077" s="891">
        <v>6</v>
      </c>
      <c r="DG3077" s="959"/>
      <c r="DH3077" s="959"/>
      <c r="ER3077" s="905">
        <v>9113</v>
      </c>
      <c r="ES3077" s="906" t="s">
        <v>2881</v>
      </c>
      <c r="ET3077" s="2686">
        <v>9</v>
      </c>
      <c r="EV3077" s="985"/>
      <c r="EW3077" s="985"/>
      <c r="EX3077" s="387"/>
      <c r="EY3077" s="939"/>
      <c r="EZ3077" s="886"/>
    </row>
    <row r="3078" spans="88:156">
      <c r="CJ3078" s="197"/>
      <c r="CK3078" s="197"/>
      <c r="CL3078" s="197"/>
      <c r="CM3078" s="213"/>
      <c r="CN3078" s="213"/>
      <c r="CO3078" s="197"/>
      <c r="CP3078" s="197"/>
      <c r="CQ3078" s="197"/>
      <c r="CR3078" s="197"/>
      <c r="CS3078" s="197"/>
      <c r="CT3078" s="197"/>
      <c r="CU3078" s="197"/>
      <c r="CV3078" s="197"/>
      <c r="CW3078" s="197"/>
      <c r="CX3078" s="959"/>
      <c r="CY3078" s="959"/>
      <c r="CZ3078" s="959"/>
      <c r="DA3078" s="959"/>
      <c r="DB3078" s="959"/>
      <c r="DC3078" s="891">
        <v>9643</v>
      </c>
      <c r="DD3078" s="891" t="s">
        <v>3394</v>
      </c>
      <c r="DE3078" s="891" t="s">
        <v>2808</v>
      </c>
      <c r="DF3078" s="891">
        <v>6</v>
      </c>
      <c r="DG3078" s="959"/>
      <c r="DH3078" s="959"/>
      <c r="ER3078" s="905">
        <v>9121</v>
      </c>
      <c r="ES3078" s="906" t="s">
        <v>2882</v>
      </c>
      <c r="ET3078" s="2686">
        <v>9</v>
      </c>
      <c r="EV3078" s="985"/>
      <c r="EW3078" s="985"/>
      <c r="EX3078" s="387"/>
      <c r="EY3078" s="939"/>
      <c r="EZ3078" s="886"/>
    </row>
    <row r="3079" spans="88:156">
      <c r="CJ3079" s="197"/>
      <c r="CK3079" s="197"/>
      <c r="CL3079" s="197"/>
      <c r="CM3079" s="213"/>
      <c r="CN3079" s="213"/>
      <c r="CO3079" s="197"/>
      <c r="CP3079" s="197"/>
      <c r="CQ3079" s="197"/>
      <c r="CR3079" s="197"/>
      <c r="CS3079" s="197"/>
      <c r="CT3079" s="197"/>
      <c r="CU3079" s="197"/>
      <c r="CV3079" s="197"/>
      <c r="CW3079" s="197"/>
      <c r="CX3079" s="959"/>
      <c r="CY3079" s="959"/>
      <c r="CZ3079" s="959"/>
      <c r="DA3079" s="959"/>
      <c r="DB3079" s="959"/>
      <c r="DC3079" s="891">
        <v>9651</v>
      </c>
      <c r="DD3079" s="891" t="s">
        <v>3395</v>
      </c>
      <c r="DE3079" s="891" t="s">
        <v>2808</v>
      </c>
      <c r="DF3079" s="891">
        <v>6</v>
      </c>
      <c r="DG3079" s="959"/>
      <c r="DH3079" s="959"/>
      <c r="ER3079" s="905">
        <v>9122</v>
      </c>
      <c r="ES3079" s="906" t="s">
        <v>2883</v>
      </c>
      <c r="ET3079" s="2686">
        <v>9</v>
      </c>
      <c r="EV3079" s="985"/>
      <c r="EW3079" s="985"/>
      <c r="EX3079" s="387"/>
      <c r="EY3079" s="939"/>
      <c r="EZ3079" s="886"/>
    </row>
    <row r="3080" spans="88:156">
      <c r="CJ3080" s="197"/>
      <c r="CK3080" s="197"/>
      <c r="CL3080" s="197"/>
      <c r="CM3080" s="213"/>
      <c r="CN3080" s="213"/>
      <c r="CO3080" s="197"/>
      <c r="CP3080" s="197"/>
      <c r="CQ3080" s="197"/>
      <c r="CR3080" s="197"/>
      <c r="CS3080" s="197"/>
      <c r="CT3080" s="197"/>
      <c r="CU3080" s="197"/>
      <c r="CV3080" s="197"/>
      <c r="CW3080" s="197"/>
      <c r="CX3080" s="959"/>
      <c r="CY3080" s="959"/>
      <c r="CZ3080" s="959"/>
      <c r="DA3080" s="959"/>
      <c r="DB3080" s="959"/>
      <c r="DC3080" s="891">
        <v>9652</v>
      </c>
      <c r="DD3080" s="891" t="s">
        <v>3396</v>
      </c>
      <c r="DE3080" s="891" t="s">
        <v>421</v>
      </c>
      <c r="DF3080" s="891">
        <v>6</v>
      </c>
      <c r="DG3080" s="959"/>
      <c r="DH3080" s="959"/>
      <c r="ER3080" s="905">
        <v>9123</v>
      </c>
      <c r="ES3080" s="906" t="s">
        <v>2884</v>
      </c>
      <c r="ET3080" s="2686">
        <v>9</v>
      </c>
      <c r="EV3080" s="985"/>
      <c r="EW3080" s="985"/>
      <c r="EX3080" s="387"/>
      <c r="EY3080" s="939"/>
      <c r="EZ3080" s="886"/>
    </row>
    <row r="3081" spans="88:156">
      <c r="CJ3081" s="197"/>
      <c r="CK3081" s="197"/>
      <c r="CL3081" s="197"/>
      <c r="CM3081" s="213"/>
      <c r="CN3081" s="213"/>
      <c r="CO3081" s="197"/>
      <c r="CP3081" s="197"/>
      <c r="CQ3081" s="197"/>
      <c r="CR3081" s="197"/>
      <c r="CS3081" s="197"/>
      <c r="CT3081" s="197"/>
      <c r="CU3081" s="197"/>
      <c r="CV3081" s="197"/>
      <c r="CW3081" s="197"/>
      <c r="CX3081" s="959"/>
      <c r="CY3081" s="959"/>
      <c r="CZ3081" s="959"/>
      <c r="DA3081" s="959"/>
      <c r="DB3081" s="959"/>
      <c r="DC3081" s="891">
        <v>9653</v>
      </c>
      <c r="DD3081" s="891" t="s">
        <v>3397</v>
      </c>
      <c r="DE3081" s="891" t="s">
        <v>432</v>
      </c>
      <c r="DF3081" s="891">
        <v>6</v>
      </c>
      <c r="DG3081" s="959"/>
      <c r="DH3081" s="959"/>
      <c r="ER3081" s="905">
        <v>9124</v>
      </c>
      <c r="ES3081" s="906" t="s">
        <v>2885</v>
      </c>
      <c r="ET3081" s="2686">
        <v>9</v>
      </c>
      <c r="EV3081" s="985"/>
      <c r="EW3081" s="985"/>
      <c r="EX3081" s="387"/>
      <c r="EY3081" s="939"/>
      <c r="EZ3081" s="886"/>
    </row>
    <row r="3082" spans="88:156">
      <c r="CJ3082" s="197"/>
      <c r="CK3082" s="197"/>
      <c r="CL3082" s="197"/>
      <c r="CM3082" s="213"/>
      <c r="CN3082" s="213"/>
      <c r="CO3082" s="197"/>
      <c r="CP3082" s="197"/>
      <c r="CQ3082" s="197"/>
      <c r="CR3082" s="197"/>
      <c r="CS3082" s="197"/>
      <c r="CT3082" s="197"/>
      <c r="CU3082" s="197"/>
      <c r="CV3082" s="197"/>
      <c r="CW3082" s="197"/>
      <c r="CX3082" s="959"/>
      <c r="CY3082" s="959"/>
      <c r="CZ3082" s="959"/>
      <c r="DA3082" s="959"/>
      <c r="DB3082" s="959"/>
      <c r="DC3082" s="891">
        <v>9654</v>
      </c>
      <c r="DD3082" s="891" t="s">
        <v>3398</v>
      </c>
      <c r="DE3082" s="891" t="s">
        <v>412</v>
      </c>
      <c r="DF3082" s="891">
        <v>6</v>
      </c>
      <c r="DG3082" s="959"/>
      <c r="DH3082" s="959"/>
      <c r="ER3082" s="905">
        <v>9125</v>
      </c>
      <c r="ES3082" s="906" t="s">
        <v>2777</v>
      </c>
      <c r="ET3082" s="2686">
        <v>9</v>
      </c>
      <c r="EV3082" s="985"/>
      <c r="EW3082" s="985"/>
      <c r="EX3082" s="387"/>
      <c r="EY3082" s="939"/>
      <c r="EZ3082" s="886"/>
    </row>
    <row r="3083" spans="88:156">
      <c r="CJ3083" s="197"/>
      <c r="CK3083" s="197"/>
      <c r="CL3083" s="197"/>
      <c r="CM3083" s="213"/>
      <c r="CN3083" s="213"/>
      <c r="CO3083" s="197"/>
      <c r="CP3083" s="197"/>
      <c r="CQ3083" s="197"/>
      <c r="CR3083" s="197"/>
      <c r="CS3083" s="197"/>
      <c r="CT3083" s="197"/>
      <c r="CU3083" s="197"/>
      <c r="CV3083" s="197"/>
      <c r="CW3083" s="197"/>
      <c r="CX3083" s="959"/>
      <c r="CY3083" s="959"/>
      <c r="CZ3083" s="959"/>
      <c r="DA3083" s="959"/>
      <c r="DB3083" s="959"/>
      <c r="DC3083" s="891">
        <v>9661</v>
      </c>
      <c r="DD3083" s="891" t="s">
        <v>3399</v>
      </c>
      <c r="DE3083" s="891" t="s">
        <v>406</v>
      </c>
      <c r="DF3083" s="891">
        <v>6</v>
      </c>
      <c r="DG3083" s="959"/>
      <c r="DH3083" s="959"/>
      <c r="ER3083" s="905">
        <v>9126</v>
      </c>
      <c r="ES3083" s="906" t="s">
        <v>2778</v>
      </c>
      <c r="ET3083" s="2686">
        <v>9</v>
      </c>
      <c r="EV3083" s="985"/>
      <c r="EW3083" s="985"/>
      <c r="EX3083" s="387"/>
      <c r="EY3083" s="939"/>
      <c r="EZ3083" s="886"/>
    </row>
    <row r="3084" spans="88:156">
      <c r="CJ3084" s="197"/>
      <c r="CK3084" s="197"/>
      <c r="CL3084" s="197"/>
      <c r="CM3084" s="213"/>
      <c r="CN3084" s="213"/>
      <c r="CO3084" s="197"/>
      <c r="CP3084" s="197"/>
      <c r="CQ3084" s="197"/>
      <c r="CR3084" s="197"/>
      <c r="CS3084" s="197"/>
      <c r="CT3084" s="197"/>
      <c r="CU3084" s="197"/>
      <c r="CV3084" s="197"/>
      <c r="CW3084" s="197"/>
      <c r="CX3084" s="959"/>
      <c r="CY3084" s="959"/>
      <c r="CZ3084" s="959"/>
      <c r="DA3084" s="959"/>
      <c r="DB3084" s="959"/>
      <c r="DC3084" s="891">
        <v>9662</v>
      </c>
      <c r="DD3084" s="891" t="s">
        <v>3400</v>
      </c>
      <c r="DE3084" s="891" t="s">
        <v>2808</v>
      </c>
      <c r="DF3084" s="891">
        <v>6</v>
      </c>
      <c r="DG3084" s="959"/>
      <c r="DH3084" s="959"/>
      <c r="ER3084" s="905">
        <v>9127</v>
      </c>
      <c r="ES3084" s="906" t="s">
        <v>2773</v>
      </c>
      <c r="ET3084" s="2686">
        <v>9</v>
      </c>
      <c r="EV3084" s="985"/>
      <c r="EW3084" s="985"/>
      <c r="EX3084" s="387"/>
      <c r="EY3084" s="939"/>
      <c r="EZ3084" s="886"/>
    </row>
    <row r="3085" spans="88:156">
      <c r="CJ3085" s="197"/>
      <c r="CK3085" s="197"/>
      <c r="CL3085" s="197"/>
      <c r="CM3085" s="213"/>
      <c r="CN3085" s="213"/>
      <c r="CO3085" s="197"/>
      <c r="CP3085" s="197"/>
      <c r="CQ3085" s="197"/>
      <c r="CR3085" s="197"/>
      <c r="CS3085" s="197"/>
      <c r="CT3085" s="197"/>
      <c r="CU3085" s="197"/>
      <c r="CV3085" s="197"/>
      <c r="CW3085" s="197"/>
      <c r="CX3085" s="959"/>
      <c r="CY3085" s="959"/>
      <c r="CZ3085" s="959"/>
      <c r="DA3085" s="959"/>
      <c r="DB3085" s="959"/>
      <c r="DC3085" s="891">
        <v>9663</v>
      </c>
      <c r="DD3085" s="891" t="s">
        <v>3401</v>
      </c>
      <c r="DE3085" s="891" t="s">
        <v>432</v>
      </c>
      <c r="DF3085" s="891">
        <v>6</v>
      </c>
      <c r="DG3085" s="959"/>
      <c r="DH3085" s="959"/>
      <c r="ER3085" s="905">
        <v>9131</v>
      </c>
      <c r="ES3085" s="906" t="s">
        <v>2886</v>
      </c>
      <c r="ET3085" s="2686">
        <v>9</v>
      </c>
      <c r="EV3085" s="985"/>
      <c r="EW3085" s="985"/>
      <c r="EX3085" s="387"/>
      <c r="EY3085" s="939"/>
      <c r="EZ3085" s="886"/>
    </row>
    <row r="3086" spans="88:156">
      <c r="CJ3086" s="197"/>
      <c r="CK3086" s="197"/>
      <c r="CL3086" s="197"/>
      <c r="CM3086" s="213"/>
      <c r="CN3086" s="213"/>
      <c r="CO3086" s="197"/>
      <c r="CP3086" s="197"/>
      <c r="CQ3086" s="197"/>
      <c r="CR3086" s="197"/>
      <c r="CS3086" s="197"/>
      <c r="CT3086" s="197"/>
      <c r="CU3086" s="197"/>
      <c r="CV3086" s="197"/>
      <c r="CW3086" s="197"/>
      <c r="CX3086" s="959"/>
      <c r="CY3086" s="959"/>
      <c r="CZ3086" s="959"/>
      <c r="DA3086" s="959"/>
      <c r="DB3086" s="959"/>
      <c r="DC3086" s="891">
        <v>9664</v>
      </c>
      <c r="DD3086" s="891" t="s">
        <v>3402</v>
      </c>
      <c r="DE3086" s="891" t="s">
        <v>431</v>
      </c>
      <c r="DF3086" s="891">
        <v>6</v>
      </c>
      <c r="DG3086" s="959"/>
      <c r="DH3086" s="959"/>
      <c r="ER3086" s="905">
        <v>9132</v>
      </c>
      <c r="ES3086" s="906" t="s">
        <v>2887</v>
      </c>
      <c r="ET3086" s="2686">
        <v>9</v>
      </c>
      <c r="EV3086" s="985"/>
      <c r="EW3086" s="985"/>
      <c r="EX3086" s="387"/>
      <c r="EY3086" s="939"/>
      <c r="EZ3086" s="886"/>
    </row>
    <row r="3087" spans="88:156">
      <c r="CJ3087" s="197"/>
      <c r="CK3087" s="197"/>
      <c r="CL3087" s="197"/>
      <c r="CM3087" s="213"/>
      <c r="CN3087" s="213"/>
      <c r="CO3087" s="197"/>
      <c r="CP3087" s="197"/>
      <c r="CQ3087" s="197"/>
      <c r="CR3087" s="197"/>
      <c r="CS3087" s="197"/>
      <c r="CT3087" s="197"/>
      <c r="CU3087" s="197"/>
      <c r="CV3087" s="197"/>
      <c r="CW3087" s="197"/>
      <c r="CX3087" s="959"/>
      <c r="CY3087" s="959"/>
      <c r="CZ3087" s="959"/>
      <c r="DA3087" s="959"/>
      <c r="DB3087" s="959"/>
      <c r="DC3087" s="891">
        <v>9665</v>
      </c>
      <c r="DD3087" s="891" t="s">
        <v>3403</v>
      </c>
      <c r="DE3087" s="891" t="s">
        <v>423</v>
      </c>
      <c r="DF3087" s="891">
        <v>6</v>
      </c>
      <c r="DG3087" s="959"/>
      <c r="DH3087" s="959"/>
      <c r="ER3087" s="905">
        <v>9133</v>
      </c>
      <c r="ES3087" s="906" t="s">
        <v>3139</v>
      </c>
      <c r="ET3087" s="2686">
        <v>9</v>
      </c>
      <c r="EV3087" s="985"/>
      <c r="EW3087" s="985"/>
      <c r="EX3087" s="387"/>
      <c r="EY3087" s="939"/>
      <c r="EZ3087" s="886"/>
    </row>
    <row r="3088" spans="88:156">
      <c r="CJ3088" s="197"/>
      <c r="CK3088" s="197"/>
      <c r="CL3088" s="197"/>
      <c r="CM3088" s="213"/>
      <c r="CN3088" s="213"/>
      <c r="CO3088" s="197"/>
      <c r="CP3088" s="197"/>
      <c r="CQ3088" s="197"/>
      <c r="CR3088" s="197"/>
      <c r="CS3088" s="197"/>
      <c r="CT3088" s="197"/>
      <c r="CU3088" s="197"/>
      <c r="CV3088" s="197"/>
      <c r="CW3088" s="197"/>
      <c r="CX3088" s="959"/>
      <c r="CY3088" s="959"/>
      <c r="CZ3088" s="959"/>
      <c r="DA3088" s="959"/>
      <c r="DB3088" s="959"/>
      <c r="DC3088" s="891">
        <v>9671</v>
      </c>
      <c r="DD3088" s="891" t="s">
        <v>3404</v>
      </c>
      <c r="DE3088" s="891" t="s">
        <v>434</v>
      </c>
      <c r="DF3088" s="891">
        <v>6</v>
      </c>
      <c r="DG3088" s="959"/>
      <c r="DH3088" s="959"/>
      <c r="ER3088" s="905">
        <v>9133</v>
      </c>
      <c r="ES3088" s="906" t="s">
        <v>2888</v>
      </c>
      <c r="ET3088" s="2686">
        <v>9</v>
      </c>
      <c r="EV3088" s="985"/>
      <c r="EW3088" s="985"/>
      <c r="EX3088" s="387"/>
      <c r="EY3088" s="939"/>
      <c r="EZ3088" s="886"/>
    </row>
    <row r="3089" spans="88:156">
      <c r="CJ3089" s="197"/>
      <c r="CK3089" s="197"/>
      <c r="CL3089" s="197"/>
      <c r="CM3089" s="213"/>
      <c r="CN3089" s="213"/>
      <c r="CO3089" s="197"/>
      <c r="CP3089" s="197"/>
      <c r="CQ3089" s="197"/>
      <c r="CR3089" s="197"/>
      <c r="CS3089" s="197"/>
      <c r="CT3089" s="197"/>
      <c r="CU3089" s="197"/>
      <c r="CV3089" s="197"/>
      <c r="CW3089" s="197"/>
      <c r="CX3089" s="959"/>
      <c r="CY3089" s="959"/>
      <c r="CZ3089" s="959"/>
      <c r="DA3089" s="959"/>
      <c r="DB3089" s="959"/>
      <c r="DC3089" s="891">
        <v>9672</v>
      </c>
      <c r="DD3089" s="891" t="s">
        <v>3405</v>
      </c>
      <c r="DE3089" s="891" t="s">
        <v>434</v>
      </c>
      <c r="DF3089" s="891">
        <v>6</v>
      </c>
      <c r="DG3089" s="959"/>
      <c r="DH3089" s="959"/>
      <c r="ER3089" s="905">
        <v>9134</v>
      </c>
      <c r="ES3089" s="906" t="s">
        <v>2889</v>
      </c>
      <c r="ET3089" s="2686">
        <v>9</v>
      </c>
      <c r="EV3089" s="985"/>
      <c r="EW3089" s="985"/>
      <c r="EX3089" s="387"/>
      <c r="EY3089" s="939"/>
      <c r="EZ3089" s="886"/>
    </row>
    <row r="3090" spans="88:156">
      <c r="CJ3090" s="197"/>
      <c r="CK3090" s="197"/>
      <c r="CL3090" s="197"/>
      <c r="CM3090" s="213"/>
      <c r="CN3090" s="213"/>
      <c r="CO3090" s="197"/>
      <c r="CP3090" s="197"/>
      <c r="CQ3090" s="197"/>
      <c r="CR3090" s="197"/>
      <c r="CS3090" s="197"/>
      <c r="CT3090" s="197"/>
      <c r="CU3090" s="197"/>
      <c r="CV3090" s="197"/>
      <c r="CW3090" s="197"/>
      <c r="CX3090" s="959"/>
      <c r="CY3090" s="959"/>
      <c r="CZ3090" s="959"/>
      <c r="DA3090" s="959"/>
      <c r="DB3090" s="959"/>
      <c r="DC3090" s="891">
        <v>9673</v>
      </c>
      <c r="DD3090" s="891" t="s">
        <v>4136</v>
      </c>
      <c r="DE3090" s="891" t="s">
        <v>412</v>
      </c>
      <c r="DF3090" s="891">
        <v>6</v>
      </c>
      <c r="DG3090" s="959"/>
      <c r="DH3090" s="959"/>
      <c r="ER3090" s="905">
        <v>9135</v>
      </c>
      <c r="ES3090" s="906" t="s">
        <v>2890</v>
      </c>
      <c r="ET3090" s="2686">
        <v>9</v>
      </c>
      <c r="EV3090" s="985"/>
      <c r="EW3090" s="985"/>
      <c r="EX3090" s="387"/>
      <c r="EY3090" s="939"/>
      <c r="EZ3090" s="886"/>
    </row>
    <row r="3091" spans="88:156">
      <c r="CJ3091" s="197"/>
      <c r="CK3091" s="197"/>
      <c r="CL3091" s="197"/>
      <c r="CM3091" s="213"/>
      <c r="CN3091" s="213"/>
      <c r="CO3091" s="197"/>
      <c r="CP3091" s="197"/>
      <c r="CQ3091" s="197"/>
      <c r="CR3091" s="197"/>
      <c r="CS3091" s="197"/>
      <c r="CT3091" s="197"/>
      <c r="CU3091" s="197"/>
      <c r="CV3091" s="197"/>
      <c r="CW3091" s="197"/>
      <c r="CX3091" s="959"/>
      <c r="CY3091" s="959"/>
      <c r="CZ3091" s="959"/>
      <c r="DA3091" s="959"/>
      <c r="DB3091" s="959"/>
      <c r="DC3091" s="891">
        <v>9674</v>
      </c>
      <c r="DD3091" s="891" t="s">
        <v>4137</v>
      </c>
      <c r="DE3091" s="891" t="s">
        <v>402</v>
      </c>
      <c r="DF3091" s="891">
        <v>6</v>
      </c>
      <c r="DG3091" s="959"/>
      <c r="DH3091" s="959"/>
      <c r="ER3091" s="905">
        <v>9136</v>
      </c>
      <c r="ES3091" s="906" t="s">
        <v>3140</v>
      </c>
      <c r="ET3091" s="2686">
        <v>9</v>
      </c>
      <c r="EV3091" s="985"/>
      <c r="EW3091" s="985"/>
      <c r="EX3091" s="387"/>
      <c r="EY3091" s="939"/>
      <c r="EZ3091" s="886"/>
    </row>
    <row r="3092" spans="88:156">
      <c r="CJ3092" s="197"/>
      <c r="CK3092" s="197"/>
      <c r="CL3092" s="197"/>
      <c r="CM3092" s="213"/>
      <c r="CN3092" s="213"/>
      <c r="CO3092" s="197"/>
      <c r="CP3092" s="197"/>
      <c r="CQ3092" s="197"/>
      <c r="CR3092" s="197"/>
      <c r="CS3092" s="197"/>
      <c r="CT3092" s="197"/>
      <c r="CU3092" s="197"/>
      <c r="CV3092" s="197"/>
      <c r="CW3092" s="197"/>
      <c r="CX3092" s="959"/>
      <c r="CY3092" s="959"/>
      <c r="CZ3092" s="959"/>
      <c r="DA3092" s="959"/>
      <c r="DB3092" s="959"/>
      <c r="DC3092" s="891">
        <v>9675</v>
      </c>
      <c r="DD3092" s="891" t="s">
        <v>4138</v>
      </c>
      <c r="DE3092" s="891" t="s">
        <v>402</v>
      </c>
      <c r="DF3092" s="891">
        <v>6</v>
      </c>
      <c r="DG3092" s="959"/>
      <c r="DH3092" s="959"/>
      <c r="ER3092" s="905">
        <v>9136</v>
      </c>
      <c r="ES3092" s="906" t="s">
        <v>2891</v>
      </c>
      <c r="ET3092" s="2686">
        <v>9</v>
      </c>
      <c r="EV3092" s="985"/>
      <c r="EW3092" s="985"/>
      <c r="EX3092" s="387"/>
      <c r="EY3092" s="939"/>
      <c r="EZ3092" s="886"/>
    </row>
    <row r="3093" spans="88:156">
      <c r="CJ3093" s="197"/>
      <c r="CK3093" s="197"/>
      <c r="CL3093" s="197"/>
      <c r="CM3093" s="213"/>
      <c r="CN3093" s="213"/>
      <c r="CO3093" s="197"/>
      <c r="CP3093" s="197"/>
      <c r="CQ3093" s="197"/>
      <c r="CR3093" s="197"/>
      <c r="CS3093" s="197"/>
      <c r="CT3093" s="197"/>
      <c r="CU3093" s="197"/>
      <c r="CV3093" s="197"/>
      <c r="CW3093" s="197"/>
      <c r="CX3093" s="959"/>
      <c r="CY3093" s="959"/>
      <c r="CZ3093" s="959"/>
      <c r="DA3093" s="959"/>
      <c r="DB3093" s="959"/>
      <c r="DC3093" s="891">
        <v>9676</v>
      </c>
      <c r="DD3093" s="891" t="s">
        <v>4139</v>
      </c>
      <c r="DE3093" s="891" t="s">
        <v>402</v>
      </c>
      <c r="DF3093" s="891">
        <v>6</v>
      </c>
      <c r="DG3093" s="959"/>
      <c r="DH3093" s="959"/>
      <c r="ER3093" s="905">
        <v>9141</v>
      </c>
      <c r="ES3093" s="906" t="s">
        <v>2892</v>
      </c>
      <c r="ET3093" s="2686">
        <v>6</v>
      </c>
      <c r="EV3093" s="985"/>
      <c r="EW3093" s="985"/>
      <c r="EX3093" s="387"/>
      <c r="EY3093" s="939"/>
      <c r="EZ3093" s="886"/>
    </row>
    <row r="3094" spans="88:156">
      <c r="CJ3094" s="197"/>
      <c r="CK3094" s="197"/>
      <c r="CL3094" s="197"/>
      <c r="CM3094" s="213"/>
      <c r="CN3094" s="213"/>
      <c r="CO3094" s="197"/>
      <c r="CP3094" s="197"/>
      <c r="CQ3094" s="197"/>
      <c r="CR3094" s="197"/>
      <c r="CS3094" s="197"/>
      <c r="CT3094" s="197"/>
      <c r="CU3094" s="197"/>
      <c r="CV3094" s="197"/>
      <c r="CW3094" s="197"/>
      <c r="CX3094" s="959"/>
      <c r="CY3094" s="959"/>
      <c r="CZ3094" s="959"/>
      <c r="DA3094" s="959"/>
      <c r="DB3094" s="959"/>
      <c r="DC3094" s="891">
        <v>9681</v>
      </c>
      <c r="DD3094" s="891" t="s">
        <v>4140</v>
      </c>
      <c r="DE3094" s="891" t="s">
        <v>402</v>
      </c>
      <c r="DF3094" s="891">
        <v>6</v>
      </c>
      <c r="DG3094" s="959"/>
      <c r="DH3094" s="959"/>
      <c r="ER3094" s="905">
        <v>9142</v>
      </c>
      <c r="ES3094" s="906" t="s">
        <v>2893</v>
      </c>
      <c r="ET3094" s="2686">
        <v>6</v>
      </c>
      <c r="EV3094" s="985"/>
      <c r="EW3094" s="985"/>
      <c r="EX3094" s="387"/>
      <c r="EY3094" s="939"/>
      <c r="EZ3094" s="886"/>
    </row>
    <row r="3095" spans="88:156">
      <c r="CJ3095" s="197"/>
      <c r="CK3095" s="197"/>
      <c r="CL3095" s="197"/>
      <c r="CM3095" s="213"/>
      <c r="CN3095" s="213"/>
      <c r="CO3095" s="197"/>
      <c r="CP3095" s="197"/>
      <c r="CQ3095" s="197"/>
      <c r="CR3095" s="197"/>
      <c r="CS3095" s="197"/>
      <c r="CT3095" s="197"/>
      <c r="CU3095" s="197"/>
      <c r="CV3095" s="197"/>
      <c r="CW3095" s="197"/>
      <c r="CX3095" s="959"/>
      <c r="CY3095" s="959"/>
      <c r="CZ3095" s="959"/>
      <c r="DA3095" s="959"/>
      <c r="DB3095" s="959"/>
      <c r="DC3095" s="891">
        <v>9682</v>
      </c>
      <c r="DD3095" s="891" t="s">
        <v>4141</v>
      </c>
      <c r="DE3095" s="891" t="s">
        <v>402</v>
      </c>
      <c r="DF3095" s="891">
        <v>6</v>
      </c>
      <c r="DG3095" s="959"/>
      <c r="DH3095" s="959"/>
      <c r="ER3095" s="905">
        <v>9143</v>
      </c>
      <c r="ES3095" s="906" t="s">
        <v>2894</v>
      </c>
      <c r="ET3095" s="2686">
        <v>9</v>
      </c>
      <c r="EV3095" s="985"/>
      <c r="EW3095" s="985"/>
      <c r="EX3095" s="387"/>
      <c r="EY3095" s="939"/>
      <c r="EZ3095" s="886"/>
    </row>
    <row r="3096" spans="88:156">
      <c r="CJ3096" s="197"/>
      <c r="CK3096" s="197"/>
      <c r="CL3096" s="197"/>
      <c r="CM3096" s="213"/>
      <c r="CN3096" s="213"/>
      <c r="CO3096" s="197"/>
      <c r="CP3096" s="197"/>
      <c r="CQ3096" s="197"/>
      <c r="CR3096" s="197"/>
      <c r="CS3096" s="197"/>
      <c r="CT3096" s="197"/>
      <c r="CU3096" s="197"/>
      <c r="CV3096" s="197"/>
      <c r="CW3096" s="197"/>
      <c r="CX3096" s="959"/>
      <c r="CY3096" s="959"/>
      <c r="CZ3096" s="959"/>
      <c r="DA3096" s="959"/>
      <c r="DB3096" s="959"/>
      <c r="DC3096" s="891">
        <v>9683</v>
      </c>
      <c r="DD3096" s="891" t="s">
        <v>4142</v>
      </c>
      <c r="DE3096" s="891" t="s">
        <v>402</v>
      </c>
      <c r="DF3096" s="891">
        <v>6</v>
      </c>
      <c r="DG3096" s="959"/>
      <c r="DH3096" s="959"/>
      <c r="ER3096" s="905">
        <v>9144</v>
      </c>
      <c r="ES3096" s="906" t="s">
        <v>2895</v>
      </c>
      <c r="ET3096" s="2686">
        <v>9</v>
      </c>
      <c r="EV3096" s="985"/>
      <c r="EW3096" s="985"/>
      <c r="EX3096" s="387"/>
      <c r="EY3096" s="939"/>
      <c r="EZ3096" s="886"/>
    </row>
    <row r="3097" spans="88:156">
      <c r="CJ3097" s="197"/>
      <c r="CK3097" s="197"/>
      <c r="CL3097" s="197"/>
      <c r="CM3097" s="213"/>
      <c r="CN3097" s="213"/>
      <c r="CO3097" s="197"/>
      <c r="CP3097" s="197"/>
      <c r="CQ3097" s="197"/>
      <c r="CR3097" s="197"/>
      <c r="CS3097" s="197"/>
      <c r="CT3097" s="197"/>
      <c r="CU3097" s="197"/>
      <c r="CV3097" s="197"/>
      <c r="CW3097" s="197"/>
      <c r="CX3097" s="959"/>
      <c r="CY3097" s="959"/>
      <c r="CZ3097" s="959"/>
      <c r="DA3097" s="959"/>
      <c r="DB3097" s="959"/>
      <c r="DC3097" s="891">
        <v>9684</v>
      </c>
      <c r="DD3097" s="891" t="s">
        <v>4143</v>
      </c>
      <c r="DE3097" s="891" t="s">
        <v>402</v>
      </c>
      <c r="DF3097" s="891">
        <v>6</v>
      </c>
      <c r="DG3097" s="959"/>
      <c r="DH3097" s="959"/>
      <c r="ER3097" s="905">
        <v>9145</v>
      </c>
      <c r="ES3097" s="906" t="s">
        <v>2896</v>
      </c>
      <c r="ET3097" s="2686">
        <v>9</v>
      </c>
      <c r="EV3097" s="985"/>
      <c r="EW3097" s="985"/>
      <c r="EX3097" s="387"/>
      <c r="EY3097" s="939"/>
      <c r="EZ3097" s="886"/>
    </row>
    <row r="3098" spans="88:156">
      <c r="CJ3098" s="197"/>
      <c r="CK3098" s="197"/>
      <c r="CL3098" s="197"/>
      <c r="CM3098" s="213"/>
      <c r="CN3098" s="213"/>
      <c r="CO3098" s="197"/>
      <c r="CP3098" s="197"/>
      <c r="CQ3098" s="197"/>
      <c r="CR3098" s="197"/>
      <c r="CS3098" s="197"/>
      <c r="CT3098" s="197"/>
      <c r="CU3098" s="197"/>
      <c r="CV3098" s="197"/>
      <c r="CW3098" s="197"/>
      <c r="CX3098" s="959"/>
      <c r="CY3098" s="959"/>
      <c r="CZ3098" s="959"/>
      <c r="DA3098" s="959"/>
      <c r="DB3098" s="959"/>
      <c r="DC3098" s="891">
        <v>9685</v>
      </c>
      <c r="DD3098" s="891" t="s">
        <v>4144</v>
      </c>
      <c r="DE3098" s="891" t="s">
        <v>421</v>
      </c>
      <c r="DF3098" s="891">
        <v>6</v>
      </c>
      <c r="DG3098" s="959"/>
      <c r="DH3098" s="959"/>
      <c r="ER3098" s="905">
        <v>9146</v>
      </c>
      <c r="ES3098" s="906" t="s">
        <v>2897</v>
      </c>
      <c r="ET3098" s="2686">
        <v>9</v>
      </c>
      <c r="EV3098" s="985"/>
      <c r="EW3098" s="985"/>
      <c r="EX3098" s="387"/>
      <c r="EY3098" s="939"/>
      <c r="EZ3098" s="886"/>
    </row>
    <row r="3099" spans="88:156">
      <c r="CJ3099" s="197"/>
      <c r="CK3099" s="197"/>
      <c r="CL3099" s="197"/>
      <c r="CM3099" s="213"/>
      <c r="CN3099" s="213"/>
      <c r="CO3099" s="197"/>
      <c r="CP3099" s="197"/>
      <c r="CQ3099" s="197"/>
      <c r="CR3099" s="197"/>
      <c r="CS3099" s="197"/>
      <c r="CT3099" s="197"/>
      <c r="CU3099" s="197"/>
      <c r="CV3099" s="197"/>
      <c r="CW3099" s="197"/>
      <c r="CX3099" s="959"/>
      <c r="CY3099" s="959"/>
      <c r="CZ3099" s="959"/>
      <c r="DA3099" s="959"/>
      <c r="DB3099" s="959"/>
      <c r="DC3099" s="891">
        <v>9700</v>
      </c>
      <c r="DD3099" s="891" t="s">
        <v>4145</v>
      </c>
      <c r="DE3099" s="891" t="s">
        <v>432</v>
      </c>
      <c r="DF3099" s="891">
        <v>6</v>
      </c>
      <c r="DG3099" s="959"/>
      <c r="DH3099" s="959"/>
      <c r="ER3099" s="905">
        <v>9147</v>
      </c>
      <c r="ES3099" s="906" t="s">
        <v>2898</v>
      </c>
      <c r="ET3099" s="2686">
        <v>9</v>
      </c>
      <c r="EV3099" s="985"/>
      <c r="EW3099" s="985"/>
      <c r="EX3099" s="387"/>
      <c r="EY3099" s="939"/>
      <c r="EZ3099" s="886"/>
    </row>
    <row r="3100" spans="88:156">
      <c r="CJ3100" s="197"/>
      <c r="CK3100" s="197"/>
      <c r="CL3100" s="197"/>
      <c r="CM3100" s="213"/>
      <c r="CN3100" s="213"/>
      <c r="CO3100" s="197"/>
      <c r="CP3100" s="197"/>
      <c r="CQ3100" s="197"/>
      <c r="CR3100" s="197"/>
      <c r="CS3100" s="197"/>
      <c r="CT3100" s="197"/>
      <c r="CU3100" s="197"/>
      <c r="CV3100" s="197"/>
      <c r="CW3100" s="197"/>
      <c r="CX3100" s="959"/>
      <c r="CY3100" s="959"/>
      <c r="CZ3100" s="959"/>
      <c r="DA3100" s="959"/>
      <c r="DB3100" s="959"/>
      <c r="DC3100" s="891">
        <v>9707</v>
      </c>
      <c r="DD3100" s="891" t="s">
        <v>4146</v>
      </c>
      <c r="DE3100" s="891" t="s">
        <v>420</v>
      </c>
      <c r="DF3100" s="891">
        <v>5</v>
      </c>
      <c r="DG3100" s="959"/>
      <c r="DH3100" s="959"/>
      <c r="ER3100" s="905">
        <v>9151</v>
      </c>
      <c r="ES3100" s="906" t="s">
        <v>2899</v>
      </c>
      <c r="ET3100" s="2686">
        <v>6</v>
      </c>
      <c r="EV3100" s="985"/>
      <c r="EW3100" s="985"/>
      <c r="EX3100" s="387"/>
      <c r="EY3100" s="939"/>
      <c r="EZ3100" s="886"/>
    </row>
    <row r="3101" spans="88:156">
      <c r="CJ3101" s="197"/>
      <c r="CK3101" s="197"/>
      <c r="CL3101" s="197"/>
      <c r="CM3101" s="213"/>
      <c r="CN3101" s="213"/>
      <c r="CO3101" s="197"/>
      <c r="CP3101" s="197"/>
      <c r="CQ3101" s="197"/>
      <c r="CR3101" s="197"/>
      <c r="CS3101" s="197"/>
      <c r="CT3101" s="197"/>
      <c r="CU3101" s="197"/>
      <c r="CV3101" s="197"/>
      <c r="CW3101" s="197"/>
      <c r="CX3101" s="959"/>
      <c r="CY3101" s="959"/>
      <c r="CZ3101" s="959"/>
      <c r="DA3101" s="959"/>
      <c r="DB3101" s="959"/>
      <c r="DC3101" s="891">
        <v>9719</v>
      </c>
      <c r="DD3101" s="891" t="s">
        <v>4147</v>
      </c>
      <c r="DE3101" s="891" t="s">
        <v>433</v>
      </c>
      <c r="DF3101" s="891">
        <v>5</v>
      </c>
      <c r="DG3101" s="959"/>
      <c r="DH3101" s="959"/>
      <c r="ER3101" s="905">
        <v>9152</v>
      </c>
      <c r="ES3101" s="906" t="s">
        <v>2900</v>
      </c>
      <c r="ET3101" s="2686">
        <v>6</v>
      </c>
      <c r="EV3101" s="985"/>
      <c r="EW3101" s="985"/>
      <c r="EX3101" s="387"/>
      <c r="EY3101" s="939"/>
      <c r="EZ3101" s="886"/>
    </row>
    <row r="3102" spans="88:156">
      <c r="CJ3102" s="197"/>
      <c r="CK3102" s="197"/>
      <c r="CL3102" s="197"/>
      <c r="CM3102" s="213"/>
      <c r="CN3102" s="213"/>
      <c r="CO3102" s="197"/>
      <c r="CP3102" s="197"/>
      <c r="CQ3102" s="197"/>
      <c r="CR3102" s="197"/>
      <c r="CS3102" s="197"/>
      <c r="CT3102" s="197"/>
      <c r="CU3102" s="197"/>
      <c r="CV3102" s="197"/>
      <c r="CW3102" s="197"/>
      <c r="CX3102" s="959"/>
      <c r="CY3102" s="959"/>
      <c r="CZ3102" s="959"/>
      <c r="DA3102" s="959"/>
      <c r="DB3102" s="959"/>
      <c r="DC3102" s="891">
        <v>9721</v>
      </c>
      <c r="DD3102" s="891" t="s">
        <v>4148</v>
      </c>
      <c r="DE3102" s="891" t="s">
        <v>433</v>
      </c>
      <c r="DF3102" s="891">
        <v>6</v>
      </c>
      <c r="DG3102" s="959"/>
      <c r="DH3102" s="959"/>
      <c r="ER3102" s="905">
        <v>9153</v>
      </c>
      <c r="ES3102" s="906" t="s">
        <v>2901</v>
      </c>
      <c r="ET3102" s="2686">
        <v>6</v>
      </c>
      <c r="EV3102" s="985"/>
      <c r="EW3102" s="985"/>
      <c r="EX3102" s="387"/>
      <c r="EY3102" s="939"/>
      <c r="EZ3102" s="886"/>
    </row>
    <row r="3103" spans="88:156">
      <c r="CJ3103" s="197"/>
      <c r="CK3103" s="197"/>
      <c r="CL3103" s="197"/>
      <c r="CM3103" s="213"/>
      <c r="CN3103" s="213"/>
      <c r="CO3103" s="197"/>
      <c r="CP3103" s="197"/>
      <c r="CQ3103" s="197"/>
      <c r="CR3103" s="197"/>
      <c r="CS3103" s="197"/>
      <c r="CT3103" s="197"/>
      <c r="CU3103" s="197"/>
      <c r="CV3103" s="197"/>
      <c r="CW3103" s="197"/>
      <c r="CX3103" s="959"/>
      <c r="CY3103" s="959"/>
      <c r="CZ3103" s="959"/>
      <c r="DA3103" s="959"/>
      <c r="DB3103" s="959"/>
      <c r="DC3103" s="891">
        <v>9722</v>
      </c>
      <c r="DD3103" s="891" t="s">
        <v>4149</v>
      </c>
      <c r="DE3103" s="891" t="s">
        <v>433</v>
      </c>
      <c r="DF3103" s="891">
        <v>6</v>
      </c>
      <c r="DG3103" s="959"/>
      <c r="DH3103" s="959"/>
      <c r="ER3103" s="905">
        <v>9154</v>
      </c>
      <c r="ES3103" s="906" t="s">
        <v>919</v>
      </c>
      <c r="ET3103" s="2686">
        <v>6</v>
      </c>
      <c r="EV3103" s="985"/>
      <c r="EW3103" s="985"/>
      <c r="EX3103" s="387"/>
      <c r="EY3103" s="939"/>
      <c r="EZ3103" s="886"/>
    </row>
    <row r="3104" spans="88:156">
      <c r="CJ3104" s="197"/>
      <c r="CK3104" s="197"/>
      <c r="CL3104" s="197"/>
      <c r="CM3104" s="213"/>
      <c r="CN3104" s="213"/>
      <c r="CO3104" s="197"/>
      <c r="CP3104" s="197"/>
      <c r="CQ3104" s="197"/>
      <c r="CR3104" s="197"/>
      <c r="CS3104" s="197"/>
      <c r="CT3104" s="197"/>
      <c r="CU3104" s="197"/>
      <c r="CV3104" s="197"/>
      <c r="CW3104" s="197"/>
      <c r="CX3104" s="959"/>
      <c r="CY3104" s="959"/>
      <c r="CZ3104" s="959"/>
      <c r="DA3104" s="959"/>
      <c r="DB3104" s="959"/>
      <c r="DC3104" s="891">
        <v>9723</v>
      </c>
      <c r="DD3104" s="891" t="s">
        <v>4150</v>
      </c>
      <c r="DE3104" s="891" t="s">
        <v>433</v>
      </c>
      <c r="DF3104" s="891">
        <v>6</v>
      </c>
      <c r="DG3104" s="959"/>
      <c r="DH3104" s="959"/>
      <c r="ER3104" s="905">
        <v>9155</v>
      </c>
      <c r="ES3104" s="906" t="s">
        <v>3141</v>
      </c>
      <c r="ET3104" s="2686">
        <v>9</v>
      </c>
      <c r="EV3104" s="985"/>
      <c r="EW3104" s="985"/>
      <c r="EX3104" s="387"/>
      <c r="EY3104" s="939"/>
      <c r="EZ3104" s="886"/>
    </row>
    <row r="3105" spans="88:156">
      <c r="CJ3105" s="197"/>
      <c r="CK3105" s="197"/>
      <c r="CL3105" s="197"/>
      <c r="CM3105" s="213"/>
      <c r="CN3105" s="213"/>
      <c r="CO3105" s="197"/>
      <c r="CP3105" s="197"/>
      <c r="CQ3105" s="197"/>
      <c r="CR3105" s="197"/>
      <c r="CS3105" s="197"/>
      <c r="CT3105" s="197"/>
      <c r="CU3105" s="197"/>
      <c r="CV3105" s="197"/>
      <c r="CW3105" s="197"/>
      <c r="CX3105" s="959"/>
      <c r="CY3105" s="959"/>
      <c r="CZ3105" s="959"/>
      <c r="DA3105" s="959"/>
      <c r="DB3105" s="959"/>
      <c r="DC3105" s="891">
        <v>9724</v>
      </c>
      <c r="DD3105" s="891" t="s">
        <v>4151</v>
      </c>
      <c r="DE3105" s="891" t="s">
        <v>402</v>
      </c>
      <c r="DF3105" s="891">
        <v>6</v>
      </c>
      <c r="DG3105" s="959"/>
      <c r="DH3105" s="959"/>
      <c r="ER3105" s="905">
        <v>9161</v>
      </c>
      <c r="ES3105" s="906" t="s">
        <v>921</v>
      </c>
      <c r="ET3105" s="2686">
        <v>9</v>
      </c>
      <c r="EV3105" s="985"/>
      <c r="EW3105" s="985"/>
      <c r="EX3105" s="387"/>
      <c r="EY3105" s="939"/>
      <c r="EZ3105" s="886"/>
    </row>
    <row r="3106" spans="88:156">
      <c r="CJ3106" s="197"/>
      <c r="CK3106" s="197"/>
      <c r="CL3106" s="197"/>
      <c r="CM3106" s="213"/>
      <c r="CN3106" s="213"/>
      <c r="CO3106" s="197"/>
      <c r="CP3106" s="197"/>
      <c r="CQ3106" s="197"/>
      <c r="CR3106" s="197"/>
      <c r="CS3106" s="197"/>
      <c r="CT3106" s="197"/>
      <c r="CU3106" s="197"/>
      <c r="CV3106" s="197"/>
      <c r="CW3106" s="197"/>
      <c r="CX3106" s="959"/>
      <c r="CY3106" s="959"/>
      <c r="CZ3106" s="959"/>
      <c r="DA3106" s="959"/>
      <c r="DB3106" s="959"/>
      <c r="DC3106" s="891">
        <v>9725</v>
      </c>
      <c r="DD3106" s="891" t="s">
        <v>4152</v>
      </c>
      <c r="DE3106" s="891" t="s">
        <v>402</v>
      </c>
      <c r="DF3106" s="891">
        <v>6</v>
      </c>
      <c r="DG3106" s="959"/>
      <c r="DH3106" s="959"/>
      <c r="ER3106" s="905">
        <v>9162</v>
      </c>
      <c r="ES3106" s="906" t="s">
        <v>922</v>
      </c>
      <c r="ET3106" s="2686">
        <v>9</v>
      </c>
      <c r="EV3106" s="985"/>
      <c r="EW3106" s="985"/>
      <c r="EX3106" s="387"/>
      <c r="EY3106" s="939"/>
      <c r="EZ3106" s="886"/>
    </row>
    <row r="3107" spans="88:156">
      <c r="CJ3107" s="197"/>
      <c r="CK3107" s="197"/>
      <c r="CL3107" s="197"/>
      <c r="CM3107" s="213"/>
      <c r="CN3107" s="213"/>
      <c r="CO3107" s="197"/>
      <c r="CP3107" s="197"/>
      <c r="CQ3107" s="197"/>
      <c r="CR3107" s="197"/>
      <c r="CS3107" s="197"/>
      <c r="CT3107" s="197"/>
      <c r="CU3107" s="197"/>
      <c r="CV3107" s="197"/>
      <c r="CW3107" s="197"/>
      <c r="CX3107" s="959"/>
      <c r="CY3107" s="959"/>
      <c r="CZ3107" s="959"/>
      <c r="DA3107" s="959"/>
      <c r="DB3107" s="959"/>
      <c r="DC3107" s="891">
        <v>9726</v>
      </c>
      <c r="DD3107" s="891" t="s">
        <v>4153</v>
      </c>
      <c r="DE3107" s="891" t="s">
        <v>402</v>
      </c>
      <c r="DF3107" s="891">
        <v>6</v>
      </c>
      <c r="DG3107" s="959"/>
      <c r="DH3107" s="959"/>
      <c r="ER3107" s="905">
        <v>9163</v>
      </c>
      <c r="ES3107" s="906" t="s">
        <v>923</v>
      </c>
      <c r="ET3107" s="2686">
        <v>9</v>
      </c>
      <c r="EV3107" s="985"/>
      <c r="EW3107" s="985"/>
      <c r="EX3107" s="387"/>
      <c r="EY3107" s="939"/>
      <c r="EZ3107" s="886"/>
    </row>
    <row r="3108" spans="88:156">
      <c r="CJ3108" s="197"/>
      <c r="CK3108" s="197"/>
      <c r="CL3108" s="197"/>
      <c r="CM3108" s="213"/>
      <c r="CN3108" s="213"/>
      <c r="CO3108" s="197"/>
      <c r="CP3108" s="197"/>
      <c r="CQ3108" s="197"/>
      <c r="CR3108" s="197"/>
      <c r="CS3108" s="197"/>
      <c r="CT3108" s="197"/>
      <c r="CU3108" s="197"/>
      <c r="CV3108" s="197"/>
      <c r="CW3108" s="197"/>
      <c r="CX3108" s="959"/>
      <c r="CY3108" s="959"/>
      <c r="CZ3108" s="959"/>
      <c r="DA3108" s="959"/>
      <c r="DB3108" s="959"/>
      <c r="DC3108" s="891">
        <v>9727</v>
      </c>
      <c r="DD3108" s="891" t="s">
        <v>4154</v>
      </c>
      <c r="DE3108" s="891" t="s">
        <v>432</v>
      </c>
      <c r="DF3108" s="891">
        <v>6</v>
      </c>
      <c r="DG3108" s="959"/>
      <c r="DH3108" s="959"/>
      <c r="ER3108" s="905">
        <v>9164</v>
      </c>
      <c r="ES3108" s="906" t="s">
        <v>924</v>
      </c>
      <c r="ET3108" s="2686">
        <v>9</v>
      </c>
      <c r="EV3108" s="985"/>
      <c r="EW3108" s="985"/>
      <c r="EX3108" s="387"/>
      <c r="EY3108" s="939"/>
      <c r="EZ3108" s="886"/>
    </row>
    <row r="3109" spans="88:156">
      <c r="CJ3109" s="197"/>
      <c r="CK3109" s="197"/>
      <c r="CL3109" s="197"/>
      <c r="CM3109" s="213"/>
      <c r="CN3109" s="213"/>
      <c r="CO3109" s="197"/>
      <c r="CP3109" s="197"/>
      <c r="CQ3109" s="197"/>
      <c r="CR3109" s="197"/>
      <c r="CS3109" s="197"/>
      <c r="CT3109" s="197"/>
      <c r="CU3109" s="197"/>
      <c r="CV3109" s="197"/>
      <c r="CW3109" s="197"/>
      <c r="CX3109" s="959"/>
      <c r="CY3109" s="959"/>
      <c r="CZ3109" s="959"/>
      <c r="DA3109" s="959"/>
      <c r="DB3109" s="959"/>
      <c r="DC3109" s="891">
        <v>9730</v>
      </c>
      <c r="DD3109" s="891" t="s">
        <v>4155</v>
      </c>
      <c r="DE3109" s="891" t="s">
        <v>406</v>
      </c>
      <c r="DF3109" s="891">
        <v>6</v>
      </c>
      <c r="DG3109" s="959"/>
      <c r="DH3109" s="959"/>
      <c r="ER3109" s="905">
        <v>9165</v>
      </c>
      <c r="ES3109" s="906" t="s">
        <v>3142</v>
      </c>
      <c r="ET3109" s="2686">
        <v>9</v>
      </c>
      <c r="EV3109" s="985"/>
      <c r="EW3109" s="985"/>
      <c r="EX3109" s="387"/>
      <c r="EY3109" s="939"/>
      <c r="EZ3109" s="886"/>
    </row>
    <row r="3110" spans="88:156">
      <c r="CJ3110" s="197"/>
      <c r="CK3110" s="197"/>
      <c r="CL3110" s="197"/>
      <c r="CM3110" s="213"/>
      <c r="CN3110" s="213"/>
      <c r="CO3110" s="197"/>
      <c r="CP3110" s="197"/>
      <c r="CQ3110" s="197"/>
      <c r="CR3110" s="197"/>
      <c r="CS3110" s="197"/>
      <c r="CT3110" s="197"/>
      <c r="CU3110" s="197"/>
      <c r="CV3110" s="197"/>
      <c r="CW3110" s="197"/>
      <c r="CX3110" s="959"/>
      <c r="CY3110" s="959"/>
      <c r="CZ3110" s="959"/>
      <c r="DA3110" s="959"/>
      <c r="DB3110" s="959"/>
      <c r="DC3110" s="891">
        <v>9731</v>
      </c>
      <c r="DD3110" s="891" t="s">
        <v>4156</v>
      </c>
      <c r="DE3110" s="891" t="s">
        <v>402</v>
      </c>
      <c r="DF3110" s="891">
        <v>6</v>
      </c>
      <c r="DG3110" s="959"/>
      <c r="DH3110" s="959"/>
      <c r="ER3110" s="905">
        <v>9165</v>
      </c>
      <c r="ES3110" s="906" t="s">
        <v>2145</v>
      </c>
      <c r="ET3110" s="2686">
        <v>9</v>
      </c>
      <c r="EV3110" s="985"/>
      <c r="EW3110" s="985"/>
      <c r="EX3110" s="387"/>
      <c r="EY3110" s="939"/>
      <c r="EZ3110" s="886"/>
    </row>
    <row r="3111" spans="88:156">
      <c r="CJ3111" s="197"/>
      <c r="CK3111" s="197"/>
      <c r="CL3111" s="197"/>
      <c r="CM3111" s="213"/>
      <c r="CN3111" s="213"/>
      <c r="CO3111" s="197"/>
      <c r="CP3111" s="197"/>
      <c r="CQ3111" s="197"/>
      <c r="CR3111" s="197"/>
      <c r="CS3111" s="197"/>
      <c r="CT3111" s="197"/>
      <c r="CU3111" s="197"/>
      <c r="CV3111" s="197"/>
      <c r="CW3111" s="197"/>
      <c r="CX3111" s="959"/>
      <c r="CY3111" s="959"/>
      <c r="CZ3111" s="959"/>
      <c r="DA3111" s="959"/>
      <c r="DB3111" s="959"/>
      <c r="DC3111" s="891">
        <v>9733</v>
      </c>
      <c r="DD3111" s="891" t="s">
        <v>4157</v>
      </c>
      <c r="DE3111" s="891" t="s">
        <v>412</v>
      </c>
      <c r="DF3111" s="891">
        <v>6</v>
      </c>
      <c r="DG3111" s="959"/>
      <c r="DH3111" s="959"/>
      <c r="ER3111" s="905">
        <v>9165</v>
      </c>
      <c r="ES3111" s="906" t="s">
        <v>3238</v>
      </c>
      <c r="ET3111" s="2686">
        <v>9</v>
      </c>
      <c r="EV3111" s="985"/>
      <c r="EW3111" s="985"/>
      <c r="EX3111" s="387"/>
      <c r="EY3111" s="939"/>
      <c r="EZ3111" s="886"/>
    </row>
    <row r="3112" spans="88:156">
      <c r="CJ3112" s="197"/>
      <c r="CK3112" s="197"/>
      <c r="CL3112" s="197"/>
      <c r="CM3112" s="213"/>
      <c r="CN3112" s="213"/>
      <c r="CO3112" s="197"/>
      <c r="CP3112" s="197"/>
      <c r="CQ3112" s="197"/>
      <c r="CR3112" s="197"/>
      <c r="CS3112" s="197"/>
      <c r="CT3112" s="197"/>
      <c r="CU3112" s="197"/>
      <c r="CV3112" s="197"/>
      <c r="CW3112" s="197"/>
      <c r="CX3112" s="959"/>
      <c r="CY3112" s="959"/>
      <c r="CZ3112" s="959"/>
      <c r="DA3112" s="959"/>
      <c r="DB3112" s="959"/>
      <c r="DC3112" s="891">
        <v>9734</v>
      </c>
      <c r="DD3112" s="891" t="s">
        <v>4158</v>
      </c>
      <c r="DE3112" s="891" t="s">
        <v>435</v>
      </c>
      <c r="DF3112" s="891">
        <v>6</v>
      </c>
      <c r="DG3112" s="959"/>
      <c r="DH3112" s="959"/>
      <c r="ER3112" s="905">
        <v>9167</v>
      </c>
      <c r="ES3112" s="906" t="s">
        <v>3239</v>
      </c>
      <c r="ET3112" s="2686">
        <v>9</v>
      </c>
      <c r="EV3112" s="985"/>
      <c r="EW3112" s="985"/>
      <c r="EX3112" s="387"/>
      <c r="EY3112" s="939"/>
      <c r="EZ3112" s="886"/>
    </row>
    <row r="3113" spans="88:156">
      <c r="CJ3113" s="197"/>
      <c r="CK3113" s="197"/>
      <c r="CL3113" s="197"/>
      <c r="CM3113" s="213"/>
      <c r="CN3113" s="213"/>
      <c r="CO3113" s="197"/>
      <c r="CP3113" s="197"/>
      <c r="CQ3113" s="197"/>
      <c r="CR3113" s="197"/>
      <c r="CS3113" s="197"/>
      <c r="CT3113" s="197"/>
      <c r="CU3113" s="197"/>
      <c r="CV3113" s="197"/>
      <c r="CW3113" s="197"/>
      <c r="CX3113" s="959"/>
      <c r="CY3113" s="959"/>
      <c r="CZ3113" s="959"/>
      <c r="DA3113" s="959"/>
      <c r="DB3113" s="959"/>
      <c r="DC3113" s="891">
        <v>9735</v>
      </c>
      <c r="DD3113" s="891" t="s">
        <v>4159</v>
      </c>
      <c r="DE3113" s="891" t="s">
        <v>434</v>
      </c>
      <c r="DF3113" s="891">
        <v>6</v>
      </c>
      <c r="DG3113" s="959"/>
      <c r="DH3113" s="959"/>
      <c r="ER3113" s="905">
        <v>9168</v>
      </c>
      <c r="ES3113" s="906" t="s">
        <v>3240</v>
      </c>
      <c r="ET3113" s="2686">
        <v>9</v>
      </c>
      <c r="EV3113" s="985"/>
      <c r="EW3113" s="985"/>
      <c r="EX3113" s="387"/>
      <c r="EY3113" s="939"/>
      <c r="EZ3113" s="886"/>
    </row>
    <row r="3114" spans="88:156">
      <c r="CJ3114" s="197"/>
      <c r="CK3114" s="197"/>
      <c r="CL3114" s="197"/>
      <c r="CM3114" s="213"/>
      <c r="CN3114" s="213"/>
      <c r="CO3114" s="197"/>
      <c r="CP3114" s="197"/>
      <c r="CQ3114" s="197"/>
      <c r="CR3114" s="197"/>
      <c r="CS3114" s="197"/>
      <c r="CT3114" s="197"/>
      <c r="CU3114" s="197"/>
      <c r="CV3114" s="197"/>
      <c r="CW3114" s="197"/>
      <c r="CX3114" s="959"/>
      <c r="CY3114" s="959"/>
      <c r="CZ3114" s="959"/>
      <c r="DA3114" s="959"/>
      <c r="DB3114" s="959"/>
      <c r="DC3114" s="891">
        <v>9736</v>
      </c>
      <c r="DD3114" s="891" t="s">
        <v>4160</v>
      </c>
      <c r="DE3114" s="891" t="s">
        <v>417</v>
      </c>
      <c r="DF3114" s="891">
        <v>6</v>
      </c>
      <c r="DG3114" s="959"/>
      <c r="DH3114" s="959"/>
      <c r="ER3114" s="905">
        <v>9169</v>
      </c>
      <c r="ES3114" s="906" t="s">
        <v>2146</v>
      </c>
      <c r="ET3114" s="2686">
        <v>9</v>
      </c>
      <c r="EV3114" s="985"/>
      <c r="EW3114" s="985"/>
      <c r="EX3114" s="387"/>
      <c r="EY3114" s="939"/>
      <c r="EZ3114" s="886"/>
    </row>
    <row r="3115" spans="88:156">
      <c r="CJ3115" s="197"/>
      <c r="CK3115" s="197"/>
      <c r="CL3115" s="197"/>
      <c r="CM3115" s="213"/>
      <c r="CN3115" s="213"/>
      <c r="CO3115" s="197"/>
      <c r="CP3115" s="197"/>
      <c r="CQ3115" s="197"/>
      <c r="CR3115" s="197"/>
      <c r="CS3115" s="197"/>
      <c r="CT3115" s="197"/>
      <c r="CU3115" s="197"/>
      <c r="CV3115" s="197"/>
      <c r="CW3115" s="197"/>
      <c r="CX3115" s="959"/>
      <c r="CY3115" s="959"/>
      <c r="CZ3115" s="959"/>
      <c r="DA3115" s="959"/>
      <c r="DB3115" s="959"/>
      <c r="DC3115" s="891">
        <v>9737</v>
      </c>
      <c r="DD3115" s="891" t="s">
        <v>4161</v>
      </c>
      <c r="DE3115" s="891" t="s">
        <v>417</v>
      </c>
      <c r="DF3115" s="891">
        <v>6</v>
      </c>
      <c r="DG3115" s="959"/>
      <c r="DH3115" s="959"/>
      <c r="ER3115" s="905">
        <v>9169</v>
      </c>
      <c r="ES3115" s="906" t="s">
        <v>3241</v>
      </c>
      <c r="ET3115" s="2686">
        <v>9</v>
      </c>
      <c r="EV3115" s="985"/>
      <c r="EW3115" s="985"/>
      <c r="EX3115" s="387"/>
      <c r="EY3115" s="939"/>
      <c r="EZ3115" s="886"/>
    </row>
    <row r="3116" spans="88:156">
      <c r="CJ3116" s="197"/>
      <c r="CK3116" s="197"/>
      <c r="CL3116" s="197"/>
      <c r="CM3116" s="213"/>
      <c r="CN3116" s="213"/>
      <c r="CO3116" s="197"/>
      <c r="CP3116" s="197"/>
      <c r="CQ3116" s="197"/>
      <c r="CR3116" s="197"/>
      <c r="CS3116" s="197"/>
      <c r="CT3116" s="197"/>
      <c r="CU3116" s="197"/>
      <c r="CV3116" s="197"/>
      <c r="CW3116" s="197"/>
      <c r="CX3116" s="959"/>
      <c r="CY3116" s="959"/>
      <c r="CZ3116" s="959"/>
      <c r="DA3116" s="959"/>
      <c r="DB3116" s="959"/>
      <c r="DC3116" s="891">
        <v>9738</v>
      </c>
      <c r="DD3116" s="891" t="s">
        <v>4162</v>
      </c>
      <c r="DE3116" s="891" t="s">
        <v>402</v>
      </c>
      <c r="DF3116" s="891">
        <v>6</v>
      </c>
      <c r="DG3116" s="959"/>
      <c r="DH3116" s="959"/>
      <c r="ER3116" s="905">
        <v>9171</v>
      </c>
      <c r="ES3116" s="906" t="s">
        <v>3242</v>
      </c>
      <c r="ET3116" s="2686">
        <v>6</v>
      </c>
      <c r="EV3116" s="985"/>
      <c r="EW3116" s="985"/>
      <c r="EX3116" s="387"/>
      <c r="EY3116" s="939"/>
      <c r="EZ3116" s="886"/>
    </row>
    <row r="3117" spans="88:156">
      <c r="CJ3117" s="197"/>
      <c r="CK3117" s="197"/>
      <c r="CL3117" s="197"/>
      <c r="CM3117" s="213"/>
      <c r="CN3117" s="213"/>
      <c r="CO3117" s="197"/>
      <c r="CP3117" s="197"/>
      <c r="CQ3117" s="197"/>
      <c r="CR3117" s="197"/>
      <c r="CS3117" s="197"/>
      <c r="CT3117" s="197"/>
      <c r="CU3117" s="197"/>
      <c r="CV3117" s="197"/>
      <c r="CW3117" s="197"/>
      <c r="CX3117" s="959"/>
      <c r="CY3117" s="959"/>
      <c r="CZ3117" s="959"/>
      <c r="DA3117" s="959"/>
      <c r="DB3117" s="959"/>
      <c r="DC3117" s="891">
        <v>9739</v>
      </c>
      <c r="DD3117" s="891" t="s">
        <v>4163</v>
      </c>
      <c r="DE3117" s="891" t="s">
        <v>435</v>
      </c>
      <c r="DF3117" s="891">
        <v>6</v>
      </c>
      <c r="DG3117" s="959"/>
      <c r="DH3117" s="959"/>
      <c r="ER3117" s="905">
        <v>9172</v>
      </c>
      <c r="ES3117" s="906" t="s">
        <v>3243</v>
      </c>
      <c r="ET3117" s="2686">
        <v>9</v>
      </c>
      <c r="EV3117" s="985"/>
      <c r="EW3117" s="985"/>
      <c r="EX3117" s="387"/>
      <c r="EY3117" s="939"/>
      <c r="EZ3117" s="886"/>
    </row>
    <row r="3118" spans="88:156">
      <c r="CJ3118" s="197"/>
      <c r="CK3118" s="197"/>
      <c r="CL3118" s="197"/>
      <c r="CM3118" s="213"/>
      <c r="CN3118" s="213"/>
      <c r="CO3118" s="197"/>
      <c r="CP3118" s="197"/>
      <c r="CQ3118" s="197"/>
      <c r="CR3118" s="197"/>
      <c r="CS3118" s="197"/>
      <c r="CT3118" s="197"/>
      <c r="CU3118" s="197"/>
      <c r="CV3118" s="197"/>
      <c r="CW3118" s="197"/>
      <c r="CX3118" s="959"/>
      <c r="CY3118" s="959"/>
      <c r="CZ3118" s="959"/>
      <c r="DA3118" s="959"/>
      <c r="DB3118" s="959"/>
      <c r="DC3118" s="891">
        <v>9740</v>
      </c>
      <c r="DD3118" s="891" t="s">
        <v>4164</v>
      </c>
      <c r="DE3118" s="891" t="s">
        <v>402</v>
      </c>
      <c r="DF3118" s="891">
        <v>6</v>
      </c>
      <c r="DG3118" s="959"/>
      <c r="DH3118" s="959"/>
      <c r="ER3118" s="905">
        <v>9173</v>
      </c>
      <c r="ES3118" s="906" t="s">
        <v>3244</v>
      </c>
      <c r="ET3118" s="2686">
        <v>9</v>
      </c>
      <c r="EV3118" s="985"/>
      <c r="EW3118" s="985"/>
      <c r="EX3118" s="387"/>
      <c r="EY3118" s="939"/>
      <c r="EZ3118" s="886"/>
    </row>
    <row r="3119" spans="88:156">
      <c r="CJ3119" s="197"/>
      <c r="CK3119" s="197"/>
      <c r="CL3119" s="197"/>
      <c r="CM3119" s="213"/>
      <c r="CN3119" s="213"/>
      <c r="CO3119" s="197"/>
      <c r="CP3119" s="197"/>
      <c r="CQ3119" s="197"/>
      <c r="CR3119" s="197"/>
      <c r="CS3119" s="197"/>
      <c r="CT3119" s="197"/>
      <c r="CU3119" s="197"/>
      <c r="CV3119" s="197"/>
      <c r="CW3119" s="197"/>
      <c r="CX3119" s="959"/>
      <c r="CY3119" s="959"/>
      <c r="CZ3119" s="959"/>
      <c r="DA3119" s="959"/>
      <c r="DB3119" s="959"/>
      <c r="DC3119" s="891">
        <v>9741</v>
      </c>
      <c r="DD3119" s="891" t="s">
        <v>4165</v>
      </c>
      <c r="DE3119" s="891" t="s">
        <v>410</v>
      </c>
      <c r="DF3119" s="891">
        <v>6</v>
      </c>
      <c r="DG3119" s="959"/>
      <c r="DH3119" s="959"/>
      <c r="ER3119" s="905">
        <v>9174</v>
      </c>
      <c r="ES3119" s="906" t="s">
        <v>3245</v>
      </c>
      <c r="ET3119" s="2686">
        <v>9</v>
      </c>
      <c r="EV3119" s="985"/>
      <c r="EW3119" s="985"/>
      <c r="EX3119" s="387"/>
      <c r="EY3119" s="939"/>
      <c r="EZ3119" s="886"/>
    </row>
    <row r="3120" spans="88:156">
      <c r="CJ3120" s="197"/>
      <c r="CK3120" s="197"/>
      <c r="CL3120" s="197"/>
      <c r="CM3120" s="213"/>
      <c r="CN3120" s="213"/>
      <c r="CO3120" s="197"/>
      <c r="CP3120" s="197"/>
      <c r="CQ3120" s="197"/>
      <c r="CR3120" s="197"/>
      <c r="CS3120" s="197"/>
      <c r="CT3120" s="197"/>
      <c r="CU3120" s="197"/>
      <c r="CV3120" s="197"/>
      <c r="CW3120" s="197"/>
      <c r="CX3120" s="959"/>
      <c r="CY3120" s="959"/>
      <c r="CZ3120" s="959"/>
      <c r="DA3120" s="959"/>
      <c r="DB3120" s="959"/>
      <c r="DC3120" s="891">
        <v>9742</v>
      </c>
      <c r="DD3120" s="891" t="s">
        <v>4170</v>
      </c>
      <c r="DE3120" s="891" t="s">
        <v>421</v>
      </c>
      <c r="DF3120" s="891">
        <v>6</v>
      </c>
      <c r="DG3120" s="959"/>
      <c r="DH3120" s="959"/>
      <c r="ER3120" s="905">
        <v>9175</v>
      </c>
      <c r="ES3120" s="906" t="s">
        <v>3246</v>
      </c>
      <c r="ET3120" s="2686">
        <v>9</v>
      </c>
      <c r="EV3120" s="985"/>
      <c r="EW3120" s="985"/>
      <c r="EX3120" s="387"/>
      <c r="EY3120" s="939"/>
      <c r="EZ3120" s="886"/>
    </row>
    <row r="3121" spans="88:156">
      <c r="CJ3121" s="197"/>
      <c r="CK3121" s="197"/>
      <c r="CL3121" s="197"/>
      <c r="CM3121" s="213"/>
      <c r="CN3121" s="213"/>
      <c r="CO3121" s="197"/>
      <c r="CP3121" s="197"/>
      <c r="CQ3121" s="197"/>
      <c r="CR3121" s="197"/>
      <c r="CS3121" s="197"/>
      <c r="CT3121" s="197"/>
      <c r="CU3121" s="197"/>
      <c r="CV3121" s="197"/>
      <c r="CW3121" s="197"/>
      <c r="CX3121" s="959"/>
      <c r="CY3121" s="959"/>
      <c r="CZ3121" s="959"/>
      <c r="DA3121" s="959"/>
      <c r="DB3121" s="959"/>
      <c r="DC3121" s="891">
        <v>9743</v>
      </c>
      <c r="DD3121" s="891" t="s">
        <v>4171</v>
      </c>
      <c r="DE3121" s="891" t="s">
        <v>421</v>
      </c>
      <c r="DF3121" s="891">
        <v>6</v>
      </c>
      <c r="DG3121" s="959"/>
      <c r="DH3121" s="959"/>
      <c r="ER3121" s="905">
        <v>9176</v>
      </c>
      <c r="ES3121" s="906" t="s">
        <v>3247</v>
      </c>
      <c r="ET3121" s="2686">
        <v>9</v>
      </c>
      <c r="EV3121" s="985"/>
      <c r="EW3121" s="985"/>
      <c r="EX3121" s="387"/>
      <c r="EY3121" s="939"/>
      <c r="EZ3121" s="886"/>
    </row>
    <row r="3122" spans="88:156">
      <c r="CJ3122" s="197"/>
      <c r="CK3122" s="197"/>
      <c r="CL3122" s="197"/>
      <c r="CM3122" s="213"/>
      <c r="CN3122" s="213"/>
      <c r="CO3122" s="197"/>
      <c r="CP3122" s="197"/>
      <c r="CQ3122" s="197"/>
      <c r="CR3122" s="197"/>
      <c r="CS3122" s="197"/>
      <c r="CT3122" s="197"/>
      <c r="CU3122" s="197"/>
      <c r="CV3122" s="197"/>
      <c r="CW3122" s="197"/>
      <c r="CX3122" s="959"/>
      <c r="CY3122" s="959"/>
      <c r="CZ3122" s="959"/>
      <c r="DA3122" s="959"/>
      <c r="DB3122" s="959"/>
      <c r="DC3122" s="891">
        <v>9744</v>
      </c>
      <c r="DD3122" s="891" t="s">
        <v>4172</v>
      </c>
      <c r="DE3122" s="891" t="s">
        <v>421</v>
      </c>
      <c r="DF3122" s="891">
        <v>6</v>
      </c>
      <c r="DG3122" s="959"/>
      <c r="DH3122" s="959"/>
      <c r="ER3122" s="905">
        <v>9177</v>
      </c>
      <c r="ES3122" s="906" t="s">
        <v>3248</v>
      </c>
      <c r="ET3122" s="2686">
        <v>9</v>
      </c>
      <c r="EV3122" s="985"/>
      <c r="EW3122" s="985"/>
      <c r="EX3122" s="387"/>
      <c r="EY3122" s="939"/>
      <c r="EZ3122" s="886"/>
    </row>
    <row r="3123" spans="88:156">
      <c r="CJ3123" s="197"/>
      <c r="CK3123" s="197"/>
      <c r="CL3123" s="197"/>
      <c r="CM3123" s="213"/>
      <c r="CN3123" s="213"/>
      <c r="CO3123" s="197"/>
      <c r="CP3123" s="197"/>
      <c r="CQ3123" s="197"/>
      <c r="CR3123" s="197"/>
      <c r="CS3123" s="197"/>
      <c r="CT3123" s="197"/>
      <c r="CU3123" s="197"/>
      <c r="CV3123" s="197"/>
      <c r="CW3123" s="197"/>
      <c r="CX3123" s="959"/>
      <c r="CY3123" s="959"/>
      <c r="CZ3123" s="959"/>
      <c r="DA3123" s="959"/>
      <c r="DB3123" s="959"/>
      <c r="DC3123" s="891">
        <v>9745</v>
      </c>
      <c r="DD3123" s="891" t="s">
        <v>4173</v>
      </c>
      <c r="DE3123" s="891" t="s">
        <v>406</v>
      </c>
      <c r="DF3123" s="891">
        <v>6</v>
      </c>
      <c r="DG3123" s="959"/>
      <c r="DH3123" s="959"/>
      <c r="ER3123" s="905">
        <v>9178</v>
      </c>
      <c r="ES3123" s="906" t="s">
        <v>3249</v>
      </c>
      <c r="ET3123" s="2686">
        <v>9</v>
      </c>
      <c r="EV3123" s="985"/>
      <c r="EW3123" s="985"/>
      <c r="EX3123" s="387"/>
      <c r="EY3123" s="939"/>
      <c r="EZ3123" s="886"/>
    </row>
    <row r="3124" spans="88:156">
      <c r="CJ3124" s="197"/>
      <c r="CK3124" s="197"/>
      <c r="CL3124" s="197"/>
      <c r="CM3124" s="213"/>
      <c r="CN3124" s="213"/>
      <c r="CO3124" s="197"/>
      <c r="CP3124" s="197"/>
      <c r="CQ3124" s="197"/>
      <c r="CR3124" s="197"/>
      <c r="CS3124" s="197"/>
      <c r="CT3124" s="197"/>
      <c r="CU3124" s="197"/>
      <c r="CV3124" s="197"/>
      <c r="CW3124" s="197"/>
      <c r="CX3124" s="959"/>
      <c r="CY3124" s="959"/>
      <c r="CZ3124" s="959"/>
      <c r="DA3124" s="959"/>
      <c r="DB3124" s="959"/>
      <c r="DC3124" s="891">
        <v>9746</v>
      </c>
      <c r="DD3124" s="891" t="s">
        <v>4174</v>
      </c>
      <c r="DE3124" s="891" t="s">
        <v>419</v>
      </c>
      <c r="DF3124" s="891">
        <v>6</v>
      </c>
      <c r="DG3124" s="959"/>
      <c r="DH3124" s="959"/>
      <c r="ER3124" s="905">
        <v>9181</v>
      </c>
      <c r="ES3124" s="906" t="s">
        <v>2147</v>
      </c>
      <c r="ET3124" s="2686">
        <v>6</v>
      </c>
      <c r="EV3124" s="985"/>
      <c r="EW3124" s="985"/>
      <c r="EX3124" s="387"/>
      <c r="EY3124" s="939"/>
      <c r="EZ3124" s="886"/>
    </row>
    <row r="3125" spans="88:156">
      <c r="CJ3125" s="197"/>
      <c r="CK3125" s="197"/>
      <c r="CL3125" s="197"/>
      <c r="CM3125" s="213"/>
      <c r="CN3125" s="213"/>
      <c r="CO3125" s="197"/>
      <c r="CP3125" s="197"/>
      <c r="CQ3125" s="197"/>
      <c r="CR3125" s="197"/>
      <c r="CS3125" s="197"/>
      <c r="CT3125" s="197"/>
      <c r="CU3125" s="197"/>
      <c r="CV3125" s="197"/>
      <c r="CW3125" s="197"/>
      <c r="CX3125" s="959"/>
      <c r="CY3125" s="959"/>
      <c r="CZ3125" s="959"/>
      <c r="DA3125" s="959"/>
      <c r="DB3125" s="959"/>
      <c r="DC3125" s="891">
        <v>9747</v>
      </c>
      <c r="DD3125" s="891" t="s">
        <v>4175</v>
      </c>
      <c r="DE3125" s="891" t="s">
        <v>412</v>
      </c>
      <c r="DF3125" s="891">
        <v>6</v>
      </c>
      <c r="DG3125" s="959"/>
      <c r="DH3125" s="959"/>
      <c r="ER3125" s="905">
        <v>9182</v>
      </c>
      <c r="ES3125" s="906" t="s">
        <v>3251</v>
      </c>
      <c r="ET3125" s="2686">
        <v>6</v>
      </c>
      <c r="EV3125" s="985"/>
      <c r="EW3125" s="985"/>
      <c r="EX3125" s="387"/>
      <c r="EY3125" s="939"/>
      <c r="EZ3125" s="886"/>
    </row>
    <row r="3126" spans="88:156">
      <c r="CJ3126" s="197"/>
      <c r="CK3126" s="197"/>
      <c r="CL3126" s="197"/>
      <c r="CM3126" s="213"/>
      <c r="CN3126" s="213"/>
      <c r="CO3126" s="197"/>
      <c r="CP3126" s="197"/>
      <c r="CQ3126" s="197"/>
      <c r="CR3126" s="197"/>
      <c r="CS3126" s="197"/>
      <c r="CT3126" s="197"/>
      <c r="CU3126" s="197"/>
      <c r="CV3126" s="197"/>
      <c r="CW3126" s="197"/>
      <c r="CX3126" s="959"/>
      <c r="CY3126" s="959"/>
      <c r="CZ3126" s="959"/>
      <c r="DA3126" s="959"/>
      <c r="DB3126" s="959"/>
      <c r="DC3126" s="891">
        <v>9748</v>
      </c>
      <c r="DD3126" s="891" t="s">
        <v>4176</v>
      </c>
      <c r="DE3126" s="891" t="s">
        <v>412</v>
      </c>
      <c r="DF3126" s="891">
        <v>6</v>
      </c>
      <c r="DG3126" s="959"/>
      <c r="DH3126" s="959"/>
      <c r="ER3126" s="905">
        <v>9183</v>
      </c>
      <c r="ES3126" s="970" t="s">
        <v>2148</v>
      </c>
      <c r="ET3126" s="2686">
        <v>6</v>
      </c>
      <c r="EV3126" s="985"/>
      <c r="EW3126" s="985"/>
      <c r="EX3126" s="387"/>
      <c r="EY3126" s="939"/>
      <c r="EZ3126" s="886"/>
    </row>
    <row r="3127" spans="88:156">
      <c r="CJ3127" s="197"/>
      <c r="CK3127" s="197"/>
      <c r="CL3127" s="197"/>
      <c r="CM3127" s="213"/>
      <c r="CN3127" s="213"/>
      <c r="CO3127" s="197"/>
      <c r="CP3127" s="197"/>
      <c r="CQ3127" s="197"/>
      <c r="CR3127" s="197"/>
      <c r="CS3127" s="197"/>
      <c r="CT3127" s="197"/>
      <c r="CU3127" s="197"/>
      <c r="CV3127" s="197"/>
      <c r="CW3127" s="197"/>
      <c r="CX3127" s="959"/>
      <c r="CY3127" s="959"/>
      <c r="CZ3127" s="959"/>
      <c r="DA3127" s="959"/>
      <c r="DB3127" s="959"/>
      <c r="DC3127" s="891">
        <v>9749</v>
      </c>
      <c r="DD3127" s="891" t="s">
        <v>4177</v>
      </c>
      <c r="DE3127" s="891" t="s">
        <v>412</v>
      </c>
      <c r="DF3127" s="891">
        <v>5</v>
      </c>
      <c r="DG3127" s="959"/>
      <c r="DH3127" s="959"/>
      <c r="ER3127" s="905">
        <v>9184</v>
      </c>
      <c r="ES3127" s="906" t="s">
        <v>3253</v>
      </c>
      <c r="ET3127" s="2686">
        <v>6</v>
      </c>
      <c r="EV3127" s="985"/>
      <c r="EW3127" s="985"/>
      <c r="EX3127" s="387"/>
      <c r="EY3127" s="939"/>
      <c r="EZ3127" s="886"/>
    </row>
    <row r="3128" spans="88:156">
      <c r="CJ3128" s="197"/>
      <c r="CK3128" s="197"/>
      <c r="CL3128" s="197"/>
      <c r="CM3128" s="213"/>
      <c r="CN3128" s="213"/>
      <c r="CO3128" s="197"/>
      <c r="CP3128" s="197"/>
      <c r="CQ3128" s="197"/>
      <c r="CR3128" s="197"/>
      <c r="CS3128" s="197"/>
      <c r="CT3128" s="197"/>
      <c r="CU3128" s="197"/>
      <c r="CV3128" s="197"/>
      <c r="CW3128" s="197"/>
      <c r="CX3128" s="959"/>
      <c r="CY3128" s="959"/>
      <c r="CZ3128" s="959"/>
      <c r="DA3128" s="959"/>
      <c r="DB3128" s="959"/>
      <c r="DC3128" s="891">
        <v>9751</v>
      </c>
      <c r="DD3128" s="891" t="s">
        <v>4178</v>
      </c>
      <c r="DE3128" s="891" t="s">
        <v>412</v>
      </c>
      <c r="DF3128" s="891">
        <v>5</v>
      </c>
      <c r="DG3128" s="959"/>
      <c r="DH3128" s="959"/>
      <c r="ER3128" s="905">
        <v>9200</v>
      </c>
      <c r="ES3128" s="906" t="s">
        <v>3254</v>
      </c>
      <c r="ET3128" s="2686">
        <v>9</v>
      </c>
      <c r="EV3128" s="985"/>
      <c r="EW3128" s="985"/>
      <c r="EX3128" s="387"/>
      <c r="EY3128" s="939"/>
      <c r="EZ3128" s="886"/>
    </row>
    <row r="3129" spans="88:156">
      <c r="CJ3129" s="197"/>
      <c r="CK3129" s="197"/>
      <c r="CL3129" s="197"/>
      <c r="CM3129" s="213"/>
      <c r="CN3129" s="213"/>
      <c r="CO3129" s="197"/>
      <c r="CP3129" s="197"/>
      <c r="CQ3129" s="197"/>
      <c r="CR3129" s="197"/>
      <c r="CS3129" s="197"/>
      <c r="CT3129" s="197"/>
      <c r="CU3129" s="197"/>
      <c r="CV3129" s="197"/>
      <c r="CW3129" s="197"/>
      <c r="CX3129" s="959"/>
      <c r="CY3129" s="959"/>
      <c r="CZ3129" s="959"/>
      <c r="DA3129" s="959"/>
      <c r="DB3129" s="959"/>
      <c r="DC3129" s="891">
        <v>9752</v>
      </c>
      <c r="DD3129" s="891" t="s">
        <v>4179</v>
      </c>
      <c r="DE3129" s="891" t="s">
        <v>412</v>
      </c>
      <c r="DF3129" s="891">
        <v>6</v>
      </c>
      <c r="DG3129" s="959"/>
      <c r="DH3129" s="959"/>
      <c r="ER3129" s="905">
        <v>9211</v>
      </c>
      <c r="ES3129" s="906" t="s">
        <v>3255</v>
      </c>
      <c r="ET3129" s="2686">
        <v>9</v>
      </c>
      <c r="EV3129" s="985"/>
      <c r="EW3129" s="985"/>
      <c r="EX3129" s="387"/>
      <c r="EY3129" s="939"/>
      <c r="EZ3129" s="886"/>
    </row>
    <row r="3130" spans="88:156">
      <c r="CJ3130" s="197"/>
      <c r="CK3130" s="197"/>
      <c r="CL3130" s="197"/>
      <c r="CM3130" s="213"/>
      <c r="CN3130" s="213"/>
      <c r="CO3130" s="197"/>
      <c r="CP3130" s="197"/>
      <c r="CQ3130" s="197"/>
      <c r="CR3130" s="197"/>
      <c r="CS3130" s="197"/>
      <c r="CT3130" s="197"/>
      <c r="CU3130" s="197"/>
      <c r="CV3130" s="197"/>
      <c r="CW3130" s="197"/>
      <c r="CX3130" s="959"/>
      <c r="CY3130" s="959"/>
      <c r="CZ3130" s="959"/>
      <c r="DA3130" s="959"/>
      <c r="DB3130" s="959"/>
      <c r="DC3130" s="891">
        <v>9754</v>
      </c>
      <c r="DD3130" s="891" t="s">
        <v>4180</v>
      </c>
      <c r="DE3130" s="891" t="s">
        <v>412</v>
      </c>
      <c r="DF3130" s="891">
        <v>6</v>
      </c>
      <c r="DG3130" s="959"/>
      <c r="DH3130" s="959"/>
      <c r="ER3130" s="905">
        <v>9221</v>
      </c>
      <c r="ES3130" s="906" t="s">
        <v>3256</v>
      </c>
      <c r="ET3130" s="2686">
        <v>6</v>
      </c>
      <c r="EV3130" s="985"/>
      <c r="EW3130" s="985"/>
      <c r="EX3130" s="387"/>
      <c r="EY3130" s="939"/>
      <c r="EZ3130" s="886"/>
    </row>
    <row r="3131" spans="88:156">
      <c r="CJ3131" s="197"/>
      <c r="CK3131" s="197"/>
      <c r="CL3131" s="197"/>
      <c r="CM3131" s="213"/>
      <c r="CN3131" s="213"/>
      <c r="CO3131" s="197"/>
      <c r="CP3131" s="197"/>
      <c r="CQ3131" s="197"/>
      <c r="CR3131" s="197"/>
      <c r="CS3131" s="197"/>
      <c r="CT3131" s="197"/>
      <c r="CU3131" s="197"/>
      <c r="CV3131" s="197"/>
      <c r="CW3131" s="197"/>
      <c r="CX3131" s="959"/>
      <c r="CY3131" s="959"/>
      <c r="CZ3131" s="959"/>
      <c r="DA3131" s="959"/>
      <c r="DB3131" s="959"/>
      <c r="DC3131" s="891">
        <v>9756</v>
      </c>
      <c r="DD3131" s="891" t="s">
        <v>4181</v>
      </c>
      <c r="DE3131" s="891" t="s">
        <v>406</v>
      </c>
      <c r="DF3131" s="891">
        <v>6</v>
      </c>
      <c r="DG3131" s="959"/>
      <c r="DH3131" s="959"/>
      <c r="ER3131" s="905">
        <v>9222</v>
      </c>
      <c r="ES3131" s="906" t="s">
        <v>3257</v>
      </c>
      <c r="ET3131" s="2686">
        <v>6</v>
      </c>
      <c r="EV3131" s="985"/>
      <c r="EW3131" s="985"/>
      <c r="EX3131" s="387"/>
      <c r="EY3131" s="939"/>
      <c r="EZ3131" s="886"/>
    </row>
    <row r="3132" spans="88:156">
      <c r="CJ3132" s="197"/>
      <c r="CK3132" s="197"/>
      <c r="CL3132" s="197"/>
      <c r="CM3132" s="213"/>
      <c r="CN3132" s="213"/>
      <c r="CO3132" s="197"/>
      <c r="CP3132" s="197"/>
      <c r="CQ3132" s="197"/>
      <c r="CR3132" s="197"/>
      <c r="CS3132" s="197"/>
      <c r="CT3132" s="197"/>
      <c r="CU3132" s="197"/>
      <c r="CV3132" s="197"/>
      <c r="CW3132" s="197"/>
      <c r="CX3132" s="959"/>
      <c r="CY3132" s="959"/>
      <c r="CZ3132" s="959"/>
      <c r="DA3132" s="959"/>
      <c r="DB3132" s="959"/>
      <c r="DC3132" s="891">
        <v>9757</v>
      </c>
      <c r="DD3132" s="891" t="s">
        <v>4182</v>
      </c>
      <c r="DE3132" s="891" t="s">
        <v>423</v>
      </c>
      <c r="DF3132" s="891">
        <v>6</v>
      </c>
      <c r="DG3132" s="959"/>
      <c r="DH3132" s="959"/>
      <c r="ER3132" s="905">
        <v>9223</v>
      </c>
      <c r="ES3132" s="906" t="s">
        <v>3258</v>
      </c>
      <c r="ET3132" s="2686">
        <v>6</v>
      </c>
      <c r="EV3132" s="985"/>
      <c r="EW3132" s="985"/>
      <c r="EX3132" s="387"/>
      <c r="EY3132" s="939"/>
      <c r="EZ3132" s="886"/>
    </row>
    <row r="3133" spans="88:156">
      <c r="CJ3133" s="197"/>
      <c r="CK3133" s="197"/>
      <c r="CL3133" s="197"/>
      <c r="CM3133" s="213"/>
      <c r="CN3133" s="213"/>
      <c r="CO3133" s="197"/>
      <c r="CP3133" s="197"/>
      <c r="CQ3133" s="197"/>
      <c r="CR3133" s="197"/>
      <c r="CS3133" s="197"/>
      <c r="CT3133" s="197"/>
      <c r="CU3133" s="197"/>
      <c r="CV3133" s="197"/>
      <c r="CW3133" s="197"/>
      <c r="CX3133" s="959"/>
      <c r="CY3133" s="959"/>
      <c r="CZ3133" s="959"/>
      <c r="DA3133" s="959"/>
      <c r="DB3133" s="959"/>
      <c r="DC3133" s="891">
        <v>9761</v>
      </c>
      <c r="DD3133" s="891" t="s">
        <v>4183</v>
      </c>
      <c r="DE3133" s="891" t="s">
        <v>421</v>
      </c>
      <c r="DF3133" s="891">
        <v>6</v>
      </c>
      <c r="DG3133" s="959"/>
      <c r="DH3133" s="959"/>
      <c r="ER3133" s="905">
        <v>9224</v>
      </c>
      <c r="ES3133" s="906" t="s">
        <v>3259</v>
      </c>
      <c r="ET3133" s="2686">
        <v>6</v>
      </c>
      <c r="EV3133" s="985"/>
      <c r="EW3133" s="985"/>
      <c r="EX3133" s="387"/>
      <c r="EY3133" s="939"/>
      <c r="EZ3133" s="886"/>
    </row>
    <row r="3134" spans="88:156">
      <c r="CJ3134" s="197"/>
      <c r="CK3134" s="197"/>
      <c r="CL3134" s="197"/>
      <c r="CM3134" s="213"/>
      <c r="CN3134" s="213"/>
      <c r="CO3134" s="197"/>
      <c r="CP3134" s="197"/>
      <c r="CQ3134" s="197"/>
      <c r="CR3134" s="197"/>
      <c r="CS3134" s="197"/>
      <c r="CT3134" s="197"/>
      <c r="CU3134" s="197"/>
      <c r="CV3134" s="197"/>
      <c r="CW3134" s="197"/>
      <c r="CX3134" s="959"/>
      <c r="CY3134" s="959"/>
      <c r="CZ3134" s="959"/>
      <c r="DA3134" s="959"/>
      <c r="DB3134" s="959"/>
      <c r="DC3134" s="891">
        <v>9762</v>
      </c>
      <c r="DD3134" s="891" t="s">
        <v>4184</v>
      </c>
      <c r="DE3134" s="891" t="s">
        <v>423</v>
      </c>
      <c r="DF3134" s="891">
        <v>5</v>
      </c>
      <c r="DG3134" s="959"/>
      <c r="DH3134" s="959"/>
      <c r="ER3134" s="905">
        <v>9225</v>
      </c>
      <c r="ES3134" s="906" t="s">
        <v>3260</v>
      </c>
      <c r="ET3134" s="2686">
        <v>9</v>
      </c>
      <c r="EV3134" s="985"/>
      <c r="EW3134" s="985"/>
      <c r="EX3134" s="387"/>
      <c r="EY3134" s="939"/>
      <c r="EZ3134" s="886"/>
    </row>
    <row r="3135" spans="88:156">
      <c r="CJ3135" s="197"/>
      <c r="CK3135" s="197"/>
      <c r="CL3135" s="197"/>
      <c r="CM3135" s="213"/>
      <c r="CN3135" s="213"/>
      <c r="CO3135" s="197"/>
      <c r="CP3135" s="197"/>
      <c r="CQ3135" s="197"/>
      <c r="CR3135" s="197"/>
      <c r="CS3135" s="197"/>
      <c r="CT3135" s="197"/>
      <c r="CU3135" s="197"/>
      <c r="CV3135" s="197"/>
      <c r="CW3135" s="197"/>
      <c r="CX3135" s="959"/>
      <c r="CY3135" s="959"/>
      <c r="CZ3135" s="959"/>
      <c r="DA3135" s="959"/>
      <c r="DB3135" s="959"/>
      <c r="DC3135" s="891">
        <v>9763</v>
      </c>
      <c r="DD3135" s="891" t="s">
        <v>4185</v>
      </c>
      <c r="DE3135" s="891" t="s">
        <v>412</v>
      </c>
      <c r="DF3135" s="891">
        <v>6</v>
      </c>
      <c r="DG3135" s="959"/>
      <c r="DH3135" s="959"/>
      <c r="ER3135" s="905">
        <v>9226</v>
      </c>
      <c r="ES3135" s="906" t="s">
        <v>3261</v>
      </c>
      <c r="ET3135" s="2686">
        <v>9</v>
      </c>
      <c r="EV3135" s="985"/>
      <c r="EW3135" s="985"/>
      <c r="EX3135" s="387"/>
      <c r="EY3135" s="939"/>
      <c r="EZ3135" s="886"/>
    </row>
    <row r="3136" spans="88:156">
      <c r="CJ3136" s="197"/>
      <c r="CK3136" s="197"/>
      <c r="CL3136" s="197"/>
      <c r="CM3136" s="213"/>
      <c r="CN3136" s="213"/>
      <c r="CO3136" s="197"/>
      <c r="CP3136" s="197"/>
      <c r="CQ3136" s="197"/>
      <c r="CR3136" s="197"/>
      <c r="CS3136" s="197"/>
      <c r="CT3136" s="197"/>
      <c r="CU3136" s="197"/>
      <c r="CV3136" s="197"/>
      <c r="CW3136" s="197"/>
      <c r="CX3136" s="959"/>
      <c r="CY3136" s="959"/>
      <c r="CZ3136" s="959"/>
      <c r="DA3136" s="959"/>
      <c r="DB3136" s="959"/>
      <c r="DC3136" s="891">
        <v>9764</v>
      </c>
      <c r="DD3136" s="891" t="s">
        <v>4186</v>
      </c>
      <c r="DE3136" s="891" t="s">
        <v>406</v>
      </c>
      <c r="DF3136" s="891">
        <v>6</v>
      </c>
      <c r="DG3136" s="959"/>
      <c r="DH3136" s="959"/>
      <c r="ER3136" s="905">
        <v>9228</v>
      </c>
      <c r="ES3136" s="906" t="s">
        <v>3262</v>
      </c>
      <c r="ET3136" s="2686">
        <v>9</v>
      </c>
      <c r="EV3136" s="985"/>
      <c r="EW3136" s="985"/>
      <c r="EX3136" s="387"/>
      <c r="EY3136" s="939"/>
      <c r="EZ3136" s="886"/>
    </row>
    <row r="3137" spans="88:156">
      <c r="CJ3137" s="197"/>
      <c r="CK3137" s="197"/>
      <c r="CL3137" s="197"/>
      <c r="CM3137" s="213"/>
      <c r="CN3137" s="213"/>
      <c r="CO3137" s="197"/>
      <c r="CP3137" s="197"/>
      <c r="CQ3137" s="197"/>
      <c r="CR3137" s="197"/>
      <c r="CS3137" s="197"/>
      <c r="CT3137" s="197"/>
      <c r="CU3137" s="197"/>
      <c r="CV3137" s="197"/>
      <c r="CW3137" s="197"/>
      <c r="CX3137" s="959"/>
      <c r="CY3137" s="959"/>
      <c r="CZ3137" s="959"/>
      <c r="DA3137" s="959"/>
      <c r="DB3137" s="959"/>
      <c r="DC3137" s="891">
        <v>9765</v>
      </c>
      <c r="DD3137" s="891" t="s">
        <v>4187</v>
      </c>
      <c r="DE3137" s="891" t="s">
        <v>410</v>
      </c>
      <c r="DF3137" s="891">
        <v>6</v>
      </c>
      <c r="DG3137" s="959"/>
      <c r="DH3137" s="959"/>
      <c r="ER3137" s="905">
        <v>9231</v>
      </c>
      <c r="ES3137" s="906" t="s">
        <v>3263</v>
      </c>
      <c r="ET3137" s="2686">
        <v>6</v>
      </c>
      <c r="EV3137" s="985"/>
      <c r="EW3137" s="985"/>
      <c r="EX3137" s="387"/>
      <c r="EY3137" s="939"/>
      <c r="EZ3137" s="886"/>
    </row>
    <row r="3138" spans="88:156">
      <c r="CJ3138" s="197"/>
      <c r="CK3138" s="197"/>
      <c r="CL3138" s="197"/>
      <c r="CM3138" s="213"/>
      <c r="CN3138" s="213"/>
      <c r="CO3138" s="197"/>
      <c r="CP3138" s="197"/>
      <c r="CQ3138" s="197"/>
      <c r="CR3138" s="197"/>
      <c r="CS3138" s="197"/>
      <c r="CT3138" s="197"/>
      <c r="CU3138" s="197"/>
      <c r="CV3138" s="197"/>
      <c r="CW3138" s="197"/>
      <c r="CX3138" s="959"/>
      <c r="CY3138" s="959"/>
      <c r="CZ3138" s="959"/>
      <c r="DA3138" s="959"/>
      <c r="DB3138" s="959"/>
      <c r="DC3138" s="891">
        <v>9766</v>
      </c>
      <c r="DD3138" s="891" t="s">
        <v>4188</v>
      </c>
      <c r="DE3138" s="891" t="s">
        <v>412</v>
      </c>
      <c r="DF3138" s="891">
        <v>6</v>
      </c>
      <c r="DG3138" s="959"/>
      <c r="DH3138" s="959"/>
      <c r="ER3138" s="905">
        <v>9232</v>
      </c>
      <c r="ES3138" s="906" t="s">
        <v>3264</v>
      </c>
      <c r="ET3138" s="2686">
        <v>9</v>
      </c>
      <c r="EV3138" s="985"/>
      <c r="EW3138" s="985"/>
      <c r="EX3138" s="387"/>
      <c r="EY3138" s="939"/>
      <c r="EZ3138" s="886"/>
    </row>
    <row r="3139" spans="88:156">
      <c r="CJ3139" s="197"/>
      <c r="CK3139" s="197"/>
      <c r="CL3139" s="197"/>
      <c r="CM3139" s="213"/>
      <c r="CN3139" s="213"/>
      <c r="CO3139" s="197"/>
      <c r="CP3139" s="197"/>
      <c r="CQ3139" s="197"/>
      <c r="CR3139" s="197"/>
      <c r="CS3139" s="197"/>
      <c r="CT3139" s="197"/>
      <c r="CU3139" s="197"/>
      <c r="CV3139" s="197"/>
      <c r="CW3139" s="197"/>
      <c r="CX3139" s="959"/>
      <c r="CY3139" s="959"/>
      <c r="CZ3139" s="959"/>
      <c r="DA3139" s="959"/>
      <c r="DB3139" s="959"/>
      <c r="DC3139" s="891">
        <v>9771</v>
      </c>
      <c r="DD3139" s="891" t="s">
        <v>4189</v>
      </c>
      <c r="DE3139" s="891" t="s">
        <v>432</v>
      </c>
      <c r="DF3139" s="891">
        <v>5</v>
      </c>
      <c r="DG3139" s="959"/>
      <c r="DH3139" s="959"/>
      <c r="ER3139" s="905">
        <v>9233</v>
      </c>
      <c r="ES3139" s="906" t="s">
        <v>3265</v>
      </c>
      <c r="ET3139" s="2686">
        <v>9</v>
      </c>
      <c r="EV3139" s="985"/>
      <c r="EW3139" s="985"/>
      <c r="EX3139" s="387"/>
      <c r="EY3139" s="939"/>
      <c r="EZ3139" s="886"/>
    </row>
    <row r="3140" spans="88:156">
      <c r="CJ3140" s="197"/>
      <c r="CK3140" s="197"/>
      <c r="CL3140" s="197"/>
      <c r="CM3140" s="213"/>
      <c r="CN3140" s="213"/>
      <c r="CO3140" s="197"/>
      <c r="CP3140" s="197"/>
      <c r="CQ3140" s="197"/>
      <c r="CR3140" s="197"/>
      <c r="CS3140" s="197"/>
      <c r="CT3140" s="197"/>
      <c r="CU3140" s="197"/>
      <c r="CV3140" s="197"/>
      <c r="CW3140" s="197"/>
      <c r="CX3140" s="959"/>
      <c r="CY3140" s="959"/>
      <c r="CZ3140" s="959"/>
      <c r="DA3140" s="959"/>
      <c r="DB3140" s="959"/>
      <c r="DC3140" s="891">
        <v>9772</v>
      </c>
      <c r="DD3140" s="891" t="s">
        <v>4190</v>
      </c>
      <c r="DE3140" s="891" t="s">
        <v>432</v>
      </c>
      <c r="DF3140" s="891">
        <v>6</v>
      </c>
      <c r="DG3140" s="959"/>
      <c r="DH3140" s="959"/>
      <c r="ER3140" s="905">
        <v>9234</v>
      </c>
      <c r="ES3140" s="906" t="s">
        <v>3266</v>
      </c>
      <c r="ET3140" s="2686">
        <v>9</v>
      </c>
      <c r="EV3140" s="985"/>
      <c r="EW3140" s="985"/>
      <c r="EX3140" s="387"/>
      <c r="EY3140" s="939"/>
      <c r="EZ3140" s="886"/>
    </row>
    <row r="3141" spans="88:156">
      <c r="CJ3141" s="197"/>
      <c r="CK3141" s="197"/>
      <c r="CL3141" s="197"/>
      <c r="CM3141" s="213"/>
      <c r="CN3141" s="213"/>
      <c r="CO3141" s="197"/>
      <c r="CP3141" s="197"/>
      <c r="CQ3141" s="197"/>
      <c r="CR3141" s="197"/>
      <c r="CS3141" s="197"/>
      <c r="CT3141" s="197"/>
      <c r="CU3141" s="197"/>
      <c r="CV3141" s="197"/>
      <c r="CW3141" s="197"/>
      <c r="CX3141" s="959"/>
      <c r="CY3141" s="959"/>
      <c r="CZ3141" s="959"/>
      <c r="DA3141" s="959"/>
      <c r="DB3141" s="959"/>
      <c r="DC3141" s="891">
        <v>9773</v>
      </c>
      <c r="DD3141" s="891" t="s">
        <v>3203</v>
      </c>
      <c r="DE3141" s="891" t="s">
        <v>428</v>
      </c>
      <c r="DF3141" s="891">
        <v>6</v>
      </c>
      <c r="DG3141" s="959"/>
      <c r="DH3141" s="959"/>
      <c r="ER3141" s="905">
        <v>9235</v>
      </c>
      <c r="ES3141" s="906" t="s">
        <v>6</v>
      </c>
      <c r="ET3141" s="2686">
        <v>9</v>
      </c>
      <c r="EV3141" s="985"/>
      <c r="EW3141" s="985"/>
      <c r="EX3141" s="387"/>
      <c r="EY3141" s="939"/>
      <c r="EZ3141" s="886"/>
    </row>
    <row r="3142" spans="88:156">
      <c r="CJ3142" s="197"/>
      <c r="CK3142" s="197"/>
      <c r="CL3142" s="197"/>
      <c r="CM3142" s="213"/>
      <c r="CN3142" s="213"/>
      <c r="CO3142" s="197"/>
      <c r="CP3142" s="197"/>
      <c r="CQ3142" s="197"/>
      <c r="CR3142" s="197"/>
      <c r="CS3142" s="197"/>
      <c r="CT3142" s="197"/>
      <c r="CU3142" s="197"/>
      <c r="CV3142" s="197"/>
      <c r="CW3142" s="197"/>
      <c r="CX3142" s="959"/>
      <c r="CY3142" s="959"/>
      <c r="CZ3142" s="959"/>
      <c r="DA3142" s="959"/>
      <c r="DB3142" s="959"/>
      <c r="DC3142" s="891">
        <v>9774</v>
      </c>
      <c r="DD3142" s="891" t="s">
        <v>2478</v>
      </c>
      <c r="DE3142" s="891" t="s">
        <v>402</v>
      </c>
      <c r="DF3142" s="891">
        <v>6</v>
      </c>
      <c r="DG3142" s="959"/>
      <c r="DH3142" s="959"/>
      <c r="ER3142" s="905">
        <v>9235</v>
      </c>
      <c r="ES3142" s="906" t="s">
        <v>3267</v>
      </c>
      <c r="ET3142" s="2686">
        <v>9</v>
      </c>
      <c r="EV3142" s="985"/>
      <c r="EW3142" s="985"/>
      <c r="EX3142" s="387"/>
      <c r="EY3142" s="939"/>
      <c r="EZ3142" s="886"/>
    </row>
    <row r="3143" spans="88:156">
      <c r="CJ3143" s="197"/>
      <c r="CK3143" s="197"/>
      <c r="CL3143" s="197"/>
      <c r="CM3143" s="213"/>
      <c r="CN3143" s="213"/>
      <c r="CO3143" s="197"/>
      <c r="CP3143" s="197"/>
      <c r="CQ3143" s="197"/>
      <c r="CR3143" s="197"/>
      <c r="CS3143" s="197"/>
      <c r="CT3143" s="197"/>
      <c r="CU3143" s="197"/>
      <c r="CV3143" s="197"/>
      <c r="CW3143" s="197"/>
      <c r="CX3143" s="959"/>
      <c r="CY3143" s="959"/>
      <c r="CZ3143" s="959"/>
      <c r="DA3143" s="959"/>
      <c r="DB3143" s="959"/>
      <c r="DC3143" s="891">
        <v>9775</v>
      </c>
      <c r="DD3143" s="891" t="s">
        <v>2479</v>
      </c>
      <c r="DE3143" s="891" t="s">
        <v>412</v>
      </c>
      <c r="DF3143" s="891">
        <v>6</v>
      </c>
      <c r="DG3143" s="959"/>
      <c r="DH3143" s="959"/>
      <c r="ER3143" s="905">
        <v>9241</v>
      </c>
      <c r="ES3143" s="906" t="s">
        <v>7</v>
      </c>
      <c r="ET3143" s="2686">
        <v>9</v>
      </c>
      <c r="EV3143" s="985"/>
      <c r="EW3143" s="985"/>
      <c r="EX3143" s="387"/>
      <c r="EY3143" s="939"/>
      <c r="EZ3143" s="886"/>
    </row>
    <row r="3144" spans="88:156">
      <c r="CJ3144" s="197"/>
      <c r="CK3144" s="197"/>
      <c r="CL3144" s="197"/>
      <c r="CM3144" s="213"/>
      <c r="CN3144" s="213"/>
      <c r="CO3144" s="197"/>
      <c r="CP3144" s="197"/>
      <c r="CQ3144" s="197"/>
      <c r="CR3144" s="197"/>
      <c r="CS3144" s="197"/>
      <c r="CT3144" s="197"/>
      <c r="CU3144" s="197"/>
      <c r="CV3144" s="197"/>
      <c r="CW3144" s="197"/>
      <c r="CX3144" s="959"/>
      <c r="CY3144" s="959"/>
      <c r="CZ3144" s="959"/>
      <c r="DA3144" s="959"/>
      <c r="DB3144" s="959"/>
      <c r="DC3144" s="891">
        <v>9776</v>
      </c>
      <c r="DD3144" s="891" t="s">
        <v>2480</v>
      </c>
      <c r="DE3144" s="891" t="s">
        <v>423</v>
      </c>
      <c r="DF3144" s="891">
        <v>6</v>
      </c>
      <c r="DG3144" s="959"/>
      <c r="DH3144" s="959"/>
      <c r="ER3144" s="905">
        <v>9242</v>
      </c>
      <c r="ES3144" s="906" t="s">
        <v>8</v>
      </c>
      <c r="ET3144" s="2686">
        <v>9</v>
      </c>
      <c r="EV3144" s="985"/>
      <c r="EW3144" s="985"/>
      <c r="EX3144" s="387"/>
      <c r="EY3144" s="939"/>
      <c r="EZ3144" s="886"/>
    </row>
    <row r="3145" spans="88:156">
      <c r="CJ3145" s="197"/>
      <c r="CK3145" s="197"/>
      <c r="CL3145" s="197"/>
      <c r="CM3145" s="213"/>
      <c r="CN3145" s="213"/>
      <c r="CO3145" s="197"/>
      <c r="CP3145" s="197"/>
      <c r="CQ3145" s="197"/>
      <c r="CR3145" s="197"/>
      <c r="CS3145" s="197"/>
      <c r="CT3145" s="197"/>
      <c r="CU3145" s="197"/>
      <c r="CV3145" s="197"/>
      <c r="CW3145" s="197"/>
      <c r="CX3145" s="959"/>
      <c r="CY3145" s="959"/>
      <c r="CZ3145" s="959"/>
      <c r="DA3145" s="959"/>
      <c r="DB3145" s="959"/>
      <c r="DC3145" s="891">
        <v>9777</v>
      </c>
      <c r="DD3145" s="891" t="s">
        <v>2481</v>
      </c>
      <c r="DE3145" s="891" t="s">
        <v>419</v>
      </c>
      <c r="DF3145" s="891">
        <v>6</v>
      </c>
      <c r="DG3145" s="959"/>
      <c r="DH3145" s="959"/>
      <c r="ER3145" s="905">
        <v>9243</v>
      </c>
      <c r="ES3145" s="906" t="s">
        <v>3269</v>
      </c>
      <c r="ET3145" s="2686">
        <v>9</v>
      </c>
      <c r="EV3145" s="985"/>
      <c r="EW3145" s="985"/>
      <c r="EX3145" s="387"/>
      <c r="EY3145" s="939"/>
      <c r="EZ3145" s="886"/>
    </row>
    <row r="3146" spans="88:156">
      <c r="CJ3146" s="197"/>
      <c r="CK3146" s="197"/>
      <c r="CL3146" s="197"/>
      <c r="CM3146" s="213"/>
      <c r="CN3146" s="213"/>
      <c r="CO3146" s="197"/>
      <c r="CP3146" s="197"/>
      <c r="CQ3146" s="197"/>
      <c r="CR3146" s="197"/>
      <c r="CS3146" s="197"/>
      <c r="CT3146" s="197"/>
      <c r="CU3146" s="197"/>
      <c r="CV3146" s="197"/>
      <c r="CW3146" s="197"/>
      <c r="CX3146" s="959"/>
      <c r="CY3146" s="959"/>
      <c r="CZ3146" s="959"/>
      <c r="DA3146" s="959"/>
      <c r="DB3146" s="959"/>
      <c r="DC3146" s="891">
        <v>9781</v>
      </c>
      <c r="DD3146" s="891" t="s">
        <v>2482</v>
      </c>
      <c r="DE3146" s="891" t="s">
        <v>406</v>
      </c>
      <c r="DF3146" s="891">
        <v>6</v>
      </c>
      <c r="DG3146" s="959"/>
      <c r="DH3146" s="959"/>
      <c r="ER3146" s="905">
        <v>9244</v>
      </c>
      <c r="ES3146" s="906" t="s">
        <v>3270</v>
      </c>
      <c r="ET3146" s="2686">
        <v>6</v>
      </c>
      <c r="EV3146" s="985"/>
      <c r="EW3146" s="985"/>
      <c r="EX3146" s="387"/>
      <c r="EY3146" s="939"/>
      <c r="EZ3146" s="886"/>
    </row>
    <row r="3147" spans="88:156">
      <c r="CJ3147" s="197"/>
      <c r="CK3147" s="197"/>
      <c r="CL3147" s="197"/>
      <c r="CM3147" s="213"/>
      <c r="CN3147" s="213"/>
      <c r="CO3147" s="197"/>
      <c r="CP3147" s="197"/>
      <c r="CQ3147" s="197"/>
      <c r="CR3147" s="197"/>
      <c r="CS3147" s="197"/>
      <c r="CT3147" s="197"/>
      <c r="CU3147" s="197"/>
      <c r="CV3147" s="197"/>
      <c r="CW3147" s="197"/>
      <c r="CX3147" s="959"/>
      <c r="CY3147" s="959"/>
      <c r="CZ3147" s="959"/>
      <c r="DA3147" s="959"/>
      <c r="DB3147" s="959"/>
      <c r="DC3147" s="891">
        <v>9782</v>
      </c>
      <c r="DD3147" s="891" t="s">
        <v>2483</v>
      </c>
      <c r="DE3147" s="891" t="s">
        <v>406</v>
      </c>
      <c r="DF3147" s="891">
        <v>6</v>
      </c>
      <c r="DG3147" s="959"/>
      <c r="DH3147" s="959"/>
      <c r="ER3147" s="905">
        <v>9245</v>
      </c>
      <c r="ES3147" s="906" t="s">
        <v>3271</v>
      </c>
      <c r="ET3147" s="2686">
        <v>6</v>
      </c>
      <c r="EV3147" s="985"/>
      <c r="EW3147" s="985"/>
      <c r="EX3147" s="387"/>
      <c r="EY3147" s="939"/>
      <c r="EZ3147" s="886"/>
    </row>
    <row r="3148" spans="88:156">
      <c r="CJ3148" s="197"/>
      <c r="CK3148" s="197"/>
      <c r="CL3148" s="197"/>
      <c r="CM3148" s="213"/>
      <c r="CN3148" s="213"/>
      <c r="CO3148" s="197"/>
      <c r="CP3148" s="197"/>
      <c r="CQ3148" s="197"/>
      <c r="CR3148" s="197"/>
      <c r="CS3148" s="197"/>
      <c r="CT3148" s="197"/>
      <c r="CU3148" s="197"/>
      <c r="CV3148" s="197"/>
      <c r="CW3148" s="197"/>
      <c r="CX3148" s="959"/>
      <c r="CY3148" s="959"/>
      <c r="CZ3148" s="959"/>
      <c r="DA3148" s="959"/>
      <c r="DB3148" s="959"/>
      <c r="DC3148" s="891">
        <v>9783</v>
      </c>
      <c r="DD3148" s="891" t="s">
        <v>2484</v>
      </c>
      <c r="DE3148" s="891" t="s">
        <v>406</v>
      </c>
      <c r="DF3148" s="891">
        <v>6</v>
      </c>
      <c r="DG3148" s="959"/>
      <c r="DH3148" s="959"/>
      <c r="ER3148" s="905">
        <v>9246</v>
      </c>
      <c r="ES3148" s="906" t="s">
        <v>3660</v>
      </c>
      <c r="ET3148" s="2686">
        <v>6</v>
      </c>
      <c r="EV3148" s="985"/>
      <c r="EW3148" s="985"/>
      <c r="EX3148" s="387"/>
      <c r="EY3148" s="939"/>
      <c r="EZ3148" s="886"/>
    </row>
    <row r="3149" spans="88:156">
      <c r="CJ3149" s="197"/>
      <c r="CK3149" s="197"/>
      <c r="CL3149" s="197"/>
      <c r="CM3149" s="213"/>
      <c r="CN3149" s="213"/>
      <c r="CO3149" s="197"/>
      <c r="CP3149" s="197"/>
      <c r="CQ3149" s="197"/>
      <c r="CR3149" s="197"/>
      <c r="CS3149" s="197"/>
      <c r="CT3149" s="197"/>
      <c r="CU3149" s="197"/>
      <c r="CV3149" s="197"/>
      <c r="CW3149" s="197"/>
      <c r="CX3149" s="959"/>
      <c r="CY3149" s="959"/>
      <c r="CZ3149" s="959"/>
      <c r="DA3149" s="959"/>
      <c r="DB3149" s="959"/>
      <c r="DC3149" s="891">
        <v>9784</v>
      </c>
      <c r="DD3149" s="891" t="s">
        <v>2485</v>
      </c>
      <c r="DE3149" s="891" t="s">
        <v>406</v>
      </c>
      <c r="DF3149" s="891">
        <v>6</v>
      </c>
      <c r="DG3149" s="959"/>
      <c r="DH3149" s="959"/>
      <c r="ER3149" s="905">
        <v>9300</v>
      </c>
      <c r="ES3149" s="906" t="s">
        <v>9</v>
      </c>
      <c r="ET3149" s="2686">
        <v>9</v>
      </c>
      <c r="EV3149" s="985"/>
      <c r="EW3149" s="985"/>
      <c r="EX3149" s="387"/>
      <c r="EY3149" s="939"/>
      <c r="EZ3149" s="886"/>
    </row>
    <row r="3150" spans="88:156">
      <c r="CJ3150" s="197"/>
      <c r="CK3150" s="197"/>
      <c r="CL3150" s="197"/>
      <c r="CM3150" s="213"/>
      <c r="CN3150" s="213"/>
      <c r="CO3150" s="197"/>
      <c r="CP3150" s="197"/>
      <c r="CQ3150" s="197"/>
      <c r="CR3150" s="197"/>
      <c r="CS3150" s="197"/>
      <c r="CT3150" s="197"/>
      <c r="CU3150" s="197"/>
      <c r="CV3150" s="197"/>
      <c r="CW3150" s="197"/>
      <c r="CX3150" s="959"/>
      <c r="CY3150" s="959"/>
      <c r="CZ3150" s="959"/>
      <c r="DA3150" s="959"/>
      <c r="DB3150" s="959"/>
      <c r="DC3150" s="891">
        <v>9789</v>
      </c>
      <c r="DD3150" s="891" t="s">
        <v>2486</v>
      </c>
      <c r="DE3150" s="891" t="s">
        <v>406</v>
      </c>
      <c r="DF3150" s="891">
        <v>6</v>
      </c>
      <c r="DG3150" s="959"/>
      <c r="DH3150" s="959"/>
      <c r="ER3150" s="905">
        <v>9311</v>
      </c>
      <c r="ES3150" s="906" t="s">
        <v>3273</v>
      </c>
      <c r="ET3150" s="2686">
        <v>9</v>
      </c>
      <c r="EV3150" s="985"/>
      <c r="EW3150" s="985"/>
      <c r="EX3150" s="387"/>
      <c r="EY3150" s="939"/>
      <c r="EZ3150" s="886"/>
    </row>
    <row r="3151" spans="88:156">
      <c r="CJ3151" s="197"/>
      <c r="CK3151" s="197"/>
      <c r="CL3151" s="197"/>
      <c r="CM3151" s="213"/>
      <c r="CN3151" s="213"/>
      <c r="CO3151" s="197"/>
      <c r="CP3151" s="197"/>
      <c r="CQ3151" s="197"/>
      <c r="CR3151" s="197"/>
      <c r="CS3151" s="197"/>
      <c r="CT3151" s="197"/>
      <c r="CU3151" s="197"/>
      <c r="CV3151" s="197"/>
      <c r="CW3151" s="197"/>
      <c r="CX3151" s="959"/>
      <c r="CY3151" s="959"/>
      <c r="CZ3151" s="959"/>
      <c r="DA3151" s="959"/>
      <c r="DB3151" s="959"/>
      <c r="DC3151" s="891">
        <v>9791</v>
      </c>
      <c r="DD3151" s="891" t="s">
        <v>2487</v>
      </c>
      <c r="DE3151" s="891" t="s">
        <v>412</v>
      </c>
      <c r="DF3151" s="891">
        <v>6</v>
      </c>
      <c r="DG3151" s="959"/>
      <c r="DH3151" s="959"/>
      <c r="ER3151" s="905">
        <v>9312</v>
      </c>
      <c r="ES3151" s="906" t="s">
        <v>3274</v>
      </c>
      <c r="ET3151" s="2686">
        <v>9</v>
      </c>
      <c r="EV3151" s="985"/>
      <c r="EW3151" s="985"/>
      <c r="EX3151" s="387"/>
      <c r="EY3151" s="939"/>
      <c r="EZ3151" s="886"/>
    </row>
    <row r="3152" spans="88:156">
      <c r="CJ3152" s="197"/>
      <c r="CK3152" s="197"/>
      <c r="CL3152" s="197"/>
      <c r="CM3152" s="213"/>
      <c r="CN3152" s="213"/>
      <c r="CO3152" s="197"/>
      <c r="CP3152" s="197"/>
      <c r="CQ3152" s="197"/>
      <c r="CR3152" s="197"/>
      <c r="CS3152" s="197"/>
      <c r="CT3152" s="197"/>
      <c r="CU3152" s="197"/>
      <c r="CV3152" s="197"/>
      <c r="CW3152" s="197"/>
      <c r="CX3152" s="959"/>
      <c r="CY3152" s="959"/>
      <c r="CZ3152" s="959"/>
      <c r="DA3152" s="959"/>
      <c r="DB3152" s="959"/>
      <c r="DC3152" s="891">
        <v>9792</v>
      </c>
      <c r="DD3152" s="891" t="s">
        <v>2488</v>
      </c>
      <c r="DE3152" s="891" t="s">
        <v>421</v>
      </c>
      <c r="DF3152" s="891">
        <v>6</v>
      </c>
      <c r="DG3152" s="959"/>
      <c r="DH3152" s="959"/>
      <c r="ER3152" s="905">
        <v>9313</v>
      </c>
      <c r="ES3152" s="906" t="s">
        <v>3275</v>
      </c>
      <c r="ET3152" s="2686">
        <v>9</v>
      </c>
      <c r="EV3152" s="985"/>
      <c r="EW3152" s="985"/>
      <c r="EX3152" s="387"/>
      <c r="EY3152" s="939"/>
      <c r="EZ3152" s="886"/>
    </row>
    <row r="3153" spans="88:156">
      <c r="CJ3153" s="197"/>
      <c r="CK3153" s="197"/>
      <c r="CL3153" s="197"/>
      <c r="CM3153" s="213"/>
      <c r="CN3153" s="213"/>
      <c r="CO3153" s="197"/>
      <c r="CP3153" s="197"/>
      <c r="CQ3153" s="197"/>
      <c r="CR3153" s="197"/>
      <c r="CS3153" s="197"/>
      <c r="CT3153" s="197"/>
      <c r="CU3153" s="197"/>
      <c r="CV3153" s="197"/>
      <c r="CW3153" s="197"/>
      <c r="CX3153" s="959"/>
      <c r="CY3153" s="959"/>
      <c r="CZ3153" s="959"/>
      <c r="DA3153" s="959"/>
      <c r="DB3153" s="959"/>
      <c r="DC3153" s="891">
        <v>9793</v>
      </c>
      <c r="DD3153" s="891" t="s">
        <v>2489</v>
      </c>
      <c r="DE3153" s="891" t="s">
        <v>423</v>
      </c>
      <c r="DF3153" s="891">
        <v>6</v>
      </c>
      <c r="DG3153" s="959"/>
      <c r="DH3153" s="959"/>
      <c r="ER3153" s="905">
        <v>9314</v>
      </c>
      <c r="ES3153" s="906" t="s">
        <v>3276</v>
      </c>
      <c r="ET3153" s="2686">
        <v>9</v>
      </c>
      <c r="EV3153" s="985"/>
      <c r="EW3153" s="985"/>
      <c r="EX3153" s="387"/>
      <c r="EY3153" s="939"/>
      <c r="EZ3153" s="886"/>
    </row>
    <row r="3154" spans="88:156">
      <c r="CJ3154" s="197"/>
      <c r="CK3154" s="197"/>
      <c r="CL3154" s="197"/>
      <c r="CM3154" s="213"/>
      <c r="CN3154" s="213"/>
      <c r="CO3154" s="197"/>
      <c r="CP3154" s="197"/>
      <c r="CQ3154" s="197"/>
      <c r="CR3154" s="197"/>
      <c r="CS3154" s="197"/>
      <c r="CT3154" s="197"/>
      <c r="CU3154" s="197"/>
      <c r="CV3154" s="197"/>
      <c r="CW3154" s="197"/>
      <c r="CX3154" s="959"/>
      <c r="CY3154" s="959"/>
      <c r="CZ3154" s="959"/>
      <c r="DA3154" s="959"/>
      <c r="DB3154" s="959"/>
      <c r="DC3154" s="891">
        <v>9794</v>
      </c>
      <c r="DD3154" s="891" t="s">
        <v>2490</v>
      </c>
      <c r="DE3154" s="891" t="s">
        <v>435</v>
      </c>
      <c r="DF3154" s="891">
        <v>6</v>
      </c>
      <c r="DG3154" s="959"/>
      <c r="DH3154" s="959"/>
      <c r="ER3154" s="905">
        <v>9315</v>
      </c>
      <c r="ES3154" s="906" t="s">
        <v>3277</v>
      </c>
      <c r="ET3154" s="2686">
        <v>9</v>
      </c>
      <c r="EV3154" s="985"/>
      <c r="EW3154" s="985"/>
      <c r="EX3154" s="387"/>
      <c r="EY3154" s="939"/>
      <c r="EZ3154" s="886"/>
    </row>
    <row r="3155" spans="88:156">
      <c r="CJ3155" s="197"/>
      <c r="CK3155" s="197"/>
      <c r="CL3155" s="197"/>
      <c r="CM3155" s="213"/>
      <c r="CN3155" s="213"/>
      <c r="CO3155" s="197"/>
      <c r="CP3155" s="197"/>
      <c r="CQ3155" s="197"/>
      <c r="CR3155" s="197"/>
      <c r="CS3155" s="197"/>
      <c r="CT3155" s="197"/>
      <c r="CU3155" s="197"/>
      <c r="CV3155" s="197"/>
      <c r="CW3155" s="197"/>
      <c r="CX3155" s="959"/>
      <c r="CY3155" s="959"/>
      <c r="CZ3155" s="959"/>
      <c r="DA3155" s="959"/>
      <c r="DB3155" s="959"/>
      <c r="DC3155" s="891">
        <v>9795</v>
      </c>
      <c r="DD3155" s="891" t="s">
        <v>2491</v>
      </c>
      <c r="DE3155" s="891" t="s">
        <v>435</v>
      </c>
      <c r="DF3155" s="891">
        <v>6</v>
      </c>
      <c r="DG3155" s="959"/>
      <c r="DH3155" s="959"/>
      <c r="ER3155" s="905">
        <v>9316</v>
      </c>
      <c r="ES3155" s="906" t="s">
        <v>3278</v>
      </c>
      <c r="ET3155" s="2686">
        <v>9</v>
      </c>
      <c r="EV3155" s="985"/>
      <c r="EW3155" s="985"/>
      <c r="EX3155" s="387"/>
      <c r="EY3155" s="939"/>
      <c r="EZ3155" s="886"/>
    </row>
    <row r="3156" spans="88:156">
      <c r="CJ3156" s="197"/>
      <c r="CK3156" s="197"/>
      <c r="CL3156" s="197"/>
      <c r="CM3156" s="213"/>
      <c r="CN3156" s="213"/>
      <c r="CO3156" s="197"/>
      <c r="CP3156" s="197"/>
      <c r="CQ3156" s="197"/>
      <c r="CR3156" s="197"/>
      <c r="CS3156" s="197"/>
      <c r="CT3156" s="197"/>
      <c r="CU3156" s="197"/>
      <c r="CV3156" s="197"/>
      <c r="CW3156" s="197"/>
      <c r="CX3156" s="959"/>
      <c r="CY3156" s="959"/>
      <c r="CZ3156" s="959"/>
      <c r="DA3156" s="959"/>
      <c r="DB3156" s="959"/>
      <c r="DC3156" s="891">
        <v>9796</v>
      </c>
      <c r="DD3156" s="891" t="s">
        <v>2492</v>
      </c>
      <c r="DE3156" s="891" t="s">
        <v>423</v>
      </c>
      <c r="DF3156" s="891">
        <v>5</v>
      </c>
      <c r="DG3156" s="959"/>
      <c r="DH3156" s="959"/>
      <c r="ER3156" s="905">
        <v>9317</v>
      </c>
      <c r="ES3156" s="906" t="s">
        <v>3279</v>
      </c>
      <c r="ET3156" s="2686">
        <v>9</v>
      </c>
      <c r="EV3156" s="985"/>
      <c r="EW3156" s="985"/>
      <c r="EX3156" s="387"/>
      <c r="EY3156" s="939"/>
      <c r="EZ3156" s="886"/>
    </row>
    <row r="3157" spans="88:156">
      <c r="CJ3157" s="197"/>
      <c r="CK3157" s="197"/>
      <c r="CL3157" s="197"/>
      <c r="CM3157" s="213"/>
      <c r="CN3157" s="213"/>
      <c r="CO3157" s="197"/>
      <c r="CP3157" s="197"/>
      <c r="CQ3157" s="197"/>
      <c r="CR3157" s="197"/>
      <c r="CS3157" s="197"/>
      <c r="CT3157" s="197"/>
      <c r="CU3157" s="197"/>
      <c r="CV3157" s="197"/>
      <c r="CW3157" s="197"/>
      <c r="CX3157" s="959"/>
      <c r="CY3157" s="959"/>
      <c r="CZ3157" s="959"/>
      <c r="DA3157" s="959"/>
      <c r="DB3157" s="959"/>
      <c r="DC3157" s="891">
        <v>9797</v>
      </c>
      <c r="DD3157" s="891" t="s">
        <v>2493</v>
      </c>
      <c r="DE3157" s="891" t="s">
        <v>423</v>
      </c>
      <c r="DF3157" s="891">
        <v>5</v>
      </c>
      <c r="DG3157" s="959"/>
      <c r="DH3157" s="959"/>
      <c r="ER3157" s="905">
        <v>9321</v>
      </c>
      <c r="ES3157" s="906" t="s">
        <v>3830</v>
      </c>
      <c r="ET3157" s="2686">
        <v>9</v>
      </c>
      <c r="EV3157" s="985"/>
      <c r="EW3157" s="985"/>
      <c r="EX3157" s="387"/>
      <c r="EY3157" s="939"/>
      <c r="EZ3157" s="886"/>
    </row>
    <row r="3158" spans="88:156">
      <c r="CJ3158" s="197"/>
      <c r="CK3158" s="197"/>
      <c r="CL3158" s="197"/>
      <c r="CM3158" s="213"/>
      <c r="CN3158" s="213"/>
      <c r="CO3158" s="197"/>
      <c r="CP3158" s="197"/>
      <c r="CQ3158" s="197"/>
      <c r="CR3158" s="197"/>
      <c r="CS3158" s="197"/>
      <c r="CT3158" s="197"/>
      <c r="CU3158" s="197"/>
      <c r="CV3158" s="197"/>
      <c r="CW3158" s="197"/>
      <c r="CX3158" s="959"/>
      <c r="CY3158" s="959"/>
      <c r="CZ3158" s="959"/>
      <c r="DA3158" s="959"/>
      <c r="DB3158" s="959"/>
      <c r="DC3158" s="891">
        <v>9798</v>
      </c>
      <c r="DD3158" s="891" t="s">
        <v>2494</v>
      </c>
      <c r="DE3158" s="891" t="s">
        <v>423</v>
      </c>
      <c r="DF3158" s="891">
        <v>5</v>
      </c>
      <c r="DG3158" s="959"/>
      <c r="DH3158" s="959"/>
      <c r="ER3158" s="905">
        <v>9322</v>
      </c>
      <c r="ES3158" s="906" t="s">
        <v>3831</v>
      </c>
      <c r="ET3158" s="2686">
        <v>9</v>
      </c>
      <c r="EV3158" s="985"/>
      <c r="EW3158" s="985"/>
      <c r="EX3158" s="387"/>
      <c r="EY3158" s="939"/>
      <c r="EZ3158" s="886"/>
    </row>
    <row r="3159" spans="88:156">
      <c r="CJ3159" s="197"/>
      <c r="CK3159" s="197"/>
      <c r="CL3159" s="197"/>
      <c r="CM3159" s="213"/>
      <c r="CN3159" s="213"/>
      <c r="CO3159" s="197"/>
      <c r="CP3159" s="197"/>
      <c r="CQ3159" s="197"/>
      <c r="CR3159" s="197"/>
      <c r="CS3159" s="197"/>
      <c r="CT3159" s="197"/>
      <c r="CU3159" s="197"/>
      <c r="CV3159" s="197"/>
      <c r="CW3159" s="197"/>
      <c r="CX3159" s="959"/>
      <c r="CY3159" s="959"/>
      <c r="CZ3159" s="959"/>
      <c r="DA3159" s="959"/>
      <c r="DB3159" s="959"/>
      <c r="DC3159" s="891">
        <v>9799</v>
      </c>
      <c r="DD3159" s="891" t="s">
        <v>2495</v>
      </c>
      <c r="DE3159" s="891" t="s">
        <v>423</v>
      </c>
      <c r="DF3159" s="891">
        <v>6</v>
      </c>
      <c r="DG3159" s="959"/>
      <c r="DH3159" s="959"/>
      <c r="ER3159" s="905">
        <v>9323</v>
      </c>
      <c r="ES3159" s="906" t="s">
        <v>3832</v>
      </c>
      <c r="ET3159" s="2686">
        <v>9</v>
      </c>
      <c r="EV3159" s="985"/>
      <c r="EW3159" s="985"/>
      <c r="EX3159" s="387"/>
      <c r="EY3159" s="939"/>
      <c r="EZ3159" s="886"/>
    </row>
    <row r="3160" spans="88:156">
      <c r="CJ3160" s="197"/>
      <c r="CK3160" s="197"/>
      <c r="CL3160" s="197"/>
      <c r="CM3160" s="213"/>
      <c r="CN3160" s="213"/>
      <c r="CO3160" s="197"/>
      <c r="CP3160" s="197"/>
      <c r="CQ3160" s="197"/>
      <c r="CR3160" s="197"/>
      <c r="CS3160" s="197"/>
      <c r="CT3160" s="197"/>
      <c r="CU3160" s="197"/>
      <c r="CV3160" s="197"/>
      <c r="CW3160" s="197"/>
      <c r="CX3160" s="959"/>
      <c r="CY3160" s="959"/>
      <c r="CZ3160" s="959"/>
      <c r="DA3160" s="959"/>
      <c r="DB3160" s="959"/>
      <c r="DC3160" s="891">
        <v>9800</v>
      </c>
      <c r="DD3160" s="891" t="s">
        <v>2496</v>
      </c>
      <c r="DE3160" s="891" t="s">
        <v>423</v>
      </c>
      <c r="DF3160" s="891">
        <v>6</v>
      </c>
      <c r="DG3160" s="959"/>
      <c r="DH3160" s="959"/>
      <c r="ER3160" s="905">
        <v>9324</v>
      </c>
      <c r="ES3160" s="906" t="s">
        <v>10</v>
      </c>
      <c r="ET3160" s="2686">
        <v>9</v>
      </c>
      <c r="EV3160" s="985"/>
      <c r="EW3160" s="985"/>
      <c r="EX3160" s="387"/>
      <c r="EY3160" s="939"/>
      <c r="EZ3160" s="886"/>
    </row>
    <row r="3161" spans="88:156">
      <c r="CJ3161" s="197"/>
      <c r="CK3161" s="197"/>
      <c r="CL3161" s="197"/>
      <c r="CM3161" s="213"/>
      <c r="CN3161" s="213"/>
      <c r="CO3161" s="197"/>
      <c r="CP3161" s="197"/>
      <c r="CQ3161" s="197"/>
      <c r="CR3161" s="197"/>
      <c r="CS3161" s="197"/>
      <c r="CT3161" s="197"/>
      <c r="CU3161" s="197"/>
      <c r="CV3161" s="197"/>
      <c r="CW3161" s="197"/>
      <c r="CX3161" s="959"/>
      <c r="CY3161" s="959"/>
      <c r="CZ3161" s="959"/>
      <c r="DA3161" s="959"/>
      <c r="DB3161" s="959"/>
      <c r="DC3161" s="891">
        <v>9811</v>
      </c>
      <c r="DD3161" s="891" t="s">
        <v>2497</v>
      </c>
      <c r="DE3161" s="891" t="s">
        <v>423</v>
      </c>
      <c r="DF3161" s="891">
        <v>6</v>
      </c>
      <c r="DG3161" s="959"/>
      <c r="DH3161" s="959"/>
      <c r="ER3161" s="905">
        <v>9324</v>
      </c>
      <c r="ES3161" s="906" t="s">
        <v>3833</v>
      </c>
      <c r="ET3161" s="2686">
        <v>9</v>
      </c>
      <c r="EV3161" s="985"/>
      <c r="EW3161" s="985"/>
      <c r="EX3161" s="387"/>
      <c r="EY3161" s="939"/>
      <c r="EZ3161" s="886"/>
    </row>
    <row r="3162" spans="88:156">
      <c r="CJ3162" s="197"/>
      <c r="CK3162" s="197"/>
      <c r="CL3162" s="197"/>
      <c r="CM3162" s="213"/>
      <c r="CN3162" s="213"/>
      <c r="CO3162" s="197"/>
      <c r="CP3162" s="197"/>
      <c r="CQ3162" s="197"/>
      <c r="CR3162" s="197"/>
      <c r="CS3162" s="197"/>
      <c r="CT3162" s="197"/>
      <c r="CU3162" s="197"/>
      <c r="CV3162" s="197"/>
      <c r="CW3162" s="197"/>
      <c r="CX3162" s="959"/>
      <c r="CY3162" s="959"/>
      <c r="CZ3162" s="959"/>
      <c r="DA3162" s="959"/>
      <c r="DB3162" s="959"/>
      <c r="DC3162" s="891">
        <v>9812</v>
      </c>
      <c r="DD3162" s="891" t="s">
        <v>2498</v>
      </c>
      <c r="DE3162" s="891" t="s">
        <v>423</v>
      </c>
      <c r="DF3162" s="891">
        <v>6</v>
      </c>
      <c r="DG3162" s="959"/>
      <c r="DH3162" s="959"/>
      <c r="ER3162" s="905">
        <v>9325</v>
      </c>
      <c r="ES3162" s="906" t="s">
        <v>3834</v>
      </c>
      <c r="ET3162" s="2686">
        <v>9</v>
      </c>
      <c r="EV3162" s="985"/>
      <c r="EW3162" s="985"/>
      <c r="EX3162" s="387"/>
      <c r="EY3162" s="939"/>
      <c r="EZ3162" s="886"/>
    </row>
    <row r="3163" spans="88:156">
      <c r="CJ3163" s="197"/>
      <c r="CK3163" s="197"/>
      <c r="CL3163" s="197"/>
      <c r="CM3163" s="213"/>
      <c r="CN3163" s="213"/>
      <c r="CO3163" s="197"/>
      <c r="CP3163" s="197"/>
      <c r="CQ3163" s="197"/>
      <c r="CR3163" s="197"/>
      <c r="CS3163" s="197"/>
      <c r="CT3163" s="197"/>
      <c r="CU3163" s="197"/>
      <c r="CV3163" s="197"/>
      <c r="CW3163" s="197"/>
      <c r="CX3163" s="959"/>
      <c r="CY3163" s="959"/>
      <c r="CZ3163" s="959"/>
      <c r="DA3163" s="959"/>
      <c r="DB3163" s="959"/>
      <c r="DC3163" s="891">
        <v>9813</v>
      </c>
      <c r="DD3163" s="891" t="s">
        <v>2499</v>
      </c>
      <c r="DE3163" s="891" t="s">
        <v>410</v>
      </c>
      <c r="DF3163" s="891">
        <v>6</v>
      </c>
      <c r="DG3163" s="959"/>
      <c r="DH3163" s="959"/>
      <c r="ER3163" s="905">
        <v>9326</v>
      </c>
      <c r="ES3163" s="906" t="s">
        <v>3839</v>
      </c>
      <c r="ET3163" s="2686">
        <v>9</v>
      </c>
      <c r="EV3163" s="985"/>
      <c r="EW3163" s="985"/>
      <c r="EX3163" s="387"/>
      <c r="EY3163" s="939"/>
      <c r="EZ3163" s="886"/>
    </row>
    <row r="3164" spans="88:156">
      <c r="CJ3164" s="197"/>
      <c r="CK3164" s="197"/>
      <c r="CL3164" s="197"/>
      <c r="CM3164" s="213"/>
      <c r="CN3164" s="213"/>
      <c r="CO3164" s="197"/>
      <c r="CP3164" s="197"/>
      <c r="CQ3164" s="197"/>
      <c r="CR3164" s="197"/>
      <c r="CS3164" s="197"/>
      <c r="CT3164" s="197"/>
      <c r="CU3164" s="197"/>
      <c r="CV3164" s="197"/>
      <c r="CW3164" s="197"/>
      <c r="CX3164" s="959"/>
      <c r="CY3164" s="959"/>
      <c r="CZ3164" s="959"/>
      <c r="DA3164" s="959"/>
      <c r="DB3164" s="959"/>
      <c r="DC3164" s="891">
        <v>9814</v>
      </c>
      <c r="DD3164" s="891" t="s">
        <v>2500</v>
      </c>
      <c r="DE3164" s="891" t="s">
        <v>421</v>
      </c>
      <c r="DF3164" s="891">
        <v>6</v>
      </c>
      <c r="DG3164" s="959"/>
      <c r="DH3164" s="959"/>
      <c r="ER3164" s="905">
        <v>9327</v>
      </c>
      <c r="ES3164" s="906" t="s">
        <v>11</v>
      </c>
      <c r="ET3164" s="2686">
        <v>9</v>
      </c>
      <c r="EV3164" s="985"/>
      <c r="EW3164" s="985"/>
      <c r="EX3164" s="387"/>
      <c r="EY3164" s="939"/>
      <c r="EZ3164" s="886"/>
    </row>
    <row r="3165" spans="88:156">
      <c r="CJ3165" s="197"/>
      <c r="CK3165" s="197"/>
      <c r="CL3165" s="197"/>
      <c r="CM3165" s="213"/>
      <c r="CN3165" s="213"/>
      <c r="CO3165" s="197"/>
      <c r="CP3165" s="197"/>
      <c r="CQ3165" s="197"/>
      <c r="CR3165" s="197"/>
      <c r="CS3165" s="197"/>
      <c r="CT3165" s="197"/>
      <c r="CU3165" s="197"/>
      <c r="CV3165" s="197"/>
      <c r="CW3165" s="197"/>
      <c r="CX3165" s="959"/>
      <c r="CY3165" s="959"/>
      <c r="CZ3165" s="959"/>
      <c r="DA3165" s="959"/>
      <c r="DB3165" s="959"/>
      <c r="DC3165" s="891">
        <v>9821</v>
      </c>
      <c r="DD3165" s="891" t="s">
        <v>2501</v>
      </c>
      <c r="DE3165" s="891" t="s">
        <v>417</v>
      </c>
      <c r="DF3165" s="891">
        <v>6</v>
      </c>
      <c r="DG3165" s="959"/>
      <c r="DH3165" s="959"/>
      <c r="ER3165" s="905">
        <v>9327</v>
      </c>
      <c r="ES3165" s="906" t="s">
        <v>3840</v>
      </c>
      <c r="ET3165" s="2686">
        <v>9</v>
      </c>
      <c r="EV3165" s="985"/>
      <c r="EW3165" s="985"/>
      <c r="EX3165" s="387"/>
      <c r="EY3165" s="939"/>
      <c r="EZ3165" s="886"/>
    </row>
    <row r="3166" spans="88:156">
      <c r="CJ3166" s="197"/>
      <c r="CK3166" s="197"/>
      <c r="CL3166" s="197"/>
      <c r="CM3166" s="213"/>
      <c r="CN3166" s="213"/>
      <c r="CO3166" s="197"/>
      <c r="CP3166" s="197"/>
      <c r="CQ3166" s="197"/>
      <c r="CR3166" s="197"/>
      <c r="CS3166" s="197"/>
      <c r="CT3166" s="197"/>
      <c r="CU3166" s="197"/>
      <c r="CV3166" s="197"/>
      <c r="CW3166" s="197"/>
      <c r="CX3166" s="959"/>
      <c r="CY3166" s="959"/>
      <c r="CZ3166" s="959"/>
      <c r="DA3166" s="959"/>
      <c r="DB3166" s="959"/>
      <c r="DC3166" s="891">
        <v>9823</v>
      </c>
      <c r="DD3166" s="891" t="s">
        <v>2502</v>
      </c>
      <c r="DE3166" s="891" t="s">
        <v>417</v>
      </c>
      <c r="DF3166" s="891">
        <v>6</v>
      </c>
      <c r="DG3166" s="959"/>
      <c r="DH3166" s="959"/>
      <c r="ER3166" s="905">
        <v>9330</v>
      </c>
      <c r="ES3166" s="906" t="s">
        <v>3841</v>
      </c>
      <c r="ET3166" s="2686">
        <v>9</v>
      </c>
      <c r="EU3166" s="895">
        <v>1</v>
      </c>
      <c r="EV3166" s="985"/>
      <c r="EW3166" s="985"/>
      <c r="EX3166" s="387"/>
      <c r="EY3166" s="939"/>
      <c r="EZ3166" s="886"/>
    </row>
    <row r="3167" spans="88:156">
      <c r="CJ3167" s="197"/>
      <c r="CK3167" s="197"/>
      <c r="CL3167" s="197"/>
      <c r="CM3167" s="213"/>
      <c r="CN3167" s="213"/>
      <c r="CO3167" s="197"/>
      <c r="CP3167" s="197"/>
      <c r="CQ3167" s="197"/>
      <c r="CR3167" s="197"/>
      <c r="CS3167" s="197"/>
      <c r="CT3167" s="197"/>
      <c r="CU3167" s="197"/>
      <c r="CV3167" s="197"/>
      <c r="CW3167" s="197"/>
      <c r="CX3167" s="959"/>
      <c r="CY3167" s="959"/>
      <c r="CZ3167" s="959"/>
      <c r="DA3167" s="959"/>
      <c r="DB3167" s="959"/>
      <c r="DC3167" s="891">
        <v>9824</v>
      </c>
      <c r="DD3167" s="891" t="s">
        <v>2503</v>
      </c>
      <c r="DE3167" s="891" t="s">
        <v>427</v>
      </c>
      <c r="DF3167" s="891">
        <v>6</v>
      </c>
      <c r="DG3167" s="959"/>
      <c r="DH3167" s="959"/>
      <c r="ER3167" s="905">
        <v>9339</v>
      </c>
      <c r="ES3167" s="905" t="s">
        <v>12</v>
      </c>
      <c r="ET3167" s="2686">
        <v>9</v>
      </c>
      <c r="EU3167" s="895">
        <v>1</v>
      </c>
      <c r="EV3167" s="985"/>
      <c r="EW3167" s="985"/>
      <c r="EX3167" s="387"/>
      <c r="EY3167" s="939"/>
      <c r="EZ3167" s="886"/>
    </row>
    <row r="3168" spans="88:156">
      <c r="CJ3168" s="197"/>
      <c r="CK3168" s="197"/>
      <c r="CL3168" s="197"/>
      <c r="CM3168" s="213"/>
      <c r="CN3168" s="213"/>
      <c r="CO3168" s="197"/>
      <c r="CP3168" s="197"/>
      <c r="CQ3168" s="197"/>
      <c r="CR3168" s="197"/>
      <c r="CS3168" s="197"/>
      <c r="CT3168" s="197"/>
      <c r="CU3168" s="197"/>
      <c r="CV3168" s="197"/>
      <c r="CW3168" s="197"/>
      <c r="CX3168" s="959"/>
      <c r="CY3168" s="959"/>
      <c r="CZ3168" s="959"/>
      <c r="DA3168" s="959"/>
      <c r="DB3168" s="959"/>
      <c r="DC3168" s="891">
        <v>9825</v>
      </c>
      <c r="DD3168" s="891" t="s">
        <v>2504</v>
      </c>
      <c r="DE3168" s="891" t="s">
        <v>427</v>
      </c>
      <c r="DF3168" s="891">
        <v>6</v>
      </c>
      <c r="DG3168" s="959"/>
      <c r="DH3168" s="959"/>
      <c r="ER3168" s="905">
        <v>9341</v>
      </c>
      <c r="ES3168" s="906" t="s">
        <v>3843</v>
      </c>
      <c r="ET3168" s="2686">
        <v>9</v>
      </c>
      <c r="EV3168" s="985"/>
      <c r="EW3168" s="985"/>
      <c r="EX3168" s="387"/>
      <c r="EY3168" s="939"/>
      <c r="EZ3168" s="886"/>
    </row>
    <row r="3169" spans="88:156">
      <c r="CJ3169" s="197"/>
      <c r="CK3169" s="197"/>
      <c r="CL3169" s="197"/>
      <c r="CM3169" s="213"/>
      <c r="CN3169" s="213"/>
      <c r="CO3169" s="197"/>
      <c r="CP3169" s="197"/>
      <c r="CQ3169" s="197"/>
      <c r="CR3169" s="197"/>
      <c r="CS3169" s="197"/>
      <c r="CT3169" s="197"/>
      <c r="CU3169" s="197"/>
      <c r="CV3169" s="197"/>
      <c r="CW3169" s="197"/>
      <c r="CX3169" s="959"/>
      <c r="CY3169" s="959"/>
      <c r="CZ3169" s="959"/>
      <c r="DA3169" s="959"/>
      <c r="DB3169" s="959"/>
      <c r="DC3169" s="891">
        <v>9826</v>
      </c>
      <c r="DD3169" s="891" t="s">
        <v>2505</v>
      </c>
      <c r="DE3169" s="891" t="s">
        <v>427</v>
      </c>
      <c r="DF3169" s="891">
        <v>6</v>
      </c>
      <c r="DG3169" s="959"/>
      <c r="DH3169" s="959"/>
      <c r="ER3169" s="905">
        <v>9342</v>
      </c>
      <c r="ES3169" s="906" t="s">
        <v>3844</v>
      </c>
      <c r="ET3169" s="2686">
        <v>9</v>
      </c>
      <c r="EV3169" s="985"/>
      <c r="EW3169" s="985"/>
      <c r="EX3169" s="387"/>
      <c r="EY3169" s="939"/>
      <c r="EZ3169" s="886"/>
    </row>
    <row r="3170" spans="88:156">
      <c r="CJ3170" s="197"/>
      <c r="CK3170" s="197"/>
      <c r="CL3170" s="197"/>
      <c r="CM3170" s="213"/>
      <c r="CN3170" s="213"/>
      <c r="CO3170" s="197"/>
      <c r="CP3170" s="197"/>
      <c r="CQ3170" s="197"/>
      <c r="CR3170" s="197"/>
      <c r="CS3170" s="197"/>
      <c r="CT3170" s="197"/>
      <c r="CU3170" s="197"/>
      <c r="CV3170" s="197"/>
      <c r="CW3170" s="197"/>
      <c r="CX3170" s="959"/>
      <c r="CY3170" s="959"/>
      <c r="CZ3170" s="959"/>
      <c r="DA3170" s="959"/>
      <c r="DB3170" s="959"/>
      <c r="DC3170" s="891">
        <v>9831</v>
      </c>
      <c r="DD3170" s="891" t="s">
        <v>2506</v>
      </c>
      <c r="DE3170" s="891" t="s">
        <v>419</v>
      </c>
      <c r="DF3170" s="891">
        <v>6</v>
      </c>
      <c r="DG3170" s="959"/>
      <c r="DH3170" s="959"/>
      <c r="ER3170" s="905">
        <v>9343</v>
      </c>
      <c r="ES3170" s="906" t="s">
        <v>13</v>
      </c>
      <c r="ET3170" s="2686">
        <v>9</v>
      </c>
      <c r="EV3170" s="985"/>
      <c r="EW3170" s="985"/>
      <c r="EX3170" s="387"/>
      <c r="EY3170" s="939"/>
      <c r="EZ3170" s="886"/>
    </row>
    <row r="3171" spans="88:156">
      <c r="CJ3171" s="197"/>
      <c r="CK3171" s="197"/>
      <c r="CL3171" s="197"/>
      <c r="CM3171" s="213"/>
      <c r="CN3171" s="213"/>
      <c r="CO3171" s="197"/>
      <c r="CP3171" s="197"/>
      <c r="CQ3171" s="197"/>
      <c r="CR3171" s="197"/>
      <c r="CS3171" s="197"/>
      <c r="CT3171" s="197"/>
      <c r="CU3171" s="197"/>
      <c r="CV3171" s="197"/>
      <c r="CW3171" s="197"/>
      <c r="CX3171" s="959"/>
      <c r="CY3171" s="959"/>
      <c r="CZ3171" s="959"/>
      <c r="DA3171" s="959"/>
      <c r="DB3171" s="959"/>
      <c r="DC3171" s="891">
        <v>9832</v>
      </c>
      <c r="DD3171" s="891" t="s">
        <v>2507</v>
      </c>
      <c r="DE3171" s="891" t="s">
        <v>2807</v>
      </c>
      <c r="DF3171" s="891">
        <v>6</v>
      </c>
      <c r="DG3171" s="959"/>
      <c r="DH3171" s="959"/>
      <c r="ER3171" s="905">
        <v>9343</v>
      </c>
      <c r="ES3171" s="906" t="s">
        <v>14</v>
      </c>
      <c r="ET3171" s="2686">
        <v>9</v>
      </c>
      <c r="EV3171" s="985"/>
      <c r="EW3171" s="985"/>
      <c r="EX3171" s="387"/>
      <c r="EY3171" s="939"/>
      <c r="EZ3171" s="886"/>
    </row>
    <row r="3172" spans="88:156">
      <c r="CJ3172" s="197"/>
      <c r="CK3172" s="197"/>
      <c r="CL3172" s="197"/>
      <c r="CM3172" s="213"/>
      <c r="CN3172" s="213"/>
      <c r="CO3172" s="197"/>
      <c r="CP3172" s="197"/>
      <c r="CQ3172" s="197"/>
      <c r="CR3172" s="197"/>
      <c r="CS3172" s="197"/>
      <c r="CT3172" s="197"/>
      <c r="CU3172" s="197"/>
      <c r="CV3172" s="197"/>
      <c r="CW3172" s="197"/>
      <c r="CX3172" s="959"/>
      <c r="CY3172" s="959"/>
      <c r="CZ3172" s="959"/>
      <c r="DA3172" s="959"/>
      <c r="DB3172" s="959"/>
      <c r="DC3172" s="891">
        <v>9833</v>
      </c>
      <c r="DD3172" s="891" t="s">
        <v>2508</v>
      </c>
      <c r="DE3172" s="891" t="s">
        <v>423</v>
      </c>
      <c r="DF3172" s="891">
        <v>6</v>
      </c>
      <c r="DG3172" s="959"/>
      <c r="DH3172" s="959"/>
      <c r="ER3172" s="905">
        <v>9343</v>
      </c>
      <c r="ES3172" s="906" t="s">
        <v>15</v>
      </c>
      <c r="ET3172" s="2686">
        <v>9</v>
      </c>
      <c r="EV3172" s="985"/>
      <c r="EW3172" s="985"/>
      <c r="EX3172" s="387"/>
      <c r="EY3172" s="939"/>
      <c r="EZ3172" s="886"/>
    </row>
    <row r="3173" spans="88:156">
      <c r="CJ3173" s="197"/>
      <c r="CK3173" s="197"/>
      <c r="CL3173" s="197"/>
      <c r="CM3173" s="213"/>
      <c r="CN3173" s="213"/>
      <c r="CO3173" s="197"/>
      <c r="CP3173" s="197"/>
      <c r="CQ3173" s="197"/>
      <c r="CR3173" s="197"/>
      <c r="CS3173" s="197"/>
      <c r="CT3173" s="197"/>
      <c r="CU3173" s="197"/>
      <c r="CV3173" s="197"/>
      <c r="CW3173" s="197"/>
      <c r="CX3173" s="959"/>
      <c r="CY3173" s="959"/>
      <c r="CZ3173" s="959"/>
      <c r="DA3173" s="959"/>
      <c r="DB3173" s="959"/>
      <c r="DC3173" s="891">
        <v>9834</v>
      </c>
      <c r="DD3173" s="891" t="s">
        <v>2509</v>
      </c>
      <c r="DE3173" s="891" t="s">
        <v>406</v>
      </c>
      <c r="DF3173" s="891">
        <v>6</v>
      </c>
      <c r="DG3173" s="959"/>
      <c r="DH3173" s="959"/>
      <c r="ER3173" s="905">
        <v>9344</v>
      </c>
      <c r="ES3173" s="906" t="s">
        <v>3846</v>
      </c>
      <c r="ET3173" s="2686">
        <v>9</v>
      </c>
      <c r="EV3173" s="985"/>
      <c r="EW3173" s="985"/>
      <c r="EX3173" s="387"/>
      <c r="EY3173" s="939"/>
      <c r="EZ3173" s="886"/>
    </row>
    <row r="3174" spans="88:156">
      <c r="CJ3174" s="197"/>
      <c r="CK3174" s="197"/>
      <c r="CL3174" s="197"/>
      <c r="CM3174" s="213"/>
      <c r="CN3174" s="213"/>
      <c r="CO3174" s="197"/>
      <c r="CP3174" s="197"/>
      <c r="CQ3174" s="197"/>
      <c r="CR3174" s="197"/>
      <c r="CS3174" s="197"/>
      <c r="CT3174" s="197"/>
      <c r="CU3174" s="197"/>
      <c r="CV3174" s="197"/>
      <c r="CW3174" s="197"/>
      <c r="CX3174" s="959"/>
      <c r="CY3174" s="959"/>
      <c r="CZ3174" s="959"/>
      <c r="DA3174" s="959"/>
      <c r="DB3174" s="959"/>
      <c r="DC3174" s="891">
        <v>9835</v>
      </c>
      <c r="DD3174" s="891" t="s">
        <v>2510</v>
      </c>
      <c r="DE3174" s="891" t="s">
        <v>419</v>
      </c>
      <c r="DF3174" s="891">
        <v>6</v>
      </c>
      <c r="DG3174" s="959"/>
      <c r="DH3174" s="959"/>
      <c r="ER3174" s="905">
        <v>9345</v>
      </c>
      <c r="ES3174" s="906" t="s">
        <v>3847</v>
      </c>
      <c r="ET3174" s="2686">
        <v>9</v>
      </c>
      <c r="EV3174" s="985"/>
      <c r="EW3174" s="985"/>
      <c r="EX3174" s="387"/>
      <c r="EY3174" s="939"/>
      <c r="EZ3174" s="886"/>
    </row>
    <row r="3175" spans="88:156">
      <c r="CJ3175" s="197"/>
      <c r="CK3175" s="197"/>
      <c r="CL3175" s="197"/>
      <c r="CM3175" s="213"/>
      <c r="CN3175" s="213"/>
      <c r="CO3175" s="197"/>
      <c r="CP3175" s="197"/>
      <c r="CQ3175" s="197"/>
      <c r="CR3175" s="197"/>
      <c r="CS3175" s="197"/>
      <c r="CT3175" s="197"/>
      <c r="CU3175" s="197"/>
      <c r="CV3175" s="197"/>
      <c r="CW3175" s="197"/>
      <c r="CX3175" s="959"/>
      <c r="CY3175" s="959"/>
      <c r="CZ3175" s="959"/>
      <c r="DA3175" s="959"/>
      <c r="DB3175" s="959"/>
      <c r="DC3175" s="891">
        <v>9836</v>
      </c>
      <c r="DD3175" s="891" t="s">
        <v>2511</v>
      </c>
      <c r="DE3175" s="891" t="s">
        <v>419</v>
      </c>
      <c r="DF3175" s="891">
        <v>6</v>
      </c>
      <c r="DG3175" s="959"/>
      <c r="DH3175" s="959"/>
      <c r="ER3175" s="905">
        <v>9346</v>
      </c>
      <c r="ES3175" s="906" t="s">
        <v>16</v>
      </c>
      <c r="ET3175" s="2686">
        <v>9</v>
      </c>
      <c r="EV3175" s="985"/>
      <c r="EW3175" s="985"/>
      <c r="EX3175" s="387"/>
      <c r="EY3175" s="939"/>
      <c r="EZ3175" s="886"/>
    </row>
    <row r="3176" spans="88:156">
      <c r="CJ3176" s="197"/>
      <c r="CK3176" s="197"/>
      <c r="CL3176" s="197"/>
      <c r="CM3176" s="213"/>
      <c r="CN3176" s="213"/>
      <c r="CO3176" s="197"/>
      <c r="CP3176" s="197"/>
      <c r="CQ3176" s="197"/>
      <c r="CR3176" s="197"/>
      <c r="CS3176" s="197"/>
      <c r="CT3176" s="197"/>
      <c r="CU3176" s="197"/>
      <c r="CV3176" s="197"/>
      <c r="CW3176" s="197"/>
      <c r="CX3176" s="959"/>
      <c r="CY3176" s="959"/>
      <c r="CZ3176" s="959"/>
      <c r="DA3176" s="959"/>
      <c r="DB3176" s="959"/>
      <c r="DC3176" s="891">
        <v>9841</v>
      </c>
      <c r="DD3176" s="891" t="s">
        <v>2512</v>
      </c>
      <c r="DE3176" s="891" t="s">
        <v>419</v>
      </c>
      <c r="DF3176" s="891">
        <v>6</v>
      </c>
      <c r="DG3176" s="959"/>
      <c r="DH3176" s="959"/>
      <c r="ER3176" s="905">
        <v>9346</v>
      </c>
      <c r="ES3176" s="906" t="s">
        <v>17</v>
      </c>
      <c r="ET3176" s="2686">
        <v>9</v>
      </c>
      <c r="EV3176" s="985"/>
      <c r="EW3176" s="985"/>
      <c r="EX3176" s="387"/>
      <c r="EY3176" s="939"/>
      <c r="EZ3176" s="886"/>
    </row>
    <row r="3177" spans="88:156">
      <c r="CJ3177" s="197"/>
      <c r="CK3177" s="197"/>
      <c r="CL3177" s="197"/>
      <c r="CM3177" s="213"/>
      <c r="CN3177" s="213"/>
      <c r="CO3177" s="197"/>
      <c r="CP3177" s="197"/>
      <c r="CQ3177" s="197"/>
      <c r="CR3177" s="197"/>
      <c r="CS3177" s="197"/>
      <c r="CT3177" s="197"/>
      <c r="CU3177" s="197"/>
      <c r="CV3177" s="197"/>
      <c r="CW3177" s="197"/>
      <c r="CX3177" s="959"/>
      <c r="CY3177" s="959"/>
      <c r="CZ3177" s="959"/>
      <c r="DA3177" s="959"/>
      <c r="DB3177" s="959"/>
      <c r="DC3177" s="891">
        <v>9842</v>
      </c>
      <c r="DD3177" s="891" t="s">
        <v>2513</v>
      </c>
      <c r="DE3177" s="891" t="s">
        <v>419</v>
      </c>
      <c r="DF3177" s="891">
        <v>6</v>
      </c>
      <c r="DG3177" s="959"/>
      <c r="DH3177" s="959"/>
      <c r="ER3177" s="905">
        <v>9346</v>
      </c>
      <c r="ES3177" s="906" t="s">
        <v>3848</v>
      </c>
      <c r="ET3177" s="2686">
        <v>9</v>
      </c>
      <c r="EV3177" s="985"/>
      <c r="EW3177" s="985"/>
      <c r="EX3177" s="387"/>
      <c r="EY3177" s="939"/>
      <c r="EZ3177" s="886"/>
    </row>
    <row r="3178" spans="88:156">
      <c r="CJ3178" s="197"/>
      <c r="CK3178" s="197"/>
      <c r="CL3178" s="197"/>
      <c r="CM3178" s="213"/>
      <c r="CN3178" s="213"/>
      <c r="CO3178" s="197"/>
      <c r="CP3178" s="197"/>
      <c r="CQ3178" s="197"/>
      <c r="CR3178" s="197"/>
      <c r="CS3178" s="197"/>
      <c r="CT3178" s="197"/>
      <c r="CU3178" s="197"/>
      <c r="CV3178" s="197"/>
      <c r="CW3178" s="197"/>
      <c r="CX3178" s="959"/>
      <c r="CY3178" s="959"/>
      <c r="CZ3178" s="959"/>
      <c r="DA3178" s="959"/>
      <c r="DB3178" s="959"/>
      <c r="DC3178" s="891">
        <v>9900</v>
      </c>
      <c r="DD3178" s="891" t="s">
        <v>2514</v>
      </c>
      <c r="DE3178" s="891" t="s">
        <v>423</v>
      </c>
      <c r="DF3178" s="891">
        <v>6</v>
      </c>
      <c r="DG3178" s="959"/>
      <c r="DH3178" s="959"/>
      <c r="ER3178" s="905">
        <v>9351</v>
      </c>
      <c r="ES3178" s="906" t="s">
        <v>3849</v>
      </c>
      <c r="ET3178" s="2686">
        <v>9</v>
      </c>
      <c r="EV3178" s="985"/>
      <c r="EW3178" s="985"/>
      <c r="EX3178" s="387"/>
      <c r="EY3178" s="939"/>
      <c r="EZ3178" s="886"/>
    </row>
    <row r="3179" spans="88:156">
      <c r="CJ3179" s="197"/>
      <c r="CK3179" s="197"/>
      <c r="CL3179" s="197"/>
      <c r="CM3179" s="213"/>
      <c r="CN3179" s="213"/>
      <c r="CO3179" s="197"/>
      <c r="CP3179" s="197"/>
      <c r="CQ3179" s="197"/>
      <c r="CR3179" s="197"/>
      <c r="CS3179" s="197"/>
      <c r="CT3179" s="197"/>
      <c r="CU3179" s="197"/>
      <c r="CV3179" s="197"/>
      <c r="CW3179" s="197"/>
      <c r="CX3179" s="959"/>
      <c r="CY3179" s="959"/>
      <c r="CZ3179" s="959"/>
      <c r="DA3179" s="959"/>
      <c r="DB3179" s="959"/>
      <c r="DC3179" s="891">
        <v>9909</v>
      </c>
      <c r="DD3179" s="891" t="s">
        <v>2515</v>
      </c>
      <c r="DE3179" s="891" t="s">
        <v>423</v>
      </c>
      <c r="DF3179" s="891">
        <v>6</v>
      </c>
      <c r="DG3179" s="959"/>
      <c r="DH3179" s="959"/>
      <c r="ER3179" s="905">
        <v>9352</v>
      </c>
      <c r="ES3179" s="906" t="s">
        <v>3850</v>
      </c>
      <c r="ET3179" s="2686">
        <v>9</v>
      </c>
      <c r="EV3179" s="985"/>
      <c r="EW3179" s="985"/>
      <c r="EX3179" s="387"/>
      <c r="EY3179" s="939"/>
      <c r="EZ3179" s="886"/>
    </row>
    <row r="3180" spans="88:156">
      <c r="CJ3180" s="197"/>
      <c r="CK3180" s="197"/>
      <c r="CL3180" s="197"/>
      <c r="CM3180" s="213"/>
      <c r="CN3180" s="213"/>
      <c r="CO3180" s="197"/>
      <c r="CP3180" s="197"/>
      <c r="CQ3180" s="197"/>
      <c r="CR3180" s="197"/>
      <c r="CS3180" s="197"/>
      <c r="CT3180" s="197"/>
      <c r="CU3180" s="197"/>
      <c r="CV3180" s="197"/>
      <c r="CW3180" s="197"/>
      <c r="CX3180" s="959"/>
      <c r="CY3180" s="959"/>
      <c r="CZ3180" s="959"/>
      <c r="DA3180" s="959"/>
      <c r="DB3180" s="959"/>
      <c r="DC3180" s="891">
        <v>9911</v>
      </c>
      <c r="DD3180" s="891" t="s">
        <v>2516</v>
      </c>
      <c r="DE3180" s="891" t="s">
        <v>406</v>
      </c>
      <c r="DF3180" s="891">
        <v>6</v>
      </c>
      <c r="DG3180" s="959"/>
      <c r="DH3180" s="959"/>
      <c r="ER3180" s="905">
        <v>9353</v>
      </c>
      <c r="ES3180" s="906" t="s">
        <v>3851</v>
      </c>
      <c r="ET3180" s="2686">
        <v>9</v>
      </c>
      <c r="EV3180" s="985"/>
      <c r="EW3180" s="985"/>
      <c r="EX3180" s="387"/>
      <c r="EY3180" s="939"/>
      <c r="EZ3180" s="886"/>
    </row>
    <row r="3181" spans="88:156">
      <c r="CJ3181" s="197"/>
      <c r="CK3181" s="197"/>
      <c r="CL3181" s="197"/>
      <c r="CM3181" s="213"/>
      <c r="CN3181" s="213"/>
      <c r="CO3181" s="197"/>
      <c r="CP3181" s="197"/>
      <c r="CQ3181" s="197"/>
      <c r="CR3181" s="197"/>
      <c r="CS3181" s="197"/>
      <c r="CT3181" s="197"/>
      <c r="CU3181" s="197"/>
      <c r="CV3181" s="197"/>
      <c r="CW3181" s="197"/>
      <c r="CX3181" s="959"/>
      <c r="CY3181" s="959"/>
      <c r="CZ3181" s="959"/>
      <c r="DA3181" s="959"/>
      <c r="DB3181" s="959"/>
      <c r="DC3181" s="891">
        <v>9912</v>
      </c>
      <c r="DD3181" s="891" t="s">
        <v>2517</v>
      </c>
      <c r="DE3181" s="891" t="s">
        <v>423</v>
      </c>
      <c r="DF3181" s="891">
        <v>6</v>
      </c>
      <c r="DG3181" s="959"/>
      <c r="DH3181" s="959"/>
      <c r="ER3181" s="905">
        <v>9354</v>
      </c>
      <c r="ES3181" s="906" t="s">
        <v>3852</v>
      </c>
      <c r="ET3181" s="2686">
        <v>9</v>
      </c>
      <c r="EV3181" s="985"/>
      <c r="EW3181" s="985"/>
      <c r="EX3181" s="387"/>
      <c r="EY3181" s="939"/>
      <c r="EZ3181" s="886"/>
    </row>
    <row r="3182" spans="88:156">
      <c r="CJ3182" s="197"/>
      <c r="CK3182" s="197"/>
      <c r="CL3182" s="197"/>
      <c r="CM3182" s="213"/>
      <c r="CN3182" s="213"/>
      <c r="CO3182" s="197"/>
      <c r="CP3182" s="197"/>
      <c r="CQ3182" s="197"/>
      <c r="CR3182" s="197"/>
      <c r="CS3182" s="197"/>
      <c r="CT3182" s="197"/>
      <c r="CU3182" s="197"/>
      <c r="CV3182" s="197"/>
      <c r="CW3182" s="197"/>
      <c r="CX3182" s="959"/>
      <c r="CY3182" s="959"/>
      <c r="CZ3182" s="959"/>
      <c r="DA3182" s="959"/>
      <c r="DB3182" s="959"/>
      <c r="DC3182" s="891">
        <v>9913</v>
      </c>
      <c r="DD3182" s="891" t="s">
        <v>2518</v>
      </c>
      <c r="DE3182" s="891" t="s">
        <v>423</v>
      </c>
      <c r="DF3182" s="891">
        <v>6</v>
      </c>
      <c r="DG3182" s="959"/>
      <c r="DH3182" s="959"/>
      <c r="ER3182" s="905">
        <v>9361</v>
      </c>
      <c r="ES3182" s="906" t="s">
        <v>3853</v>
      </c>
      <c r="ET3182" s="2686">
        <v>9</v>
      </c>
      <c r="EV3182" s="985"/>
      <c r="EW3182" s="985"/>
      <c r="EX3182" s="387"/>
      <c r="EY3182" s="939"/>
      <c r="EZ3182" s="886"/>
    </row>
    <row r="3183" spans="88:156">
      <c r="CJ3183" s="197"/>
      <c r="CK3183" s="197"/>
      <c r="CL3183" s="197"/>
      <c r="CM3183" s="213"/>
      <c r="CN3183" s="213"/>
      <c r="CO3183" s="197"/>
      <c r="CP3183" s="197"/>
      <c r="CQ3183" s="197"/>
      <c r="CR3183" s="197"/>
      <c r="CS3183" s="197"/>
      <c r="CT3183" s="197"/>
      <c r="CU3183" s="197"/>
      <c r="CV3183" s="197"/>
      <c r="CW3183" s="197"/>
      <c r="CX3183" s="959"/>
      <c r="CY3183" s="959"/>
      <c r="CZ3183" s="959"/>
      <c r="DA3183" s="959"/>
      <c r="DB3183" s="959"/>
      <c r="DC3183" s="891">
        <v>9914</v>
      </c>
      <c r="DD3183" s="891" t="s">
        <v>2519</v>
      </c>
      <c r="DE3183" s="891" t="s">
        <v>423</v>
      </c>
      <c r="DF3183" s="891">
        <v>6</v>
      </c>
      <c r="DG3183" s="959"/>
      <c r="DH3183" s="959"/>
      <c r="ER3183" s="905">
        <v>9362</v>
      </c>
      <c r="ES3183" s="906" t="s">
        <v>3854</v>
      </c>
      <c r="ET3183" s="2686">
        <v>9</v>
      </c>
      <c r="EV3183" s="985"/>
      <c r="EW3183" s="985"/>
      <c r="EX3183" s="387"/>
      <c r="EY3183" s="939"/>
      <c r="EZ3183" s="886"/>
    </row>
    <row r="3184" spans="88:156">
      <c r="CJ3184" s="197"/>
      <c r="CK3184" s="197"/>
      <c r="CL3184" s="197"/>
      <c r="CM3184" s="213"/>
      <c r="CN3184" s="213"/>
      <c r="CO3184" s="197"/>
      <c r="CP3184" s="197"/>
      <c r="CQ3184" s="197"/>
      <c r="CR3184" s="197"/>
      <c r="CS3184" s="197"/>
      <c r="CT3184" s="197"/>
      <c r="CU3184" s="197"/>
      <c r="CV3184" s="197"/>
      <c r="CW3184" s="197"/>
      <c r="CX3184" s="959"/>
      <c r="CY3184" s="959"/>
      <c r="CZ3184" s="959"/>
      <c r="DA3184" s="959"/>
      <c r="DB3184" s="959"/>
      <c r="DC3184" s="891">
        <v>9915</v>
      </c>
      <c r="DD3184" s="891" t="s">
        <v>2520</v>
      </c>
      <c r="DE3184" s="891" t="s">
        <v>423</v>
      </c>
      <c r="DF3184" s="891">
        <v>6</v>
      </c>
      <c r="DG3184" s="959"/>
      <c r="DH3184" s="959"/>
      <c r="ER3184" s="905">
        <v>9363</v>
      </c>
      <c r="ES3184" s="906" t="s">
        <v>3855</v>
      </c>
      <c r="ET3184" s="2686">
        <v>9</v>
      </c>
      <c r="EV3184" s="985"/>
      <c r="EW3184" s="985"/>
      <c r="EX3184" s="387"/>
      <c r="EY3184" s="939"/>
      <c r="EZ3184" s="886"/>
    </row>
    <row r="3185" spans="88:156">
      <c r="CJ3185" s="197"/>
      <c r="CK3185" s="197"/>
      <c r="CL3185" s="197"/>
      <c r="CM3185" s="213"/>
      <c r="CN3185" s="213"/>
      <c r="CO3185" s="197"/>
      <c r="CP3185" s="197"/>
      <c r="CQ3185" s="197"/>
      <c r="CR3185" s="197"/>
      <c r="CS3185" s="197"/>
      <c r="CT3185" s="197"/>
      <c r="CU3185" s="197"/>
      <c r="CV3185" s="197"/>
      <c r="CW3185" s="197"/>
      <c r="CX3185" s="959"/>
      <c r="CY3185" s="959"/>
      <c r="CZ3185" s="959"/>
      <c r="DA3185" s="959"/>
      <c r="DB3185" s="959"/>
      <c r="DC3185" s="891">
        <v>9917</v>
      </c>
      <c r="DD3185" s="891" t="s">
        <v>2521</v>
      </c>
      <c r="DE3185" s="891" t="s">
        <v>423</v>
      </c>
      <c r="DF3185" s="891">
        <v>6</v>
      </c>
      <c r="DG3185" s="959"/>
      <c r="DH3185" s="959"/>
      <c r="ER3185" s="905">
        <v>9364</v>
      </c>
      <c r="ES3185" s="906" t="s">
        <v>3856</v>
      </c>
      <c r="ET3185" s="2686">
        <v>9</v>
      </c>
      <c r="EV3185" s="985"/>
      <c r="EW3185" s="985"/>
      <c r="EX3185" s="387"/>
      <c r="EY3185" s="939"/>
      <c r="EZ3185" s="886"/>
    </row>
    <row r="3186" spans="88:156">
      <c r="CJ3186" s="197"/>
      <c r="CK3186" s="197"/>
      <c r="CL3186" s="197"/>
      <c r="CM3186" s="213"/>
      <c r="CN3186" s="213"/>
      <c r="CO3186" s="197"/>
      <c r="CP3186" s="197"/>
      <c r="CQ3186" s="197"/>
      <c r="CR3186" s="197"/>
      <c r="CS3186" s="197"/>
      <c r="CT3186" s="197"/>
      <c r="CU3186" s="197"/>
      <c r="CV3186" s="197"/>
      <c r="CW3186" s="197"/>
      <c r="CX3186" s="959"/>
      <c r="CY3186" s="959"/>
      <c r="CZ3186" s="959"/>
      <c r="DA3186" s="959"/>
      <c r="DB3186" s="959"/>
      <c r="DC3186" s="891">
        <v>9918</v>
      </c>
      <c r="DD3186" s="891" t="s">
        <v>2522</v>
      </c>
      <c r="DE3186" s="891" t="s">
        <v>423</v>
      </c>
      <c r="DF3186" s="891">
        <v>6</v>
      </c>
      <c r="DG3186" s="959"/>
      <c r="DH3186" s="959"/>
      <c r="ER3186" s="905">
        <v>9365</v>
      </c>
      <c r="ES3186" s="906" t="s">
        <v>3857</v>
      </c>
      <c r="ET3186" s="2686">
        <v>9</v>
      </c>
      <c r="EV3186" s="985"/>
      <c r="EW3186" s="985"/>
      <c r="EX3186" s="387"/>
      <c r="EY3186" s="939"/>
      <c r="EZ3186" s="886"/>
    </row>
    <row r="3187" spans="88:156">
      <c r="CJ3187" s="197"/>
      <c r="CK3187" s="197"/>
      <c r="CL3187" s="197"/>
      <c r="CM3187" s="213"/>
      <c r="CN3187" s="213"/>
      <c r="CO3187" s="197"/>
      <c r="CP3187" s="197"/>
      <c r="CQ3187" s="197"/>
      <c r="CR3187" s="197"/>
      <c r="CS3187" s="197"/>
      <c r="CT3187" s="197"/>
      <c r="CU3187" s="197"/>
      <c r="CV3187" s="197"/>
      <c r="CW3187" s="197"/>
      <c r="CX3187" s="959"/>
      <c r="CY3187" s="959"/>
      <c r="CZ3187" s="959"/>
      <c r="DA3187" s="959"/>
      <c r="DB3187" s="959"/>
      <c r="DC3187" s="891">
        <v>9919</v>
      </c>
      <c r="DD3187" s="891" t="s">
        <v>2523</v>
      </c>
      <c r="DE3187" s="891" t="s">
        <v>423</v>
      </c>
      <c r="DF3187" s="891">
        <v>6</v>
      </c>
      <c r="DG3187" s="959"/>
      <c r="DH3187" s="959"/>
      <c r="ER3187" s="905">
        <v>9371</v>
      </c>
      <c r="ES3187" s="906" t="s">
        <v>3858</v>
      </c>
      <c r="ET3187" s="2686">
        <v>9</v>
      </c>
      <c r="EU3187" s="895">
        <v>1</v>
      </c>
      <c r="EV3187" s="985"/>
      <c r="EW3187" s="985"/>
      <c r="EX3187" s="387"/>
      <c r="EY3187" s="939"/>
      <c r="EZ3187" s="886"/>
    </row>
    <row r="3188" spans="88:156">
      <c r="CJ3188" s="197"/>
      <c r="CK3188" s="197"/>
      <c r="CL3188" s="197"/>
      <c r="CM3188" s="213"/>
      <c r="CN3188" s="213"/>
      <c r="CO3188" s="197"/>
      <c r="CP3188" s="197"/>
      <c r="CQ3188" s="197"/>
      <c r="CR3188" s="197"/>
      <c r="CS3188" s="197"/>
      <c r="CT3188" s="197"/>
      <c r="CU3188" s="197"/>
      <c r="CV3188" s="197"/>
      <c r="CW3188" s="197"/>
      <c r="CX3188" s="959"/>
      <c r="CY3188" s="959"/>
      <c r="CZ3188" s="959"/>
      <c r="DA3188" s="959"/>
      <c r="DB3188" s="959"/>
      <c r="DC3188" s="891">
        <v>9921</v>
      </c>
      <c r="DD3188" s="891" t="s">
        <v>2524</v>
      </c>
      <c r="DE3188" s="891" t="s">
        <v>423</v>
      </c>
      <c r="DF3188" s="891">
        <v>6</v>
      </c>
      <c r="DG3188" s="959"/>
      <c r="DH3188" s="959"/>
      <c r="ER3188" s="905">
        <v>9372</v>
      </c>
      <c r="ES3188" s="906" t="s">
        <v>3859</v>
      </c>
      <c r="ET3188" s="2686">
        <v>9</v>
      </c>
      <c r="EV3188" s="985"/>
      <c r="EW3188" s="985"/>
      <c r="EX3188" s="387"/>
      <c r="EY3188" s="939"/>
      <c r="EZ3188" s="886"/>
    </row>
    <row r="3189" spans="88:156">
      <c r="CJ3189" s="197"/>
      <c r="CK3189" s="197"/>
      <c r="CL3189" s="197"/>
      <c r="CM3189" s="213"/>
      <c r="CN3189" s="213"/>
      <c r="CO3189" s="197"/>
      <c r="CP3189" s="197"/>
      <c r="CQ3189" s="197"/>
      <c r="CR3189" s="197"/>
      <c r="CS3189" s="197"/>
      <c r="CT3189" s="197"/>
      <c r="CU3189" s="197"/>
      <c r="CV3189" s="197"/>
      <c r="CW3189" s="197"/>
      <c r="CX3189" s="959"/>
      <c r="CY3189" s="959"/>
      <c r="CZ3189" s="959"/>
      <c r="DA3189" s="959"/>
      <c r="DB3189" s="959"/>
      <c r="DC3189" s="891">
        <v>9922</v>
      </c>
      <c r="DD3189" s="891" t="s">
        <v>2525</v>
      </c>
      <c r="DE3189" s="891" t="s">
        <v>423</v>
      </c>
      <c r="DF3189" s="891">
        <v>6</v>
      </c>
      <c r="DG3189" s="959"/>
      <c r="DH3189" s="959"/>
      <c r="ER3189" s="905">
        <v>9373</v>
      </c>
      <c r="ES3189" s="906" t="s">
        <v>3860</v>
      </c>
      <c r="ET3189" s="2686">
        <v>9</v>
      </c>
      <c r="EV3189" s="985"/>
      <c r="EW3189" s="985"/>
      <c r="EX3189" s="387"/>
      <c r="EY3189" s="939"/>
      <c r="EZ3189" s="886"/>
    </row>
    <row r="3190" spans="88:156">
      <c r="CJ3190" s="197"/>
      <c r="CK3190" s="197"/>
      <c r="CL3190" s="197"/>
      <c r="CM3190" s="213"/>
      <c r="CN3190" s="213"/>
      <c r="CO3190" s="197"/>
      <c r="CP3190" s="197"/>
      <c r="CQ3190" s="197"/>
      <c r="CR3190" s="197"/>
      <c r="CS3190" s="197"/>
      <c r="CT3190" s="197"/>
      <c r="CU3190" s="197"/>
      <c r="CV3190" s="197"/>
      <c r="CW3190" s="197"/>
      <c r="CX3190" s="959"/>
      <c r="CY3190" s="959"/>
      <c r="CZ3190" s="959"/>
      <c r="DA3190" s="959"/>
      <c r="DB3190" s="959"/>
      <c r="DC3190" s="891">
        <v>9923</v>
      </c>
      <c r="DD3190" s="891" t="s">
        <v>2526</v>
      </c>
      <c r="DE3190" s="891" t="s">
        <v>406</v>
      </c>
      <c r="DF3190" s="891">
        <v>6</v>
      </c>
      <c r="DG3190" s="959"/>
      <c r="DH3190" s="959"/>
      <c r="ER3190" s="905">
        <v>9374</v>
      </c>
      <c r="ES3190" s="906" t="s">
        <v>3861</v>
      </c>
      <c r="ET3190" s="2686">
        <v>9</v>
      </c>
      <c r="EV3190" s="985"/>
      <c r="EW3190" s="985"/>
      <c r="EX3190" s="387"/>
      <c r="EY3190" s="939"/>
      <c r="EZ3190" s="886"/>
    </row>
    <row r="3191" spans="88:156">
      <c r="CJ3191" s="197"/>
      <c r="CK3191" s="197"/>
      <c r="CL3191" s="197"/>
      <c r="CM3191" s="213"/>
      <c r="CN3191" s="213"/>
      <c r="CO3191" s="197"/>
      <c r="CP3191" s="197"/>
      <c r="CQ3191" s="197"/>
      <c r="CR3191" s="197"/>
      <c r="CS3191" s="197"/>
      <c r="CT3191" s="197"/>
      <c r="CU3191" s="197"/>
      <c r="CV3191" s="197"/>
      <c r="CW3191" s="197"/>
      <c r="CX3191" s="959"/>
      <c r="CY3191" s="959"/>
      <c r="CZ3191" s="959"/>
      <c r="DA3191" s="959"/>
      <c r="DB3191" s="959"/>
      <c r="DC3191" s="891">
        <v>9931</v>
      </c>
      <c r="DD3191" s="891" t="s">
        <v>2527</v>
      </c>
      <c r="DE3191" s="891" t="s">
        <v>406</v>
      </c>
      <c r="DF3191" s="891">
        <v>6</v>
      </c>
      <c r="DG3191" s="959"/>
      <c r="DH3191" s="959"/>
      <c r="ER3191" s="905">
        <v>9375</v>
      </c>
      <c r="ES3191" s="906" t="s">
        <v>4679</v>
      </c>
      <c r="ET3191" s="2686">
        <v>9</v>
      </c>
      <c r="EV3191" s="985"/>
      <c r="EW3191" s="985"/>
      <c r="EX3191" s="387"/>
      <c r="EY3191" s="939"/>
      <c r="EZ3191" s="886"/>
    </row>
    <row r="3192" spans="88:156">
      <c r="CJ3192" s="197"/>
      <c r="CK3192" s="197"/>
      <c r="CL3192" s="197"/>
      <c r="CM3192" s="213"/>
      <c r="CN3192" s="213"/>
      <c r="CO3192" s="197"/>
      <c r="CP3192" s="197"/>
      <c r="CQ3192" s="197"/>
      <c r="CR3192" s="197"/>
      <c r="CS3192" s="197"/>
      <c r="CT3192" s="197"/>
      <c r="CU3192" s="197"/>
      <c r="CV3192" s="197"/>
      <c r="CW3192" s="197"/>
      <c r="CX3192" s="959"/>
      <c r="CY3192" s="959"/>
      <c r="CZ3192" s="959"/>
      <c r="DA3192" s="959"/>
      <c r="DB3192" s="959"/>
      <c r="DC3192" s="891">
        <v>9932</v>
      </c>
      <c r="DD3192" s="891" t="s">
        <v>4866</v>
      </c>
      <c r="DE3192" s="891" t="s">
        <v>423</v>
      </c>
      <c r="DF3192" s="891">
        <v>6</v>
      </c>
      <c r="DG3192" s="959"/>
      <c r="DH3192" s="959"/>
      <c r="ER3192" s="905">
        <v>9375</v>
      </c>
      <c r="ES3192" s="906" t="s">
        <v>4680</v>
      </c>
      <c r="ET3192" s="2686">
        <v>9</v>
      </c>
      <c r="EV3192" s="985"/>
      <c r="EW3192" s="985"/>
      <c r="EX3192" s="387"/>
      <c r="EY3192" s="939"/>
      <c r="EZ3192" s="886"/>
    </row>
    <row r="3193" spans="88:156">
      <c r="CJ3193" s="197"/>
      <c r="CK3193" s="197"/>
      <c r="CL3193" s="197"/>
      <c r="CM3193" s="213"/>
      <c r="CN3193" s="213"/>
      <c r="CO3193" s="197"/>
      <c r="CP3193" s="197"/>
      <c r="CQ3193" s="197"/>
      <c r="CR3193" s="197"/>
      <c r="CS3193" s="197"/>
      <c r="CT3193" s="197"/>
      <c r="CU3193" s="197"/>
      <c r="CV3193" s="197"/>
      <c r="CW3193" s="197"/>
      <c r="CX3193" s="959"/>
      <c r="CY3193" s="959"/>
      <c r="CZ3193" s="959"/>
      <c r="DA3193" s="959"/>
      <c r="DB3193" s="959"/>
      <c r="DC3193" s="891">
        <v>9933</v>
      </c>
      <c r="DD3193" s="891" t="s">
        <v>4867</v>
      </c>
      <c r="DE3193" s="891" t="s">
        <v>423</v>
      </c>
      <c r="DF3193" s="891">
        <v>6</v>
      </c>
      <c r="DG3193" s="959"/>
      <c r="DH3193" s="959"/>
      <c r="ER3193" s="905">
        <v>9375</v>
      </c>
      <c r="ES3193" s="906" t="s">
        <v>3862</v>
      </c>
      <c r="ET3193" s="2686">
        <v>9</v>
      </c>
      <c r="EV3193" s="985"/>
      <c r="EW3193" s="985"/>
      <c r="EX3193" s="387"/>
      <c r="EY3193" s="939"/>
      <c r="EZ3193" s="886"/>
    </row>
    <row r="3194" spans="88:156">
      <c r="CJ3194" s="197"/>
      <c r="CK3194" s="197"/>
      <c r="CL3194" s="197"/>
      <c r="CM3194" s="213"/>
      <c r="CN3194" s="213"/>
      <c r="CO3194" s="197"/>
      <c r="CP3194" s="197"/>
      <c r="CQ3194" s="197"/>
      <c r="CR3194" s="197"/>
      <c r="CS3194" s="197"/>
      <c r="CT3194" s="197"/>
      <c r="CU3194" s="197"/>
      <c r="CV3194" s="197"/>
      <c r="CW3194" s="197"/>
      <c r="CX3194" s="959"/>
      <c r="CY3194" s="959"/>
      <c r="CZ3194" s="959"/>
      <c r="DA3194" s="959"/>
      <c r="DB3194" s="959"/>
      <c r="DC3194" s="891">
        <v>9934</v>
      </c>
      <c r="DD3194" s="891" t="s">
        <v>4336</v>
      </c>
      <c r="DE3194" s="891" t="s">
        <v>423</v>
      </c>
      <c r="DF3194" s="891">
        <v>6</v>
      </c>
      <c r="DG3194" s="959"/>
      <c r="DH3194" s="959"/>
      <c r="ER3194" s="905">
        <v>9400</v>
      </c>
      <c r="ES3194" s="906" t="s">
        <v>3863</v>
      </c>
      <c r="ET3194" s="2686">
        <v>9</v>
      </c>
      <c r="EU3194" s="895">
        <v>1</v>
      </c>
      <c r="EV3194" s="985"/>
      <c r="EW3194" s="985"/>
      <c r="EX3194" s="387"/>
      <c r="EY3194" s="939"/>
      <c r="EZ3194" s="886"/>
    </row>
    <row r="3195" spans="88:156">
      <c r="CJ3195" s="197"/>
      <c r="CK3195" s="197"/>
      <c r="CL3195" s="197"/>
      <c r="CM3195" s="213"/>
      <c r="CN3195" s="213"/>
      <c r="CO3195" s="197"/>
      <c r="CP3195" s="197"/>
      <c r="CQ3195" s="197"/>
      <c r="CR3195" s="197"/>
      <c r="CS3195" s="197"/>
      <c r="CT3195" s="197"/>
      <c r="CU3195" s="197"/>
      <c r="CV3195" s="197"/>
      <c r="CW3195" s="197"/>
      <c r="CX3195" s="959"/>
      <c r="CY3195" s="959"/>
      <c r="CZ3195" s="959"/>
      <c r="DA3195" s="959"/>
      <c r="DB3195" s="959"/>
      <c r="DC3195" s="891">
        <v>9935</v>
      </c>
      <c r="DD3195" s="891" t="s">
        <v>4337</v>
      </c>
      <c r="DE3195" s="891" t="s">
        <v>423</v>
      </c>
      <c r="DF3195" s="891">
        <v>6</v>
      </c>
      <c r="DG3195" s="959"/>
      <c r="DH3195" s="959"/>
      <c r="ER3195" s="905">
        <v>9407</v>
      </c>
      <c r="ES3195" s="906" t="s">
        <v>4681</v>
      </c>
      <c r="ET3195" s="2686">
        <v>9</v>
      </c>
      <c r="EU3195" s="895">
        <v>1</v>
      </c>
      <c r="EV3195" s="985"/>
      <c r="EW3195" s="985"/>
      <c r="EX3195" s="387"/>
      <c r="EY3195" s="939"/>
      <c r="EZ3195" s="886"/>
    </row>
    <row r="3196" spans="88:156">
      <c r="CJ3196" s="197"/>
      <c r="CK3196" s="197"/>
      <c r="CL3196" s="197"/>
      <c r="CM3196" s="213"/>
      <c r="CN3196" s="213"/>
      <c r="CO3196" s="197"/>
      <c r="CP3196" s="197"/>
      <c r="CQ3196" s="197"/>
      <c r="CR3196" s="197"/>
      <c r="CS3196" s="197"/>
      <c r="CT3196" s="197"/>
      <c r="CU3196" s="197"/>
      <c r="CV3196" s="197"/>
      <c r="CW3196" s="197"/>
      <c r="CX3196" s="959"/>
      <c r="CY3196" s="959"/>
      <c r="CZ3196" s="959"/>
      <c r="DA3196" s="959"/>
      <c r="DB3196" s="959"/>
      <c r="DC3196" s="891">
        <v>9936</v>
      </c>
      <c r="DD3196" s="891" t="s">
        <v>4338</v>
      </c>
      <c r="DE3196" s="891" t="s">
        <v>423</v>
      </c>
      <c r="DF3196" s="891">
        <v>6</v>
      </c>
      <c r="DG3196" s="959"/>
      <c r="DH3196" s="959"/>
      <c r="ER3196" s="905">
        <v>9408</v>
      </c>
      <c r="ES3196" s="906" t="s">
        <v>4682</v>
      </c>
      <c r="ET3196" s="2686">
        <v>9</v>
      </c>
      <c r="EU3196" s="895">
        <v>1</v>
      </c>
      <c r="EV3196" s="985"/>
      <c r="EW3196" s="985"/>
      <c r="EX3196" s="387"/>
      <c r="EY3196" s="939"/>
      <c r="EZ3196" s="886"/>
    </row>
    <row r="3197" spans="88:156">
      <c r="CJ3197" s="197"/>
      <c r="CK3197" s="197"/>
      <c r="CL3197" s="197"/>
      <c r="CM3197" s="213"/>
      <c r="CN3197" s="213"/>
      <c r="CO3197" s="197"/>
      <c r="CP3197" s="197"/>
      <c r="CQ3197" s="197"/>
      <c r="CR3197" s="197"/>
      <c r="CS3197" s="197"/>
      <c r="CT3197" s="197"/>
      <c r="CU3197" s="197"/>
      <c r="CV3197" s="197"/>
      <c r="CW3197" s="197"/>
      <c r="CX3197" s="959"/>
      <c r="CY3197" s="959"/>
      <c r="CZ3197" s="959"/>
      <c r="DA3197" s="959"/>
      <c r="DB3197" s="959"/>
      <c r="DC3197" s="891">
        <v>9937</v>
      </c>
      <c r="DD3197" s="891" t="s">
        <v>4339</v>
      </c>
      <c r="DE3197" s="891" t="s">
        <v>423</v>
      </c>
      <c r="DF3197" s="891">
        <v>6</v>
      </c>
      <c r="DG3197" s="959"/>
      <c r="DH3197" s="959"/>
      <c r="ER3197" s="905">
        <v>9421</v>
      </c>
      <c r="ES3197" s="906" t="s">
        <v>3866</v>
      </c>
      <c r="ET3197" s="2686">
        <v>9</v>
      </c>
      <c r="EV3197" s="985"/>
      <c r="EW3197" s="985"/>
      <c r="EX3197" s="387"/>
      <c r="EY3197" s="939"/>
      <c r="EZ3197" s="886"/>
    </row>
    <row r="3198" spans="88:156">
      <c r="CJ3198" s="197"/>
      <c r="CK3198" s="197"/>
      <c r="CL3198" s="197"/>
      <c r="CM3198" s="213"/>
      <c r="CN3198" s="213"/>
      <c r="CO3198" s="197"/>
      <c r="CP3198" s="197"/>
      <c r="CQ3198" s="197"/>
      <c r="CR3198" s="197"/>
      <c r="CS3198" s="197"/>
      <c r="CT3198" s="197"/>
      <c r="CU3198" s="197"/>
      <c r="CV3198" s="197"/>
      <c r="CW3198" s="197"/>
      <c r="CX3198" s="959"/>
      <c r="CY3198" s="959"/>
      <c r="CZ3198" s="959"/>
      <c r="DA3198" s="959"/>
      <c r="DB3198" s="959"/>
      <c r="DC3198" s="891">
        <v>9938</v>
      </c>
      <c r="DD3198" s="891" t="s">
        <v>4340</v>
      </c>
      <c r="DE3198" s="891" t="s">
        <v>423</v>
      </c>
      <c r="DF3198" s="891">
        <v>6</v>
      </c>
      <c r="DG3198" s="959"/>
      <c r="DH3198" s="959"/>
      <c r="ER3198" s="905">
        <v>9422</v>
      </c>
      <c r="ES3198" s="906" t="s">
        <v>3867</v>
      </c>
      <c r="ET3198" s="2686">
        <v>9</v>
      </c>
      <c r="EU3198" s="895">
        <v>1</v>
      </c>
      <c r="EV3198" s="985"/>
      <c r="EW3198" s="985"/>
      <c r="EX3198" s="387"/>
      <c r="EY3198" s="939"/>
      <c r="EZ3198" s="886"/>
    </row>
    <row r="3199" spans="88:156">
      <c r="CJ3199" s="197"/>
      <c r="CK3199" s="197"/>
      <c r="CL3199" s="197"/>
      <c r="CM3199" s="213"/>
      <c r="CN3199" s="213"/>
      <c r="CO3199" s="197"/>
      <c r="CP3199" s="197"/>
      <c r="CQ3199" s="197"/>
      <c r="CR3199" s="197"/>
      <c r="CS3199" s="197"/>
      <c r="CT3199" s="197"/>
      <c r="CU3199" s="197"/>
      <c r="CV3199" s="197"/>
      <c r="CW3199" s="197"/>
      <c r="CX3199" s="959"/>
      <c r="CY3199" s="959"/>
      <c r="CZ3199" s="959"/>
      <c r="DA3199" s="959"/>
      <c r="DB3199" s="959"/>
      <c r="DC3199" s="891">
        <v>9941</v>
      </c>
      <c r="DD3199" s="891" t="s">
        <v>4341</v>
      </c>
      <c r="DE3199" s="891" t="s">
        <v>423</v>
      </c>
      <c r="DF3199" s="891">
        <v>6</v>
      </c>
      <c r="DG3199" s="959"/>
      <c r="DH3199" s="959"/>
      <c r="ER3199" s="905">
        <v>9423</v>
      </c>
      <c r="ES3199" s="906" t="s">
        <v>3868</v>
      </c>
      <c r="ET3199" s="2686">
        <v>9</v>
      </c>
      <c r="EV3199" s="985"/>
      <c r="EW3199" s="985"/>
      <c r="EX3199" s="387"/>
      <c r="EY3199" s="939"/>
      <c r="EZ3199" s="886"/>
    </row>
    <row r="3200" spans="88:156">
      <c r="CJ3200" s="197"/>
      <c r="CK3200" s="197"/>
      <c r="CL3200" s="197"/>
      <c r="CM3200" s="213"/>
      <c r="CN3200" s="213"/>
      <c r="CO3200" s="197"/>
      <c r="CP3200" s="197"/>
      <c r="CQ3200" s="197"/>
      <c r="CR3200" s="197"/>
      <c r="CS3200" s="197"/>
      <c r="CT3200" s="197"/>
      <c r="CU3200" s="197"/>
      <c r="CV3200" s="197"/>
      <c r="CW3200" s="197"/>
      <c r="CX3200" s="959"/>
      <c r="CY3200" s="959"/>
      <c r="CZ3200" s="959"/>
      <c r="DA3200" s="959"/>
      <c r="DB3200" s="959"/>
      <c r="DC3200" s="891">
        <v>9942</v>
      </c>
      <c r="DD3200" s="891" t="s">
        <v>4342</v>
      </c>
      <c r="DE3200" s="891" t="s">
        <v>423</v>
      </c>
      <c r="DF3200" s="891">
        <v>6</v>
      </c>
      <c r="DG3200" s="959"/>
      <c r="DH3200" s="959"/>
      <c r="ER3200" s="905">
        <v>9431</v>
      </c>
      <c r="ES3200" s="906" t="s">
        <v>4683</v>
      </c>
      <c r="ET3200" s="2686">
        <v>9</v>
      </c>
      <c r="EV3200" s="985"/>
      <c r="EW3200" s="985"/>
      <c r="EX3200" s="387"/>
      <c r="EY3200" s="939"/>
      <c r="EZ3200" s="886"/>
    </row>
    <row r="3201" spans="88:156">
      <c r="CJ3201" s="197"/>
      <c r="CK3201" s="197"/>
      <c r="CL3201" s="197"/>
      <c r="CM3201" s="213"/>
      <c r="CN3201" s="213"/>
      <c r="CO3201" s="197"/>
      <c r="CP3201" s="197"/>
      <c r="CQ3201" s="197"/>
      <c r="CR3201" s="197"/>
      <c r="CS3201" s="197"/>
      <c r="CT3201" s="197"/>
      <c r="CU3201" s="197"/>
      <c r="CV3201" s="197"/>
      <c r="CW3201" s="197"/>
      <c r="CX3201" s="959"/>
      <c r="CY3201" s="959"/>
      <c r="CZ3201" s="959"/>
      <c r="DA3201" s="959"/>
      <c r="DB3201" s="959"/>
      <c r="DC3201" s="891">
        <v>9943</v>
      </c>
      <c r="DD3201" s="891" t="s">
        <v>4343</v>
      </c>
      <c r="DE3201" s="891" t="s">
        <v>423</v>
      </c>
      <c r="DF3201" s="891">
        <v>6</v>
      </c>
      <c r="DG3201" s="959"/>
      <c r="DH3201" s="959"/>
      <c r="ER3201" s="905">
        <v>9433</v>
      </c>
      <c r="ES3201" s="905" t="s">
        <v>4684</v>
      </c>
      <c r="ET3201" s="2686">
        <v>9</v>
      </c>
      <c r="EV3201" s="985"/>
      <c r="EW3201" s="985"/>
      <c r="EX3201" s="387"/>
      <c r="EY3201" s="939"/>
      <c r="EZ3201" s="886"/>
    </row>
    <row r="3202" spans="88:156">
      <c r="CJ3202" s="197"/>
      <c r="CK3202" s="197"/>
      <c r="CL3202" s="197"/>
      <c r="CM3202" s="213"/>
      <c r="CN3202" s="213"/>
      <c r="CO3202" s="197"/>
      <c r="CP3202" s="197"/>
      <c r="CQ3202" s="197"/>
      <c r="CR3202" s="197"/>
      <c r="CS3202" s="197"/>
      <c r="CT3202" s="197"/>
      <c r="CU3202" s="197"/>
      <c r="CV3202" s="197"/>
      <c r="CW3202" s="197"/>
      <c r="CX3202" s="959"/>
      <c r="CY3202" s="959"/>
      <c r="CZ3202" s="959"/>
      <c r="DA3202" s="959"/>
      <c r="DB3202" s="959"/>
      <c r="DC3202" s="891">
        <v>9944</v>
      </c>
      <c r="DD3202" s="891" t="s">
        <v>4344</v>
      </c>
      <c r="DE3202" s="891" t="s">
        <v>423</v>
      </c>
      <c r="DF3202" s="891">
        <v>6</v>
      </c>
      <c r="DG3202" s="959"/>
      <c r="DH3202" s="959"/>
      <c r="ER3202" s="905">
        <v>9434</v>
      </c>
      <c r="ES3202" s="905" t="s">
        <v>4685</v>
      </c>
      <c r="ET3202" s="2686">
        <v>9</v>
      </c>
      <c r="EV3202" s="985"/>
      <c r="EW3202" s="985"/>
      <c r="EX3202" s="387"/>
      <c r="EY3202" s="939"/>
      <c r="EZ3202" s="886"/>
    </row>
    <row r="3203" spans="88:156">
      <c r="CJ3203" s="197"/>
      <c r="CK3203" s="197"/>
      <c r="CL3203" s="197"/>
      <c r="CM3203" s="213"/>
      <c r="CN3203" s="213"/>
      <c r="CO3203" s="197"/>
      <c r="CP3203" s="197"/>
      <c r="CQ3203" s="197"/>
      <c r="CR3203" s="197"/>
      <c r="CS3203" s="197"/>
      <c r="CT3203" s="197"/>
      <c r="CU3203" s="197"/>
      <c r="CV3203" s="197"/>
      <c r="CW3203" s="197"/>
      <c r="CX3203" s="959"/>
      <c r="CY3203" s="959"/>
      <c r="CZ3203" s="959"/>
      <c r="DA3203" s="959"/>
      <c r="DB3203" s="959"/>
      <c r="DC3203" s="891">
        <v>9945</v>
      </c>
      <c r="DD3203" s="891" t="s">
        <v>3510</v>
      </c>
      <c r="DE3203" s="891" t="s">
        <v>423</v>
      </c>
      <c r="DF3203" s="891">
        <v>6</v>
      </c>
      <c r="DG3203" s="959"/>
      <c r="DH3203" s="959"/>
      <c r="ER3203" s="905">
        <v>9435</v>
      </c>
      <c r="ES3203" s="906" t="s">
        <v>4769</v>
      </c>
      <c r="ET3203" s="2686">
        <v>9</v>
      </c>
      <c r="EU3203" s="895">
        <v>1</v>
      </c>
      <c r="EV3203" s="985"/>
      <c r="EW3203" s="985"/>
      <c r="EX3203" s="387"/>
      <c r="EY3203" s="939"/>
      <c r="EZ3203" s="886"/>
    </row>
    <row r="3204" spans="88:156">
      <c r="CJ3204" s="197"/>
      <c r="CK3204" s="197"/>
      <c r="CL3204" s="197"/>
      <c r="CM3204" s="213"/>
      <c r="CN3204" s="213"/>
      <c r="CO3204" s="197"/>
      <c r="CP3204" s="197"/>
      <c r="CQ3204" s="197"/>
      <c r="CR3204" s="197"/>
      <c r="CS3204" s="197"/>
      <c r="CT3204" s="197"/>
      <c r="CU3204" s="197"/>
      <c r="CV3204" s="197"/>
      <c r="CW3204" s="197"/>
      <c r="CX3204" s="959"/>
      <c r="CY3204" s="959"/>
      <c r="CZ3204" s="959"/>
      <c r="DA3204" s="959"/>
      <c r="DB3204" s="959"/>
      <c r="DC3204" s="891">
        <v>9946</v>
      </c>
      <c r="DD3204" s="891" t="s">
        <v>3511</v>
      </c>
      <c r="DE3204" s="891" t="s">
        <v>406</v>
      </c>
      <c r="DF3204" s="891">
        <v>6</v>
      </c>
      <c r="DG3204" s="959"/>
      <c r="DH3204" s="959"/>
      <c r="ER3204" s="905">
        <v>9436</v>
      </c>
      <c r="ES3204" s="906" t="s">
        <v>4770</v>
      </c>
      <c r="ET3204" s="2686">
        <v>9</v>
      </c>
      <c r="EV3204" s="985"/>
      <c r="EW3204" s="985"/>
      <c r="EX3204" s="387"/>
      <c r="EY3204" s="939"/>
      <c r="EZ3204" s="886"/>
    </row>
    <row r="3205" spans="88:156">
      <c r="CJ3205" s="197"/>
      <c r="CK3205" s="197"/>
      <c r="CL3205" s="197"/>
      <c r="CM3205" s="213"/>
      <c r="CN3205" s="213"/>
      <c r="CO3205" s="197"/>
      <c r="CP3205" s="197"/>
      <c r="CQ3205" s="197"/>
      <c r="CR3205" s="197"/>
      <c r="CS3205" s="197"/>
      <c r="CT3205" s="197"/>
      <c r="CU3205" s="197"/>
      <c r="CV3205" s="197"/>
      <c r="CW3205" s="197"/>
      <c r="CX3205" s="959"/>
      <c r="CY3205" s="959"/>
      <c r="CZ3205" s="959"/>
      <c r="DA3205" s="959"/>
      <c r="DB3205" s="959"/>
      <c r="DC3205" s="891">
        <v>9951</v>
      </c>
      <c r="DD3205" s="891" t="s">
        <v>3512</v>
      </c>
      <c r="DE3205" s="891" t="s">
        <v>423</v>
      </c>
      <c r="DF3205" s="891">
        <v>6</v>
      </c>
      <c r="DG3205" s="959"/>
      <c r="DH3205" s="959"/>
      <c r="ER3205" s="905">
        <v>9437</v>
      </c>
      <c r="ES3205" s="906" t="s">
        <v>4771</v>
      </c>
      <c r="ET3205" s="2686">
        <v>9</v>
      </c>
      <c r="EU3205" s="895">
        <v>1</v>
      </c>
      <c r="EV3205" s="985"/>
      <c r="EW3205" s="985"/>
      <c r="EX3205" s="387"/>
      <c r="EY3205" s="939"/>
      <c r="EZ3205" s="886"/>
    </row>
    <row r="3206" spans="88:156">
      <c r="CJ3206" s="197"/>
      <c r="CK3206" s="197"/>
      <c r="CL3206" s="197"/>
      <c r="CM3206" s="213"/>
      <c r="CN3206" s="213"/>
      <c r="CO3206" s="197"/>
      <c r="CP3206" s="197"/>
      <c r="CQ3206" s="197"/>
      <c r="CR3206" s="197"/>
      <c r="CS3206" s="197"/>
      <c r="CT3206" s="197"/>
      <c r="CU3206" s="197"/>
      <c r="CV3206" s="197"/>
      <c r="CW3206" s="197"/>
      <c r="CX3206" s="959"/>
      <c r="CY3206" s="959"/>
      <c r="CZ3206" s="959"/>
      <c r="DA3206" s="959"/>
      <c r="DB3206" s="959"/>
      <c r="DC3206" s="891">
        <v>9952</v>
      </c>
      <c r="DD3206" s="891" t="s">
        <v>3513</v>
      </c>
      <c r="DE3206" s="891" t="s">
        <v>428</v>
      </c>
      <c r="DF3206" s="891">
        <v>6</v>
      </c>
      <c r="DG3206" s="959"/>
      <c r="DH3206" s="959"/>
      <c r="ER3206" s="905">
        <v>9438</v>
      </c>
      <c r="ES3206" s="905" t="s">
        <v>4686</v>
      </c>
      <c r="ET3206" s="2686">
        <v>9</v>
      </c>
      <c r="EV3206" s="985"/>
      <c r="EW3206" s="985"/>
      <c r="EX3206" s="387"/>
      <c r="EY3206" s="939"/>
      <c r="EZ3206" s="886"/>
    </row>
    <row r="3207" spans="88:156">
      <c r="CJ3207" s="197"/>
      <c r="CK3207" s="197"/>
      <c r="CL3207" s="197"/>
      <c r="CM3207" s="213"/>
      <c r="CN3207" s="213"/>
      <c r="CO3207" s="197"/>
      <c r="CP3207" s="197"/>
      <c r="CQ3207" s="197"/>
      <c r="CR3207" s="197"/>
      <c r="CS3207" s="197"/>
      <c r="CT3207" s="197"/>
      <c r="CU3207" s="197"/>
      <c r="CV3207" s="197"/>
      <c r="CW3207" s="197"/>
      <c r="CX3207" s="959"/>
      <c r="CY3207" s="959"/>
      <c r="CZ3207" s="959"/>
      <c r="DA3207" s="959"/>
      <c r="DB3207" s="959"/>
      <c r="DC3207" s="891">
        <v>9953</v>
      </c>
      <c r="DD3207" s="891" t="s">
        <v>3514</v>
      </c>
      <c r="DE3207" s="891" t="s">
        <v>402</v>
      </c>
      <c r="DF3207" s="891">
        <v>6</v>
      </c>
      <c r="DG3207" s="959"/>
      <c r="DH3207" s="959"/>
      <c r="ER3207" s="905">
        <v>9441</v>
      </c>
      <c r="ES3207" s="906" t="s">
        <v>4772</v>
      </c>
      <c r="ET3207" s="2686">
        <v>9</v>
      </c>
      <c r="EU3207" s="895">
        <v>1</v>
      </c>
      <c r="EV3207" s="985"/>
      <c r="EW3207" s="985"/>
      <c r="EX3207" s="387"/>
      <c r="EY3207" s="939"/>
      <c r="EZ3207" s="886"/>
    </row>
    <row r="3208" spans="88:156">
      <c r="CJ3208" s="197"/>
      <c r="CK3208" s="197"/>
      <c r="CL3208" s="197"/>
      <c r="CM3208" s="213"/>
      <c r="CN3208" s="213"/>
      <c r="CO3208" s="197"/>
      <c r="CP3208" s="197"/>
      <c r="CQ3208" s="197"/>
      <c r="CR3208" s="197"/>
      <c r="CS3208" s="197"/>
      <c r="CT3208" s="197"/>
      <c r="CU3208" s="197"/>
      <c r="CV3208" s="197"/>
      <c r="CW3208" s="197"/>
      <c r="CX3208" s="959"/>
      <c r="CY3208" s="959"/>
      <c r="CZ3208" s="959"/>
      <c r="DA3208" s="959"/>
      <c r="DB3208" s="959"/>
      <c r="DC3208" s="891">
        <v>9954</v>
      </c>
      <c r="DD3208" s="891" t="s">
        <v>3515</v>
      </c>
      <c r="DE3208" s="891" t="s">
        <v>417</v>
      </c>
      <c r="DF3208" s="891">
        <v>6</v>
      </c>
      <c r="DG3208" s="959"/>
      <c r="DH3208" s="959"/>
      <c r="ER3208" s="905">
        <v>9442</v>
      </c>
      <c r="ES3208" s="906" t="s">
        <v>4773</v>
      </c>
      <c r="ET3208" s="2686">
        <v>9</v>
      </c>
      <c r="EV3208" s="985"/>
      <c r="EW3208" s="985"/>
      <c r="EX3208" s="387"/>
      <c r="EY3208" s="939"/>
      <c r="EZ3208" s="886"/>
    </row>
    <row r="3209" spans="88:156">
      <c r="CJ3209" s="197"/>
      <c r="CK3209" s="197"/>
      <c r="CL3209" s="197"/>
      <c r="CM3209" s="213"/>
      <c r="CN3209" s="213"/>
      <c r="CO3209" s="197"/>
      <c r="CP3209" s="197"/>
      <c r="CQ3209" s="197"/>
      <c r="CR3209" s="197"/>
      <c r="CS3209" s="197"/>
      <c r="CT3209" s="197"/>
      <c r="CU3209" s="197"/>
      <c r="CV3209" s="197"/>
      <c r="CW3209" s="197"/>
      <c r="CX3209" s="959"/>
      <c r="CY3209" s="959"/>
      <c r="CZ3209" s="959"/>
      <c r="DA3209" s="959"/>
      <c r="DB3209" s="959"/>
      <c r="DC3209" s="891">
        <v>9955</v>
      </c>
      <c r="DD3209" s="891" t="s">
        <v>1132</v>
      </c>
      <c r="DE3209" s="891" t="s">
        <v>417</v>
      </c>
      <c r="DF3209" s="891">
        <v>6</v>
      </c>
      <c r="DG3209" s="959"/>
      <c r="DH3209" s="959"/>
      <c r="ER3209" s="905">
        <v>9443</v>
      </c>
      <c r="ES3209" s="906" t="s">
        <v>4774</v>
      </c>
      <c r="ET3209" s="2686">
        <v>9</v>
      </c>
      <c r="EV3209" s="985"/>
      <c r="EW3209" s="985"/>
      <c r="EX3209" s="387"/>
      <c r="EY3209" s="939"/>
      <c r="EZ3209" s="886"/>
    </row>
    <row r="3210" spans="88:156">
      <c r="CJ3210" s="197"/>
      <c r="CK3210" s="197"/>
      <c r="CL3210" s="197"/>
      <c r="CM3210" s="213"/>
      <c r="CN3210" s="213"/>
      <c r="CO3210" s="197"/>
      <c r="CP3210" s="197"/>
      <c r="CQ3210" s="197"/>
      <c r="CR3210" s="197"/>
      <c r="CS3210" s="197"/>
      <c r="CT3210" s="197"/>
      <c r="CU3210" s="197"/>
      <c r="CV3210" s="197"/>
      <c r="CW3210" s="197"/>
      <c r="CX3210" s="959"/>
      <c r="CY3210" s="959"/>
      <c r="CZ3210" s="959"/>
      <c r="DA3210" s="959"/>
      <c r="DB3210" s="959"/>
      <c r="DC3210" s="891">
        <v>9961</v>
      </c>
      <c r="DD3210" s="891" t="s">
        <v>1133</v>
      </c>
      <c r="DE3210" s="891" t="s">
        <v>417</v>
      </c>
      <c r="DF3210" s="891">
        <v>6</v>
      </c>
      <c r="DG3210" s="959"/>
      <c r="DH3210" s="959"/>
      <c r="ER3210" s="905">
        <v>9444</v>
      </c>
      <c r="ES3210" s="906" t="s">
        <v>4775</v>
      </c>
      <c r="ET3210" s="2686">
        <v>9</v>
      </c>
      <c r="EV3210" s="985"/>
      <c r="EW3210" s="985"/>
      <c r="EX3210" s="387"/>
      <c r="EY3210" s="939"/>
      <c r="EZ3210" s="886"/>
    </row>
    <row r="3211" spans="88:156">
      <c r="CJ3211" s="197"/>
      <c r="CK3211" s="197"/>
      <c r="CL3211" s="197"/>
      <c r="CM3211" s="213"/>
      <c r="CN3211" s="213"/>
      <c r="CO3211" s="197"/>
      <c r="CP3211" s="197"/>
      <c r="CQ3211" s="197"/>
      <c r="CR3211" s="197"/>
      <c r="CS3211" s="197"/>
      <c r="CT3211" s="197"/>
      <c r="CU3211" s="197"/>
      <c r="CV3211" s="197"/>
      <c r="CW3211" s="197"/>
      <c r="CX3211" s="959"/>
      <c r="CY3211" s="959"/>
      <c r="CZ3211" s="959"/>
      <c r="DA3211" s="959"/>
      <c r="DB3211" s="959"/>
      <c r="DC3211" s="891">
        <v>9962</v>
      </c>
      <c r="DD3211" s="891" t="s">
        <v>1134</v>
      </c>
      <c r="DE3211" s="891" t="s">
        <v>417</v>
      </c>
      <c r="DF3211" s="891">
        <v>6</v>
      </c>
      <c r="DG3211" s="959"/>
      <c r="DH3211" s="959"/>
      <c r="ER3211" s="905">
        <v>9451</v>
      </c>
      <c r="ES3211" s="906" t="s">
        <v>4687</v>
      </c>
      <c r="ET3211" s="2686">
        <v>9</v>
      </c>
      <c r="EV3211" s="985"/>
      <c r="EW3211" s="985"/>
      <c r="EX3211" s="387"/>
      <c r="EY3211" s="939"/>
      <c r="EZ3211" s="886"/>
    </row>
    <row r="3212" spans="88:156">
      <c r="CJ3212" s="197"/>
      <c r="CK3212" s="197"/>
      <c r="CL3212" s="197"/>
      <c r="CM3212" s="213"/>
      <c r="CN3212" s="213"/>
      <c r="CO3212" s="197"/>
      <c r="CP3212" s="197"/>
      <c r="CQ3212" s="197"/>
      <c r="CR3212" s="197"/>
      <c r="CS3212" s="197"/>
      <c r="CT3212" s="197"/>
      <c r="CU3212" s="197"/>
      <c r="CV3212" s="197"/>
      <c r="CW3212" s="197"/>
      <c r="CX3212" s="959"/>
      <c r="CY3212" s="959"/>
      <c r="CZ3212" s="959"/>
      <c r="DA3212" s="959"/>
      <c r="DB3212" s="959"/>
      <c r="DC3212" s="891">
        <v>9970</v>
      </c>
      <c r="DD3212" s="891" t="s">
        <v>1135</v>
      </c>
      <c r="DE3212" s="891" t="s">
        <v>417</v>
      </c>
      <c r="DF3212" s="891">
        <v>6</v>
      </c>
      <c r="DG3212" s="959"/>
      <c r="DH3212" s="959"/>
      <c r="ER3212" s="905">
        <v>9451</v>
      </c>
      <c r="ES3212" s="906" t="s">
        <v>4776</v>
      </c>
      <c r="ET3212" s="2686">
        <v>9</v>
      </c>
      <c r="EV3212" s="985"/>
      <c r="EW3212" s="985"/>
      <c r="EX3212" s="387"/>
      <c r="EY3212" s="939"/>
      <c r="EZ3212" s="886"/>
    </row>
    <row r="3213" spans="88:156">
      <c r="CJ3213" s="197"/>
      <c r="CK3213" s="197"/>
      <c r="CL3213" s="197"/>
      <c r="CM3213" s="213"/>
      <c r="CN3213" s="213"/>
      <c r="CO3213" s="197"/>
      <c r="CP3213" s="197"/>
      <c r="CQ3213" s="197"/>
      <c r="CR3213" s="197"/>
      <c r="CS3213" s="197"/>
      <c r="CT3213" s="197"/>
      <c r="CU3213" s="197"/>
      <c r="CV3213" s="197"/>
      <c r="CW3213" s="197"/>
      <c r="CX3213" s="959"/>
      <c r="CY3213" s="959"/>
      <c r="CZ3213" s="959"/>
      <c r="DA3213" s="959"/>
      <c r="DB3213" s="959"/>
      <c r="DC3213" s="891">
        <v>9981</v>
      </c>
      <c r="DD3213" s="891" t="s">
        <v>1136</v>
      </c>
      <c r="DE3213" s="891" t="s">
        <v>417</v>
      </c>
      <c r="DF3213" s="891">
        <v>6</v>
      </c>
      <c r="DG3213" s="959"/>
      <c r="DH3213" s="959"/>
      <c r="ER3213" s="905">
        <v>9461</v>
      </c>
      <c r="ES3213" s="906" t="s">
        <v>4777</v>
      </c>
      <c r="ET3213" s="2686">
        <v>9</v>
      </c>
      <c r="EV3213" s="985"/>
      <c r="EW3213" s="985"/>
      <c r="EX3213" s="387"/>
      <c r="EY3213" s="939"/>
      <c r="EZ3213" s="886"/>
    </row>
    <row r="3214" spans="88:156">
      <c r="CJ3214" s="197"/>
      <c r="CK3214" s="197"/>
      <c r="CL3214" s="197"/>
      <c r="CM3214" s="213"/>
      <c r="CN3214" s="213"/>
      <c r="CO3214" s="197"/>
      <c r="CP3214" s="197"/>
      <c r="CQ3214" s="197"/>
      <c r="CR3214" s="197"/>
      <c r="CS3214" s="197"/>
      <c r="CT3214" s="197"/>
      <c r="CU3214" s="197"/>
      <c r="CV3214" s="197"/>
      <c r="CW3214" s="197"/>
      <c r="CX3214" s="959"/>
      <c r="CY3214" s="959"/>
      <c r="CZ3214" s="959"/>
      <c r="DA3214" s="959"/>
      <c r="DB3214" s="959"/>
      <c r="DC3214" s="891">
        <v>9982</v>
      </c>
      <c r="DD3214" s="891" t="s">
        <v>1137</v>
      </c>
      <c r="DE3214" s="891" t="s">
        <v>417</v>
      </c>
      <c r="DF3214" s="891">
        <v>6</v>
      </c>
      <c r="DG3214" s="959"/>
      <c r="DH3214" s="959"/>
      <c r="ER3214" s="905">
        <v>9462</v>
      </c>
      <c r="ES3214" s="906" t="s">
        <v>4778</v>
      </c>
      <c r="ET3214" s="2686">
        <v>9</v>
      </c>
      <c r="EV3214" s="985"/>
      <c r="EW3214" s="985"/>
      <c r="EX3214" s="387"/>
      <c r="EY3214" s="939"/>
      <c r="EZ3214" s="886"/>
    </row>
    <row r="3215" spans="88:156">
      <c r="CJ3215" s="197"/>
      <c r="CK3215" s="197"/>
      <c r="CL3215" s="197"/>
      <c r="CM3215" s="213"/>
      <c r="CN3215" s="213"/>
      <c r="CO3215" s="197"/>
      <c r="CP3215" s="197"/>
      <c r="CQ3215" s="197"/>
      <c r="CR3215" s="197"/>
      <c r="CS3215" s="197"/>
      <c r="CT3215" s="197"/>
      <c r="CU3215" s="197"/>
      <c r="CV3215" s="197"/>
      <c r="CW3215" s="197"/>
      <c r="CX3215" s="959"/>
      <c r="CY3215" s="959"/>
      <c r="CZ3215" s="959"/>
      <c r="DA3215" s="959"/>
      <c r="DB3215" s="959"/>
      <c r="DC3215" s="891">
        <v>9983</v>
      </c>
      <c r="DD3215" s="891" t="s">
        <v>1138</v>
      </c>
      <c r="DE3215" s="891" t="s">
        <v>417</v>
      </c>
      <c r="DF3215" s="891">
        <v>6</v>
      </c>
      <c r="DG3215" s="959"/>
      <c r="DH3215" s="959"/>
      <c r="ER3215" s="905">
        <v>9463</v>
      </c>
      <c r="ES3215" s="906" t="s">
        <v>4779</v>
      </c>
      <c r="ET3215" s="2686">
        <v>9</v>
      </c>
      <c r="EV3215" s="985"/>
      <c r="EW3215" s="985"/>
      <c r="EX3215" s="387"/>
      <c r="EY3215" s="939"/>
      <c r="EZ3215" s="886"/>
    </row>
    <row r="3216" spans="88:156">
      <c r="CJ3216" s="197"/>
      <c r="CK3216" s="197"/>
      <c r="CL3216" s="197"/>
      <c r="CM3216" s="213"/>
      <c r="CN3216" s="213"/>
      <c r="CO3216" s="197"/>
      <c r="CP3216" s="197"/>
      <c r="CQ3216" s="197"/>
      <c r="CR3216" s="197"/>
      <c r="CS3216" s="197"/>
      <c r="CT3216" s="197"/>
      <c r="CU3216" s="197"/>
      <c r="CV3216" s="197"/>
      <c r="CW3216" s="197"/>
      <c r="CX3216" s="959"/>
      <c r="CY3216" s="959"/>
      <c r="CZ3216" s="959"/>
      <c r="DA3216" s="959"/>
      <c r="DB3216" s="959"/>
      <c r="DC3216" s="891">
        <v>9985</v>
      </c>
      <c r="DD3216" s="891" t="s">
        <v>1139</v>
      </c>
      <c r="DE3216" s="891" t="s">
        <v>417</v>
      </c>
      <c r="DF3216" s="891">
        <v>6</v>
      </c>
      <c r="DG3216" s="959"/>
      <c r="DH3216" s="959"/>
      <c r="ER3216" s="905">
        <v>9464</v>
      </c>
      <c r="ES3216" s="906" t="s">
        <v>4780</v>
      </c>
      <c r="ET3216" s="2686">
        <v>9</v>
      </c>
      <c r="EV3216" s="985"/>
      <c r="EW3216" s="985"/>
      <c r="EX3216" s="387"/>
      <c r="EY3216" s="939"/>
      <c r="EZ3216" s="886"/>
    </row>
    <row r="3217" spans="88:156">
      <c r="CJ3217" s="197"/>
      <c r="CK3217" s="197"/>
      <c r="CL3217" s="197"/>
      <c r="CM3217" s="213"/>
      <c r="CN3217" s="213"/>
      <c r="CO3217" s="197"/>
      <c r="CP3217" s="197"/>
      <c r="CQ3217" s="197"/>
      <c r="CR3217" s="197"/>
      <c r="CS3217" s="197"/>
      <c r="CT3217" s="197"/>
      <c r="CU3217" s="197"/>
      <c r="CV3217" s="197"/>
      <c r="CW3217" s="197"/>
      <c r="CX3217" s="959"/>
      <c r="CY3217" s="959"/>
      <c r="CZ3217" s="959"/>
      <c r="DA3217" s="959"/>
      <c r="DB3217" s="959"/>
      <c r="DG3217" s="959"/>
      <c r="DH3217" s="959"/>
      <c r="ER3217" s="905">
        <v>9471</v>
      </c>
      <c r="ES3217" s="906" t="s">
        <v>4781</v>
      </c>
      <c r="ET3217" s="2686">
        <v>9</v>
      </c>
      <c r="EV3217" s="985"/>
      <c r="EW3217" s="985"/>
      <c r="EX3217" s="387"/>
      <c r="EY3217" s="939"/>
      <c r="EZ3217" s="886"/>
    </row>
    <row r="3218" spans="88:156">
      <c r="CJ3218" s="197"/>
      <c r="CK3218" s="197"/>
      <c r="CL3218" s="197"/>
      <c r="CM3218" s="213"/>
      <c r="CN3218" s="213"/>
      <c r="CO3218" s="197"/>
      <c r="CP3218" s="197"/>
      <c r="CQ3218" s="197"/>
      <c r="CR3218" s="197"/>
      <c r="CS3218" s="197"/>
      <c r="CT3218" s="197"/>
      <c r="CU3218" s="197"/>
      <c r="CV3218" s="197"/>
      <c r="CW3218" s="197"/>
      <c r="CX3218" s="959"/>
      <c r="CY3218" s="959"/>
      <c r="CZ3218" s="959"/>
      <c r="DA3218" s="959"/>
      <c r="DB3218" s="959"/>
      <c r="DG3218" s="959"/>
      <c r="DH3218" s="959"/>
      <c r="ER3218" s="905">
        <v>9472</v>
      </c>
      <c r="ES3218" s="906" t="s">
        <v>4782</v>
      </c>
      <c r="ET3218" s="2686">
        <v>9</v>
      </c>
      <c r="EV3218" s="985"/>
      <c r="EW3218" s="985"/>
      <c r="EX3218" s="387"/>
      <c r="EY3218" s="939"/>
      <c r="EZ3218" s="886"/>
    </row>
    <row r="3219" spans="88:156">
      <c r="CJ3219" s="197"/>
      <c r="CK3219" s="197"/>
      <c r="CL3219" s="197"/>
      <c r="CM3219" s="213"/>
      <c r="CN3219" s="213"/>
      <c r="CO3219" s="197"/>
      <c r="CP3219" s="197"/>
      <c r="CQ3219" s="197"/>
      <c r="CR3219" s="197"/>
      <c r="CS3219" s="197"/>
      <c r="CT3219" s="197"/>
      <c r="CU3219" s="197"/>
      <c r="CV3219" s="197"/>
      <c r="CW3219" s="197"/>
      <c r="CX3219" s="959"/>
      <c r="CY3219" s="959"/>
      <c r="CZ3219" s="959"/>
      <c r="DA3219" s="959"/>
      <c r="DB3219" s="959"/>
      <c r="DG3219" s="959"/>
      <c r="DH3219" s="959"/>
      <c r="ER3219" s="905">
        <v>9473</v>
      </c>
      <c r="ES3219" s="906" t="s">
        <v>4783</v>
      </c>
      <c r="ET3219" s="2686">
        <v>9</v>
      </c>
      <c r="EV3219" s="985"/>
      <c r="EW3219" s="985"/>
      <c r="EX3219" s="387"/>
      <c r="EY3219" s="939"/>
      <c r="EZ3219" s="886"/>
    </row>
    <row r="3220" spans="88:156">
      <c r="CJ3220" s="197"/>
      <c r="CK3220" s="197"/>
      <c r="CL3220" s="197"/>
      <c r="CM3220" s="213"/>
      <c r="CN3220" s="213"/>
      <c r="CO3220" s="197"/>
      <c r="CP3220" s="197"/>
      <c r="CQ3220" s="197"/>
      <c r="CR3220" s="197"/>
      <c r="CS3220" s="197"/>
      <c r="CT3220" s="197"/>
      <c r="CU3220" s="197"/>
      <c r="CV3220" s="197"/>
      <c r="CW3220" s="197"/>
      <c r="CX3220" s="959"/>
      <c r="CY3220" s="959"/>
      <c r="CZ3220" s="959"/>
      <c r="DA3220" s="959"/>
      <c r="DB3220" s="959"/>
      <c r="DG3220" s="959"/>
      <c r="DH3220" s="959"/>
      <c r="ER3220" s="905">
        <v>9474</v>
      </c>
      <c r="ES3220" s="906" t="s">
        <v>4688</v>
      </c>
      <c r="ET3220" s="2686">
        <v>9</v>
      </c>
      <c r="EV3220" s="985"/>
      <c r="EW3220" s="985"/>
      <c r="EX3220" s="387"/>
      <c r="EY3220" s="939"/>
      <c r="EZ3220" s="886"/>
    </row>
    <row r="3221" spans="88:156">
      <c r="CJ3221" s="197"/>
      <c r="CK3221" s="197"/>
      <c r="CL3221" s="197"/>
      <c r="CM3221" s="213"/>
      <c r="CN3221" s="213"/>
      <c r="CO3221" s="197"/>
      <c r="CP3221" s="197"/>
      <c r="CQ3221" s="197"/>
      <c r="CR3221" s="197"/>
      <c r="CS3221" s="197"/>
      <c r="CT3221" s="197"/>
      <c r="CU3221" s="197"/>
      <c r="CV3221" s="197"/>
      <c r="CW3221" s="197"/>
      <c r="CX3221" s="959"/>
      <c r="CY3221" s="959"/>
      <c r="CZ3221" s="959"/>
      <c r="DA3221" s="959"/>
      <c r="DB3221" s="959"/>
      <c r="DG3221" s="959"/>
      <c r="DH3221" s="959"/>
      <c r="ER3221" s="905">
        <v>9474</v>
      </c>
      <c r="ES3221" s="906" t="s">
        <v>4784</v>
      </c>
      <c r="ET3221" s="2686">
        <v>9</v>
      </c>
      <c r="EV3221" s="985"/>
      <c r="EW3221" s="985"/>
      <c r="EX3221" s="387"/>
      <c r="EY3221" s="939"/>
      <c r="EZ3221" s="886"/>
    </row>
    <row r="3222" spans="88:156">
      <c r="CJ3222" s="197"/>
      <c r="CK3222" s="197"/>
      <c r="CL3222" s="197"/>
      <c r="CM3222" s="213"/>
      <c r="CN3222" s="213"/>
      <c r="CO3222" s="197"/>
      <c r="CP3222" s="197"/>
      <c r="CQ3222" s="197"/>
      <c r="CR3222" s="197"/>
      <c r="CS3222" s="197"/>
      <c r="CT3222" s="197"/>
      <c r="CU3222" s="197"/>
      <c r="CV3222" s="197"/>
      <c r="CW3222" s="197"/>
      <c r="CX3222" s="959"/>
      <c r="CY3222" s="959"/>
      <c r="CZ3222" s="959"/>
      <c r="DA3222" s="959"/>
      <c r="DB3222" s="959"/>
      <c r="DG3222" s="959"/>
      <c r="DH3222" s="959"/>
      <c r="ER3222" s="905">
        <v>9475</v>
      </c>
      <c r="ES3222" s="906" t="s">
        <v>4785</v>
      </c>
      <c r="ET3222" s="2686">
        <v>9</v>
      </c>
      <c r="EV3222" s="985"/>
      <c r="EW3222" s="985"/>
      <c r="EX3222" s="387"/>
      <c r="EY3222" s="939"/>
      <c r="EZ3222" s="886"/>
    </row>
    <row r="3223" spans="88:156">
      <c r="CJ3223" s="197"/>
      <c r="CK3223" s="197"/>
      <c r="CL3223" s="197"/>
      <c r="CM3223" s="213"/>
      <c r="CN3223" s="213"/>
      <c r="CO3223" s="197"/>
      <c r="CP3223" s="197"/>
      <c r="CQ3223" s="197"/>
      <c r="CR3223" s="197"/>
      <c r="CS3223" s="197"/>
      <c r="CT3223" s="197"/>
      <c r="CU3223" s="197"/>
      <c r="CV3223" s="197"/>
      <c r="CW3223" s="197"/>
      <c r="CX3223" s="959"/>
      <c r="CY3223" s="959"/>
      <c r="CZ3223" s="959"/>
      <c r="DA3223" s="959"/>
      <c r="DB3223" s="959"/>
      <c r="DG3223" s="959"/>
      <c r="DH3223" s="959"/>
      <c r="ER3223" s="905">
        <v>9476</v>
      </c>
      <c r="ES3223" s="906" t="s">
        <v>4786</v>
      </c>
      <c r="ET3223" s="2686">
        <v>9</v>
      </c>
      <c r="EV3223" s="985"/>
      <c r="EW3223" s="985"/>
      <c r="EX3223" s="387"/>
      <c r="EY3223" s="939"/>
      <c r="EZ3223" s="886"/>
    </row>
    <row r="3224" spans="88:156">
      <c r="CJ3224" s="197"/>
      <c r="CK3224" s="197"/>
      <c r="CL3224" s="197"/>
      <c r="CM3224" s="213"/>
      <c r="CN3224" s="213"/>
      <c r="CO3224" s="197"/>
      <c r="CP3224" s="197"/>
      <c r="CQ3224" s="197"/>
      <c r="CR3224" s="197"/>
      <c r="CS3224" s="197"/>
      <c r="CT3224" s="197"/>
      <c r="CU3224" s="197"/>
      <c r="CV3224" s="197"/>
      <c r="CW3224" s="197"/>
      <c r="CX3224" s="959"/>
      <c r="CY3224" s="959"/>
      <c r="CZ3224" s="959"/>
      <c r="DA3224" s="959"/>
      <c r="DB3224" s="959"/>
      <c r="DG3224" s="959"/>
      <c r="DH3224" s="959"/>
      <c r="ER3224" s="905">
        <v>9481</v>
      </c>
      <c r="ES3224" s="906" t="s">
        <v>4787</v>
      </c>
      <c r="ET3224" s="2686">
        <v>9</v>
      </c>
      <c r="EV3224" s="985"/>
      <c r="EW3224" s="985"/>
      <c r="EX3224" s="387"/>
      <c r="EY3224" s="939"/>
      <c r="EZ3224" s="886"/>
    </row>
    <row r="3225" spans="88:156">
      <c r="CJ3225" s="197"/>
      <c r="CK3225" s="197"/>
      <c r="CL3225" s="197"/>
      <c r="CM3225" s="213"/>
      <c r="CN3225" s="213"/>
      <c r="CO3225" s="197"/>
      <c r="CP3225" s="197"/>
      <c r="CQ3225" s="197"/>
      <c r="CR3225" s="197"/>
      <c r="CS3225" s="197"/>
      <c r="CT3225" s="197"/>
      <c r="CU3225" s="197"/>
      <c r="CV3225" s="197"/>
      <c r="CW3225" s="197"/>
      <c r="CX3225" s="959"/>
      <c r="CY3225" s="959"/>
      <c r="CZ3225" s="959"/>
      <c r="DA3225" s="959"/>
      <c r="DB3225" s="959"/>
      <c r="DG3225" s="959"/>
      <c r="DH3225" s="959"/>
      <c r="ER3225" s="905">
        <v>9482</v>
      </c>
      <c r="ES3225" s="906" t="s">
        <v>4788</v>
      </c>
      <c r="ET3225" s="2686">
        <v>9</v>
      </c>
      <c r="EV3225" s="985"/>
      <c r="EW3225" s="985"/>
      <c r="EX3225" s="387"/>
      <c r="EY3225" s="939"/>
      <c r="EZ3225" s="886"/>
    </row>
    <row r="3226" spans="88:156">
      <c r="CJ3226" s="197"/>
      <c r="CK3226" s="197"/>
      <c r="CL3226" s="197"/>
      <c r="CM3226" s="213"/>
      <c r="CN3226" s="213"/>
      <c r="CO3226" s="197"/>
      <c r="CP3226" s="197"/>
      <c r="CQ3226" s="197"/>
      <c r="CR3226" s="197"/>
      <c r="CS3226" s="197"/>
      <c r="CT3226" s="197"/>
      <c r="CU3226" s="197"/>
      <c r="CV3226" s="197"/>
      <c r="CW3226" s="197"/>
      <c r="CX3226" s="959"/>
      <c r="CY3226" s="959"/>
      <c r="CZ3226" s="959"/>
      <c r="DA3226" s="959"/>
      <c r="DB3226" s="959"/>
      <c r="DG3226" s="959"/>
      <c r="DH3226" s="959"/>
      <c r="ER3226" s="905">
        <v>9483</v>
      </c>
      <c r="ES3226" s="906" t="s">
        <v>4789</v>
      </c>
      <c r="ET3226" s="2686">
        <v>9</v>
      </c>
      <c r="EU3226" s="895">
        <v>1</v>
      </c>
      <c r="EV3226" s="985"/>
      <c r="EW3226" s="985"/>
      <c r="EX3226" s="387"/>
      <c r="EY3226" s="939"/>
      <c r="EZ3226" s="886"/>
    </row>
    <row r="3227" spans="88:156">
      <c r="CJ3227" s="197"/>
      <c r="CK3227" s="197"/>
      <c r="CL3227" s="197"/>
      <c r="CM3227" s="213"/>
      <c r="CN3227" s="213"/>
      <c r="CO3227" s="197"/>
      <c r="CP3227" s="197"/>
      <c r="CQ3227" s="197"/>
      <c r="CR3227" s="197"/>
      <c r="CS3227" s="197"/>
      <c r="CT3227" s="197"/>
      <c r="CU3227" s="197"/>
      <c r="CV3227" s="197"/>
      <c r="CW3227" s="197"/>
      <c r="CX3227" s="959"/>
      <c r="CY3227" s="959"/>
      <c r="CZ3227" s="959"/>
      <c r="DA3227" s="959"/>
      <c r="DB3227" s="959"/>
      <c r="DG3227" s="959"/>
      <c r="DH3227" s="959"/>
      <c r="ER3227" s="905">
        <v>9484</v>
      </c>
      <c r="ES3227" s="906" t="s">
        <v>4790</v>
      </c>
      <c r="ET3227" s="2686">
        <v>9</v>
      </c>
      <c r="EV3227" s="985"/>
      <c r="EW3227" s="985"/>
      <c r="EX3227" s="387"/>
      <c r="EY3227" s="939"/>
      <c r="EZ3227" s="886"/>
    </row>
    <row r="3228" spans="88:156">
      <c r="CJ3228" s="197"/>
      <c r="CK3228" s="197"/>
      <c r="CL3228" s="197"/>
      <c r="CM3228" s="213"/>
      <c r="CN3228" s="213"/>
      <c r="CO3228" s="197"/>
      <c r="CP3228" s="197"/>
      <c r="CQ3228" s="197"/>
      <c r="CR3228" s="197"/>
      <c r="CS3228" s="197"/>
      <c r="CT3228" s="197"/>
      <c r="CU3228" s="197"/>
      <c r="CV3228" s="197"/>
      <c r="CW3228" s="197"/>
      <c r="CX3228" s="959"/>
      <c r="CY3228" s="959"/>
      <c r="CZ3228" s="959"/>
      <c r="DA3228" s="959"/>
      <c r="DB3228" s="959"/>
      <c r="DG3228" s="959"/>
      <c r="DH3228" s="959"/>
      <c r="ER3228" s="905">
        <v>9485</v>
      </c>
      <c r="ES3228" s="906" t="s">
        <v>4791</v>
      </c>
      <c r="ET3228" s="2686">
        <v>9</v>
      </c>
      <c r="EV3228" s="985"/>
      <c r="EW3228" s="985"/>
      <c r="EX3228" s="387"/>
      <c r="EY3228" s="939"/>
      <c r="EZ3228" s="886"/>
    </row>
    <row r="3229" spans="88:156">
      <c r="CJ3229" s="197"/>
      <c r="CK3229" s="197"/>
      <c r="CL3229" s="197"/>
      <c r="CM3229" s="213"/>
      <c r="CN3229" s="213"/>
      <c r="CO3229" s="197"/>
      <c r="CP3229" s="197"/>
      <c r="CQ3229" s="197"/>
      <c r="CR3229" s="197"/>
      <c r="CS3229" s="197"/>
      <c r="CT3229" s="197"/>
      <c r="CU3229" s="197"/>
      <c r="CV3229" s="197"/>
      <c r="CW3229" s="197"/>
      <c r="CX3229" s="959"/>
      <c r="CY3229" s="959"/>
      <c r="CZ3229" s="959"/>
      <c r="DA3229" s="959"/>
      <c r="DB3229" s="959"/>
      <c r="DG3229" s="959"/>
      <c r="DH3229" s="959"/>
      <c r="ER3229" s="905">
        <v>9491</v>
      </c>
      <c r="ES3229" s="906" t="s">
        <v>4792</v>
      </c>
      <c r="ET3229" s="2686">
        <v>9</v>
      </c>
      <c r="EU3229" s="895">
        <v>1</v>
      </c>
      <c r="EV3229" s="985"/>
      <c r="EW3229" s="985"/>
      <c r="EX3229" s="387"/>
      <c r="EY3229" s="939"/>
      <c r="EZ3229" s="886"/>
    </row>
    <row r="3230" spans="88:156">
      <c r="CJ3230" s="197"/>
      <c r="CK3230" s="197"/>
      <c r="CL3230" s="197"/>
      <c r="CM3230" s="213"/>
      <c r="CN3230" s="213"/>
      <c r="CO3230" s="197"/>
      <c r="CP3230" s="197"/>
      <c r="CQ3230" s="197"/>
      <c r="CR3230" s="197"/>
      <c r="CS3230" s="197"/>
      <c r="CT3230" s="197"/>
      <c r="CU3230" s="197"/>
      <c r="CV3230" s="197"/>
      <c r="CW3230" s="197"/>
      <c r="CX3230" s="959"/>
      <c r="CY3230" s="959"/>
      <c r="CZ3230" s="959"/>
      <c r="DA3230" s="959"/>
      <c r="DB3230" s="959"/>
      <c r="DG3230" s="959"/>
      <c r="DH3230" s="959"/>
      <c r="ER3230" s="905">
        <v>9492</v>
      </c>
      <c r="ES3230" s="906" t="s">
        <v>4793</v>
      </c>
      <c r="ET3230" s="2686">
        <v>9</v>
      </c>
      <c r="EU3230" s="895">
        <v>1</v>
      </c>
      <c r="EV3230" s="985"/>
      <c r="EW3230" s="985"/>
      <c r="EX3230" s="387"/>
      <c r="EY3230" s="939"/>
      <c r="EZ3230" s="886"/>
    </row>
    <row r="3231" spans="88:156">
      <c r="CJ3231" s="197"/>
      <c r="CK3231" s="197"/>
      <c r="CL3231" s="197"/>
      <c r="CM3231" s="213"/>
      <c r="CN3231" s="213"/>
      <c r="CO3231" s="197"/>
      <c r="CP3231" s="197"/>
      <c r="CQ3231" s="197"/>
      <c r="CR3231" s="197"/>
      <c r="CS3231" s="197"/>
      <c r="CT3231" s="197"/>
      <c r="CU3231" s="197"/>
      <c r="CV3231" s="197"/>
      <c r="CW3231" s="197"/>
      <c r="CX3231" s="959"/>
      <c r="CY3231" s="959"/>
      <c r="CZ3231" s="959"/>
      <c r="DA3231" s="959"/>
      <c r="DB3231" s="959"/>
      <c r="DG3231" s="959"/>
      <c r="DH3231" s="959"/>
      <c r="ER3231" s="905">
        <v>9493</v>
      </c>
      <c r="ES3231" s="906" t="s">
        <v>4794</v>
      </c>
      <c r="ET3231" s="2686">
        <v>9</v>
      </c>
      <c r="EV3231" s="985"/>
      <c r="EW3231" s="985"/>
      <c r="EX3231" s="387"/>
      <c r="EY3231" s="939"/>
      <c r="EZ3231" s="886"/>
    </row>
    <row r="3232" spans="88:156">
      <c r="CJ3232" s="197"/>
      <c r="CK3232" s="197"/>
      <c r="CL3232" s="197"/>
      <c r="CM3232" s="213"/>
      <c r="CN3232" s="213"/>
      <c r="CO3232" s="197"/>
      <c r="CP3232" s="197"/>
      <c r="CQ3232" s="197"/>
      <c r="CR3232" s="197"/>
      <c r="CS3232" s="197"/>
      <c r="CT3232" s="197"/>
      <c r="CU3232" s="197"/>
      <c r="CV3232" s="197"/>
      <c r="CW3232" s="197"/>
      <c r="CX3232" s="959"/>
      <c r="CY3232" s="959"/>
      <c r="CZ3232" s="959"/>
      <c r="DA3232" s="959"/>
      <c r="DB3232" s="959"/>
      <c r="DG3232" s="959"/>
      <c r="DH3232" s="959"/>
      <c r="ER3232" s="905">
        <v>9494</v>
      </c>
      <c r="ES3232" s="906" t="s">
        <v>4795</v>
      </c>
      <c r="ET3232" s="2686">
        <v>9</v>
      </c>
      <c r="EU3232" s="895">
        <v>1</v>
      </c>
      <c r="EV3232" s="985"/>
      <c r="EW3232" s="985"/>
      <c r="EX3232" s="387"/>
      <c r="EY3232" s="939"/>
      <c r="EZ3232" s="886"/>
    </row>
    <row r="3233" spans="88:156">
      <c r="CJ3233" s="197"/>
      <c r="CK3233" s="197"/>
      <c r="CL3233" s="197"/>
      <c r="CM3233" s="213"/>
      <c r="CN3233" s="213"/>
      <c r="CO3233" s="197"/>
      <c r="CP3233" s="197"/>
      <c r="CQ3233" s="197"/>
      <c r="CR3233" s="197"/>
      <c r="CS3233" s="197"/>
      <c r="CT3233" s="197"/>
      <c r="CU3233" s="197"/>
      <c r="CV3233" s="197"/>
      <c r="CW3233" s="197"/>
      <c r="CX3233" s="959"/>
      <c r="CY3233" s="959"/>
      <c r="CZ3233" s="959"/>
      <c r="DA3233" s="959"/>
      <c r="DB3233" s="959"/>
      <c r="DG3233" s="959"/>
      <c r="DH3233" s="959"/>
      <c r="ER3233" s="905">
        <v>9495</v>
      </c>
      <c r="ES3233" s="906" t="s">
        <v>4796</v>
      </c>
      <c r="ET3233" s="2686">
        <v>9</v>
      </c>
      <c r="EV3233" s="985"/>
      <c r="EW3233" s="985"/>
      <c r="EX3233" s="387"/>
      <c r="EY3233" s="939"/>
      <c r="EZ3233" s="886"/>
    </row>
    <row r="3234" spans="88:156">
      <c r="CJ3234" s="197"/>
      <c r="CK3234" s="197"/>
      <c r="CL3234" s="197"/>
      <c r="CM3234" s="213"/>
      <c r="CN3234" s="213"/>
      <c r="CO3234" s="197"/>
      <c r="CP3234" s="197"/>
      <c r="CQ3234" s="197"/>
      <c r="CR3234" s="197"/>
      <c r="CS3234" s="197"/>
      <c r="CT3234" s="197"/>
      <c r="CU3234" s="197"/>
      <c r="CV3234" s="197"/>
      <c r="CW3234" s="197"/>
      <c r="CX3234" s="959"/>
      <c r="CY3234" s="959"/>
      <c r="CZ3234" s="959"/>
      <c r="DA3234" s="959"/>
      <c r="DB3234" s="959"/>
      <c r="DG3234" s="959"/>
      <c r="DH3234" s="959"/>
      <c r="ER3234" s="905">
        <v>9500</v>
      </c>
      <c r="ES3234" s="906" t="s">
        <v>4797</v>
      </c>
      <c r="ET3234" s="2686">
        <v>9</v>
      </c>
      <c r="EV3234" s="985"/>
      <c r="EW3234" s="985"/>
      <c r="EX3234" s="387"/>
      <c r="EY3234" s="939"/>
      <c r="EZ3234" s="886"/>
    </row>
    <row r="3235" spans="88:156">
      <c r="CJ3235" s="197"/>
      <c r="CK3235" s="197"/>
      <c r="CL3235" s="197"/>
      <c r="CM3235" s="213"/>
      <c r="CN3235" s="213"/>
      <c r="CO3235" s="197"/>
      <c r="CP3235" s="197"/>
      <c r="CQ3235" s="197"/>
      <c r="CR3235" s="197"/>
      <c r="CS3235" s="197"/>
      <c r="CT3235" s="197"/>
      <c r="CU3235" s="197"/>
      <c r="CV3235" s="197"/>
      <c r="CW3235" s="197"/>
      <c r="CX3235" s="959"/>
      <c r="CY3235" s="959"/>
      <c r="CZ3235" s="959"/>
      <c r="DA3235" s="959"/>
      <c r="DB3235" s="959"/>
      <c r="DG3235" s="959"/>
      <c r="DH3235" s="959"/>
      <c r="ER3235" s="905">
        <v>9511</v>
      </c>
      <c r="ES3235" s="906" t="s">
        <v>4689</v>
      </c>
      <c r="ET3235" s="2686">
        <v>9</v>
      </c>
      <c r="EV3235" s="985"/>
      <c r="EW3235" s="985"/>
      <c r="EX3235" s="387"/>
      <c r="EY3235" s="939"/>
      <c r="EZ3235" s="886"/>
    </row>
    <row r="3236" spans="88:156">
      <c r="CJ3236" s="197"/>
      <c r="CK3236" s="197"/>
      <c r="CL3236" s="197"/>
      <c r="CM3236" s="213"/>
      <c r="CN3236" s="213"/>
      <c r="CO3236" s="197"/>
      <c r="CP3236" s="197"/>
      <c r="CQ3236" s="197"/>
      <c r="CR3236" s="197"/>
      <c r="CS3236" s="197"/>
      <c r="CT3236" s="197"/>
      <c r="CU3236" s="197"/>
      <c r="CV3236" s="197"/>
      <c r="CW3236" s="197"/>
      <c r="CX3236" s="959"/>
      <c r="CY3236" s="959"/>
      <c r="CZ3236" s="959"/>
      <c r="DA3236" s="959"/>
      <c r="DB3236" s="959"/>
      <c r="DG3236" s="959"/>
      <c r="DH3236" s="959"/>
      <c r="ER3236" s="905">
        <v>9512</v>
      </c>
      <c r="ES3236" s="906" t="s">
        <v>4833</v>
      </c>
      <c r="ET3236" s="2686">
        <v>9</v>
      </c>
      <c r="EV3236" s="985"/>
      <c r="EW3236" s="985"/>
      <c r="EX3236" s="387"/>
      <c r="EY3236" s="939"/>
      <c r="EZ3236" s="886"/>
    </row>
    <row r="3237" spans="88:156">
      <c r="CJ3237" s="197"/>
      <c r="CK3237" s="197"/>
      <c r="CL3237" s="197"/>
      <c r="CM3237" s="213"/>
      <c r="CN3237" s="213"/>
      <c r="CO3237" s="197"/>
      <c r="CP3237" s="197"/>
      <c r="CQ3237" s="197"/>
      <c r="CR3237" s="197"/>
      <c r="CS3237" s="197"/>
      <c r="CT3237" s="197"/>
      <c r="CU3237" s="197"/>
      <c r="CV3237" s="197"/>
      <c r="CW3237" s="197"/>
      <c r="CX3237" s="959"/>
      <c r="CY3237" s="959"/>
      <c r="CZ3237" s="959"/>
      <c r="DA3237" s="959"/>
      <c r="DB3237" s="959"/>
      <c r="DG3237" s="959"/>
      <c r="DH3237" s="959"/>
      <c r="ER3237" s="905">
        <v>9513</v>
      </c>
      <c r="ES3237" s="906" t="s">
        <v>4834</v>
      </c>
      <c r="ET3237" s="2686">
        <v>9</v>
      </c>
      <c r="EV3237" s="985"/>
      <c r="EW3237" s="985"/>
      <c r="EX3237" s="387"/>
      <c r="EY3237" s="939"/>
      <c r="EZ3237" s="886"/>
    </row>
    <row r="3238" spans="88:156">
      <c r="CJ3238" s="197"/>
      <c r="CK3238" s="197"/>
      <c r="CL3238" s="197"/>
      <c r="CM3238" s="213"/>
      <c r="CN3238" s="213"/>
      <c r="CO3238" s="197"/>
      <c r="CP3238" s="197"/>
      <c r="CQ3238" s="197"/>
      <c r="CR3238" s="197"/>
      <c r="CS3238" s="197"/>
      <c r="CT3238" s="197"/>
      <c r="CU3238" s="197"/>
      <c r="CV3238" s="197"/>
      <c r="CW3238" s="197"/>
      <c r="CX3238" s="959"/>
      <c r="CY3238" s="959"/>
      <c r="CZ3238" s="959"/>
      <c r="DA3238" s="959"/>
      <c r="DB3238" s="959"/>
      <c r="DG3238" s="959"/>
      <c r="DH3238" s="959"/>
      <c r="ER3238" s="905">
        <v>9514</v>
      </c>
      <c r="ES3238" s="906" t="s">
        <v>4835</v>
      </c>
      <c r="ET3238" s="2686">
        <v>9</v>
      </c>
      <c r="EV3238" s="985"/>
      <c r="EW3238" s="985"/>
      <c r="EX3238" s="387"/>
      <c r="EY3238" s="939"/>
      <c r="EZ3238" s="886"/>
    </row>
    <row r="3239" spans="88:156">
      <c r="CJ3239" s="197"/>
      <c r="CK3239" s="197"/>
      <c r="CL3239" s="197"/>
      <c r="CM3239" s="213"/>
      <c r="CN3239" s="213"/>
      <c r="CO3239" s="197"/>
      <c r="CP3239" s="197"/>
      <c r="CQ3239" s="197"/>
      <c r="CR3239" s="197"/>
      <c r="CS3239" s="197"/>
      <c r="CT3239" s="197"/>
      <c r="CU3239" s="197"/>
      <c r="CV3239" s="197"/>
      <c r="CW3239" s="197"/>
      <c r="CX3239" s="959"/>
      <c r="CY3239" s="959"/>
      <c r="CZ3239" s="959"/>
      <c r="DA3239" s="959"/>
      <c r="DB3239" s="959"/>
      <c r="DG3239" s="959"/>
      <c r="DH3239" s="959"/>
      <c r="ER3239" s="905">
        <v>9515</v>
      </c>
      <c r="ES3239" s="906" t="s">
        <v>4836</v>
      </c>
      <c r="ET3239" s="2686">
        <v>9</v>
      </c>
      <c r="EV3239" s="985"/>
      <c r="EW3239" s="985"/>
      <c r="EX3239" s="387"/>
      <c r="EY3239" s="939"/>
      <c r="EZ3239" s="886"/>
    </row>
    <row r="3240" spans="88:156">
      <c r="CJ3240" s="197"/>
      <c r="CK3240" s="197"/>
      <c r="CL3240" s="197"/>
      <c r="CM3240" s="213"/>
      <c r="CN3240" s="213"/>
      <c r="CO3240" s="197"/>
      <c r="CP3240" s="197"/>
      <c r="CQ3240" s="197"/>
      <c r="CR3240" s="197"/>
      <c r="CS3240" s="197"/>
      <c r="CT3240" s="197"/>
      <c r="CU3240" s="197"/>
      <c r="CV3240" s="197"/>
      <c r="CW3240" s="197"/>
      <c r="CX3240" s="959"/>
      <c r="CY3240" s="959"/>
      <c r="CZ3240" s="959"/>
      <c r="DA3240" s="959"/>
      <c r="DB3240" s="959"/>
      <c r="DG3240" s="959"/>
      <c r="DH3240" s="959"/>
      <c r="ER3240" s="905">
        <v>9516</v>
      </c>
      <c r="ES3240" s="906" t="s">
        <v>4837</v>
      </c>
      <c r="ET3240" s="2686">
        <v>9</v>
      </c>
      <c r="EV3240" s="985"/>
      <c r="EW3240" s="985"/>
      <c r="EX3240" s="387"/>
      <c r="EY3240" s="939"/>
      <c r="EZ3240" s="886"/>
    </row>
    <row r="3241" spans="88:156">
      <c r="CJ3241" s="197"/>
      <c r="CK3241" s="197"/>
      <c r="CL3241" s="197"/>
      <c r="CM3241" s="213"/>
      <c r="CN3241" s="213"/>
      <c r="CO3241" s="197"/>
      <c r="CP3241" s="197"/>
      <c r="CQ3241" s="197"/>
      <c r="CR3241" s="197"/>
      <c r="CS3241" s="197"/>
      <c r="CT3241" s="197"/>
      <c r="CU3241" s="197"/>
      <c r="CV3241" s="197"/>
      <c r="CW3241" s="197"/>
      <c r="CX3241" s="959"/>
      <c r="CY3241" s="959"/>
      <c r="CZ3241" s="959"/>
      <c r="DA3241" s="959"/>
      <c r="DB3241" s="959"/>
      <c r="DG3241" s="959"/>
      <c r="DH3241" s="959"/>
      <c r="ER3241" s="905">
        <v>9517</v>
      </c>
      <c r="ES3241" s="906" t="s">
        <v>4838</v>
      </c>
      <c r="ET3241" s="2686">
        <v>9</v>
      </c>
      <c r="EV3241" s="985"/>
      <c r="EW3241" s="985"/>
      <c r="EX3241" s="387"/>
      <c r="EY3241" s="939"/>
      <c r="EZ3241" s="886"/>
    </row>
    <row r="3242" spans="88:156">
      <c r="CJ3242" s="197"/>
      <c r="CK3242" s="197"/>
      <c r="CL3242" s="197"/>
      <c r="CM3242" s="213"/>
      <c r="CN3242" s="213"/>
      <c r="CO3242" s="197"/>
      <c r="CP3242" s="197"/>
      <c r="CQ3242" s="197"/>
      <c r="CR3242" s="197"/>
      <c r="CS3242" s="197"/>
      <c r="CT3242" s="197"/>
      <c r="CU3242" s="197"/>
      <c r="CV3242" s="197"/>
      <c r="CW3242" s="197"/>
      <c r="CX3242" s="959"/>
      <c r="CY3242" s="959"/>
      <c r="CZ3242" s="959"/>
      <c r="DA3242" s="959"/>
      <c r="DB3242" s="959"/>
      <c r="DG3242" s="959"/>
      <c r="DH3242" s="959"/>
      <c r="ER3242" s="905">
        <v>9521</v>
      </c>
      <c r="ES3242" s="906" t="s">
        <v>4839</v>
      </c>
      <c r="ET3242" s="2686">
        <v>9</v>
      </c>
      <c r="EV3242" s="985"/>
      <c r="EW3242" s="985"/>
      <c r="EX3242" s="387"/>
      <c r="EY3242" s="939"/>
      <c r="EZ3242" s="886"/>
    </row>
    <row r="3243" spans="88:156">
      <c r="CJ3243" s="197"/>
      <c r="CK3243" s="197"/>
      <c r="CL3243" s="197"/>
      <c r="CM3243" s="213"/>
      <c r="CN3243" s="213"/>
      <c r="CO3243" s="197"/>
      <c r="CP3243" s="197"/>
      <c r="CQ3243" s="197"/>
      <c r="CR3243" s="197"/>
      <c r="CS3243" s="197"/>
      <c r="CT3243" s="197"/>
      <c r="CU3243" s="197"/>
      <c r="CV3243" s="197"/>
      <c r="CW3243" s="197"/>
      <c r="CX3243" s="959"/>
      <c r="CY3243" s="959"/>
      <c r="CZ3243" s="959"/>
      <c r="DA3243" s="959"/>
      <c r="DB3243" s="959"/>
      <c r="DG3243" s="959"/>
      <c r="DH3243" s="959"/>
      <c r="ER3243" s="905">
        <v>9522</v>
      </c>
      <c r="ES3243" s="906" t="s">
        <v>4840</v>
      </c>
      <c r="ET3243" s="2686">
        <v>9</v>
      </c>
      <c r="EV3243" s="985"/>
      <c r="EW3243" s="985"/>
      <c r="EX3243" s="387"/>
      <c r="EY3243" s="939"/>
      <c r="EZ3243" s="886"/>
    </row>
    <row r="3244" spans="88:156">
      <c r="CJ3244" s="197"/>
      <c r="CK3244" s="197"/>
      <c r="CL3244" s="197"/>
      <c r="CM3244" s="213"/>
      <c r="CN3244" s="213"/>
      <c r="CO3244" s="197"/>
      <c r="CP3244" s="197"/>
      <c r="CQ3244" s="197"/>
      <c r="CR3244" s="197"/>
      <c r="CS3244" s="197"/>
      <c r="CT3244" s="197"/>
      <c r="CU3244" s="197"/>
      <c r="CV3244" s="197"/>
      <c r="CW3244" s="197"/>
      <c r="CX3244" s="959"/>
      <c r="CY3244" s="959"/>
      <c r="CZ3244" s="959"/>
      <c r="DA3244" s="959"/>
      <c r="DB3244" s="959"/>
      <c r="DG3244" s="959"/>
      <c r="DH3244" s="959"/>
      <c r="ER3244" s="905">
        <v>9523</v>
      </c>
      <c r="ES3244" s="906" t="s">
        <v>4841</v>
      </c>
      <c r="ET3244" s="2686">
        <v>9</v>
      </c>
      <c r="EV3244" s="985"/>
      <c r="EW3244" s="985"/>
      <c r="EX3244" s="387"/>
      <c r="EY3244" s="939"/>
      <c r="EZ3244" s="886"/>
    </row>
    <row r="3245" spans="88:156">
      <c r="CJ3245" s="197"/>
      <c r="CK3245" s="197"/>
      <c r="CL3245" s="197"/>
      <c r="CM3245" s="213"/>
      <c r="CN3245" s="213"/>
      <c r="CO3245" s="197"/>
      <c r="CP3245" s="197"/>
      <c r="CQ3245" s="197"/>
      <c r="CR3245" s="197"/>
      <c r="CS3245" s="197"/>
      <c r="CT3245" s="197"/>
      <c r="CU3245" s="197"/>
      <c r="CV3245" s="197"/>
      <c r="CW3245" s="197"/>
      <c r="CX3245" s="959"/>
      <c r="CY3245" s="959"/>
      <c r="CZ3245" s="959"/>
      <c r="DA3245" s="959"/>
      <c r="DB3245" s="959"/>
      <c r="DG3245" s="959"/>
      <c r="DH3245" s="959"/>
      <c r="ER3245" s="905">
        <v>9531</v>
      </c>
      <c r="ES3245" s="906" t="s">
        <v>4842</v>
      </c>
      <c r="ET3245" s="2686">
        <v>9</v>
      </c>
      <c r="EV3245" s="985"/>
      <c r="EW3245" s="985"/>
      <c r="EX3245" s="387"/>
      <c r="EY3245" s="939"/>
      <c r="EZ3245" s="886"/>
    </row>
    <row r="3246" spans="88:156">
      <c r="CJ3246" s="197"/>
      <c r="CK3246" s="197"/>
      <c r="CL3246" s="197"/>
      <c r="CM3246" s="213"/>
      <c r="CN3246" s="213"/>
      <c r="CO3246" s="197"/>
      <c r="CP3246" s="197"/>
      <c r="CQ3246" s="197"/>
      <c r="CR3246" s="197"/>
      <c r="CS3246" s="197"/>
      <c r="CT3246" s="197"/>
      <c r="CU3246" s="197"/>
      <c r="CV3246" s="197"/>
      <c r="CW3246" s="197"/>
      <c r="CX3246" s="959"/>
      <c r="CY3246" s="959"/>
      <c r="CZ3246" s="959"/>
      <c r="DA3246" s="959"/>
      <c r="DB3246" s="959"/>
      <c r="DG3246" s="959"/>
      <c r="DH3246" s="959"/>
      <c r="ER3246" s="905">
        <v>9532</v>
      </c>
      <c r="ES3246" s="906" t="s">
        <v>4843</v>
      </c>
      <c r="ET3246" s="2686">
        <v>9</v>
      </c>
      <c r="EV3246" s="985"/>
      <c r="EW3246" s="985"/>
      <c r="EX3246" s="387"/>
      <c r="EY3246" s="939"/>
      <c r="EZ3246" s="886"/>
    </row>
    <row r="3247" spans="88:156">
      <c r="CJ3247" s="197"/>
      <c r="CK3247" s="197"/>
      <c r="CL3247" s="197"/>
      <c r="CM3247" s="213"/>
      <c r="CN3247" s="213"/>
      <c r="CO3247" s="197"/>
      <c r="CP3247" s="197"/>
      <c r="CQ3247" s="197"/>
      <c r="CR3247" s="197"/>
      <c r="CS3247" s="197"/>
      <c r="CT3247" s="197"/>
      <c r="CU3247" s="197"/>
      <c r="CV3247" s="197"/>
      <c r="CW3247" s="197"/>
      <c r="CX3247" s="959"/>
      <c r="CY3247" s="959"/>
      <c r="CZ3247" s="959"/>
      <c r="DA3247" s="959"/>
      <c r="DB3247" s="959"/>
      <c r="DG3247" s="959"/>
      <c r="DH3247" s="959"/>
      <c r="ER3247" s="905">
        <v>9533</v>
      </c>
      <c r="ES3247" s="906" t="s">
        <v>4844</v>
      </c>
      <c r="ET3247" s="2686">
        <v>9</v>
      </c>
      <c r="EV3247" s="985"/>
      <c r="EW3247" s="985"/>
      <c r="EX3247" s="387"/>
      <c r="EY3247" s="939"/>
      <c r="EZ3247" s="886"/>
    </row>
    <row r="3248" spans="88:156">
      <c r="CJ3248" s="197"/>
      <c r="CK3248" s="197"/>
      <c r="CL3248" s="197"/>
      <c r="CM3248" s="213"/>
      <c r="CN3248" s="213"/>
      <c r="CO3248" s="197"/>
      <c r="CP3248" s="197"/>
      <c r="CQ3248" s="197"/>
      <c r="CR3248" s="197"/>
      <c r="CS3248" s="197"/>
      <c r="CT3248" s="197"/>
      <c r="CU3248" s="197"/>
      <c r="CV3248" s="197"/>
      <c r="CW3248" s="197"/>
      <c r="CX3248" s="959"/>
      <c r="CY3248" s="959"/>
      <c r="CZ3248" s="959"/>
      <c r="DA3248" s="959"/>
      <c r="DB3248" s="959"/>
      <c r="DG3248" s="959"/>
      <c r="DH3248" s="959"/>
      <c r="ER3248" s="905">
        <v>9534</v>
      </c>
      <c r="ES3248" s="906" t="s">
        <v>4690</v>
      </c>
      <c r="ET3248" s="2686">
        <v>9</v>
      </c>
      <c r="EV3248" s="985"/>
      <c r="EW3248" s="985"/>
      <c r="EX3248" s="387"/>
      <c r="EY3248" s="939"/>
      <c r="EZ3248" s="886"/>
    </row>
    <row r="3249" spans="88:156">
      <c r="CJ3249" s="197"/>
      <c r="CK3249" s="197"/>
      <c r="CL3249" s="197"/>
      <c r="CM3249" s="213"/>
      <c r="CN3249" s="213"/>
      <c r="CO3249" s="197"/>
      <c r="CP3249" s="197"/>
      <c r="CQ3249" s="197"/>
      <c r="CR3249" s="197"/>
      <c r="CS3249" s="197"/>
      <c r="CT3249" s="197"/>
      <c r="CU3249" s="197"/>
      <c r="CV3249" s="197"/>
      <c r="CW3249" s="197"/>
      <c r="CX3249" s="959"/>
      <c r="CY3249" s="959"/>
      <c r="CZ3249" s="959"/>
      <c r="DA3249" s="959"/>
      <c r="DB3249" s="959"/>
      <c r="DG3249" s="959"/>
      <c r="DH3249" s="959"/>
      <c r="ER3249" s="905">
        <v>9534</v>
      </c>
      <c r="ES3249" s="906" t="s">
        <v>4845</v>
      </c>
      <c r="ET3249" s="2686">
        <v>9</v>
      </c>
      <c r="EV3249" s="985"/>
      <c r="EW3249" s="985"/>
      <c r="EX3249" s="387"/>
      <c r="EY3249" s="939"/>
      <c r="EZ3249" s="886"/>
    </row>
    <row r="3250" spans="88:156">
      <c r="CJ3250" s="197"/>
      <c r="CK3250" s="197"/>
      <c r="CL3250" s="197"/>
      <c r="CM3250" s="213"/>
      <c r="CN3250" s="213"/>
      <c r="CO3250" s="197"/>
      <c r="CP3250" s="197"/>
      <c r="CQ3250" s="197"/>
      <c r="CR3250" s="197"/>
      <c r="CS3250" s="197"/>
      <c r="CT3250" s="197"/>
      <c r="CU3250" s="197"/>
      <c r="CV3250" s="197"/>
      <c r="CW3250" s="197"/>
      <c r="CX3250" s="959"/>
      <c r="CY3250" s="959"/>
      <c r="CZ3250" s="959"/>
      <c r="DA3250" s="959"/>
      <c r="DB3250" s="959"/>
      <c r="DG3250" s="959"/>
      <c r="DH3250" s="959"/>
      <c r="ER3250" s="905">
        <v>9541</v>
      </c>
      <c r="ES3250" s="905" t="s">
        <v>4691</v>
      </c>
      <c r="ET3250" s="2686">
        <v>9</v>
      </c>
      <c r="EV3250" s="985"/>
      <c r="EW3250" s="985"/>
      <c r="EX3250" s="387"/>
      <c r="EY3250" s="939"/>
      <c r="EZ3250" s="886"/>
    </row>
    <row r="3251" spans="88:156">
      <c r="CJ3251" s="197"/>
      <c r="CK3251" s="197"/>
      <c r="CL3251" s="197"/>
      <c r="CM3251" s="213"/>
      <c r="CN3251" s="213"/>
      <c r="CO3251" s="197"/>
      <c r="CP3251" s="197"/>
      <c r="CQ3251" s="197"/>
      <c r="CR3251" s="197"/>
      <c r="CS3251" s="197"/>
      <c r="CT3251" s="197"/>
      <c r="CU3251" s="197"/>
      <c r="CV3251" s="197"/>
      <c r="CW3251" s="197"/>
      <c r="CX3251" s="959"/>
      <c r="CY3251" s="959"/>
      <c r="CZ3251" s="959"/>
      <c r="DA3251" s="959"/>
      <c r="DB3251" s="959"/>
      <c r="DG3251" s="959"/>
      <c r="DH3251" s="959"/>
      <c r="ER3251" s="905">
        <v>9542</v>
      </c>
      <c r="ES3251" s="906" t="s">
        <v>4692</v>
      </c>
      <c r="ET3251" s="2686">
        <v>9</v>
      </c>
      <c r="EV3251" s="985"/>
      <c r="EW3251" s="985"/>
      <c r="EX3251" s="387"/>
      <c r="EY3251" s="939"/>
      <c r="EZ3251" s="886"/>
    </row>
    <row r="3252" spans="88:156">
      <c r="CJ3252" s="197"/>
      <c r="CK3252" s="197"/>
      <c r="CL3252" s="197"/>
      <c r="CM3252" s="213"/>
      <c r="CN3252" s="213"/>
      <c r="CO3252" s="197"/>
      <c r="CP3252" s="197"/>
      <c r="CQ3252" s="197"/>
      <c r="CR3252" s="197"/>
      <c r="CS3252" s="197"/>
      <c r="CT3252" s="197"/>
      <c r="CU3252" s="197"/>
      <c r="CV3252" s="197"/>
      <c r="CW3252" s="197"/>
      <c r="CX3252" s="959"/>
      <c r="CY3252" s="959"/>
      <c r="CZ3252" s="959"/>
      <c r="DA3252" s="959"/>
      <c r="DB3252" s="959"/>
      <c r="DG3252" s="959"/>
      <c r="DH3252" s="959"/>
      <c r="ER3252" s="905">
        <v>9542</v>
      </c>
      <c r="ES3252" s="906" t="s">
        <v>2744</v>
      </c>
      <c r="ET3252" s="2686">
        <v>9</v>
      </c>
      <c r="EV3252" s="985"/>
      <c r="EW3252" s="985"/>
      <c r="EX3252" s="387"/>
      <c r="EY3252" s="939"/>
      <c r="EZ3252" s="886"/>
    </row>
    <row r="3253" spans="88:156">
      <c r="CJ3253" s="197"/>
      <c r="CK3253" s="197"/>
      <c r="CL3253" s="197"/>
      <c r="CM3253" s="213"/>
      <c r="CN3253" s="213"/>
      <c r="CO3253" s="197"/>
      <c r="CP3253" s="197"/>
      <c r="CQ3253" s="197"/>
      <c r="CR3253" s="197"/>
      <c r="CS3253" s="197"/>
      <c r="CT3253" s="197"/>
      <c r="CU3253" s="197"/>
      <c r="CV3253" s="197"/>
      <c r="CW3253" s="197"/>
      <c r="CX3253" s="959"/>
      <c r="CY3253" s="959"/>
      <c r="CZ3253" s="959"/>
      <c r="DA3253" s="959"/>
      <c r="DB3253" s="959"/>
      <c r="DG3253" s="959"/>
      <c r="DH3253" s="959"/>
      <c r="ER3253" s="905">
        <v>9544</v>
      </c>
      <c r="ES3253" s="906" t="s">
        <v>2745</v>
      </c>
      <c r="ET3253" s="2686">
        <v>9</v>
      </c>
      <c r="EV3253" s="985"/>
      <c r="EW3253" s="985"/>
      <c r="EX3253" s="387"/>
      <c r="EY3253" s="939"/>
      <c r="EZ3253" s="886"/>
    </row>
    <row r="3254" spans="88:156">
      <c r="CJ3254" s="197"/>
      <c r="CK3254" s="197"/>
      <c r="CL3254" s="197"/>
      <c r="CM3254" s="213"/>
      <c r="CN3254" s="213"/>
      <c r="CO3254" s="197"/>
      <c r="CP3254" s="197"/>
      <c r="CQ3254" s="197"/>
      <c r="CR3254" s="197"/>
      <c r="CS3254" s="197"/>
      <c r="CT3254" s="197"/>
      <c r="CU3254" s="197"/>
      <c r="CV3254" s="197"/>
      <c r="CW3254" s="197"/>
      <c r="CX3254" s="959"/>
      <c r="CY3254" s="959"/>
      <c r="CZ3254" s="959"/>
      <c r="DA3254" s="959"/>
      <c r="DB3254" s="959"/>
      <c r="DG3254" s="959"/>
      <c r="DH3254" s="959"/>
      <c r="ER3254" s="905">
        <v>9545</v>
      </c>
      <c r="ES3254" s="906" t="s">
        <v>2746</v>
      </c>
      <c r="ET3254" s="2686">
        <v>9</v>
      </c>
      <c r="EV3254" s="985"/>
      <c r="EW3254" s="985"/>
      <c r="EX3254" s="387"/>
      <c r="EY3254" s="939"/>
      <c r="EZ3254" s="886"/>
    </row>
    <row r="3255" spans="88:156">
      <c r="CJ3255" s="197"/>
      <c r="CK3255" s="197"/>
      <c r="CL3255" s="197"/>
      <c r="CM3255" s="213"/>
      <c r="CN3255" s="213"/>
      <c r="CO3255" s="197"/>
      <c r="CP3255" s="197"/>
      <c r="CQ3255" s="197"/>
      <c r="CR3255" s="197"/>
      <c r="CS3255" s="197"/>
      <c r="CT3255" s="197"/>
      <c r="CU3255" s="197"/>
      <c r="CV3255" s="197"/>
      <c r="CW3255" s="197"/>
      <c r="CX3255" s="959"/>
      <c r="CY3255" s="959"/>
      <c r="CZ3255" s="959"/>
      <c r="DA3255" s="959"/>
      <c r="DB3255" s="959"/>
      <c r="DG3255" s="959"/>
      <c r="DH3255" s="959"/>
      <c r="ER3255" s="905">
        <v>9547</v>
      </c>
      <c r="ES3255" s="906" t="s">
        <v>2747</v>
      </c>
      <c r="ET3255" s="2686">
        <v>9</v>
      </c>
      <c r="EV3255" s="985"/>
      <c r="EW3255" s="985"/>
      <c r="EX3255" s="387"/>
      <c r="EY3255" s="939"/>
      <c r="EZ3255" s="886"/>
    </row>
    <row r="3256" spans="88:156">
      <c r="CJ3256" s="197"/>
      <c r="CK3256" s="197"/>
      <c r="CL3256" s="197"/>
      <c r="CM3256" s="213"/>
      <c r="CN3256" s="213"/>
      <c r="CO3256" s="197"/>
      <c r="CP3256" s="197"/>
      <c r="CQ3256" s="197"/>
      <c r="CR3256" s="197"/>
      <c r="CS3256" s="197"/>
      <c r="CT3256" s="197"/>
      <c r="CU3256" s="197"/>
      <c r="CV3256" s="197"/>
      <c r="CW3256" s="197"/>
      <c r="CX3256" s="959"/>
      <c r="CY3256" s="959"/>
      <c r="CZ3256" s="959"/>
      <c r="DA3256" s="959"/>
      <c r="DB3256" s="959"/>
      <c r="DG3256" s="959"/>
      <c r="DH3256" s="959"/>
      <c r="ER3256" s="905">
        <v>9548</v>
      </c>
      <c r="ES3256" s="906" t="s">
        <v>2748</v>
      </c>
      <c r="ET3256" s="2686">
        <v>9</v>
      </c>
      <c r="EV3256" s="985"/>
      <c r="EW3256" s="985"/>
      <c r="EX3256" s="387"/>
      <c r="EY3256" s="939"/>
      <c r="EZ3256" s="886"/>
    </row>
    <row r="3257" spans="88:156">
      <c r="CJ3257" s="197"/>
      <c r="CK3257" s="197"/>
      <c r="CL3257" s="197"/>
      <c r="CM3257" s="213"/>
      <c r="CN3257" s="213"/>
      <c r="CO3257" s="197"/>
      <c r="CP3257" s="197"/>
      <c r="CQ3257" s="197"/>
      <c r="CR3257" s="197"/>
      <c r="CS3257" s="197"/>
      <c r="CT3257" s="197"/>
      <c r="CU3257" s="197"/>
      <c r="CV3257" s="197"/>
      <c r="CW3257" s="197"/>
      <c r="CX3257" s="959"/>
      <c r="CY3257" s="959"/>
      <c r="CZ3257" s="959"/>
      <c r="DA3257" s="959"/>
      <c r="DB3257" s="959"/>
      <c r="DG3257" s="959"/>
      <c r="DH3257" s="959"/>
      <c r="ER3257" s="905">
        <v>9549</v>
      </c>
      <c r="ES3257" s="906" t="s">
        <v>4858</v>
      </c>
      <c r="ET3257" s="2686">
        <v>9</v>
      </c>
      <c r="EV3257" s="985"/>
      <c r="EW3257" s="985"/>
      <c r="EX3257" s="387"/>
      <c r="EY3257" s="939"/>
      <c r="EZ3257" s="886"/>
    </row>
    <row r="3258" spans="88:156">
      <c r="CJ3258" s="197"/>
      <c r="CK3258" s="197"/>
      <c r="CL3258" s="197"/>
      <c r="CM3258" s="213"/>
      <c r="CN3258" s="213"/>
      <c r="CO3258" s="197"/>
      <c r="CP3258" s="197"/>
      <c r="CQ3258" s="197"/>
      <c r="CR3258" s="197"/>
      <c r="CS3258" s="197"/>
      <c r="CT3258" s="197"/>
      <c r="CU3258" s="197"/>
      <c r="CV3258" s="197"/>
      <c r="CW3258" s="197"/>
      <c r="CX3258" s="959"/>
      <c r="CY3258" s="959"/>
      <c r="CZ3258" s="959"/>
      <c r="DA3258" s="959"/>
      <c r="DB3258" s="959"/>
      <c r="DG3258" s="959"/>
      <c r="DH3258" s="959"/>
      <c r="ER3258" s="905">
        <v>9551</v>
      </c>
      <c r="ES3258" s="906" t="s">
        <v>4859</v>
      </c>
      <c r="ET3258" s="2686">
        <v>9</v>
      </c>
      <c r="EV3258" s="985"/>
      <c r="EW3258" s="985"/>
      <c r="EX3258" s="387"/>
      <c r="EY3258" s="939"/>
      <c r="EZ3258" s="886"/>
    </row>
    <row r="3259" spans="88:156">
      <c r="CJ3259" s="197"/>
      <c r="CK3259" s="197"/>
      <c r="CL3259" s="197"/>
      <c r="CM3259" s="213"/>
      <c r="CN3259" s="213"/>
      <c r="CO3259" s="197"/>
      <c r="CP3259" s="197"/>
      <c r="CQ3259" s="197"/>
      <c r="CR3259" s="197"/>
      <c r="CS3259" s="197"/>
      <c r="CT3259" s="197"/>
      <c r="CU3259" s="197"/>
      <c r="CV3259" s="197"/>
      <c r="CW3259" s="197"/>
      <c r="CX3259" s="959"/>
      <c r="CY3259" s="959"/>
      <c r="CZ3259" s="959"/>
      <c r="DA3259" s="959"/>
      <c r="DB3259" s="959"/>
      <c r="DG3259" s="959"/>
      <c r="DH3259" s="959"/>
      <c r="ER3259" s="905">
        <v>9552</v>
      </c>
      <c r="ES3259" s="906" t="s">
        <v>4860</v>
      </c>
      <c r="ET3259" s="2686">
        <v>9</v>
      </c>
      <c r="EV3259" s="985"/>
      <c r="EW3259" s="985"/>
      <c r="EX3259" s="387"/>
      <c r="EY3259" s="939"/>
      <c r="EZ3259" s="886"/>
    </row>
    <row r="3260" spans="88:156">
      <c r="CJ3260" s="197"/>
      <c r="CK3260" s="197"/>
      <c r="CL3260" s="197"/>
      <c r="CM3260" s="213"/>
      <c r="CN3260" s="213"/>
      <c r="CO3260" s="197"/>
      <c r="CP3260" s="197"/>
      <c r="CQ3260" s="197"/>
      <c r="CR3260" s="197"/>
      <c r="CS3260" s="197"/>
      <c r="CT3260" s="197"/>
      <c r="CU3260" s="197"/>
      <c r="CV3260" s="197"/>
      <c r="CW3260" s="197"/>
      <c r="CX3260" s="959"/>
      <c r="CY3260" s="959"/>
      <c r="CZ3260" s="959"/>
      <c r="DA3260" s="959"/>
      <c r="DB3260" s="959"/>
      <c r="DG3260" s="959"/>
      <c r="DH3260" s="959"/>
      <c r="ER3260" s="905">
        <v>9553</v>
      </c>
      <c r="ES3260" s="906" t="s">
        <v>4693</v>
      </c>
      <c r="ET3260" s="2686">
        <v>9</v>
      </c>
      <c r="EV3260" s="985"/>
      <c r="EW3260" s="985"/>
      <c r="EX3260" s="387"/>
      <c r="EY3260" s="939"/>
      <c r="EZ3260" s="886"/>
    </row>
    <row r="3261" spans="88:156">
      <c r="CJ3261" s="197"/>
      <c r="CK3261" s="197"/>
      <c r="CL3261" s="197"/>
      <c r="CM3261" s="213"/>
      <c r="CN3261" s="213"/>
      <c r="CO3261" s="197"/>
      <c r="CP3261" s="197"/>
      <c r="CQ3261" s="197"/>
      <c r="CR3261" s="197"/>
      <c r="CS3261" s="197"/>
      <c r="CT3261" s="197"/>
      <c r="CU3261" s="197"/>
      <c r="CV3261" s="197"/>
      <c r="CW3261" s="197"/>
      <c r="CX3261" s="959"/>
      <c r="CY3261" s="959"/>
      <c r="CZ3261" s="959"/>
      <c r="DA3261" s="959"/>
      <c r="DB3261" s="959"/>
      <c r="DG3261" s="959"/>
      <c r="DH3261" s="959"/>
      <c r="ER3261" s="905">
        <v>9553</v>
      </c>
      <c r="ES3261" s="906" t="s">
        <v>4861</v>
      </c>
      <c r="ET3261" s="2686">
        <v>9</v>
      </c>
      <c r="EV3261" s="985"/>
      <c r="EW3261" s="985"/>
      <c r="EX3261" s="387"/>
      <c r="EY3261" s="939"/>
      <c r="EZ3261" s="886"/>
    </row>
    <row r="3262" spans="88:156">
      <c r="CJ3262" s="197"/>
      <c r="CK3262" s="197"/>
      <c r="CL3262" s="197"/>
      <c r="CM3262" s="213"/>
      <c r="CN3262" s="213"/>
      <c r="CO3262" s="197"/>
      <c r="CP3262" s="197"/>
      <c r="CQ3262" s="197"/>
      <c r="CR3262" s="197"/>
      <c r="CS3262" s="197"/>
      <c r="CT3262" s="197"/>
      <c r="CU3262" s="197"/>
      <c r="CV3262" s="197"/>
      <c r="CW3262" s="197"/>
      <c r="CX3262" s="959"/>
      <c r="CY3262" s="959"/>
      <c r="CZ3262" s="959"/>
      <c r="DA3262" s="959"/>
      <c r="DB3262" s="959"/>
      <c r="DG3262" s="959"/>
      <c r="DH3262" s="959"/>
      <c r="ER3262" s="905">
        <v>9554</v>
      </c>
      <c r="ES3262" s="906" t="s">
        <v>4694</v>
      </c>
      <c r="ET3262" s="2686">
        <v>9</v>
      </c>
      <c r="EV3262" s="985"/>
      <c r="EW3262" s="985"/>
      <c r="EX3262" s="387"/>
      <c r="EY3262" s="939"/>
      <c r="EZ3262" s="886"/>
    </row>
    <row r="3263" spans="88:156">
      <c r="CJ3263" s="197"/>
      <c r="CK3263" s="197"/>
      <c r="CL3263" s="197"/>
      <c r="CM3263" s="213"/>
      <c r="CN3263" s="213"/>
      <c r="CO3263" s="197"/>
      <c r="CP3263" s="197"/>
      <c r="CQ3263" s="197"/>
      <c r="CR3263" s="197"/>
      <c r="CS3263" s="197"/>
      <c r="CT3263" s="197"/>
      <c r="CU3263" s="197"/>
      <c r="CV3263" s="197"/>
      <c r="CW3263" s="197"/>
      <c r="CX3263" s="959"/>
      <c r="CY3263" s="959"/>
      <c r="CZ3263" s="959"/>
      <c r="DA3263" s="959"/>
      <c r="DB3263" s="959"/>
      <c r="DG3263" s="959"/>
      <c r="DH3263" s="959"/>
      <c r="ER3263" s="905">
        <v>9554</v>
      </c>
      <c r="ES3263" s="906" t="s">
        <v>4862</v>
      </c>
      <c r="ET3263" s="2686">
        <v>9</v>
      </c>
      <c r="EV3263" s="985"/>
      <c r="EW3263" s="985"/>
      <c r="EX3263" s="387"/>
      <c r="EY3263" s="939"/>
      <c r="EZ3263" s="886"/>
    </row>
    <row r="3264" spans="88:156">
      <c r="CJ3264" s="197"/>
      <c r="CK3264" s="197"/>
      <c r="CL3264" s="197"/>
      <c r="CM3264" s="213"/>
      <c r="CN3264" s="213"/>
      <c r="CO3264" s="197"/>
      <c r="CP3264" s="197"/>
      <c r="CQ3264" s="197"/>
      <c r="CR3264" s="197"/>
      <c r="CS3264" s="197"/>
      <c r="CT3264" s="197"/>
      <c r="CU3264" s="197"/>
      <c r="CV3264" s="197"/>
      <c r="CW3264" s="197"/>
      <c r="CX3264" s="959"/>
      <c r="CY3264" s="959"/>
      <c r="CZ3264" s="959"/>
      <c r="DA3264" s="959"/>
      <c r="DB3264" s="959"/>
      <c r="DG3264" s="959"/>
      <c r="DH3264" s="959"/>
      <c r="ER3264" s="905">
        <v>9555</v>
      </c>
      <c r="ES3264" s="906" t="s">
        <v>4863</v>
      </c>
      <c r="ET3264" s="2686">
        <v>9</v>
      </c>
      <c r="EV3264" s="985"/>
      <c r="EW3264" s="985"/>
      <c r="EX3264" s="387"/>
      <c r="EY3264" s="939"/>
      <c r="EZ3264" s="886"/>
    </row>
    <row r="3265" spans="88:156">
      <c r="CJ3265" s="197"/>
      <c r="CK3265" s="197"/>
      <c r="CL3265" s="197"/>
      <c r="CM3265" s="213"/>
      <c r="CN3265" s="213"/>
      <c r="CO3265" s="197"/>
      <c r="CP3265" s="197"/>
      <c r="CQ3265" s="197"/>
      <c r="CR3265" s="197"/>
      <c r="CS3265" s="197"/>
      <c r="CT3265" s="197"/>
      <c r="CU3265" s="197"/>
      <c r="CV3265" s="197"/>
      <c r="CW3265" s="197"/>
      <c r="CX3265" s="959"/>
      <c r="CY3265" s="959"/>
      <c r="CZ3265" s="959"/>
      <c r="DA3265" s="959"/>
      <c r="DB3265" s="959"/>
      <c r="DG3265" s="959"/>
      <c r="DH3265" s="959"/>
      <c r="ER3265" s="905">
        <v>9556</v>
      </c>
      <c r="ES3265" s="906" t="s">
        <v>4864</v>
      </c>
      <c r="ET3265" s="2686">
        <v>9</v>
      </c>
      <c r="EV3265" s="985"/>
      <c r="EW3265" s="985"/>
      <c r="EX3265" s="387"/>
      <c r="EY3265" s="939"/>
      <c r="EZ3265" s="886"/>
    </row>
    <row r="3266" spans="88:156">
      <c r="CJ3266" s="197"/>
      <c r="CK3266" s="197"/>
      <c r="CL3266" s="197"/>
      <c r="CM3266" s="213"/>
      <c r="CN3266" s="213"/>
      <c r="CO3266" s="197"/>
      <c r="CP3266" s="197"/>
      <c r="CQ3266" s="197"/>
      <c r="CR3266" s="197"/>
      <c r="CS3266" s="197"/>
      <c r="CT3266" s="197"/>
      <c r="CU3266" s="197"/>
      <c r="CV3266" s="197"/>
      <c r="CW3266" s="197"/>
      <c r="CX3266" s="959"/>
      <c r="CY3266" s="959"/>
      <c r="CZ3266" s="959"/>
      <c r="DA3266" s="959"/>
      <c r="DB3266" s="959"/>
      <c r="DG3266" s="959"/>
      <c r="DH3266" s="959"/>
      <c r="ER3266" s="905">
        <v>9561</v>
      </c>
      <c r="ES3266" s="906" t="s">
        <v>4695</v>
      </c>
      <c r="ET3266" s="2686">
        <v>9</v>
      </c>
      <c r="EV3266" s="985"/>
      <c r="EW3266" s="985"/>
      <c r="EX3266" s="387"/>
      <c r="EY3266" s="939"/>
      <c r="EZ3266" s="886"/>
    </row>
    <row r="3267" spans="88:156">
      <c r="CJ3267" s="197"/>
      <c r="CK3267" s="197"/>
      <c r="CL3267" s="197"/>
      <c r="CM3267" s="213"/>
      <c r="CN3267" s="213"/>
      <c r="CO3267" s="197"/>
      <c r="CP3267" s="197"/>
      <c r="CQ3267" s="197"/>
      <c r="CR3267" s="197"/>
      <c r="CS3267" s="197"/>
      <c r="CT3267" s="197"/>
      <c r="CU3267" s="197"/>
      <c r="CV3267" s="197"/>
      <c r="CW3267" s="197"/>
      <c r="CX3267" s="959"/>
      <c r="CY3267" s="959"/>
      <c r="CZ3267" s="959"/>
      <c r="DA3267" s="959"/>
      <c r="DB3267" s="959"/>
      <c r="DG3267" s="959"/>
      <c r="DH3267" s="959"/>
      <c r="ER3267" s="905">
        <v>9561</v>
      </c>
      <c r="ES3267" s="906" t="s">
        <v>4865</v>
      </c>
      <c r="ET3267" s="2686">
        <v>9</v>
      </c>
      <c r="EV3267" s="985"/>
      <c r="EW3267" s="985"/>
      <c r="EX3267" s="387"/>
      <c r="EY3267" s="939"/>
      <c r="EZ3267" s="886"/>
    </row>
    <row r="3268" spans="88:156">
      <c r="CJ3268" s="197"/>
      <c r="CK3268" s="197"/>
      <c r="CL3268" s="197"/>
      <c r="CM3268" s="213"/>
      <c r="CN3268" s="213"/>
      <c r="CO3268" s="197"/>
      <c r="CP3268" s="197"/>
      <c r="CQ3268" s="197"/>
      <c r="CR3268" s="197"/>
      <c r="CS3268" s="197"/>
      <c r="CT3268" s="197"/>
      <c r="CU3268" s="197"/>
      <c r="CV3268" s="197"/>
      <c r="CW3268" s="197"/>
      <c r="CX3268" s="959"/>
      <c r="CY3268" s="959"/>
      <c r="CZ3268" s="959"/>
      <c r="DA3268" s="959"/>
      <c r="DB3268" s="959"/>
      <c r="DG3268" s="959"/>
      <c r="DH3268" s="959"/>
      <c r="ER3268" s="905">
        <v>9600</v>
      </c>
      <c r="ES3268" s="906" t="s">
        <v>3378</v>
      </c>
      <c r="ET3268" s="2686">
        <v>9</v>
      </c>
      <c r="EV3268" s="985"/>
      <c r="EW3268" s="985"/>
      <c r="EX3268" s="387"/>
      <c r="EY3268" s="939"/>
      <c r="EZ3268" s="886"/>
    </row>
    <row r="3269" spans="88:156">
      <c r="CJ3269" s="197"/>
      <c r="CK3269" s="197"/>
      <c r="CL3269" s="197"/>
      <c r="CM3269" s="213"/>
      <c r="CN3269" s="213"/>
      <c r="CO3269" s="197"/>
      <c r="CP3269" s="197"/>
      <c r="CQ3269" s="197"/>
      <c r="CR3269" s="197"/>
      <c r="CS3269" s="197"/>
      <c r="CT3269" s="197"/>
      <c r="CU3269" s="197"/>
      <c r="CV3269" s="197"/>
      <c r="CW3269" s="197"/>
      <c r="CX3269" s="959"/>
      <c r="CY3269" s="959"/>
      <c r="CZ3269" s="959"/>
      <c r="DA3269" s="959"/>
      <c r="DB3269" s="959"/>
      <c r="DG3269" s="959"/>
      <c r="DH3269" s="959"/>
      <c r="ER3269" s="905">
        <v>9608</v>
      </c>
      <c r="ES3269" s="905" t="s">
        <v>4696</v>
      </c>
      <c r="ET3269" s="2686">
        <v>9</v>
      </c>
      <c r="EV3269" s="985"/>
      <c r="EW3269" s="985"/>
      <c r="EX3269" s="387"/>
      <c r="EY3269" s="939"/>
      <c r="EZ3269" s="886"/>
    </row>
    <row r="3270" spans="88:156">
      <c r="CJ3270" s="197"/>
      <c r="CK3270" s="197"/>
      <c r="CL3270" s="197"/>
      <c r="CM3270" s="213"/>
      <c r="CN3270" s="213"/>
      <c r="CO3270" s="197"/>
      <c r="CP3270" s="197"/>
      <c r="CQ3270" s="197"/>
      <c r="CR3270" s="197"/>
      <c r="CS3270" s="197"/>
      <c r="CT3270" s="197"/>
      <c r="CU3270" s="197"/>
      <c r="CV3270" s="197"/>
      <c r="CW3270" s="197"/>
      <c r="CX3270" s="959"/>
      <c r="CY3270" s="959"/>
      <c r="CZ3270" s="959"/>
      <c r="DA3270" s="959"/>
      <c r="DB3270" s="959"/>
      <c r="DG3270" s="959"/>
      <c r="DH3270" s="959"/>
      <c r="ER3270" s="905">
        <v>9609</v>
      </c>
      <c r="ES3270" s="905" t="s">
        <v>4697</v>
      </c>
      <c r="ET3270" s="2686">
        <v>9</v>
      </c>
      <c r="EV3270" s="985"/>
      <c r="EW3270" s="985"/>
      <c r="EX3270" s="387"/>
      <c r="EY3270" s="939"/>
      <c r="EZ3270" s="886"/>
    </row>
    <row r="3271" spans="88:156">
      <c r="CJ3271" s="197"/>
      <c r="CK3271" s="197"/>
      <c r="CL3271" s="197"/>
      <c r="CM3271" s="213"/>
      <c r="CN3271" s="213"/>
      <c r="CO3271" s="197"/>
      <c r="CP3271" s="197"/>
      <c r="CQ3271" s="197"/>
      <c r="CR3271" s="197"/>
      <c r="CS3271" s="197"/>
      <c r="CT3271" s="197"/>
      <c r="CU3271" s="197"/>
      <c r="CV3271" s="197"/>
      <c r="CW3271" s="197"/>
      <c r="CX3271" s="959"/>
      <c r="CY3271" s="959"/>
      <c r="CZ3271" s="959"/>
      <c r="DA3271" s="959"/>
      <c r="DB3271" s="959"/>
      <c r="DG3271" s="959"/>
      <c r="DH3271" s="959"/>
      <c r="ER3271" s="905">
        <v>9611</v>
      </c>
      <c r="ES3271" s="906" t="s">
        <v>3381</v>
      </c>
      <c r="ET3271" s="2686">
        <v>9</v>
      </c>
      <c r="EV3271" s="985"/>
      <c r="EW3271" s="985"/>
      <c r="EX3271" s="387"/>
      <c r="EY3271" s="939"/>
      <c r="EZ3271" s="886"/>
    </row>
    <row r="3272" spans="88:156">
      <c r="CJ3272" s="197"/>
      <c r="CK3272" s="197"/>
      <c r="CL3272" s="197"/>
      <c r="CM3272" s="213"/>
      <c r="CN3272" s="213"/>
      <c r="CO3272" s="197"/>
      <c r="CP3272" s="197"/>
      <c r="CQ3272" s="197"/>
      <c r="CR3272" s="197"/>
      <c r="CS3272" s="197"/>
      <c r="CT3272" s="197"/>
      <c r="CU3272" s="197"/>
      <c r="CV3272" s="197"/>
      <c r="CW3272" s="197"/>
      <c r="CX3272" s="959"/>
      <c r="CY3272" s="959"/>
      <c r="CZ3272" s="959"/>
      <c r="DA3272" s="959"/>
      <c r="DB3272" s="959"/>
      <c r="DG3272" s="959"/>
      <c r="DH3272" s="959"/>
      <c r="ER3272" s="905">
        <v>9612</v>
      </c>
      <c r="ES3272" s="906" t="s">
        <v>4698</v>
      </c>
      <c r="ET3272" s="2686">
        <v>9</v>
      </c>
      <c r="EV3272" s="985"/>
      <c r="EW3272" s="985"/>
      <c r="EX3272" s="387"/>
      <c r="EY3272" s="939"/>
      <c r="EZ3272" s="886"/>
    </row>
    <row r="3273" spans="88:156">
      <c r="CJ3273" s="197"/>
      <c r="CK3273" s="197"/>
      <c r="CL3273" s="197"/>
      <c r="CM3273" s="213"/>
      <c r="CN3273" s="213"/>
      <c r="CO3273" s="197"/>
      <c r="CP3273" s="197"/>
      <c r="CQ3273" s="197"/>
      <c r="CR3273" s="197"/>
      <c r="CS3273" s="197"/>
      <c r="CT3273" s="197"/>
      <c r="CU3273" s="197"/>
      <c r="CV3273" s="197"/>
      <c r="CW3273" s="197"/>
      <c r="CX3273" s="959"/>
      <c r="CY3273" s="959"/>
      <c r="CZ3273" s="959"/>
      <c r="DA3273" s="959"/>
      <c r="DB3273" s="959"/>
      <c r="DG3273" s="959"/>
      <c r="DH3273" s="959"/>
      <c r="ER3273" s="905">
        <v>9612</v>
      </c>
      <c r="ES3273" s="906" t="s">
        <v>3382</v>
      </c>
      <c r="ET3273" s="2686">
        <v>9</v>
      </c>
      <c r="EV3273" s="985"/>
      <c r="EW3273" s="985"/>
      <c r="EX3273" s="387"/>
      <c r="EY3273" s="939"/>
      <c r="EZ3273" s="886"/>
    </row>
    <row r="3274" spans="88:156">
      <c r="CJ3274" s="197"/>
      <c r="CK3274" s="197"/>
      <c r="CL3274" s="197"/>
      <c r="CM3274" s="213"/>
      <c r="CN3274" s="213"/>
      <c r="CO3274" s="197"/>
      <c r="CP3274" s="197"/>
      <c r="CQ3274" s="197"/>
      <c r="CR3274" s="197"/>
      <c r="CS3274" s="197"/>
      <c r="CT3274" s="197"/>
      <c r="CU3274" s="197"/>
      <c r="CV3274" s="197"/>
      <c r="CW3274" s="197"/>
      <c r="CX3274" s="959"/>
      <c r="CY3274" s="959"/>
      <c r="CZ3274" s="959"/>
      <c r="DA3274" s="959"/>
      <c r="DB3274" s="959"/>
      <c r="DG3274" s="959"/>
      <c r="DH3274" s="959"/>
      <c r="ER3274" s="905">
        <v>9621</v>
      </c>
      <c r="ES3274" s="906" t="s">
        <v>3383</v>
      </c>
      <c r="ET3274" s="2686">
        <v>9</v>
      </c>
      <c r="EV3274" s="985"/>
      <c r="EW3274" s="985"/>
      <c r="EX3274" s="387"/>
      <c r="EY3274" s="939"/>
      <c r="EZ3274" s="886"/>
    </row>
    <row r="3275" spans="88:156">
      <c r="CJ3275" s="197"/>
      <c r="CK3275" s="197"/>
      <c r="CL3275" s="197"/>
      <c r="CM3275" s="213"/>
      <c r="CN3275" s="213"/>
      <c r="CO3275" s="197"/>
      <c r="CP3275" s="197"/>
      <c r="CQ3275" s="197"/>
      <c r="CR3275" s="197"/>
      <c r="CS3275" s="197"/>
      <c r="CT3275" s="197"/>
      <c r="CU3275" s="197"/>
      <c r="CV3275" s="197"/>
      <c r="CW3275" s="197"/>
      <c r="CX3275" s="959"/>
      <c r="CY3275" s="959"/>
      <c r="CZ3275" s="959"/>
      <c r="DA3275" s="959"/>
      <c r="DB3275" s="959"/>
      <c r="DG3275" s="959"/>
      <c r="DH3275" s="959"/>
      <c r="ER3275" s="905">
        <v>9622</v>
      </c>
      <c r="ES3275" s="906" t="s">
        <v>3384</v>
      </c>
      <c r="ET3275" s="2686">
        <v>9</v>
      </c>
      <c r="EV3275" s="985"/>
      <c r="EW3275" s="985"/>
      <c r="EX3275" s="387"/>
      <c r="EY3275" s="939"/>
      <c r="EZ3275" s="886"/>
    </row>
    <row r="3276" spans="88:156">
      <c r="CJ3276" s="197"/>
      <c r="CK3276" s="197"/>
      <c r="CL3276" s="197"/>
      <c r="CM3276" s="213"/>
      <c r="CN3276" s="213"/>
      <c r="CO3276" s="197"/>
      <c r="CP3276" s="197"/>
      <c r="CQ3276" s="197"/>
      <c r="CR3276" s="197"/>
      <c r="CS3276" s="197"/>
      <c r="CT3276" s="197"/>
      <c r="CU3276" s="197"/>
      <c r="CV3276" s="197"/>
      <c r="CW3276" s="197"/>
      <c r="CX3276" s="959"/>
      <c r="CY3276" s="959"/>
      <c r="CZ3276" s="959"/>
      <c r="DA3276" s="959"/>
      <c r="DB3276" s="959"/>
      <c r="DG3276" s="959"/>
      <c r="DH3276" s="959"/>
      <c r="ER3276" s="905">
        <v>9623</v>
      </c>
      <c r="ES3276" s="906" t="s">
        <v>3385</v>
      </c>
      <c r="ET3276" s="2686">
        <v>9</v>
      </c>
      <c r="EV3276" s="985"/>
      <c r="EW3276" s="985"/>
      <c r="EX3276" s="387"/>
      <c r="EY3276" s="939"/>
      <c r="EZ3276" s="886"/>
    </row>
    <row r="3277" spans="88:156">
      <c r="CJ3277" s="197"/>
      <c r="CK3277" s="197"/>
      <c r="CL3277" s="197"/>
      <c r="CM3277" s="213"/>
      <c r="CN3277" s="213"/>
      <c r="CO3277" s="197"/>
      <c r="CP3277" s="197"/>
      <c r="CQ3277" s="197"/>
      <c r="CR3277" s="197"/>
      <c r="CS3277" s="197"/>
      <c r="CT3277" s="197"/>
      <c r="CU3277" s="197"/>
      <c r="CV3277" s="197"/>
      <c r="CW3277" s="197"/>
      <c r="CX3277" s="959"/>
      <c r="CY3277" s="959"/>
      <c r="CZ3277" s="959"/>
      <c r="DA3277" s="959"/>
      <c r="DB3277" s="959"/>
      <c r="DG3277" s="959"/>
      <c r="DH3277" s="959"/>
      <c r="ER3277" s="905">
        <v>9624</v>
      </c>
      <c r="ES3277" s="906" t="s">
        <v>3386</v>
      </c>
      <c r="ET3277" s="2686">
        <v>9</v>
      </c>
      <c r="EV3277" s="985"/>
      <c r="EW3277" s="985"/>
      <c r="EX3277" s="387"/>
      <c r="EY3277" s="939"/>
      <c r="EZ3277" s="886"/>
    </row>
    <row r="3278" spans="88:156">
      <c r="CJ3278" s="197"/>
      <c r="CK3278" s="197"/>
      <c r="CL3278" s="197"/>
      <c r="CM3278" s="213"/>
      <c r="CN3278" s="213"/>
      <c r="CO3278" s="197"/>
      <c r="CP3278" s="197"/>
      <c r="CQ3278" s="197"/>
      <c r="CR3278" s="197"/>
      <c r="CS3278" s="197"/>
      <c r="CT3278" s="197"/>
      <c r="CU3278" s="197"/>
      <c r="CV3278" s="197"/>
      <c r="CW3278" s="197"/>
      <c r="CX3278" s="959"/>
      <c r="CY3278" s="959"/>
      <c r="CZ3278" s="959"/>
      <c r="DA3278" s="959"/>
      <c r="DB3278" s="959"/>
      <c r="DG3278" s="959"/>
      <c r="DH3278" s="959"/>
      <c r="ER3278" s="905">
        <v>9625</v>
      </c>
      <c r="ES3278" s="906" t="s">
        <v>4699</v>
      </c>
      <c r="ET3278" s="2686">
        <v>9</v>
      </c>
      <c r="EV3278" s="985"/>
      <c r="EW3278" s="985"/>
      <c r="EX3278" s="387"/>
      <c r="EY3278" s="939"/>
      <c r="EZ3278" s="886"/>
    </row>
    <row r="3279" spans="88:156">
      <c r="CJ3279" s="197"/>
      <c r="CK3279" s="197"/>
      <c r="CL3279" s="197"/>
      <c r="CM3279" s="213"/>
      <c r="CN3279" s="213"/>
      <c r="CO3279" s="197"/>
      <c r="CP3279" s="197"/>
      <c r="CQ3279" s="197"/>
      <c r="CR3279" s="197"/>
      <c r="CS3279" s="197"/>
      <c r="CT3279" s="197"/>
      <c r="CU3279" s="197"/>
      <c r="CV3279" s="197"/>
      <c r="CW3279" s="197"/>
      <c r="CX3279" s="959"/>
      <c r="CY3279" s="959"/>
      <c r="CZ3279" s="959"/>
      <c r="DA3279" s="959"/>
      <c r="DB3279" s="959"/>
      <c r="DG3279" s="959"/>
      <c r="DH3279" s="959"/>
      <c r="ER3279" s="905">
        <v>9625</v>
      </c>
      <c r="ES3279" s="906" t="s">
        <v>3387</v>
      </c>
      <c r="ET3279" s="2686">
        <v>9</v>
      </c>
      <c r="EV3279" s="985"/>
      <c r="EW3279" s="985"/>
      <c r="EX3279" s="387"/>
      <c r="EY3279" s="939"/>
      <c r="EZ3279" s="886"/>
    </row>
    <row r="3280" spans="88:156">
      <c r="CJ3280" s="197"/>
      <c r="CK3280" s="197"/>
      <c r="CL3280" s="197"/>
      <c r="CM3280" s="213"/>
      <c r="CN3280" s="213"/>
      <c r="CO3280" s="197"/>
      <c r="CP3280" s="197"/>
      <c r="CQ3280" s="197"/>
      <c r="CR3280" s="197"/>
      <c r="CS3280" s="197"/>
      <c r="CT3280" s="197"/>
      <c r="CU3280" s="197"/>
      <c r="CV3280" s="197"/>
      <c r="CW3280" s="197"/>
      <c r="CX3280" s="959"/>
      <c r="CY3280" s="959"/>
      <c r="CZ3280" s="959"/>
      <c r="DA3280" s="959"/>
      <c r="DB3280" s="959"/>
      <c r="DG3280" s="959"/>
      <c r="DH3280" s="959"/>
      <c r="ER3280" s="905">
        <v>9631</v>
      </c>
      <c r="ES3280" s="906" t="s">
        <v>4700</v>
      </c>
      <c r="ET3280" s="2686">
        <v>9</v>
      </c>
      <c r="EV3280" s="985"/>
      <c r="EW3280" s="985"/>
      <c r="EX3280" s="387"/>
      <c r="EY3280" s="939"/>
      <c r="EZ3280" s="886"/>
    </row>
    <row r="3281" spans="88:156">
      <c r="CJ3281" s="197"/>
      <c r="CK3281" s="197"/>
      <c r="CL3281" s="197"/>
      <c r="CM3281" s="213"/>
      <c r="CN3281" s="213"/>
      <c r="CO3281" s="197"/>
      <c r="CP3281" s="197"/>
      <c r="CQ3281" s="197"/>
      <c r="CR3281" s="197"/>
      <c r="CS3281" s="197"/>
      <c r="CT3281" s="197"/>
      <c r="CU3281" s="197"/>
      <c r="CV3281" s="197"/>
      <c r="CW3281" s="197"/>
      <c r="CX3281" s="959"/>
      <c r="CY3281" s="959"/>
      <c r="CZ3281" s="959"/>
      <c r="DA3281" s="959"/>
      <c r="DB3281" s="959"/>
      <c r="DG3281" s="959"/>
      <c r="DH3281" s="959"/>
      <c r="ER3281" s="905">
        <v>9632</v>
      </c>
      <c r="ES3281" s="906" t="s">
        <v>3389</v>
      </c>
      <c r="ET3281" s="2686">
        <v>9</v>
      </c>
      <c r="EV3281" s="985"/>
      <c r="EW3281" s="985"/>
      <c r="EX3281" s="387"/>
      <c r="EY3281" s="939"/>
      <c r="EZ3281" s="886"/>
    </row>
    <row r="3282" spans="88:156">
      <c r="CJ3282" s="197"/>
      <c r="CK3282" s="197"/>
      <c r="CL3282" s="197"/>
      <c r="CM3282" s="213"/>
      <c r="CN3282" s="213"/>
      <c r="CO3282" s="197"/>
      <c r="CP3282" s="197"/>
      <c r="CQ3282" s="197"/>
      <c r="CR3282" s="197"/>
      <c r="CS3282" s="197"/>
      <c r="CT3282" s="197"/>
      <c r="CU3282" s="197"/>
      <c r="CV3282" s="197"/>
      <c r="CW3282" s="197"/>
      <c r="CX3282" s="959"/>
      <c r="CY3282" s="959"/>
      <c r="CZ3282" s="959"/>
      <c r="DA3282" s="959"/>
      <c r="DB3282" s="959"/>
      <c r="DG3282" s="959"/>
      <c r="DH3282" s="959"/>
      <c r="ER3282" s="905">
        <v>9633</v>
      </c>
      <c r="ES3282" s="906" t="s">
        <v>3390</v>
      </c>
      <c r="ET3282" s="2686">
        <v>9</v>
      </c>
      <c r="EV3282" s="985"/>
      <c r="EW3282" s="985"/>
      <c r="EX3282" s="387"/>
      <c r="EY3282" s="939"/>
      <c r="EZ3282" s="886"/>
    </row>
    <row r="3283" spans="88:156">
      <c r="CJ3283" s="197"/>
      <c r="CK3283" s="197"/>
      <c r="CL3283" s="197"/>
      <c r="CM3283" s="213"/>
      <c r="CN3283" s="213"/>
      <c r="CO3283" s="197"/>
      <c r="CP3283" s="197"/>
      <c r="CQ3283" s="197"/>
      <c r="CR3283" s="197"/>
      <c r="CS3283" s="197"/>
      <c r="CT3283" s="197"/>
      <c r="CU3283" s="197"/>
      <c r="CV3283" s="197"/>
      <c r="CW3283" s="197"/>
      <c r="CX3283" s="959"/>
      <c r="CY3283" s="959"/>
      <c r="CZ3283" s="959"/>
      <c r="DA3283" s="959"/>
      <c r="DB3283" s="959"/>
      <c r="DG3283" s="959"/>
      <c r="DH3283" s="959"/>
      <c r="ER3283" s="905">
        <v>9634</v>
      </c>
      <c r="ES3283" s="906" t="s">
        <v>4701</v>
      </c>
      <c r="ET3283" s="2686">
        <v>9</v>
      </c>
      <c r="EV3283" s="985"/>
      <c r="EW3283" s="985"/>
      <c r="EX3283" s="387"/>
      <c r="EY3283" s="939"/>
      <c r="EZ3283" s="886"/>
    </row>
    <row r="3284" spans="88:156">
      <c r="CJ3284" s="197"/>
      <c r="CK3284" s="197"/>
      <c r="CL3284" s="197"/>
      <c r="CM3284" s="213"/>
      <c r="CN3284" s="213"/>
      <c r="CO3284" s="197"/>
      <c r="CP3284" s="197"/>
      <c r="CQ3284" s="197"/>
      <c r="CR3284" s="197"/>
      <c r="CS3284" s="197"/>
      <c r="CT3284" s="197"/>
      <c r="CU3284" s="197"/>
      <c r="CV3284" s="197"/>
      <c r="CW3284" s="197"/>
      <c r="CX3284" s="959"/>
      <c r="CY3284" s="959"/>
      <c r="CZ3284" s="959"/>
      <c r="DA3284" s="959"/>
      <c r="DB3284" s="959"/>
      <c r="DG3284" s="959"/>
      <c r="DH3284" s="959"/>
      <c r="ER3284" s="905">
        <v>9634</v>
      </c>
      <c r="ES3284" s="906" t="s">
        <v>3391</v>
      </c>
      <c r="ET3284" s="2686">
        <v>9</v>
      </c>
      <c r="EV3284" s="985"/>
      <c r="EW3284" s="985"/>
      <c r="EX3284" s="387"/>
      <c r="EY3284" s="939"/>
      <c r="EZ3284" s="886"/>
    </row>
    <row r="3285" spans="88:156">
      <c r="CJ3285" s="197"/>
      <c r="CK3285" s="197"/>
      <c r="CL3285" s="197"/>
      <c r="CM3285" s="213"/>
      <c r="CN3285" s="213"/>
      <c r="CO3285" s="197"/>
      <c r="CP3285" s="197"/>
      <c r="CQ3285" s="197"/>
      <c r="CR3285" s="197"/>
      <c r="CS3285" s="197"/>
      <c r="CT3285" s="197"/>
      <c r="CU3285" s="197"/>
      <c r="CV3285" s="197"/>
      <c r="CW3285" s="197"/>
      <c r="CX3285" s="959"/>
      <c r="CY3285" s="959"/>
      <c r="CZ3285" s="959"/>
      <c r="DA3285" s="959"/>
      <c r="DB3285" s="959"/>
      <c r="DG3285" s="959"/>
      <c r="DH3285" s="959"/>
      <c r="ER3285" s="905">
        <v>9635</v>
      </c>
      <c r="ES3285" s="906" t="s">
        <v>3388</v>
      </c>
      <c r="ET3285" s="2686">
        <v>9</v>
      </c>
      <c r="EV3285" s="985"/>
      <c r="EW3285" s="985"/>
      <c r="EX3285" s="387"/>
      <c r="EY3285" s="939"/>
      <c r="EZ3285" s="886"/>
    </row>
    <row r="3286" spans="88:156">
      <c r="CJ3286" s="197"/>
      <c r="CK3286" s="197"/>
      <c r="CL3286" s="197"/>
      <c r="CM3286" s="213"/>
      <c r="CN3286" s="213"/>
      <c r="CO3286" s="197"/>
      <c r="CP3286" s="197"/>
      <c r="CQ3286" s="197"/>
      <c r="CR3286" s="197"/>
      <c r="CS3286" s="197"/>
      <c r="CT3286" s="197"/>
      <c r="CU3286" s="197"/>
      <c r="CV3286" s="197"/>
      <c r="CW3286" s="197"/>
      <c r="CX3286" s="959"/>
      <c r="CY3286" s="959"/>
      <c r="CZ3286" s="959"/>
      <c r="DA3286" s="959"/>
      <c r="DB3286" s="959"/>
      <c r="DG3286" s="959"/>
      <c r="DH3286" s="959"/>
      <c r="ER3286" s="905">
        <v>9636</v>
      </c>
      <c r="ES3286" s="906" t="s">
        <v>3392</v>
      </c>
      <c r="ET3286" s="2686">
        <v>9</v>
      </c>
      <c r="EV3286" s="985"/>
      <c r="EW3286" s="985"/>
      <c r="EX3286" s="387"/>
      <c r="EY3286" s="939"/>
      <c r="EZ3286" s="886"/>
    </row>
    <row r="3287" spans="88:156">
      <c r="CJ3287" s="197"/>
      <c r="CK3287" s="197"/>
      <c r="CL3287" s="197"/>
      <c r="CM3287" s="213"/>
      <c r="CN3287" s="213"/>
      <c r="CO3287" s="197"/>
      <c r="CP3287" s="197"/>
      <c r="CQ3287" s="197"/>
      <c r="CR3287" s="197"/>
      <c r="CS3287" s="197"/>
      <c r="CT3287" s="197"/>
      <c r="CU3287" s="197"/>
      <c r="CV3287" s="197"/>
      <c r="CW3287" s="197"/>
      <c r="CX3287" s="959"/>
      <c r="CY3287" s="959"/>
      <c r="CZ3287" s="959"/>
      <c r="DA3287" s="959"/>
      <c r="DB3287" s="959"/>
      <c r="DG3287" s="959"/>
      <c r="DH3287" s="959"/>
      <c r="ER3287" s="905">
        <v>9641</v>
      </c>
      <c r="ES3287" s="906" t="s">
        <v>3393</v>
      </c>
      <c r="ET3287" s="2686">
        <v>9</v>
      </c>
      <c r="EV3287" s="985"/>
      <c r="EW3287" s="985"/>
      <c r="EX3287" s="387"/>
      <c r="EY3287" s="939"/>
      <c r="EZ3287" s="886"/>
    </row>
    <row r="3288" spans="88:156">
      <c r="CJ3288" s="197"/>
      <c r="CK3288" s="197"/>
      <c r="CL3288" s="197"/>
      <c r="CM3288" s="213"/>
      <c r="CN3288" s="213"/>
      <c r="CO3288" s="197"/>
      <c r="CP3288" s="197"/>
      <c r="CQ3288" s="197"/>
      <c r="CR3288" s="197"/>
      <c r="CS3288" s="197"/>
      <c r="CT3288" s="197"/>
      <c r="CU3288" s="197"/>
      <c r="CV3288" s="197"/>
      <c r="CW3288" s="197"/>
      <c r="CX3288" s="959"/>
      <c r="CY3288" s="959"/>
      <c r="CZ3288" s="959"/>
      <c r="DA3288" s="959"/>
      <c r="DB3288" s="959"/>
      <c r="DG3288" s="959"/>
      <c r="DH3288" s="959"/>
      <c r="ER3288" s="905">
        <v>9643</v>
      </c>
      <c r="ES3288" s="906" t="s">
        <v>3394</v>
      </c>
      <c r="ET3288" s="2686">
        <v>9</v>
      </c>
      <c r="EV3288" s="985"/>
      <c r="EW3288" s="985"/>
      <c r="EX3288" s="387"/>
      <c r="EY3288" s="939"/>
      <c r="EZ3288" s="886"/>
    </row>
    <row r="3289" spans="88:156">
      <c r="CJ3289" s="197"/>
      <c r="CK3289" s="197"/>
      <c r="CL3289" s="197"/>
      <c r="CM3289" s="213"/>
      <c r="CN3289" s="213"/>
      <c r="CO3289" s="197"/>
      <c r="CP3289" s="197"/>
      <c r="CQ3289" s="197"/>
      <c r="CR3289" s="197"/>
      <c r="CS3289" s="197"/>
      <c r="CT3289" s="197"/>
      <c r="CU3289" s="197"/>
      <c r="CV3289" s="197"/>
      <c r="CW3289" s="197"/>
      <c r="CX3289" s="959"/>
      <c r="CY3289" s="959"/>
      <c r="CZ3289" s="959"/>
      <c r="DA3289" s="959"/>
      <c r="DB3289" s="959"/>
      <c r="DG3289" s="959"/>
      <c r="DH3289" s="959"/>
      <c r="ER3289" s="905">
        <v>9651</v>
      </c>
      <c r="ES3289" s="906" t="s">
        <v>3395</v>
      </c>
      <c r="ET3289" s="2686">
        <v>9</v>
      </c>
      <c r="EV3289" s="985"/>
      <c r="EW3289" s="985"/>
      <c r="EX3289" s="387"/>
      <c r="EY3289" s="939"/>
      <c r="EZ3289" s="886"/>
    </row>
    <row r="3290" spans="88:156">
      <c r="CJ3290" s="197"/>
      <c r="CK3290" s="197"/>
      <c r="CL3290" s="197"/>
      <c r="CM3290" s="213"/>
      <c r="CN3290" s="213"/>
      <c r="CO3290" s="197"/>
      <c r="CP3290" s="197"/>
      <c r="CQ3290" s="197"/>
      <c r="CR3290" s="197"/>
      <c r="CS3290" s="197"/>
      <c r="CT3290" s="197"/>
      <c r="CU3290" s="197"/>
      <c r="CV3290" s="197"/>
      <c r="CW3290" s="197"/>
      <c r="CX3290" s="959"/>
      <c r="CY3290" s="959"/>
      <c r="CZ3290" s="959"/>
      <c r="DA3290" s="959"/>
      <c r="DB3290" s="959"/>
      <c r="DG3290" s="959"/>
      <c r="DH3290" s="959"/>
      <c r="ER3290" s="905">
        <v>9652</v>
      </c>
      <c r="ES3290" s="906" t="s">
        <v>3396</v>
      </c>
      <c r="ET3290" s="2686">
        <v>9</v>
      </c>
      <c r="EV3290" s="985"/>
      <c r="EW3290" s="985"/>
      <c r="EX3290" s="387"/>
      <c r="EY3290" s="939"/>
      <c r="EZ3290" s="886"/>
    </row>
    <row r="3291" spans="88:156">
      <c r="CJ3291" s="197"/>
      <c r="CK3291" s="197"/>
      <c r="CL3291" s="197"/>
      <c r="CM3291" s="213"/>
      <c r="CN3291" s="213"/>
      <c r="CO3291" s="197"/>
      <c r="CP3291" s="197"/>
      <c r="CQ3291" s="197"/>
      <c r="CR3291" s="197"/>
      <c r="CS3291" s="197"/>
      <c r="CT3291" s="197"/>
      <c r="CU3291" s="197"/>
      <c r="CV3291" s="197"/>
      <c r="CW3291" s="197"/>
      <c r="CX3291" s="959"/>
      <c r="CY3291" s="959"/>
      <c r="CZ3291" s="959"/>
      <c r="DA3291" s="959"/>
      <c r="DB3291" s="959"/>
      <c r="DG3291" s="959"/>
      <c r="DH3291" s="959"/>
      <c r="ER3291" s="905">
        <v>9653</v>
      </c>
      <c r="ES3291" s="906" t="s">
        <v>3397</v>
      </c>
      <c r="ET3291" s="2686">
        <v>9</v>
      </c>
      <c r="EV3291" s="985"/>
      <c r="EW3291" s="985"/>
      <c r="EX3291" s="387"/>
      <c r="EY3291" s="939"/>
      <c r="EZ3291" s="886"/>
    </row>
    <row r="3292" spans="88:156">
      <c r="CJ3292" s="197"/>
      <c r="CK3292" s="197"/>
      <c r="CL3292" s="197"/>
      <c r="CM3292" s="213"/>
      <c r="CN3292" s="213"/>
      <c r="CO3292" s="197"/>
      <c r="CP3292" s="197"/>
      <c r="CQ3292" s="197"/>
      <c r="CR3292" s="197"/>
      <c r="CS3292" s="197"/>
      <c r="CT3292" s="197"/>
      <c r="CU3292" s="197"/>
      <c r="CV3292" s="197"/>
      <c r="CW3292" s="197"/>
      <c r="CX3292" s="959"/>
      <c r="CY3292" s="959"/>
      <c r="CZ3292" s="959"/>
      <c r="DA3292" s="959"/>
      <c r="DB3292" s="959"/>
      <c r="DG3292" s="959"/>
      <c r="DH3292" s="959"/>
      <c r="ER3292" s="905">
        <v>9654</v>
      </c>
      <c r="ES3292" s="906" t="s">
        <v>3398</v>
      </c>
      <c r="ET3292" s="2686">
        <v>9</v>
      </c>
      <c r="EV3292" s="985"/>
      <c r="EW3292" s="985"/>
      <c r="EX3292" s="387"/>
      <c r="EY3292" s="939"/>
      <c r="EZ3292" s="886"/>
    </row>
    <row r="3293" spans="88:156">
      <c r="CJ3293" s="197"/>
      <c r="CK3293" s="197"/>
      <c r="CL3293" s="197"/>
      <c r="CM3293" s="213"/>
      <c r="CN3293" s="213"/>
      <c r="CO3293" s="197"/>
      <c r="CP3293" s="197"/>
      <c r="CQ3293" s="197"/>
      <c r="CR3293" s="197"/>
      <c r="CS3293" s="197"/>
      <c r="CT3293" s="197"/>
      <c r="CU3293" s="197"/>
      <c r="CV3293" s="197"/>
      <c r="CW3293" s="197"/>
      <c r="CX3293" s="959"/>
      <c r="CY3293" s="959"/>
      <c r="CZ3293" s="959"/>
      <c r="DA3293" s="959"/>
      <c r="DB3293" s="959"/>
      <c r="DG3293" s="959"/>
      <c r="DH3293" s="959"/>
      <c r="ER3293" s="905">
        <v>9661</v>
      </c>
      <c r="ES3293" s="906" t="s">
        <v>3399</v>
      </c>
      <c r="ET3293" s="2686">
        <v>9</v>
      </c>
      <c r="EV3293" s="985"/>
      <c r="EW3293" s="985"/>
      <c r="EX3293" s="387"/>
      <c r="EY3293" s="939"/>
      <c r="EZ3293" s="886"/>
    </row>
    <row r="3294" spans="88:156">
      <c r="CJ3294" s="197"/>
      <c r="CK3294" s="197"/>
      <c r="CL3294" s="197"/>
      <c r="CM3294" s="213"/>
      <c r="CN3294" s="213"/>
      <c r="CO3294" s="197"/>
      <c r="CP3294" s="197"/>
      <c r="CQ3294" s="197"/>
      <c r="CR3294" s="197"/>
      <c r="CS3294" s="197"/>
      <c r="CT3294" s="197"/>
      <c r="CU3294" s="197"/>
      <c r="CV3294" s="197"/>
      <c r="CW3294" s="197"/>
      <c r="CX3294" s="959"/>
      <c r="CY3294" s="959"/>
      <c r="CZ3294" s="959"/>
      <c r="DA3294" s="959"/>
      <c r="DB3294" s="959"/>
      <c r="DG3294" s="959"/>
      <c r="DH3294" s="959"/>
      <c r="ER3294" s="905">
        <v>9662</v>
      </c>
      <c r="ES3294" s="906" t="s">
        <v>4702</v>
      </c>
      <c r="ET3294" s="2686">
        <v>9</v>
      </c>
      <c r="EV3294" s="985"/>
      <c r="EW3294" s="985"/>
      <c r="EX3294" s="387"/>
      <c r="EY3294" s="939"/>
      <c r="EZ3294" s="886"/>
    </row>
    <row r="3295" spans="88:156">
      <c r="CJ3295" s="197"/>
      <c r="CK3295" s="197"/>
      <c r="CL3295" s="197"/>
      <c r="CM3295" s="213"/>
      <c r="CN3295" s="213"/>
      <c r="CO3295" s="197"/>
      <c r="CP3295" s="197"/>
      <c r="CQ3295" s="197"/>
      <c r="CR3295" s="197"/>
      <c r="CS3295" s="197"/>
      <c r="CT3295" s="197"/>
      <c r="CU3295" s="197"/>
      <c r="CV3295" s="197"/>
      <c r="CW3295" s="197"/>
      <c r="CX3295" s="959"/>
      <c r="CY3295" s="959"/>
      <c r="CZ3295" s="959"/>
      <c r="DA3295" s="959"/>
      <c r="DB3295" s="959"/>
      <c r="DG3295" s="959"/>
      <c r="DH3295" s="959"/>
      <c r="ER3295" s="905">
        <v>9662</v>
      </c>
      <c r="ES3295" s="906" t="s">
        <v>3400</v>
      </c>
      <c r="ET3295" s="2686">
        <v>9</v>
      </c>
      <c r="EV3295" s="985"/>
      <c r="EW3295" s="985"/>
      <c r="EX3295" s="387"/>
      <c r="EY3295" s="939"/>
      <c r="EZ3295" s="886"/>
    </row>
    <row r="3296" spans="88:156">
      <c r="CJ3296" s="197"/>
      <c r="CK3296" s="197"/>
      <c r="CL3296" s="197"/>
      <c r="CM3296" s="213"/>
      <c r="CN3296" s="213"/>
      <c r="CO3296" s="197"/>
      <c r="CP3296" s="197"/>
      <c r="CQ3296" s="197"/>
      <c r="CR3296" s="197"/>
      <c r="CS3296" s="197"/>
      <c r="CT3296" s="197"/>
      <c r="CU3296" s="197"/>
      <c r="CV3296" s="197"/>
      <c r="CW3296" s="197"/>
      <c r="CX3296" s="959"/>
      <c r="CY3296" s="959"/>
      <c r="CZ3296" s="959"/>
      <c r="DA3296" s="959"/>
      <c r="DB3296" s="959"/>
      <c r="DG3296" s="959"/>
      <c r="DH3296" s="959"/>
      <c r="ER3296" s="905">
        <v>9663</v>
      </c>
      <c r="ES3296" s="906" t="s">
        <v>3401</v>
      </c>
      <c r="ET3296" s="2686">
        <v>9</v>
      </c>
      <c r="EV3296" s="985"/>
      <c r="EW3296" s="985"/>
      <c r="EX3296" s="387"/>
      <c r="EY3296" s="939"/>
      <c r="EZ3296" s="886"/>
    </row>
    <row r="3297" spans="88:156">
      <c r="CJ3297" s="197"/>
      <c r="CK3297" s="197"/>
      <c r="CL3297" s="197"/>
      <c r="CM3297" s="213"/>
      <c r="CN3297" s="213"/>
      <c r="CO3297" s="197"/>
      <c r="CP3297" s="197"/>
      <c r="CQ3297" s="197"/>
      <c r="CR3297" s="197"/>
      <c r="CS3297" s="197"/>
      <c r="CT3297" s="197"/>
      <c r="CU3297" s="197"/>
      <c r="CV3297" s="197"/>
      <c r="CW3297" s="197"/>
      <c r="CX3297" s="959"/>
      <c r="CY3297" s="959"/>
      <c r="CZ3297" s="959"/>
      <c r="DA3297" s="959"/>
      <c r="DB3297" s="959"/>
      <c r="DG3297" s="959"/>
      <c r="DH3297" s="959"/>
      <c r="ER3297" s="905">
        <v>9664</v>
      </c>
      <c r="ES3297" s="906" t="s">
        <v>3402</v>
      </c>
      <c r="ET3297" s="2686">
        <v>9</v>
      </c>
      <c r="EV3297" s="985"/>
      <c r="EW3297" s="985"/>
      <c r="EX3297" s="387"/>
      <c r="EY3297" s="939"/>
      <c r="EZ3297" s="886"/>
    </row>
    <row r="3298" spans="88:156">
      <c r="CJ3298" s="197"/>
      <c r="CK3298" s="197"/>
      <c r="CL3298" s="197"/>
      <c r="CM3298" s="213"/>
      <c r="CN3298" s="213"/>
      <c r="CO3298" s="197"/>
      <c r="CP3298" s="197"/>
      <c r="CQ3298" s="197"/>
      <c r="CR3298" s="197"/>
      <c r="CS3298" s="197"/>
      <c r="CT3298" s="197"/>
      <c r="CU3298" s="197"/>
      <c r="CV3298" s="197"/>
      <c r="CW3298" s="197"/>
      <c r="CX3298" s="959"/>
      <c r="CY3298" s="959"/>
      <c r="CZ3298" s="959"/>
      <c r="DA3298" s="959"/>
      <c r="DB3298" s="959"/>
      <c r="DG3298" s="959"/>
      <c r="DH3298" s="959"/>
      <c r="ER3298" s="905">
        <v>9665</v>
      </c>
      <c r="ES3298" s="906" t="s">
        <v>3403</v>
      </c>
      <c r="ET3298" s="2686">
        <v>9</v>
      </c>
      <c r="EV3298" s="985"/>
      <c r="EW3298" s="985"/>
      <c r="EX3298" s="387"/>
      <c r="EY3298" s="939"/>
      <c r="EZ3298" s="886"/>
    </row>
    <row r="3299" spans="88:156">
      <c r="CJ3299" s="197"/>
      <c r="CK3299" s="197"/>
      <c r="CL3299" s="197"/>
      <c r="CM3299" s="213"/>
      <c r="CN3299" s="213"/>
      <c r="CO3299" s="197"/>
      <c r="CP3299" s="197"/>
      <c r="CQ3299" s="197"/>
      <c r="CR3299" s="197"/>
      <c r="CS3299" s="197"/>
      <c r="CT3299" s="197"/>
      <c r="CU3299" s="197"/>
      <c r="CV3299" s="197"/>
      <c r="CW3299" s="197"/>
      <c r="CX3299" s="959"/>
      <c r="CY3299" s="959"/>
      <c r="CZ3299" s="959"/>
      <c r="DA3299" s="959"/>
      <c r="DB3299" s="959"/>
      <c r="DG3299" s="959"/>
      <c r="DH3299" s="959"/>
      <c r="ER3299" s="905">
        <v>9671</v>
      </c>
      <c r="ES3299" s="906" t="s">
        <v>3404</v>
      </c>
      <c r="ET3299" s="2686">
        <v>9</v>
      </c>
      <c r="EV3299" s="985"/>
      <c r="EW3299" s="985"/>
      <c r="EX3299" s="387"/>
      <c r="EY3299" s="939"/>
      <c r="EZ3299" s="886"/>
    </row>
    <row r="3300" spans="88:156">
      <c r="CJ3300" s="197"/>
      <c r="CK3300" s="197"/>
      <c r="CL3300" s="197"/>
      <c r="CM3300" s="213"/>
      <c r="CN3300" s="213"/>
      <c r="CO3300" s="197"/>
      <c r="CP3300" s="197"/>
      <c r="CQ3300" s="197"/>
      <c r="CR3300" s="197"/>
      <c r="CS3300" s="197"/>
      <c r="CT3300" s="197"/>
      <c r="CU3300" s="197"/>
      <c r="CV3300" s="197"/>
      <c r="CW3300" s="197"/>
      <c r="CX3300" s="959"/>
      <c r="CY3300" s="959"/>
      <c r="CZ3300" s="959"/>
      <c r="DA3300" s="959"/>
      <c r="DB3300" s="959"/>
      <c r="DG3300" s="959"/>
      <c r="DH3300" s="959"/>
      <c r="ER3300" s="905">
        <v>9672</v>
      </c>
      <c r="ES3300" s="906" t="s">
        <v>3405</v>
      </c>
      <c r="ET3300" s="2686">
        <v>9</v>
      </c>
      <c r="EV3300" s="985"/>
      <c r="EW3300" s="985"/>
      <c r="EX3300" s="387"/>
      <c r="EY3300" s="939"/>
      <c r="EZ3300" s="886"/>
    </row>
    <row r="3301" spans="88:156">
      <c r="CJ3301" s="197"/>
      <c r="CK3301" s="197"/>
      <c r="CL3301" s="197"/>
      <c r="CM3301" s="213"/>
      <c r="CN3301" s="213"/>
      <c r="CO3301" s="197"/>
      <c r="CP3301" s="197"/>
      <c r="CQ3301" s="197"/>
      <c r="CR3301" s="197"/>
      <c r="CS3301" s="197"/>
      <c r="CT3301" s="197"/>
      <c r="CU3301" s="197"/>
      <c r="CV3301" s="197"/>
      <c r="CW3301" s="197"/>
      <c r="CX3301" s="959"/>
      <c r="CY3301" s="959"/>
      <c r="CZ3301" s="959"/>
      <c r="DA3301" s="959"/>
      <c r="DB3301" s="959"/>
      <c r="DG3301" s="959"/>
      <c r="DH3301" s="959"/>
      <c r="ER3301" s="905">
        <v>9673</v>
      </c>
      <c r="ES3301" s="906" t="s">
        <v>4136</v>
      </c>
      <c r="ET3301" s="2686">
        <v>9</v>
      </c>
      <c r="EV3301" s="985"/>
      <c r="EW3301" s="985"/>
      <c r="EX3301" s="387"/>
      <c r="EY3301" s="939"/>
      <c r="EZ3301" s="886"/>
    </row>
    <row r="3302" spans="88:156">
      <c r="CJ3302" s="197"/>
      <c r="CK3302" s="197"/>
      <c r="CL3302" s="197"/>
      <c r="CM3302" s="213"/>
      <c r="CN3302" s="213"/>
      <c r="CO3302" s="197"/>
      <c r="CP3302" s="197"/>
      <c r="CQ3302" s="197"/>
      <c r="CR3302" s="197"/>
      <c r="CS3302" s="197"/>
      <c r="CT3302" s="197"/>
      <c r="CU3302" s="197"/>
      <c r="CV3302" s="197"/>
      <c r="CW3302" s="197"/>
      <c r="CX3302" s="959"/>
      <c r="CY3302" s="959"/>
      <c r="CZ3302" s="959"/>
      <c r="DA3302" s="959"/>
      <c r="DB3302" s="959"/>
      <c r="DG3302" s="959"/>
      <c r="DH3302" s="959"/>
      <c r="ER3302" s="905">
        <v>9674</v>
      </c>
      <c r="ES3302" s="906" t="s">
        <v>4137</v>
      </c>
      <c r="ET3302" s="2686">
        <v>9</v>
      </c>
      <c r="EV3302" s="985"/>
      <c r="EW3302" s="985"/>
      <c r="EX3302" s="387"/>
      <c r="EY3302" s="939"/>
      <c r="EZ3302" s="886"/>
    </row>
    <row r="3303" spans="88:156">
      <c r="CJ3303" s="197"/>
      <c r="CK3303" s="197"/>
      <c r="CL3303" s="197"/>
      <c r="CM3303" s="213"/>
      <c r="CN3303" s="213"/>
      <c r="CO3303" s="197"/>
      <c r="CP3303" s="197"/>
      <c r="CQ3303" s="197"/>
      <c r="CR3303" s="197"/>
      <c r="CS3303" s="197"/>
      <c r="CT3303" s="197"/>
      <c r="CU3303" s="197"/>
      <c r="CV3303" s="197"/>
      <c r="CW3303" s="197"/>
      <c r="CX3303" s="959"/>
      <c r="CY3303" s="959"/>
      <c r="CZ3303" s="959"/>
      <c r="DA3303" s="959"/>
      <c r="DB3303" s="959"/>
      <c r="DG3303" s="959"/>
      <c r="DH3303" s="959"/>
      <c r="ER3303" s="905">
        <v>9675</v>
      </c>
      <c r="ES3303" s="906" t="s">
        <v>4138</v>
      </c>
      <c r="ET3303" s="2686">
        <v>9</v>
      </c>
      <c r="EV3303" s="985"/>
      <c r="EW3303" s="985"/>
      <c r="EX3303" s="387"/>
      <c r="EY3303" s="939"/>
      <c r="EZ3303" s="886"/>
    </row>
    <row r="3304" spans="88:156">
      <c r="CJ3304" s="197"/>
      <c r="CK3304" s="197"/>
      <c r="CL3304" s="197"/>
      <c r="CM3304" s="213"/>
      <c r="CN3304" s="213"/>
      <c r="CO3304" s="197"/>
      <c r="CP3304" s="197"/>
      <c r="CQ3304" s="197"/>
      <c r="CR3304" s="197"/>
      <c r="CS3304" s="197"/>
      <c r="CT3304" s="197"/>
      <c r="CU3304" s="197"/>
      <c r="CV3304" s="197"/>
      <c r="CW3304" s="197"/>
      <c r="CX3304" s="959"/>
      <c r="CY3304" s="959"/>
      <c r="CZ3304" s="959"/>
      <c r="DA3304" s="959"/>
      <c r="DB3304" s="959"/>
      <c r="DG3304" s="959"/>
      <c r="DH3304" s="959"/>
      <c r="ER3304" s="905">
        <v>9676</v>
      </c>
      <c r="ES3304" s="906" t="s">
        <v>4139</v>
      </c>
      <c r="ET3304" s="2686">
        <v>9</v>
      </c>
      <c r="EV3304" s="985"/>
      <c r="EW3304" s="985"/>
      <c r="EX3304" s="387"/>
      <c r="EY3304" s="939"/>
      <c r="EZ3304" s="886"/>
    </row>
    <row r="3305" spans="88:156">
      <c r="CJ3305" s="197"/>
      <c r="CK3305" s="197"/>
      <c r="CL3305" s="197"/>
      <c r="CM3305" s="213"/>
      <c r="CN3305" s="213"/>
      <c r="CO3305" s="197"/>
      <c r="CP3305" s="197"/>
      <c r="CQ3305" s="197"/>
      <c r="CR3305" s="197"/>
      <c r="CS3305" s="197"/>
      <c r="CT3305" s="197"/>
      <c r="CU3305" s="197"/>
      <c r="CV3305" s="197"/>
      <c r="CW3305" s="197"/>
      <c r="CX3305" s="959"/>
      <c r="CY3305" s="959"/>
      <c r="CZ3305" s="959"/>
      <c r="DA3305" s="959"/>
      <c r="DB3305" s="959"/>
      <c r="DG3305" s="959"/>
      <c r="DH3305" s="959"/>
      <c r="ER3305" s="905">
        <v>9681</v>
      </c>
      <c r="ES3305" s="906" t="s">
        <v>4140</v>
      </c>
      <c r="ET3305" s="2686">
        <v>9</v>
      </c>
      <c r="EV3305" s="985"/>
      <c r="EW3305" s="985"/>
      <c r="EX3305" s="387"/>
      <c r="EY3305" s="939"/>
      <c r="EZ3305" s="886"/>
    </row>
    <row r="3306" spans="88:156">
      <c r="CJ3306" s="197"/>
      <c r="CK3306" s="197"/>
      <c r="CL3306" s="197"/>
      <c r="CM3306" s="213"/>
      <c r="CN3306" s="213"/>
      <c r="CO3306" s="197"/>
      <c r="CP3306" s="197"/>
      <c r="CQ3306" s="197"/>
      <c r="CR3306" s="197"/>
      <c r="CS3306" s="197"/>
      <c r="CT3306" s="197"/>
      <c r="CU3306" s="197"/>
      <c r="CV3306" s="197"/>
      <c r="CW3306" s="197"/>
      <c r="CX3306" s="959"/>
      <c r="CY3306" s="959"/>
      <c r="CZ3306" s="959"/>
      <c r="DA3306" s="959"/>
      <c r="DB3306" s="959"/>
      <c r="DG3306" s="959"/>
      <c r="DH3306" s="959"/>
      <c r="ER3306" s="905">
        <v>9682</v>
      </c>
      <c r="ES3306" s="906" t="s">
        <v>4141</v>
      </c>
      <c r="ET3306" s="2686">
        <v>9</v>
      </c>
      <c r="EV3306" s="985"/>
      <c r="EW3306" s="985"/>
      <c r="EX3306" s="387"/>
      <c r="EY3306" s="939"/>
      <c r="EZ3306" s="886"/>
    </row>
    <row r="3307" spans="88:156">
      <c r="CJ3307" s="197"/>
      <c r="CK3307" s="197"/>
      <c r="CL3307" s="197"/>
      <c r="CM3307" s="213"/>
      <c r="CN3307" s="213"/>
      <c r="CO3307" s="197"/>
      <c r="CP3307" s="197"/>
      <c r="CQ3307" s="197"/>
      <c r="CR3307" s="197"/>
      <c r="CS3307" s="197"/>
      <c r="CT3307" s="197"/>
      <c r="CU3307" s="197"/>
      <c r="CV3307" s="197"/>
      <c r="CW3307" s="197"/>
      <c r="CX3307" s="959"/>
      <c r="CY3307" s="959"/>
      <c r="CZ3307" s="959"/>
      <c r="DA3307" s="959"/>
      <c r="DB3307" s="959"/>
      <c r="DG3307" s="959"/>
      <c r="DH3307" s="959"/>
      <c r="ER3307" s="905">
        <v>9683</v>
      </c>
      <c r="ES3307" s="906" t="s">
        <v>4142</v>
      </c>
      <c r="ET3307" s="2686">
        <v>9</v>
      </c>
      <c r="EV3307" s="985"/>
      <c r="EW3307" s="985"/>
      <c r="EX3307" s="387"/>
      <c r="EY3307" s="939"/>
      <c r="EZ3307" s="886"/>
    </row>
    <row r="3308" spans="88:156">
      <c r="CJ3308" s="197"/>
      <c r="CK3308" s="197"/>
      <c r="CL3308" s="197"/>
      <c r="CM3308" s="213"/>
      <c r="CN3308" s="213"/>
      <c r="CO3308" s="197"/>
      <c r="CP3308" s="197"/>
      <c r="CQ3308" s="197"/>
      <c r="CR3308" s="197"/>
      <c r="CS3308" s="197"/>
      <c r="CT3308" s="197"/>
      <c r="CU3308" s="197"/>
      <c r="CV3308" s="197"/>
      <c r="CW3308" s="197"/>
      <c r="CX3308" s="959"/>
      <c r="CY3308" s="959"/>
      <c r="CZ3308" s="959"/>
      <c r="DA3308" s="959"/>
      <c r="DB3308" s="959"/>
      <c r="DG3308" s="959"/>
      <c r="DH3308" s="959"/>
      <c r="ER3308" s="905">
        <v>9684</v>
      </c>
      <c r="ES3308" s="906" t="s">
        <v>4143</v>
      </c>
      <c r="ET3308" s="2686">
        <v>9</v>
      </c>
      <c r="EV3308" s="985"/>
      <c r="EW3308" s="985"/>
      <c r="EX3308" s="387"/>
      <c r="EY3308" s="939"/>
      <c r="EZ3308" s="886"/>
    </row>
    <row r="3309" spans="88:156">
      <c r="CJ3309" s="197"/>
      <c r="CK3309" s="197"/>
      <c r="CL3309" s="197"/>
      <c r="CM3309" s="213"/>
      <c r="CN3309" s="213"/>
      <c r="CO3309" s="197"/>
      <c r="CP3309" s="197"/>
      <c r="CQ3309" s="197"/>
      <c r="CR3309" s="197"/>
      <c r="CS3309" s="197"/>
      <c r="CT3309" s="197"/>
      <c r="CU3309" s="197"/>
      <c r="CV3309" s="197"/>
      <c r="CW3309" s="197"/>
      <c r="CX3309" s="959"/>
      <c r="CY3309" s="959"/>
      <c r="CZ3309" s="959"/>
      <c r="DA3309" s="959"/>
      <c r="DB3309" s="959"/>
      <c r="DG3309" s="959"/>
      <c r="DH3309" s="959"/>
      <c r="ER3309" s="905">
        <v>9685</v>
      </c>
      <c r="ES3309" s="906" t="s">
        <v>4144</v>
      </c>
      <c r="ET3309" s="2686">
        <v>9</v>
      </c>
      <c r="EV3309" s="985"/>
      <c r="EW3309" s="985"/>
      <c r="EX3309" s="387"/>
      <c r="EY3309" s="939"/>
      <c r="EZ3309" s="886"/>
    </row>
    <row r="3310" spans="88:156">
      <c r="CJ3310" s="197"/>
      <c r="CK3310" s="197"/>
      <c r="CL3310" s="197"/>
      <c r="CM3310" s="213"/>
      <c r="CN3310" s="213"/>
      <c r="CO3310" s="197"/>
      <c r="CP3310" s="197"/>
      <c r="CQ3310" s="197"/>
      <c r="CR3310" s="197"/>
      <c r="CS3310" s="197"/>
      <c r="CT3310" s="197"/>
      <c r="CU3310" s="197"/>
      <c r="CV3310" s="197"/>
      <c r="CW3310" s="197"/>
      <c r="CX3310" s="959"/>
      <c r="CY3310" s="959"/>
      <c r="CZ3310" s="959"/>
      <c r="DA3310" s="959"/>
      <c r="DB3310" s="959"/>
      <c r="DG3310" s="959"/>
      <c r="DH3310" s="959"/>
      <c r="ER3310" s="905">
        <v>9700</v>
      </c>
      <c r="ES3310" s="906" t="s">
        <v>4145</v>
      </c>
      <c r="ET3310" s="2686">
        <v>9</v>
      </c>
      <c r="EV3310" s="985"/>
      <c r="EW3310" s="985"/>
      <c r="EX3310" s="387"/>
      <c r="EY3310" s="939"/>
      <c r="EZ3310" s="886"/>
    </row>
    <row r="3311" spans="88:156">
      <c r="CJ3311" s="197"/>
      <c r="CK3311" s="197"/>
      <c r="CL3311" s="197"/>
      <c r="CM3311" s="213"/>
      <c r="CN3311" s="213"/>
      <c r="CO3311" s="197"/>
      <c r="CP3311" s="197"/>
      <c r="CQ3311" s="197"/>
      <c r="CR3311" s="197"/>
      <c r="CS3311" s="197"/>
      <c r="CT3311" s="197"/>
      <c r="CU3311" s="197"/>
      <c r="CV3311" s="197"/>
      <c r="CW3311" s="197"/>
      <c r="CX3311" s="959"/>
      <c r="CY3311" s="959"/>
      <c r="CZ3311" s="959"/>
      <c r="DA3311" s="959"/>
      <c r="DB3311" s="959"/>
      <c r="DG3311" s="959"/>
      <c r="DH3311" s="959"/>
      <c r="ER3311" s="905">
        <v>9707</v>
      </c>
      <c r="ES3311" s="906" t="s">
        <v>4703</v>
      </c>
      <c r="ET3311" s="2686">
        <v>9</v>
      </c>
      <c r="EV3311" s="985"/>
      <c r="EW3311" s="985"/>
      <c r="EX3311" s="387"/>
      <c r="EY3311" s="939"/>
      <c r="EZ3311" s="886"/>
    </row>
    <row r="3312" spans="88:156">
      <c r="CJ3312" s="197"/>
      <c r="CK3312" s="197"/>
      <c r="CL3312" s="197"/>
      <c r="CM3312" s="213"/>
      <c r="CN3312" s="213"/>
      <c r="CO3312" s="197"/>
      <c r="CP3312" s="197"/>
      <c r="CQ3312" s="197"/>
      <c r="CR3312" s="197"/>
      <c r="CS3312" s="197"/>
      <c r="CT3312" s="197"/>
      <c r="CU3312" s="197"/>
      <c r="CV3312" s="197"/>
      <c r="CW3312" s="197"/>
      <c r="CX3312" s="959"/>
      <c r="CY3312" s="959"/>
      <c r="CZ3312" s="959"/>
      <c r="DA3312" s="959"/>
      <c r="DB3312" s="959"/>
      <c r="DG3312" s="959"/>
      <c r="DH3312" s="959"/>
      <c r="ER3312" s="905">
        <v>9719</v>
      </c>
      <c r="ES3312" s="905" t="s">
        <v>4704</v>
      </c>
      <c r="ET3312" s="2686">
        <v>9</v>
      </c>
      <c r="EV3312" s="985"/>
      <c r="EW3312" s="985"/>
      <c r="EX3312" s="387"/>
      <c r="EY3312" s="939"/>
      <c r="EZ3312" s="886"/>
    </row>
    <row r="3313" spans="88:156">
      <c r="CJ3313" s="197"/>
      <c r="CK3313" s="197"/>
      <c r="CL3313" s="197"/>
      <c r="CM3313" s="213"/>
      <c r="CN3313" s="213"/>
      <c r="CO3313" s="197"/>
      <c r="CP3313" s="197"/>
      <c r="CQ3313" s="197"/>
      <c r="CR3313" s="197"/>
      <c r="CS3313" s="197"/>
      <c r="CT3313" s="197"/>
      <c r="CU3313" s="197"/>
      <c r="CV3313" s="197"/>
      <c r="CW3313" s="197"/>
      <c r="CX3313" s="959"/>
      <c r="CY3313" s="959"/>
      <c r="CZ3313" s="959"/>
      <c r="DA3313" s="959"/>
      <c r="DB3313" s="959"/>
      <c r="DG3313" s="959"/>
      <c r="DH3313" s="959"/>
      <c r="ER3313" s="905">
        <v>9721</v>
      </c>
      <c r="ES3313" s="906" t="s">
        <v>4148</v>
      </c>
      <c r="ET3313" s="2686">
        <v>9</v>
      </c>
      <c r="EV3313" s="985"/>
      <c r="EW3313" s="985"/>
      <c r="EX3313" s="387"/>
      <c r="EY3313" s="939"/>
      <c r="EZ3313" s="886"/>
    </row>
    <row r="3314" spans="88:156">
      <c r="CJ3314" s="197"/>
      <c r="CK3314" s="197"/>
      <c r="CL3314" s="197"/>
      <c r="CM3314" s="213"/>
      <c r="CN3314" s="213"/>
      <c r="CO3314" s="197"/>
      <c r="CP3314" s="197"/>
      <c r="CQ3314" s="197"/>
      <c r="CR3314" s="197"/>
      <c r="CS3314" s="197"/>
      <c r="CT3314" s="197"/>
      <c r="CU3314" s="197"/>
      <c r="CV3314" s="197"/>
      <c r="CW3314" s="197"/>
      <c r="CX3314" s="959"/>
      <c r="CY3314" s="959"/>
      <c r="CZ3314" s="959"/>
      <c r="DA3314" s="959"/>
      <c r="DB3314" s="959"/>
      <c r="DG3314" s="959"/>
      <c r="DH3314" s="959"/>
      <c r="ER3314" s="905">
        <v>9722</v>
      </c>
      <c r="ES3314" s="906" t="s">
        <v>4149</v>
      </c>
      <c r="ET3314" s="2686">
        <v>9</v>
      </c>
      <c r="EV3314" s="985"/>
      <c r="EW3314" s="985"/>
      <c r="EX3314" s="387"/>
      <c r="EY3314" s="939"/>
      <c r="EZ3314" s="886"/>
    </row>
    <row r="3315" spans="88:156">
      <c r="CJ3315" s="197"/>
      <c r="CK3315" s="197"/>
      <c r="CL3315" s="197"/>
      <c r="CM3315" s="213"/>
      <c r="CN3315" s="213"/>
      <c r="CO3315" s="197"/>
      <c r="CP3315" s="197"/>
      <c r="CQ3315" s="197"/>
      <c r="CR3315" s="197"/>
      <c r="CS3315" s="197"/>
      <c r="CT3315" s="197"/>
      <c r="CU3315" s="197"/>
      <c r="CV3315" s="197"/>
      <c r="CW3315" s="197"/>
      <c r="CX3315" s="959"/>
      <c r="CY3315" s="959"/>
      <c r="CZ3315" s="959"/>
      <c r="DA3315" s="959"/>
      <c r="DB3315" s="959"/>
      <c r="DG3315" s="959"/>
      <c r="DH3315" s="959"/>
      <c r="ER3315" s="905">
        <v>9723</v>
      </c>
      <c r="ES3315" s="906" t="s">
        <v>4150</v>
      </c>
      <c r="ET3315" s="2686">
        <v>9</v>
      </c>
      <c r="EV3315" s="985"/>
      <c r="EW3315" s="985"/>
      <c r="EX3315" s="387"/>
      <c r="EY3315" s="939"/>
      <c r="EZ3315" s="886"/>
    </row>
    <row r="3316" spans="88:156">
      <c r="CJ3316" s="197"/>
      <c r="CK3316" s="197"/>
      <c r="CL3316" s="197"/>
      <c r="CM3316" s="213"/>
      <c r="CN3316" s="213"/>
      <c r="CO3316" s="197"/>
      <c r="CP3316" s="197"/>
      <c r="CQ3316" s="197"/>
      <c r="CR3316" s="197"/>
      <c r="CS3316" s="197"/>
      <c r="CT3316" s="197"/>
      <c r="CU3316" s="197"/>
      <c r="CV3316" s="197"/>
      <c r="CW3316" s="197"/>
      <c r="CX3316" s="959"/>
      <c r="CY3316" s="959"/>
      <c r="CZ3316" s="959"/>
      <c r="DA3316" s="959"/>
      <c r="DB3316" s="959"/>
      <c r="DG3316" s="959"/>
      <c r="DH3316" s="959"/>
      <c r="ER3316" s="905">
        <v>9724</v>
      </c>
      <c r="ES3316" s="906" t="s">
        <v>4705</v>
      </c>
      <c r="ET3316" s="2686">
        <v>9</v>
      </c>
      <c r="EV3316" s="985"/>
      <c r="EW3316" s="985"/>
      <c r="EX3316" s="387"/>
      <c r="EY3316" s="939"/>
      <c r="EZ3316" s="886"/>
    </row>
    <row r="3317" spans="88:156">
      <c r="CJ3317" s="197"/>
      <c r="CK3317" s="197"/>
      <c r="CL3317" s="197"/>
      <c r="CM3317" s="213"/>
      <c r="CN3317" s="213"/>
      <c r="CO3317" s="197"/>
      <c r="CP3317" s="197"/>
      <c r="CQ3317" s="197"/>
      <c r="CR3317" s="197"/>
      <c r="CS3317" s="197"/>
      <c r="CT3317" s="197"/>
      <c r="CU3317" s="197"/>
      <c r="CV3317" s="197"/>
      <c r="CW3317" s="197"/>
      <c r="CX3317" s="959"/>
      <c r="CY3317" s="959"/>
      <c r="CZ3317" s="959"/>
      <c r="DA3317" s="959"/>
      <c r="DB3317" s="959"/>
      <c r="DG3317" s="959"/>
      <c r="DH3317" s="959"/>
      <c r="ER3317" s="905">
        <v>9725</v>
      </c>
      <c r="ES3317" s="906" t="s">
        <v>4706</v>
      </c>
      <c r="ET3317" s="2686">
        <v>9</v>
      </c>
      <c r="EV3317" s="985"/>
      <c r="EW3317" s="985"/>
      <c r="EX3317" s="387"/>
      <c r="EY3317" s="939"/>
      <c r="EZ3317" s="886"/>
    </row>
    <row r="3318" spans="88:156">
      <c r="CJ3318" s="197"/>
      <c r="CK3318" s="197"/>
      <c r="CL3318" s="197"/>
      <c r="CM3318" s="213"/>
      <c r="CN3318" s="213"/>
      <c r="CO3318" s="197"/>
      <c r="CP3318" s="197"/>
      <c r="CQ3318" s="197"/>
      <c r="CR3318" s="197"/>
      <c r="CS3318" s="197"/>
      <c r="CT3318" s="197"/>
      <c r="CU3318" s="197"/>
      <c r="CV3318" s="197"/>
      <c r="CW3318" s="197"/>
      <c r="CX3318" s="959"/>
      <c r="CY3318" s="959"/>
      <c r="CZ3318" s="959"/>
      <c r="DA3318" s="959"/>
      <c r="DB3318" s="959"/>
      <c r="DG3318" s="959"/>
      <c r="DH3318" s="959"/>
      <c r="ER3318" s="905">
        <v>9725</v>
      </c>
      <c r="ES3318" s="906" t="s">
        <v>4707</v>
      </c>
      <c r="ET3318" s="2686">
        <v>9</v>
      </c>
      <c r="EV3318" s="985"/>
      <c r="EW3318" s="985"/>
      <c r="EX3318" s="387"/>
      <c r="EY3318" s="939"/>
      <c r="EZ3318" s="886"/>
    </row>
    <row r="3319" spans="88:156">
      <c r="CJ3319" s="197"/>
      <c r="CK3319" s="197"/>
      <c r="CL3319" s="197"/>
      <c r="CM3319" s="213"/>
      <c r="CN3319" s="213"/>
      <c r="CO3319" s="197"/>
      <c r="CP3319" s="197"/>
      <c r="CQ3319" s="197"/>
      <c r="CR3319" s="197"/>
      <c r="CS3319" s="197"/>
      <c r="CT3319" s="197"/>
      <c r="CU3319" s="197"/>
      <c r="CV3319" s="197"/>
      <c r="CW3319" s="197"/>
      <c r="CX3319" s="959"/>
      <c r="CY3319" s="959"/>
      <c r="CZ3319" s="959"/>
      <c r="DA3319" s="959"/>
      <c r="DB3319" s="959"/>
      <c r="DG3319" s="959"/>
      <c r="DH3319" s="959"/>
      <c r="ER3319" s="905">
        <v>9725</v>
      </c>
      <c r="ES3319" s="906" t="s">
        <v>4152</v>
      </c>
      <c r="ET3319" s="2686">
        <v>9</v>
      </c>
      <c r="EV3319" s="985"/>
      <c r="EW3319" s="985"/>
      <c r="EX3319" s="387"/>
      <c r="EY3319" s="939"/>
      <c r="EZ3319" s="886"/>
    </row>
    <row r="3320" spans="88:156">
      <c r="CJ3320" s="197"/>
      <c r="CK3320" s="197"/>
      <c r="CL3320" s="197"/>
      <c r="CM3320" s="213"/>
      <c r="CN3320" s="213"/>
      <c r="CO3320" s="197"/>
      <c r="CP3320" s="197"/>
      <c r="CQ3320" s="197"/>
      <c r="CR3320" s="197"/>
      <c r="CS3320" s="197"/>
      <c r="CT3320" s="197"/>
      <c r="CU3320" s="197"/>
      <c r="CV3320" s="197"/>
      <c r="CW3320" s="197"/>
      <c r="CX3320" s="959"/>
      <c r="CY3320" s="959"/>
      <c r="CZ3320" s="959"/>
      <c r="DA3320" s="959"/>
      <c r="DB3320" s="959"/>
      <c r="DG3320" s="959"/>
      <c r="DH3320" s="959"/>
      <c r="ER3320" s="905">
        <v>9726</v>
      </c>
      <c r="ES3320" s="906" t="s">
        <v>4153</v>
      </c>
      <c r="ET3320" s="2686">
        <v>9</v>
      </c>
      <c r="EV3320" s="985"/>
      <c r="EW3320" s="985"/>
      <c r="EX3320" s="387"/>
      <c r="EY3320" s="939"/>
      <c r="EZ3320" s="886"/>
    </row>
    <row r="3321" spans="88:156">
      <c r="CJ3321" s="197"/>
      <c r="CK3321" s="197"/>
      <c r="CL3321" s="197"/>
      <c r="CM3321" s="213"/>
      <c r="CN3321" s="213"/>
      <c r="CO3321" s="197"/>
      <c r="CP3321" s="197"/>
      <c r="CQ3321" s="197"/>
      <c r="CR3321" s="197"/>
      <c r="CS3321" s="197"/>
      <c r="CT3321" s="197"/>
      <c r="CU3321" s="197"/>
      <c r="CV3321" s="197"/>
      <c r="CW3321" s="197"/>
      <c r="CX3321" s="959"/>
      <c r="CY3321" s="959"/>
      <c r="CZ3321" s="959"/>
      <c r="DA3321" s="959"/>
      <c r="DB3321" s="959"/>
      <c r="DG3321" s="959"/>
      <c r="DH3321" s="959"/>
      <c r="ER3321" s="905">
        <v>9727</v>
      </c>
      <c r="ES3321" s="906" t="s">
        <v>4154</v>
      </c>
      <c r="ET3321" s="2686">
        <v>9</v>
      </c>
      <c r="EV3321" s="985"/>
      <c r="EW3321" s="985"/>
      <c r="EX3321" s="387"/>
      <c r="EY3321" s="939"/>
      <c r="EZ3321" s="886"/>
    </row>
    <row r="3322" spans="88:156">
      <c r="CJ3322" s="197"/>
      <c r="CK3322" s="197"/>
      <c r="CL3322" s="197"/>
      <c r="CM3322" s="213"/>
      <c r="CN3322" s="213"/>
      <c r="CO3322" s="197"/>
      <c r="CP3322" s="197"/>
      <c r="CQ3322" s="197"/>
      <c r="CR3322" s="197"/>
      <c r="CS3322" s="197"/>
      <c r="CT3322" s="197"/>
      <c r="CU3322" s="197"/>
      <c r="CV3322" s="197"/>
      <c r="CW3322" s="197"/>
      <c r="CX3322" s="959"/>
      <c r="CY3322" s="959"/>
      <c r="CZ3322" s="959"/>
      <c r="DA3322" s="959"/>
      <c r="DB3322" s="959"/>
      <c r="DG3322" s="959"/>
      <c r="DH3322" s="959"/>
      <c r="ER3322" s="905">
        <v>9730</v>
      </c>
      <c r="ES3322" s="906" t="s">
        <v>4155</v>
      </c>
      <c r="ET3322" s="2686">
        <v>9</v>
      </c>
      <c r="EV3322" s="985"/>
      <c r="EW3322" s="985"/>
      <c r="EX3322" s="387"/>
      <c r="EY3322" s="939"/>
      <c r="EZ3322" s="886"/>
    </row>
    <row r="3323" spans="88:156">
      <c r="CJ3323" s="197"/>
      <c r="CK3323" s="197"/>
      <c r="CL3323" s="197"/>
      <c r="CM3323" s="213"/>
      <c r="CN3323" s="213"/>
      <c r="CO3323" s="197"/>
      <c r="CP3323" s="197"/>
      <c r="CQ3323" s="197"/>
      <c r="CR3323" s="197"/>
      <c r="CS3323" s="197"/>
      <c r="CT3323" s="197"/>
      <c r="CU3323" s="197"/>
      <c r="CV3323" s="197"/>
      <c r="CW3323" s="197"/>
      <c r="CX3323" s="959"/>
      <c r="CY3323" s="959"/>
      <c r="CZ3323" s="959"/>
      <c r="DA3323" s="959"/>
      <c r="DB3323" s="959"/>
      <c r="DG3323" s="959"/>
      <c r="DH3323" s="959"/>
      <c r="ER3323" s="905">
        <v>9733</v>
      </c>
      <c r="ES3323" s="906" t="s">
        <v>4708</v>
      </c>
      <c r="ET3323" s="2686">
        <v>9</v>
      </c>
      <c r="EV3323" s="985"/>
      <c r="EW3323" s="985"/>
      <c r="EX3323" s="387"/>
      <c r="EY3323" s="939"/>
      <c r="EZ3323" s="886"/>
    </row>
    <row r="3324" spans="88:156">
      <c r="CJ3324" s="197"/>
      <c r="CK3324" s="197"/>
      <c r="CL3324" s="197"/>
      <c r="CM3324" s="213"/>
      <c r="CN3324" s="213"/>
      <c r="CO3324" s="197"/>
      <c r="CP3324" s="197"/>
      <c r="CQ3324" s="197"/>
      <c r="CR3324" s="197"/>
      <c r="CS3324" s="197"/>
      <c r="CT3324" s="197"/>
      <c r="CU3324" s="197"/>
      <c r="CV3324" s="197"/>
      <c r="CW3324" s="197"/>
      <c r="CX3324" s="959"/>
      <c r="CY3324" s="959"/>
      <c r="CZ3324" s="959"/>
      <c r="DA3324" s="959"/>
      <c r="DB3324" s="959"/>
      <c r="DG3324" s="959"/>
      <c r="DH3324" s="959"/>
      <c r="ER3324" s="905">
        <v>9733</v>
      </c>
      <c r="ES3324" s="906" t="s">
        <v>4709</v>
      </c>
      <c r="ET3324" s="2686">
        <v>9</v>
      </c>
      <c r="EV3324" s="985"/>
      <c r="EW3324" s="985"/>
      <c r="EX3324" s="387"/>
      <c r="EY3324" s="939"/>
      <c r="EZ3324" s="886"/>
    </row>
    <row r="3325" spans="88:156">
      <c r="CJ3325" s="197"/>
      <c r="CK3325" s="197"/>
      <c r="CL3325" s="197"/>
      <c r="CM3325" s="213"/>
      <c r="CN3325" s="213"/>
      <c r="CO3325" s="197"/>
      <c r="CP3325" s="197"/>
      <c r="CQ3325" s="197"/>
      <c r="CR3325" s="197"/>
      <c r="CS3325" s="197"/>
      <c r="CT3325" s="197"/>
      <c r="CU3325" s="197"/>
      <c r="CV3325" s="197"/>
      <c r="CW3325" s="197"/>
      <c r="CX3325" s="959"/>
      <c r="CY3325" s="959"/>
      <c r="CZ3325" s="959"/>
      <c r="DA3325" s="959"/>
      <c r="DB3325" s="959"/>
      <c r="DG3325" s="959"/>
      <c r="DH3325" s="959"/>
      <c r="ER3325" s="905">
        <v>9733</v>
      </c>
      <c r="ES3325" s="906" t="s">
        <v>4157</v>
      </c>
      <c r="ET3325" s="2686">
        <v>9</v>
      </c>
      <c r="EV3325" s="985"/>
      <c r="EW3325" s="985"/>
      <c r="EX3325" s="387"/>
      <c r="EY3325" s="939"/>
      <c r="EZ3325" s="886"/>
    </row>
    <row r="3326" spans="88:156">
      <c r="CJ3326" s="197"/>
      <c r="CK3326" s="197"/>
      <c r="CL3326" s="197"/>
      <c r="CM3326" s="213"/>
      <c r="CN3326" s="213"/>
      <c r="CO3326" s="197"/>
      <c r="CP3326" s="197"/>
      <c r="CQ3326" s="197"/>
      <c r="CR3326" s="197"/>
      <c r="CS3326" s="197"/>
      <c r="CT3326" s="197"/>
      <c r="CU3326" s="197"/>
      <c r="CV3326" s="197"/>
      <c r="CW3326" s="197"/>
      <c r="CX3326" s="959"/>
      <c r="CY3326" s="959"/>
      <c r="CZ3326" s="959"/>
      <c r="DA3326" s="959"/>
      <c r="DB3326" s="959"/>
      <c r="DG3326" s="959"/>
      <c r="DH3326" s="959"/>
      <c r="ER3326" s="905">
        <v>9734</v>
      </c>
      <c r="ES3326" s="906" t="s">
        <v>4158</v>
      </c>
      <c r="ET3326" s="2686">
        <v>9</v>
      </c>
      <c r="EV3326" s="985"/>
      <c r="EW3326" s="985"/>
      <c r="EX3326" s="387"/>
      <c r="EY3326" s="939"/>
      <c r="EZ3326" s="886"/>
    </row>
    <row r="3327" spans="88:156">
      <c r="CJ3327" s="197"/>
      <c r="CK3327" s="197"/>
      <c r="CL3327" s="197"/>
      <c r="CM3327" s="213"/>
      <c r="CN3327" s="213"/>
      <c r="CO3327" s="197"/>
      <c r="CP3327" s="197"/>
      <c r="CQ3327" s="197"/>
      <c r="CR3327" s="197"/>
      <c r="CS3327" s="197"/>
      <c r="CT3327" s="197"/>
      <c r="CU3327" s="197"/>
      <c r="CV3327" s="197"/>
      <c r="CW3327" s="197"/>
      <c r="CX3327" s="959"/>
      <c r="CY3327" s="959"/>
      <c r="CZ3327" s="959"/>
      <c r="DA3327" s="959"/>
      <c r="DB3327" s="959"/>
      <c r="DG3327" s="959"/>
      <c r="DH3327" s="959"/>
      <c r="ER3327" s="905">
        <v>9735</v>
      </c>
      <c r="ES3327" s="906" t="s">
        <v>4159</v>
      </c>
      <c r="ET3327" s="2686">
        <v>9</v>
      </c>
      <c r="EV3327" s="985"/>
      <c r="EW3327" s="985"/>
      <c r="EX3327" s="387"/>
      <c r="EY3327" s="939"/>
      <c r="EZ3327" s="886"/>
    </row>
    <row r="3328" spans="88:156">
      <c r="CJ3328" s="197"/>
      <c r="CK3328" s="197"/>
      <c r="CL3328" s="197"/>
      <c r="CM3328" s="213"/>
      <c r="CN3328" s="213"/>
      <c r="CO3328" s="197"/>
      <c r="CP3328" s="197"/>
      <c r="CQ3328" s="197"/>
      <c r="CR3328" s="197"/>
      <c r="CS3328" s="197"/>
      <c r="CT3328" s="197"/>
      <c r="CU3328" s="197"/>
      <c r="CV3328" s="197"/>
      <c r="CW3328" s="197"/>
      <c r="CX3328" s="959"/>
      <c r="CY3328" s="959"/>
      <c r="CZ3328" s="959"/>
      <c r="DA3328" s="959"/>
      <c r="DB3328" s="959"/>
      <c r="DG3328" s="959"/>
      <c r="DH3328" s="959"/>
      <c r="ER3328" s="905">
        <v>9736</v>
      </c>
      <c r="ES3328" s="906" t="s">
        <v>4160</v>
      </c>
      <c r="ET3328" s="2686">
        <v>9</v>
      </c>
      <c r="EV3328" s="985"/>
      <c r="EW3328" s="985"/>
      <c r="EX3328" s="387"/>
      <c r="EY3328" s="939"/>
      <c r="EZ3328" s="886"/>
    </row>
    <row r="3329" spans="88:156">
      <c r="CJ3329" s="197"/>
      <c r="CK3329" s="197"/>
      <c r="CL3329" s="197"/>
      <c r="CM3329" s="213"/>
      <c r="CN3329" s="213"/>
      <c r="CO3329" s="197"/>
      <c r="CP3329" s="197"/>
      <c r="CQ3329" s="197"/>
      <c r="CR3329" s="197"/>
      <c r="CS3329" s="197"/>
      <c r="CT3329" s="197"/>
      <c r="CU3329" s="197"/>
      <c r="CV3329" s="197"/>
      <c r="CW3329" s="197"/>
      <c r="CX3329" s="959"/>
      <c r="CY3329" s="959"/>
      <c r="CZ3329" s="959"/>
      <c r="DA3329" s="959"/>
      <c r="DB3329" s="959"/>
      <c r="DG3329" s="959"/>
      <c r="DH3329" s="959"/>
      <c r="ER3329" s="905">
        <v>9737</v>
      </c>
      <c r="ES3329" s="906" t="s">
        <v>4161</v>
      </c>
      <c r="ET3329" s="2686">
        <v>9</v>
      </c>
      <c r="EV3329" s="985"/>
      <c r="EW3329" s="985"/>
      <c r="EX3329" s="387"/>
      <c r="EY3329" s="939"/>
      <c r="EZ3329" s="886"/>
    </row>
    <row r="3330" spans="88:156">
      <c r="CJ3330" s="197"/>
      <c r="CK3330" s="197"/>
      <c r="CL3330" s="197"/>
      <c r="CM3330" s="213"/>
      <c r="CN3330" s="213"/>
      <c r="CO3330" s="197"/>
      <c r="CP3330" s="197"/>
      <c r="CQ3330" s="197"/>
      <c r="CR3330" s="197"/>
      <c r="CS3330" s="197"/>
      <c r="CT3330" s="197"/>
      <c r="CU3330" s="197"/>
      <c r="CV3330" s="197"/>
      <c r="CW3330" s="197"/>
      <c r="CX3330" s="959"/>
      <c r="CY3330" s="959"/>
      <c r="CZ3330" s="959"/>
      <c r="DA3330" s="959"/>
      <c r="DB3330" s="959"/>
      <c r="DG3330" s="959"/>
      <c r="DH3330" s="959"/>
      <c r="ER3330" s="905">
        <v>9738</v>
      </c>
      <c r="ES3330" s="906" t="s">
        <v>4162</v>
      </c>
      <c r="ET3330" s="2686">
        <v>9</v>
      </c>
      <c r="EV3330" s="985"/>
      <c r="EW3330" s="985"/>
      <c r="EX3330" s="387"/>
      <c r="EY3330" s="939"/>
      <c r="EZ3330" s="886"/>
    </row>
    <row r="3331" spans="88:156">
      <c r="CJ3331" s="197"/>
      <c r="CK3331" s="197"/>
      <c r="CL3331" s="197"/>
      <c r="CM3331" s="213"/>
      <c r="CN3331" s="213"/>
      <c r="CO3331" s="197"/>
      <c r="CP3331" s="197"/>
      <c r="CQ3331" s="197"/>
      <c r="CR3331" s="197"/>
      <c r="CS3331" s="197"/>
      <c r="CT3331" s="197"/>
      <c r="CU3331" s="197"/>
      <c r="CV3331" s="197"/>
      <c r="CW3331" s="197"/>
      <c r="CX3331" s="959"/>
      <c r="CY3331" s="959"/>
      <c r="CZ3331" s="959"/>
      <c r="DA3331" s="959"/>
      <c r="DB3331" s="959"/>
      <c r="DG3331" s="959"/>
      <c r="DH3331" s="959"/>
      <c r="ER3331" s="905">
        <v>9739</v>
      </c>
      <c r="ES3331" s="906" t="s">
        <v>4710</v>
      </c>
      <c r="ET3331" s="2686">
        <v>9</v>
      </c>
      <c r="EV3331" s="985"/>
      <c r="EW3331" s="985"/>
      <c r="EX3331" s="387"/>
      <c r="EY3331" s="939"/>
      <c r="EZ3331" s="886"/>
    </row>
    <row r="3332" spans="88:156">
      <c r="CJ3332" s="197"/>
      <c r="CK3332" s="197"/>
      <c r="CL3332" s="197"/>
      <c r="CM3332" s="213"/>
      <c r="CN3332" s="213"/>
      <c r="CO3332" s="197"/>
      <c r="CP3332" s="197"/>
      <c r="CQ3332" s="197"/>
      <c r="CR3332" s="197"/>
      <c r="CS3332" s="197"/>
      <c r="CT3332" s="197"/>
      <c r="CU3332" s="197"/>
      <c r="CV3332" s="197"/>
      <c r="CW3332" s="197"/>
      <c r="CX3332" s="959"/>
      <c r="CY3332" s="959"/>
      <c r="CZ3332" s="959"/>
      <c r="DA3332" s="959"/>
      <c r="DB3332" s="959"/>
      <c r="DG3332" s="959"/>
      <c r="DH3332" s="959"/>
      <c r="ER3332" s="905">
        <v>9739</v>
      </c>
      <c r="ES3332" s="906" t="s">
        <v>4711</v>
      </c>
      <c r="ET3332" s="2686">
        <v>9</v>
      </c>
      <c r="EV3332" s="985"/>
      <c r="EW3332" s="985"/>
      <c r="EX3332" s="387"/>
      <c r="EY3332" s="939"/>
      <c r="EZ3332" s="886"/>
    </row>
    <row r="3333" spans="88:156">
      <c r="CJ3333" s="197"/>
      <c r="CK3333" s="197"/>
      <c r="CL3333" s="197"/>
      <c r="CM3333" s="213"/>
      <c r="CN3333" s="213"/>
      <c r="CO3333" s="197"/>
      <c r="CP3333" s="197"/>
      <c r="CQ3333" s="197"/>
      <c r="CR3333" s="197"/>
      <c r="CS3333" s="197"/>
      <c r="CT3333" s="197"/>
      <c r="CU3333" s="197"/>
      <c r="CV3333" s="197"/>
      <c r="CW3333" s="197"/>
      <c r="CX3333" s="959"/>
      <c r="CY3333" s="959"/>
      <c r="CZ3333" s="959"/>
      <c r="DA3333" s="959"/>
      <c r="DB3333" s="959"/>
      <c r="DG3333" s="959"/>
      <c r="DH3333" s="959"/>
      <c r="ER3333" s="905">
        <v>9739</v>
      </c>
      <c r="ES3333" s="906" t="s">
        <v>4163</v>
      </c>
      <c r="ET3333" s="2686">
        <v>9</v>
      </c>
      <c r="EV3333" s="985"/>
      <c r="EW3333" s="985"/>
      <c r="EX3333" s="387"/>
      <c r="EY3333" s="939"/>
      <c r="EZ3333" s="886"/>
    </row>
    <row r="3334" spans="88:156">
      <c r="CJ3334" s="197"/>
      <c r="CK3334" s="197"/>
      <c r="CL3334" s="197"/>
      <c r="CM3334" s="213"/>
      <c r="CN3334" s="213"/>
      <c r="CO3334" s="197"/>
      <c r="CP3334" s="197"/>
      <c r="CQ3334" s="197"/>
      <c r="CR3334" s="197"/>
      <c r="CS3334" s="197"/>
      <c r="CT3334" s="197"/>
      <c r="CU3334" s="197"/>
      <c r="CV3334" s="197"/>
      <c r="CW3334" s="197"/>
      <c r="CX3334" s="959"/>
      <c r="CY3334" s="959"/>
      <c r="CZ3334" s="959"/>
      <c r="DA3334" s="959"/>
      <c r="DB3334" s="959"/>
      <c r="DG3334" s="959"/>
      <c r="DH3334" s="959"/>
      <c r="ER3334" s="905">
        <v>9740</v>
      </c>
      <c r="ES3334" s="905" t="s">
        <v>4712</v>
      </c>
      <c r="ET3334" s="2686">
        <v>9</v>
      </c>
      <c r="EV3334" s="985"/>
      <c r="EW3334" s="985"/>
      <c r="EX3334" s="387"/>
      <c r="EY3334" s="939"/>
      <c r="EZ3334" s="886"/>
    </row>
    <row r="3335" spans="88:156">
      <c r="CJ3335" s="197"/>
      <c r="CK3335" s="197"/>
      <c r="CL3335" s="197"/>
      <c r="CM3335" s="213"/>
      <c r="CN3335" s="213"/>
      <c r="CO3335" s="197"/>
      <c r="CP3335" s="197"/>
      <c r="CQ3335" s="197"/>
      <c r="CR3335" s="197"/>
      <c r="CS3335" s="197"/>
      <c r="CT3335" s="197"/>
      <c r="CU3335" s="197"/>
      <c r="CV3335" s="197"/>
      <c r="CW3335" s="197"/>
      <c r="CX3335" s="959"/>
      <c r="CY3335" s="959"/>
      <c r="CZ3335" s="959"/>
      <c r="DA3335" s="959"/>
      <c r="DB3335" s="959"/>
      <c r="DG3335" s="959"/>
      <c r="DH3335" s="959"/>
      <c r="ER3335" s="905">
        <v>9741</v>
      </c>
      <c r="ES3335" s="906" t="s">
        <v>4165</v>
      </c>
      <c r="ET3335" s="2686">
        <v>9</v>
      </c>
      <c r="EV3335" s="985"/>
      <c r="EW3335" s="985"/>
      <c r="EX3335" s="387"/>
      <c r="EY3335" s="939"/>
      <c r="EZ3335" s="886"/>
    </row>
    <row r="3336" spans="88:156">
      <c r="CJ3336" s="197"/>
      <c r="CK3336" s="197"/>
      <c r="CL3336" s="197"/>
      <c r="CM3336" s="213"/>
      <c r="CN3336" s="213"/>
      <c r="CO3336" s="197"/>
      <c r="CP3336" s="197"/>
      <c r="CQ3336" s="197"/>
      <c r="CR3336" s="197"/>
      <c r="CS3336" s="197"/>
      <c r="CT3336" s="197"/>
      <c r="CU3336" s="197"/>
      <c r="CV3336" s="197"/>
      <c r="CW3336" s="197"/>
      <c r="CX3336" s="959"/>
      <c r="CY3336" s="959"/>
      <c r="CZ3336" s="959"/>
      <c r="DA3336" s="959"/>
      <c r="DB3336" s="959"/>
      <c r="DG3336" s="959"/>
      <c r="DH3336" s="959"/>
      <c r="ER3336" s="905">
        <v>9742</v>
      </c>
      <c r="ES3336" s="906" t="s">
        <v>4170</v>
      </c>
      <c r="ET3336" s="2686">
        <v>9</v>
      </c>
      <c r="EV3336" s="985"/>
      <c r="EW3336" s="985"/>
      <c r="EX3336" s="387"/>
      <c r="EY3336" s="939"/>
      <c r="EZ3336" s="886"/>
    </row>
    <row r="3337" spans="88:156">
      <c r="CJ3337" s="197"/>
      <c r="CK3337" s="197"/>
      <c r="CL3337" s="197"/>
      <c r="CM3337" s="213"/>
      <c r="CN3337" s="213"/>
      <c r="CO3337" s="197"/>
      <c r="CP3337" s="197"/>
      <c r="CQ3337" s="197"/>
      <c r="CR3337" s="197"/>
      <c r="CS3337" s="197"/>
      <c r="CT3337" s="197"/>
      <c r="CU3337" s="197"/>
      <c r="CV3337" s="197"/>
      <c r="CW3337" s="197"/>
      <c r="CX3337" s="959"/>
      <c r="CY3337" s="959"/>
      <c r="CZ3337" s="959"/>
      <c r="DA3337" s="959"/>
      <c r="DB3337" s="959"/>
      <c r="DG3337" s="959"/>
      <c r="DH3337" s="959"/>
      <c r="ER3337" s="905">
        <v>9743</v>
      </c>
      <c r="ES3337" s="906" t="s">
        <v>4171</v>
      </c>
      <c r="ET3337" s="2686">
        <v>9</v>
      </c>
      <c r="EV3337" s="985"/>
      <c r="EW3337" s="985"/>
      <c r="EX3337" s="387"/>
      <c r="EY3337" s="939"/>
      <c r="EZ3337" s="886"/>
    </row>
    <row r="3338" spans="88:156">
      <c r="CJ3338" s="197"/>
      <c r="CK3338" s="197"/>
      <c r="CL3338" s="197"/>
      <c r="CM3338" s="213"/>
      <c r="CN3338" s="213"/>
      <c r="CO3338" s="197"/>
      <c r="CP3338" s="197"/>
      <c r="CQ3338" s="197"/>
      <c r="CR3338" s="197"/>
      <c r="CS3338" s="197"/>
      <c r="CT3338" s="197"/>
      <c r="CU3338" s="197"/>
      <c r="CV3338" s="197"/>
      <c r="CW3338" s="197"/>
      <c r="CX3338" s="959"/>
      <c r="CY3338" s="959"/>
      <c r="CZ3338" s="959"/>
      <c r="DA3338" s="959"/>
      <c r="DB3338" s="959"/>
      <c r="DG3338" s="959"/>
      <c r="DH3338" s="959"/>
      <c r="ER3338" s="905">
        <v>9744</v>
      </c>
      <c r="ES3338" s="906" t="s">
        <v>4172</v>
      </c>
      <c r="ET3338" s="2686">
        <v>9</v>
      </c>
      <c r="EV3338" s="985"/>
      <c r="EW3338" s="985"/>
      <c r="EX3338" s="387"/>
      <c r="EY3338" s="939"/>
      <c r="EZ3338" s="886"/>
    </row>
    <row r="3339" spans="88:156">
      <c r="CJ3339" s="197"/>
      <c r="CK3339" s="197"/>
      <c r="CL3339" s="197"/>
      <c r="CM3339" s="213"/>
      <c r="CN3339" s="213"/>
      <c r="CO3339" s="197"/>
      <c r="CP3339" s="197"/>
      <c r="CQ3339" s="197"/>
      <c r="CR3339" s="197"/>
      <c r="CS3339" s="197"/>
      <c r="CT3339" s="197"/>
      <c r="CU3339" s="197"/>
      <c r="CV3339" s="197"/>
      <c r="CW3339" s="197"/>
      <c r="CX3339" s="959"/>
      <c r="CY3339" s="959"/>
      <c r="CZ3339" s="959"/>
      <c r="DA3339" s="959"/>
      <c r="DB3339" s="959"/>
      <c r="DG3339" s="959"/>
      <c r="DH3339" s="959"/>
      <c r="ER3339" s="905">
        <v>9745</v>
      </c>
      <c r="ES3339" s="906" t="s">
        <v>4173</v>
      </c>
      <c r="ET3339" s="2686">
        <v>9</v>
      </c>
      <c r="EV3339" s="985"/>
      <c r="EW3339" s="985"/>
      <c r="EX3339" s="387"/>
      <c r="EY3339" s="939"/>
      <c r="EZ3339" s="886"/>
    </row>
    <row r="3340" spans="88:156">
      <c r="CJ3340" s="197"/>
      <c r="CK3340" s="197"/>
      <c r="CL3340" s="197"/>
      <c r="CM3340" s="213"/>
      <c r="CN3340" s="213"/>
      <c r="CO3340" s="197"/>
      <c r="CP3340" s="197"/>
      <c r="CQ3340" s="197"/>
      <c r="CR3340" s="197"/>
      <c r="CS3340" s="197"/>
      <c r="CT3340" s="197"/>
      <c r="CU3340" s="197"/>
      <c r="CV3340" s="197"/>
      <c r="CW3340" s="197"/>
      <c r="CX3340" s="959"/>
      <c r="CY3340" s="959"/>
      <c r="CZ3340" s="959"/>
      <c r="DA3340" s="959"/>
      <c r="DB3340" s="959"/>
      <c r="DG3340" s="959"/>
      <c r="DH3340" s="959"/>
      <c r="ER3340" s="905">
        <v>9746</v>
      </c>
      <c r="ES3340" s="906" t="s">
        <v>4174</v>
      </c>
      <c r="ET3340" s="2686">
        <v>9</v>
      </c>
      <c r="EV3340" s="985"/>
      <c r="EW3340" s="985"/>
      <c r="EX3340" s="387"/>
      <c r="EY3340" s="939"/>
      <c r="EZ3340" s="886"/>
    </row>
    <row r="3341" spans="88:156">
      <c r="CJ3341" s="197"/>
      <c r="CK3341" s="197"/>
      <c r="CL3341" s="197"/>
      <c r="CM3341" s="213"/>
      <c r="CN3341" s="213"/>
      <c r="CO3341" s="197"/>
      <c r="CP3341" s="197"/>
      <c r="CQ3341" s="197"/>
      <c r="CR3341" s="197"/>
      <c r="CS3341" s="197"/>
      <c r="CT3341" s="197"/>
      <c r="CU3341" s="197"/>
      <c r="CV3341" s="197"/>
      <c r="CW3341" s="197"/>
      <c r="CX3341" s="959"/>
      <c r="CY3341" s="959"/>
      <c r="CZ3341" s="959"/>
      <c r="DA3341" s="959"/>
      <c r="DB3341" s="959"/>
      <c r="DG3341" s="959"/>
      <c r="DH3341" s="959"/>
      <c r="ER3341" s="905">
        <v>9747</v>
      </c>
      <c r="ES3341" s="906" t="s">
        <v>4175</v>
      </c>
      <c r="ET3341" s="2686">
        <v>9</v>
      </c>
      <c r="EV3341" s="985"/>
      <c r="EW3341" s="985"/>
      <c r="EX3341" s="387"/>
      <c r="EY3341" s="939"/>
      <c r="EZ3341" s="886"/>
    </row>
    <row r="3342" spans="88:156">
      <c r="CJ3342" s="197"/>
      <c r="CK3342" s="197"/>
      <c r="CL3342" s="197"/>
      <c r="CM3342" s="213"/>
      <c r="CN3342" s="213"/>
      <c r="CO3342" s="197"/>
      <c r="CP3342" s="197"/>
      <c r="CQ3342" s="197"/>
      <c r="CR3342" s="197"/>
      <c r="CS3342" s="197"/>
      <c r="CT3342" s="197"/>
      <c r="CU3342" s="197"/>
      <c r="CV3342" s="197"/>
      <c r="CW3342" s="197"/>
      <c r="CX3342" s="959"/>
      <c r="CY3342" s="959"/>
      <c r="CZ3342" s="959"/>
      <c r="DA3342" s="959"/>
      <c r="DB3342" s="959"/>
      <c r="DG3342" s="959"/>
      <c r="DH3342" s="959"/>
      <c r="ER3342" s="905">
        <v>9748</v>
      </c>
      <c r="ES3342" s="906" t="s">
        <v>4176</v>
      </c>
      <c r="ET3342" s="2686">
        <v>9</v>
      </c>
      <c r="EV3342" s="985"/>
      <c r="EW3342" s="985"/>
      <c r="EX3342" s="387"/>
      <c r="EY3342" s="939"/>
      <c r="EZ3342" s="886"/>
    </row>
    <row r="3343" spans="88:156">
      <c r="CJ3343" s="197"/>
      <c r="CK3343" s="197"/>
      <c r="CL3343" s="197"/>
      <c r="CM3343" s="213"/>
      <c r="CN3343" s="213"/>
      <c r="CO3343" s="197"/>
      <c r="CP3343" s="197"/>
      <c r="CQ3343" s="197"/>
      <c r="CR3343" s="197"/>
      <c r="CS3343" s="197"/>
      <c r="CT3343" s="197"/>
      <c r="CU3343" s="197"/>
      <c r="CV3343" s="197"/>
      <c r="CW3343" s="197"/>
      <c r="CX3343" s="959"/>
      <c r="CY3343" s="959"/>
      <c r="CZ3343" s="959"/>
      <c r="DA3343" s="959"/>
      <c r="DB3343" s="959"/>
      <c r="DG3343" s="959"/>
      <c r="DH3343" s="959"/>
      <c r="ER3343" s="905">
        <v>9749</v>
      </c>
      <c r="ES3343" s="906" t="s">
        <v>4177</v>
      </c>
      <c r="ET3343" s="2686">
        <v>9</v>
      </c>
      <c r="EV3343" s="985"/>
      <c r="EW3343" s="985"/>
      <c r="EX3343" s="387"/>
      <c r="EY3343" s="939"/>
      <c r="EZ3343" s="886"/>
    </row>
    <row r="3344" spans="88:156">
      <c r="CJ3344" s="197"/>
      <c r="CK3344" s="197"/>
      <c r="CL3344" s="197"/>
      <c r="CM3344" s="213"/>
      <c r="CN3344" s="213"/>
      <c r="CO3344" s="197"/>
      <c r="CP3344" s="197"/>
      <c r="CQ3344" s="197"/>
      <c r="CR3344" s="197"/>
      <c r="CS3344" s="197"/>
      <c r="CT3344" s="197"/>
      <c r="CU3344" s="197"/>
      <c r="CV3344" s="197"/>
      <c r="CW3344" s="197"/>
      <c r="CX3344" s="959"/>
      <c r="CY3344" s="959"/>
      <c r="CZ3344" s="959"/>
      <c r="DA3344" s="959"/>
      <c r="DB3344" s="959"/>
      <c r="DG3344" s="959"/>
      <c r="DH3344" s="959"/>
      <c r="ER3344" s="905">
        <v>9751</v>
      </c>
      <c r="ES3344" s="906" t="s">
        <v>4178</v>
      </c>
      <c r="ET3344" s="2686">
        <v>9</v>
      </c>
      <c r="EV3344" s="985"/>
      <c r="EW3344" s="985"/>
      <c r="EX3344" s="387"/>
      <c r="EY3344" s="939"/>
      <c r="EZ3344" s="886"/>
    </row>
    <row r="3345" spans="88:156">
      <c r="CJ3345" s="197"/>
      <c r="CK3345" s="197"/>
      <c r="CL3345" s="197"/>
      <c r="CM3345" s="213"/>
      <c r="CN3345" s="213"/>
      <c r="CO3345" s="197"/>
      <c r="CP3345" s="197"/>
      <c r="CQ3345" s="197"/>
      <c r="CR3345" s="197"/>
      <c r="CS3345" s="197"/>
      <c r="CT3345" s="197"/>
      <c r="CU3345" s="197"/>
      <c r="CV3345" s="197"/>
      <c r="CW3345" s="197"/>
      <c r="CX3345" s="959"/>
      <c r="CY3345" s="959"/>
      <c r="CZ3345" s="959"/>
      <c r="DA3345" s="959"/>
      <c r="DB3345" s="959"/>
      <c r="DG3345" s="959"/>
      <c r="DH3345" s="959"/>
      <c r="ER3345" s="905">
        <v>9752</v>
      </c>
      <c r="ES3345" s="906" t="s">
        <v>4713</v>
      </c>
      <c r="ET3345" s="2686">
        <v>9</v>
      </c>
      <c r="EV3345" s="985"/>
      <c r="EW3345" s="985"/>
      <c r="EX3345" s="387"/>
      <c r="EY3345" s="939"/>
      <c r="EZ3345" s="886"/>
    </row>
    <row r="3346" spans="88:156">
      <c r="CJ3346" s="197"/>
      <c r="CK3346" s="197"/>
      <c r="CL3346" s="197"/>
      <c r="CM3346" s="213"/>
      <c r="CN3346" s="213"/>
      <c r="CO3346" s="197"/>
      <c r="CP3346" s="197"/>
      <c r="CQ3346" s="197"/>
      <c r="CR3346" s="197"/>
      <c r="CS3346" s="197"/>
      <c r="CT3346" s="197"/>
      <c r="CU3346" s="197"/>
      <c r="CV3346" s="197"/>
      <c r="CW3346" s="197"/>
      <c r="CX3346" s="959"/>
      <c r="CY3346" s="959"/>
      <c r="CZ3346" s="959"/>
      <c r="DA3346" s="959"/>
      <c r="DB3346" s="959"/>
      <c r="DG3346" s="959"/>
      <c r="DH3346" s="959"/>
      <c r="ER3346" s="905">
        <v>9752</v>
      </c>
      <c r="ES3346" s="906" t="s">
        <v>4179</v>
      </c>
      <c r="ET3346" s="2686">
        <v>9</v>
      </c>
      <c r="EV3346" s="985"/>
      <c r="EW3346" s="985"/>
      <c r="EX3346" s="387"/>
      <c r="EY3346" s="939"/>
      <c r="EZ3346" s="886"/>
    </row>
    <row r="3347" spans="88:156">
      <c r="CJ3347" s="197"/>
      <c r="CK3347" s="197"/>
      <c r="CL3347" s="197"/>
      <c r="CM3347" s="213"/>
      <c r="CN3347" s="213"/>
      <c r="CO3347" s="197"/>
      <c r="CP3347" s="197"/>
      <c r="CQ3347" s="197"/>
      <c r="CR3347" s="197"/>
      <c r="CS3347" s="197"/>
      <c r="CT3347" s="197"/>
      <c r="CU3347" s="197"/>
      <c r="CV3347" s="197"/>
      <c r="CW3347" s="197"/>
      <c r="CX3347" s="959"/>
      <c r="CY3347" s="959"/>
      <c r="CZ3347" s="959"/>
      <c r="DA3347" s="959"/>
      <c r="DB3347" s="959"/>
      <c r="DG3347" s="959"/>
      <c r="DH3347" s="959"/>
      <c r="ER3347" s="905">
        <v>9754</v>
      </c>
      <c r="ES3347" s="906" t="s">
        <v>4714</v>
      </c>
      <c r="ET3347" s="2686">
        <v>9</v>
      </c>
      <c r="EV3347" s="985"/>
      <c r="EW3347" s="985"/>
      <c r="EX3347" s="387"/>
      <c r="EY3347" s="939"/>
      <c r="EZ3347" s="886"/>
    </row>
    <row r="3348" spans="88:156">
      <c r="CJ3348" s="197"/>
      <c r="CK3348" s="197"/>
      <c r="CL3348" s="197"/>
      <c r="CM3348" s="213"/>
      <c r="CN3348" s="213"/>
      <c r="CO3348" s="197"/>
      <c r="CP3348" s="197"/>
      <c r="CQ3348" s="197"/>
      <c r="CR3348" s="197"/>
      <c r="CS3348" s="197"/>
      <c r="CT3348" s="197"/>
      <c r="CU3348" s="197"/>
      <c r="CV3348" s="197"/>
      <c r="CW3348" s="197"/>
      <c r="CX3348" s="959"/>
      <c r="CY3348" s="959"/>
      <c r="CZ3348" s="959"/>
      <c r="DA3348" s="959"/>
      <c r="DB3348" s="959"/>
      <c r="DG3348" s="959"/>
      <c r="DH3348" s="959"/>
      <c r="ER3348" s="905">
        <v>9754</v>
      </c>
      <c r="ES3348" s="906" t="s">
        <v>4180</v>
      </c>
      <c r="ET3348" s="2686">
        <v>9</v>
      </c>
      <c r="EV3348" s="985"/>
      <c r="EW3348" s="985"/>
      <c r="EX3348" s="387"/>
      <c r="EY3348" s="939"/>
      <c r="EZ3348" s="886"/>
    </row>
    <row r="3349" spans="88:156">
      <c r="CJ3349" s="197"/>
      <c r="CK3349" s="197"/>
      <c r="CL3349" s="197"/>
      <c r="CM3349" s="213"/>
      <c r="CN3349" s="213"/>
      <c r="CO3349" s="197"/>
      <c r="CP3349" s="197"/>
      <c r="CQ3349" s="197"/>
      <c r="CR3349" s="197"/>
      <c r="CS3349" s="197"/>
      <c r="CT3349" s="197"/>
      <c r="CU3349" s="197"/>
      <c r="CV3349" s="197"/>
      <c r="CW3349" s="197"/>
      <c r="CX3349" s="959"/>
      <c r="CY3349" s="959"/>
      <c r="CZ3349" s="959"/>
      <c r="DA3349" s="959"/>
      <c r="DB3349" s="959"/>
      <c r="DG3349" s="959"/>
      <c r="DH3349" s="959"/>
      <c r="ER3349" s="905">
        <v>9756</v>
      </c>
      <c r="ES3349" s="906" t="s">
        <v>4181</v>
      </c>
      <c r="ET3349" s="2686">
        <v>9</v>
      </c>
      <c r="EV3349" s="985"/>
      <c r="EW3349" s="985"/>
      <c r="EX3349" s="387"/>
      <c r="EY3349" s="939"/>
      <c r="EZ3349" s="886"/>
    </row>
    <row r="3350" spans="88:156">
      <c r="CJ3350" s="197"/>
      <c r="CK3350" s="197"/>
      <c r="CL3350" s="197"/>
      <c r="CM3350" s="213"/>
      <c r="CN3350" s="213"/>
      <c r="CO3350" s="197"/>
      <c r="CP3350" s="197"/>
      <c r="CQ3350" s="197"/>
      <c r="CR3350" s="197"/>
      <c r="CS3350" s="197"/>
      <c r="CT3350" s="197"/>
      <c r="CU3350" s="197"/>
      <c r="CV3350" s="197"/>
      <c r="CW3350" s="197"/>
      <c r="CX3350" s="959"/>
      <c r="CY3350" s="959"/>
      <c r="CZ3350" s="959"/>
      <c r="DA3350" s="959"/>
      <c r="DB3350" s="959"/>
      <c r="DG3350" s="959"/>
      <c r="DH3350" s="959"/>
      <c r="ER3350" s="905">
        <v>9757</v>
      </c>
      <c r="ES3350" s="906" t="s">
        <v>4182</v>
      </c>
      <c r="ET3350" s="2686">
        <v>9</v>
      </c>
      <c r="EV3350" s="985"/>
      <c r="EW3350" s="985"/>
      <c r="EX3350" s="387"/>
      <c r="EY3350" s="939"/>
      <c r="EZ3350" s="886"/>
    </row>
    <row r="3351" spans="88:156">
      <c r="CJ3351" s="197"/>
      <c r="CK3351" s="197"/>
      <c r="CL3351" s="197"/>
      <c r="CM3351" s="213"/>
      <c r="CN3351" s="213"/>
      <c r="CO3351" s="197"/>
      <c r="CP3351" s="197"/>
      <c r="CQ3351" s="197"/>
      <c r="CR3351" s="197"/>
      <c r="CS3351" s="197"/>
      <c r="CT3351" s="197"/>
      <c r="CU3351" s="197"/>
      <c r="CV3351" s="197"/>
      <c r="CW3351" s="197"/>
      <c r="CX3351" s="959"/>
      <c r="CY3351" s="959"/>
      <c r="CZ3351" s="959"/>
      <c r="DA3351" s="959"/>
      <c r="DB3351" s="959"/>
      <c r="DG3351" s="959"/>
      <c r="DH3351" s="959"/>
      <c r="ER3351" s="905">
        <v>9761</v>
      </c>
      <c r="ES3351" s="906" t="s">
        <v>4183</v>
      </c>
      <c r="ET3351" s="2686">
        <v>9</v>
      </c>
      <c r="EV3351" s="985"/>
      <c r="EW3351" s="985"/>
      <c r="EX3351" s="387"/>
      <c r="EY3351" s="939"/>
      <c r="EZ3351" s="886"/>
    </row>
    <row r="3352" spans="88:156">
      <c r="CJ3352" s="197"/>
      <c r="CK3352" s="197"/>
      <c r="CL3352" s="197"/>
      <c r="CM3352" s="213"/>
      <c r="CN3352" s="213"/>
      <c r="CO3352" s="197"/>
      <c r="CP3352" s="197"/>
      <c r="CQ3352" s="197"/>
      <c r="CR3352" s="197"/>
      <c r="CS3352" s="197"/>
      <c r="CT3352" s="197"/>
      <c r="CU3352" s="197"/>
      <c r="CV3352" s="197"/>
      <c r="CW3352" s="197"/>
      <c r="CX3352" s="959"/>
      <c r="CY3352" s="959"/>
      <c r="CZ3352" s="959"/>
      <c r="DA3352" s="959"/>
      <c r="DB3352" s="959"/>
      <c r="DG3352" s="959"/>
      <c r="DH3352" s="959"/>
      <c r="ER3352" s="905">
        <v>9762</v>
      </c>
      <c r="ES3352" s="906" t="s">
        <v>4184</v>
      </c>
      <c r="ET3352" s="2686">
        <v>9</v>
      </c>
      <c r="EV3352" s="985"/>
      <c r="EW3352" s="985"/>
      <c r="EX3352" s="387"/>
      <c r="EY3352" s="939"/>
      <c r="EZ3352" s="886"/>
    </row>
    <row r="3353" spans="88:156">
      <c r="CJ3353" s="197"/>
      <c r="CK3353" s="197"/>
      <c r="CL3353" s="197"/>
      <c r="CM3353" s="213"/>
      <c r="CN3353" s="213"/>
      <c r="CO3353" s="197"/>
      <c r="CP3353" s="197"/>
      <c r="CQ3353" s="197"/>
      <c r="CR3353" s="197"/>
      <c r="CS3353" s="197"/>
      <c r="CT3353" s="197"/>
      <c r="CU3353" s="197"/>
      <c r="CV3353" s="197"/>
      <c r="CW3353" s="197"/>
      <c r="CX3353" s="959"/>
      <c r="CY3353" s="959"/>
      <c r="CZ3353" s="959"/>
      <c r="DA3353" s="959"/>
      <c r="DB3353" s="959"/>
      <c r="DG3353" s="959"/>
      <c r="DH3353" s="959"/>
      <c r="ER3353" s="905">
        <v>9763</v>
      </c>
      <c r="ES3353" s="906" t="s">
        <v>4185</v>
      </c>
      <c r="ET3353" s="2686">
        <v>9</v>
      </c>
      <c r="EV3353" s="985"/>
      <c r="EW3353" s="985"/>
      <c r="EX3353" s="387"/>
      <c r="EY3353" s="939"/>
      <c r="EZ3353" s="886"/>
    </row>
    <row r="3354" spans="88:156">
      <c r="CJ3354" s="197"/>
      <c r="CK3354" s="197"/>
      <c r="CL3354" s="197"/>
      <c r="CM3354" s="213"/>
      <c r="CN3354" s="213"/>
      <c r="CO3354" s="197"/>
      <c r="CP3354" s="197"/>
      <c r="CQ3354" s="197"/>
      <c r="CR3354" s="197"/>
      <c r="CS3354" s="197"/>
      <c r="CT3354" s="197"/>
      <c r="CU3354" s="197"/>
      <c r="CV3354" s="197"/>
      <c r="CW3354" s="197"/>
      <c r="CX3354" s="959"/>
      <c r="CY3354" s="959"/>
      <c r="CZ3354" s="959"/>
      <c r="DA3354" s="959"/>
      <c r="DB3354" s="959"/>
      <c r="DG3354" s="959"/>
      <c r="DH3354" s="959"/>
      <c r="ER3354" s="905">
        <v>9764</v>
      </c>
      <c r="ES3354" s="906" t="s">
        <v>4186</v>
      </c>
      <c r="ET3354" s="2686">
        <v>9</v>
      </c>
      <c r="EV3354" s="985"/>
      <c r="EW3354" s="985"/>
      <c r="EX3354" s="387"/>
      <c r="EY3354" s="939"/>
      <c r="EZ3354" s="886"/>
    </row>
    <row r="3355" spans="88:156">
      <c r="CJ3355" s="197"/>
      <c r="CK3355" s="197"/>
      <c r="CL3355" s="197"/>
      <c r="CM3355" s="213"/>
      <c r="CN3355" s="213"/>
      <c r="CO3355" s="197"/>
      <c r="CP3355" s="197"/>
      <c r="CQ3355" s="197"/>
      <c r="CR3355" s="197"/>
      <c r="CS3355" s="197"/>
      <c r="CT3355" s="197"/>
      <c r="CU3355" s="197"/>
      <c r="CV3355" s="197"/>
      <c r="CW3355" s="197"/>
      <c r="CX3355" s="959"/>
      <c r="CY3355" s="959"/>
      <c r="CZ3355" s="959"/>
      <c r="DA3355" s="959"/>
      <c r="DB3355" s="959"/>
      <c r="DG3355" s="959"/>
      <c r="DH3355" s="959"/>
      <c r="ER3355" s="905">
        <v>9766</v>
      </c>
      <c r="ES3355" s="906" t="s">
        <v>4187</v>
      </c>
      <c r="ET3355" s="2686">
        <v>9</v>
      </c>
      <c r="EV3355" s="985"/>
      <c r="EW3355" s="985"/>
      <c r="EX3355" s="387"/>
      <c r="EY3355" s="939"/>
      <c r="EZ3355" s="886"/>
    </row>
    <row r="3356" spans="88:156">
      <c r="CJ3356" s="197"/>
      <c r="CK3356" s="197"/>
      <c r="CL3356" s="197"/>
      <c r="CM3356" s="213"/>
      <c r="CN3356" s="213"/>
      <c r="CO3356" s="197"/>
      <c r="CP3356" s="197"/>
      <c r="CQ3356" s="197"/>
      <c r="CR3356" s="197"/>
      <c r="CS3356" s="197"/>
      <c r="CT3356" s="197"/>
      <c r="CU3356" s="197"/>
      <c r="CV3356" s="197"/>
      <c r="CW3356" s="197"/>
      <c r="CX3356" s="959"/>
      <c r="CY3356" s="959"/>
      <c r="CZ3356" s="959"/>
      <c r="DA3356" s="959"/>
      <c r="DB3356" s="959"/>
      <c r="DG3356" s="959"/>
      <c r="DH3356" s="959"/>
      <c r="ER3356" s="905">
        <v>9766</v>
      </c>
      <c r="ES3356" s="906" t="s">
        <v>4715</v>
      </c>
      <c r="ET3356" s="2686">
        <v>9</v>
      </c>
      <c r="EV3356" s="985"/>
      <c r="EW3356" s="985"/>
      <c r="EX3356" s="387"/>
      <c r="EY3356" s="939"/>
      <c r="EZ3356" s="886"/>
    </row>
    <row r="3357" spans="88:156">
      <c r="CJ3357" s="197"/>
      <c r="CK3357" s="197"/>
      <c r="CL3357" s="197"/>
      <c r="CM3357" s="213"/>
      <c r="CN3357" s="213"/>
      <c r="CO3357" s="197"/>
      <c r="CP3357" s="197"/>
      <c r="CQ3357" s="197"/>
      <c r="CR3357" s="197"/>
      <c r="CS3357" s="197"/>
      <c r="CT3357" s="197"/>
      <c r="CU3357" s="197"/>
      <c r="CV3357" s="197"/>
      <c r="CW3357" s="197"/>
      <c r="CX3357" s="959"/>
      <c r="CY3357" s="959"/>
      <c r="CZ3357" s="959"/>
      <c r="DA3357" s="959"/>
      <c r="DB3357" s="959"/>
      <c r="DG3357" s="959"/>
      <c r="DH3357" s="959"/>
      <c r="ER3357" s="905">
        <v>9766</v>
      </c>
      <c r="ES3357" s="906" t="s">
        <v>4188</v>
      </c>
      <c r="ET3357" s="2686">
        <v>9</v>
      </c>
      <c r="EV3357" s="985"/>
      <c r="EW3357" s="985"/>
      <c r="EX3357" s="387"/>
      <c r="EY3357" s="939"/>
      <c r="EZ3357" s="886"/>
    </row>
    <row r="3358" spans="88:156">
      <c r="CJ3358" s="197"/>
      <c r="CK3358" s="197"/>
      <c r="CL3358" s="197"/>
      <c r="CM3358" s="213"/>
      <c r="CN3358" s="213"/>
      <c r="CO3358" s="197"/>
      <c r="CP3358" s="197"/>
      <c r="CQ3358" s="197"/>
      <c r="CR3358" s="197"/>
      <c r="CS3358" s="197"/>
      <c r="CT3358" s="197"/>
      <c r="CU3358" s="197"/>
      <c r="CV3358" s="197"/>
      <c r="CW3358" s="197"/>
      <c r="CX3358" s="959"/>
      <c r="CY3358" s="959"/>
      <c r="CZ3358" s="959"/>
      <c r="DA3358" s="959"/>
      <c r="DB3358" s="959"/>
      <c r="DG3358" s="959"/>
      <c r="DH3358" s="959"/>
      <c r="ER3358" s="905">
        <v>9771</v>
      </c>
      <c r="ES3358" s="906" t="s">
        <v>4189</v>
      </c>
      <c r="ET3358" s="2686">
        <v>9</v>
      </c>
      <c r="EV3358" s="985"/>
      <c r="EW3358" s="985"/>
      <c r="EX3358" s="387"/>
      <c r="EY3358" s="939"/>
      <c r="EZ3358" s="886"/>
    </row>
    <row r="3359" spans="88:156">
      <c r="CJ3359" s="197"/>
      <c r="CK3359" s="197"/>
      <c r="CL3359" s="197"/>
      <c r="CM3359" s="213"/>
      <c r="CN3359" s="213"/>
      <c r="CO3359" s="197"/>
      <c r="CP3359" s="197"/>
      <c r="CQ3359" s="197"/>
      <c r="CR3359" s="197"/>
      <c r="CS3359" s="197"/>
      <c r="CT3359" s="197"/>
      <c r="CU3359" s="197"/>
      <c r="CV3359" s="197"/>
      <c r="CW3359" s="197"/>
      <c r="CX3359" s="959"/>
      <c r="CY3359" s="959"/>
      <c r="CZ3359" s="959"/>
      <c r="DA3359" s="959"/>
      <c r="DB3359" s="959"/>
      <c r="DG3359" s="959"/>
      <c r="DH3359" s="959"/>
      <c r="ER3359" s="905">
        <v>9772</v>
      </c>
      <c r="ES3359" s="906" t="s">
        <v>4190</v>
      </c>
      <c r="ET3359" s="2686">
        <v>9</v>
      </c>
      <c r="EV3359" s="985"/>
      <c r="EW3359" s="985"/>
      <c r="EX3359" s="387"/>
      <c r="EY3359" s="939"/>
      <c r="EZ3359" s="886"/>
    </row>
    <row r="3360" spans="88:156">
      <c r="CJ3360" s="197"/>
      <c r="CK3360" s="197"/>
      <c r="CL3360" s="197"/>
      <c r="CM3360" s="213"/>
      <c r="CN3360" s="213"/>
      <c r="CO3360" s="197"/>
      <c r="CP3360" s="197"/>
      <c r="CQ3360" s="197"/>
      <c r="CR3360" s="197"/>
      <c r="CS3360" s="197"/>
      <c r="CT3360" s="197"/>
      <c r="CU3360" s="197"/>
      <c r="CV3360" s="197"/>
      <c r="CW3360" s="197"/>
      <c r="CX3360" s="959"/>
      <c r="CY3360" s="959"/>
      <c r="CZ3360" s="959"/>
      <c r="DA3360" s="959"/>
      <c r="DB3360" s="959"/>
      <c r="DG3360" s="959"/>
      <c r="DH3360" s="959"/>
      <c r="ER3360" s="905">
        <v>9773</v>
      </c>
      <c r="ES3360" s="906" t="s">
        <v>3203</v>
      </c>
      <c r="ET3360" s="2686">
        <v>9</v>
      </c>
      <c r="EV3360" s="985"/>
      <c r="EW3360" s="985"/>
      <c r="EX3360" s="387"/>
      <c r="EY3360" s="939"/>
      <c r="EZ3360" s="886"/>
    </row>
    <row r="3361" spans="88:156">
      <c r="CJ3361" s="197"/>
      <c r="CK3361" s="197"/>
      <c r="CL3361" s="197"/>
      <c r="CM3361" s="213"/>
      <c r="CN3361" s="213"/>
      <c r="CO3361" s="197"/>
      <c r="CP3361" s="197"/>
      <c r="CQ3361" s="197"/>
      <c r="CR3361" s="197"/>
      <c r="CS3361" s="197"/>
      <c r="CT3361" s="197"/>
      <c r="CU3361" s="197"/>
      <c r="CV3361" s="197"/>
      <c r="CW3361" s="197"/>
      <c r="CX3361" s="959"/>
      <c r="CY3361" s="959"/>
      <c r="CZ3361" s="959"/>
      <c r="DA3361" s="959"/>
      <c r="DB3361" s="959"/>
      <c r="DG3361" s="959"/>
      <c r="DH3361" s="959"/>
      <c r="ER3361" s="905">
        <v>9774</v>
      </c>
      <c r="ES3361" s="906" t="s">
        <v>4716</v>
      </c>
      <c r="ET3361" s="2686">
        <v>9</v>
      </c>
      <c r="EV3361" s="985"/>
      <c r="EW3361" s="985"/>
      <c r="EX3361" s="387"/>
      <c r="EY3361" s="939"/>
      <c r="EZ3361" s="886"/>
    </row>
    <row r="3362" spans="88:156">
      <c r="CJ3362" s="197"/>
      <c r="CK3362" s="197"/>
      <c r="CL3362" s="197"/>
      <c r="CM3362" s="213"/>
      <c r="CN3362" s="213"/>
      <c r="CO3362" s="197"/>
      <c r="CP3362" s="197"/>
      <c r="CQ3362" s="197"/>
      <c r="CR3362" s="197"/>
      <c r="CS3362" s="197"/>
      <c r="CT3362" s="197"/>
      <c r="CU3362" s="197"/>
      <c r="CV3362" s="197"/>
      <c r="CW3362" s="197"/>
      <c r="CX3362" s="959"/>
      <c r="CY3362" s="959"/>
      <c r="CZ3362" s="959"/>
      <c r="DA3362" s="959"/>
      <c r="DB3362" s="959"/>
      <c r="DG3362" s="959"/>
      <c r="DH3362" s="959"/>
      <c r="ER3362" s="905">
        <v>9774</v>
      </c>
      <c r="ES3362" s="906" t="s">
        <v>4717</v>
      </c>
      <c r="ET3362" s="2686">
        <v>9</v>
      </c>
      <c r="EV3362" s="985"/>
      <c r="EW3362" s="985"/>
      <c r="EX3362" s="387"/>
      <c r="EY3362" s="939"/>
      <c r="EZ3362" s="886"/>
    </row>
    <row r="3363" spans="88:156">
      <c r="CJ3363" s="197"/>
      <c r="CK3363" s="197"/>
      <c r="CL3363" s="197"/>
      <c r="CM3363" s="213"/>
      <c r="CN3363" s="213"/>
      <c r="CO3363" s="197"/>
      <c r="CP3363" s="197"/>
      <c r="CQ3363" s="197"/>
      <c r="CR3363" s="197"/>
      <c r="CS3363" s="197"/>
      <c r="CT3363" s="197"/>
      <c r="CU3363" s="197"/>
      <c r="CV3363" s="197"/>
      <c r="CW3363" s="197"/>
      <c r="CX3363" s="959"/>
      <c r="CY3363" s="959"/>
      <c r="CZ3363" s="959"/>
      <c r="DA3363" s="959"/>
      <c r="DB3363" s="959"/>
      <c r="DG3363" s="959"/>
      <c r="DH3363" s="959"/>
      <c r="ER3363" s="905">
        <v>9774</v>
      </c>
      <c r="ES3363" s="906" t="s">
        <v>2478</v>
      </c>
      <c r="ET3363" s="2686">
        <v>9</v>
      </c>
      <c r="EV3363" s="985"/>
      <c r="EW3363" s="985"/>
      <c r="EX3363" s="387"/>
      <c r="EY3363" s="939"/>
      <c r="EZ3363" s="886"/>
    </row>
    <row r="3364" spans="88:156">
      <c r="CJ3364" s="197"/>
      <c r="CK3364" s="197"/>
      <c r="CL3364" s="197"/>
      <c r="CM3364" s="213"/>
      <c r="CN3364" s="213"/>
      <c r="CO3364" s="197"/>
      <c r="CP3364" s="197"/>
      <c r="CQ3364" s="197"/>
      <c r="CR3364" s="197"/>
      <c r="CS3364" s="197"/>
      <c r="CT3364" s="197"/>
      <c r="CU3364" s="197"/>
      <c r="CV3364" s="197"/>
      <c r="CW3364" s="197"/>
      <c r="CX3364" s="959"/>
      <c r="CY3364" s="959"/>
      <c r="CZ3364" s="959"/>
      <c r="DA3364" s="959"/>
      <c r="DB3364" s="959"/>
      <c r="DG3364" s="959"/>
      <c r="DH3364" s="959"/>
      <c r="ER3364" s="905">
        <v>9775</v>
      </c>
      <c r="ES3364" s="906" t="s">
        <v>2479</v>
      </c>
      <c r="ET3364" s="2686">
        <v>9</v>
      </c>
      <c r="EV3364" s="985"/>
      <c r="EW3364" s="985"/>
      <c r="EX3364" s="387"/>
      <c r="EY3364" s="939"/>
      <c r="EZ3364" s="886"/>
    </row>
    <row r="3365" spans="88:156">
      <c r="CJ3365" s="197"/>
      <c r="CK3365" s="197"/>
      <c r="CL3365" s="197"/>
      <c r="CM3365" s="213"/>
      <c r="CN3365" s="213"/>
      <c r="CO3365" s="197"/>
      <c r="CP3365" s="197"/>
      <c r="CQ3365" s="197"/>
      <c r="CR3365" s="197"/>
      <c r="CS3365" s="197"/>
      <c r="CT3365" s="197"/>
      <c r="CU3365" s="197"/>
      <c r="CV3365" s="197"/>
      <c r="CW3365" s="197"/>
      <c r="CX3365" s="959"/>
      <c r="CY3365" s="959"/>
      <c r="CZ3365" s="959"/>
      <c r="DA3365" s="959"/>
      <c r="DB3365" s="959"/>
      <c r="DG3365" s="959"/>
      <c r="DH3365" s="959"/>
      <c r="ER3365" s="905">
        <v>9776</v>
      </c>
      <c r="ES3365" s="906" t="s">
        <v>2480</v>
      </c>
      <c r="ET3365" s="2686">
        <v>9</v>
      </c>
      <c r="EV3365" s="985"/>
      <c r="EW3365" s="985"/>
      <c r="EX3365" s="387"/>
      <c r="EY3365" s="939"/>
      <c r="EZ3365" s="886"/>
    </row>
    <row r="3366" spans="88:156">
      <c r="CJ3366" s="197"/>
      <c r="CK3366" s="197"/>
      <c r="CL3366" s="197"/>
      <c r="CM3366" s="213"/>
      <c r="CN3366" s="213"/>
      <c r="CO3366" s="197"/>
      <c r="CP3366" s="197"/>
      <c r="CQ3366" s="197"/>
      <c r="CR3366" s="197"/>
      <c r="CS3366" s="197"/>
      <c r="CT3366" s="197"/>
      <c r="CU3366" s="197"/>
      <c r="CV3366" s="197"/>
      <c r="CW3366" s="197"/>
      <c r="CX3366" s="959"/>
      <c r="CY3366" s="959"/>
      <c r="CZ3366" s="959"/>
      <c r="DA3366" s="959"/>
      <c r="DB3366" s="959"/>
      <c r="DG3366" s="959"/>
      <c r="DH3366" s="959"/>
      <c r="ER3366" s="905">
        <v>9777</v>
      </c>
      <c r="ES3366" s="906" t="s">
        <v>4718</v>
      </c>
      <c r="ET3366" s="2686">
        <v>9</v>
      </c>
      <c r="EV3366" s="985"/>
      <c r="EW3366" s="985"/>
      <c r="EX3366" s="387"/>
      <c r="EY3366" s="939"/>
      <c r="EZ3366" s="886"/>
    </row>
    <row r="3367" spans="88:156">
      <c r="CJ3367" s="197"/>
      <c r="CK3367" s="197"/>
      <c r="CL3367" s="197"/>
      <c r="CM3367" s="213"/>
      <c r="CN3367" s="213"/>
      <c r="CO3367" s="197"/>
      <c r="CP3367" s="197"/>
      <c r="CQ3367" s="197"/>
      <c r="CR3367" s="197"/>
      <c r="CS3367" s="197"/>
      <c r="CT3367" s="197"/>
      <c r="CU3367" s="197"/>
      <c r="CV3367" s="197"/>
      <c r="CW3367" s="197"/>
      <c r="CX3367" s="959"/>
      <c r="CY3367" s="959"/>
      <c r="CZ3367" s="959"/>
      <c r="DA3367" s="959"/>
      <c r="DB3367" s="959"/>
      <c r="DG3367" s="959"/>
      <c r="DH3367" s="959"/>
      <c r="ER3367" s="905">
        <v>9781</v>
      </c>
      <c r="ES3367" s="906" t="s">
        <v>4719</v>
      </c>
      <c r="ET3367" s="2686">
        <v>9</v>
      </c>
      <c r="EV3367" s="985"/>
      <c r="EW3367" s="985"/>
      <c r="EX3367" s="387"/>
      <c r="EY3367" s="939"/>
      <c r="EZ3367" s="886"/>
    </row>
    <row r="3368" spans="88:156">
      <c r="CJ3368" s="197"/>
      <c r="CK3368" s="197"/>
      <c r="CL3368" s="197"/>
      <c r="CM3368" s="213"/>
      <c r="CN3368" s="213"/>
      <c r="CO3368" s="197"/>
      <c r="CP3368" s="197"/>
      <c r="CQ3368" s="197"/>
      <c r="CR3368" s="197"/>
      <c r="CS3368" s="197"/>
      <c r="CT3368" s="197"/>
      <c r="CU3368" s="197"/>
      <c r="CV3368" s="197"/>
      <c r="CW3368" s="197"/>
      <c r="CX3368" s="959"/>
      <c r="CY3368" s="959"/>
      <c r="CZ3368" s="959"/>
      <c r="DA3368" s="959"/>
      <c r="DB3368" s="959"/>
      <c r="DG3368" s="959"/>
      <c r="DH3368" s="959"/>
      <c r="ER3368" s="905">
        <v>9782</v>
      </c>
      <c r="ES3368" s="906" t="s">
        <v>2483</v>
      </c>
      <c r="ET3368" s="2686">
        <v>9</v>
      </c>
      <c r="EV3368" s="985"/>
      <c r="EW3368" s="985"/>
      <c r="EX3368" s="387"/>
      <c r="EY3368" s="939"/>
      <c r="EZ3368" s="886"/>
    </row>
    <row r="3369" spans="88:156">
      <c r="CJ3369" s="197"/>
      <c r="CK3369" s="197"/>
      <c r="CL3369" s="197"/>
      <c r="CM3369" s="213"/>
      <c r="CN3369" s="213"/>
      <c r="CO3369" s="197"/>
      <c r="CP3369" s="197"/>
      <c r="CQ3369" s="197"/>
      <c r="CR3369" s="197"/>
      <c r="CS3369" s="197"/>
      <c r="CT3369" s="197"/>
      <c r="CU3369" s="197"/>
      <c r="CV3369" s="197"/>
      <c r="CW3369" s="197"/>
      <c r="CX3369" s="959"/>
      <c r="CY3369" s="959"/>
      <c r="CZ3369" s="959"/>
      <c r="DA3369" s="959"/>
      <c r="DB3369" s="959"/>
      <c r="DG3369" s="959"/>
      <c r="DH3369" s="959"/>
      <c r="ER3369" s="905">
        <v>9783</v>
      </c>
      <c r="ES3369" s="906" t="s">
        <v>2484</v>
      </c>
      <c r="ET3369" s="2686">
        <v>9</v>
      </c>
      <c r="EV3369" s="985"/>
      <c r="EW3369" s="985"/>
      <c r="EX3369" s="387"/>
      <c r="EY3369" s="939"/>
      <c r="EZ3369" s="886"/>
    </row>
    <row r="3370" spans="88:156">
      <c r="CJ3370" s="197"/>
      <c r="CK3370" s="197"/>
      <c r="CL3370" s="197"/>
      <c r="CM3370" s="213"/>
      <c r="CN3370" s="213"/>
      <c r="CO3370" s="197"/>
      <c r="CP3370" s="197"/>
      <c r="CQ3370" s="197"/>
      <c r="CR3370" s="197"/>
      <c r="CS3370" s="197"/>
      <c r="CT3370" s="197"/>
      <c r="CU3370" s="197"/>
      <c r="CV3370" s="197"/>
      <c r="CW3370" s="197"/>
      <c r="CX3370" s="959"/>
      <c r="CY3370" s="959"/>
      <c r="CZ3370" s="959"/>
      <c r="DA3370" s="959"/>
      <c r="DB3370" s="959"/>
      <c r="DG3370" s="959"/>
      <c r="DH3370" s="959"/>
      <c r="ER3370" s="905">
        <v>9784</v>
      </c>
      <c r="ES3370" s="906" t="s">
        <v>4720</v>
      </c>
      <c r="ET3370" s="2686">
        <v>9</v>
      </c>
      <c r="EV3370" s="985"/>
      <c r="EW3370" s="985"/>
      <c r="EX3370" s="387"/>
      <c r="EY3370" s="939"/>
      <c r="EZ3370" s="886"/>
    </row>
    <row r="3371" spans="88:156">
      <c r="CJ3371" s="197"/>
      <c r="CK3371" s="197"/>
      <c r="CL3371" s="197"/>
      <c r="CM3371" s="213"/>
      <c r="CN3371" s="213"/>
      <c r="CO3371" s="197"/>
      <c r="CP3371" s="197"/>
      <c r="CQ3371" s="197"/>
      <c r="CR3371" s="197"/>
      <c r="CS3371" s="197"/>
      <c r="CT3371" s="197"/>
      <c r="CU3371" s="197"/>
      <c r="CV3371" s="197"/>
      <c r="CW3371" s="197"/>
      <c r="CX3371" s="959"/>
      <c r="CY3371" s="959"/>
      <c r="CZ3371" s="959"/>
      <c r="DA3371" s="959"/>
      <c r="DB3371" s="959"/>
      <c r="DG3371" s="959"/>
      <c r="DH3371" s="959"/>
      <c r="ER3371" s="905">
        <v>9784</v>
      </c>
      <c r="ES3371" s="906" t="s">
        <v>4721</v>
      </c>
      <c r="ET3371" s="2686">
        <v>9</v>
      </c>
      <c r="EV3371" s="985"/>
      <c r="EW3371" s="985"/>
      <c r="EX3371" s="387"/>
      <c r="EY3371" s="939"/>
      <c r="EZ3371" s="886"/>
    </row>
    <row r="3372" spans="88:156">
      <c r="CJ3372" s="197"/>
      <c r="CK3372" s="197"/>
      <c r="CL3372" s="197"/>
      <c r="CM3372" s="213"/>
      <c r="CN3372" s="213"/>
      <c r="CO3372" s="197"/>
      <c r="CP3372" s="197"/>
      <c r="CQ3372" s="197"/>
      <c r="CR3372" s="197"/>
      <c r="CS3372" s="197"/>
      <c r="CT3372" s="197"/>
      <c r="CU3372" s="197"/>
      <c r="CV3372" s="197"/>
      <c r="CW3372" s="197"/>
      <c r="CX3372" s="959"/>
      <c r="CY3372" s="959"/>
      <c r="CZ3372" s="959"/>
      <c r="DA3372" s="959"/>
      <c r="DB3372" s="959"/>
      <c r="DG3372" s="959"/>
      <c r="DH3372" s="959"/>
      <c r="ER3372" s="905">
        <v>9784</v>
      </c>
      <c r="ES3372" s="906" t="s">
        <v>2485</v>
      </c>
      <c r="ET3372" s="2686">
        <v>9</v>
      </c>
      <c r="EV3372" s="985"/>
      <c r="EW3372" s="985"/>
      <c r="EX3372" s="387"/>
      <c r="EY3372" s="939"/>
      <c r="EZ3372" s="886"/>
    </row>
    <row r="3373" spans="88:156">
      <c r="CJ3373" s="197"/>
      <c r="CK3373" s="197"/>
      <c r="CL3373" s="197"/>
      <c r="CM3373" s="213"/>
      <c r="CN3373" s="213"/>
      <c r="CO3373" s="197"/>
      <c r="CP3373" s="197"/>
      <c r="CQ3373" s="197"/>
      <c r="CR3373" s="197"/>
      <c r="CS3373" s="197"/>
      <c r="CT3373" s="197"/>
      <c r="CU3373" s="197"/>
      <c r="CV3373" s="197"/>
      <c r="CW3373" s="197"/>
      <c r="CX3373" s="959"/>
      <c r="CY3373" s="959"/>
      <c r="CZ3373" s="959"/>
      <c r="DA3373" s="959"/>
      <c r="DB3373" s="959"/>
      <c r="DG3373" s="959"/>
      <c r="DH3373" s="959"/>
      <c r="ER3373" s="905">
        <v>9789</v>
      </c>
      <c r="ES3373" s="906" t="s">
        <v>2486</v>
      </c>
      <c r="ET3373" s="2686">
        <v>9</v>
      </c>
      <c r="EV3373" s="985"/>
      <c r="EW3373" s="985"/>
      <c r="EX3373" s="387"/>
      <c r="EY3373" s="939"/>
      <c r="EZ3373" s="886"/>
    </row>
    <row r="3374" spans="88:156">
      <c r="CJ3374" s="197"/>
      <c r="CK3374" s="197"/>
      <c r="CL3374" s="197"/>
      <c r="CM3374" s="213"/>
      <c r="CN3374" s="213"/>
      <c r="CO3374" s="197"/>
      <c r="CP3374" s="197"/>
      <c r="CQ3374" s="197"/>
      <c r="CR3374" s="197"/>
      <c r="CS3374" s="197"/>
      <c r="CT3374" s="197"/>
      <c r="CU3374" s="197"/>
      <c r="CV3374" s="197"/>
      <c r="CW3374" s="197"/>
      <c r="CX3374" s="959"/>
      <c r="CY3374" s="959"/>
      <c r="CZ3374" s="959"/>
      <c r="DA3374" s="959"/>
      <c r="DB3374" s="959"/>
      <c r="DG3374" s="959"/>
      <c r="DH3374" s="959"/>
      <c r="ER3374" s="905">
        <v>9791</v>
      </c>
      <c r="ES3374" s="906" t="s">
        <v>4722</v>
      </c>
      <c r="ET3374" s="2686">
        <v>9</v>
      </c>
      <c r="EV3374" s="985"/>
      <c r="EW3374" s="985"/>
      <c r="EX3374" s="387"/>
      <c r="EY3374" s="939"/>
      <c r="EZ3374" s="886"/>
    </row>
    <row r="3375" spans="88:156">
      <c r="CJ3375" s="197"/>
      <c r="CK3375" s="197"/>
      <c r="CL3375" s="197"/>
      <c r="CM3375" s="213"/>
      <c r="CN3375" s="213"/>
      <c r="CO3375" s="197"/>
      <c r="CP3375" s="197"/>
      <c r="CQ3375" s="197"/>
      <c r="CR3375" s="197"/>
      <c r="CS3375" s="197"/>
      <c r="CT3375" s="197"/>
      <c r="CU3375" s="197"/>
      <c r="CV3375" s="197"/>
      <c r="CW3375" s="197"/>
      <c r="CX3375" s="959"/>
      <c r="CY3375" s="959"/>
      <c r="CZ3375" s="959"/>
      <c r="DA3375" s="959"/>
      <c r="DB3375" s="959"/>
      <c r="DG3375" s="959"/>
      <c r="DH3375" s="959"/>
      <c r="ER3375" s="905">
        <v>9791</v>
      </c>
      <c r="ES3375" s="906" t="s">
        <v>2487</v>
      </c>
      <c r="ET3375" s="2686">
        <v>9</v>
      </c>
      <c r="EV3375" s="985"/>
      <c r="EW3375" s="985"/>
      <c r="EX3375" s="387"/>
      <c r="EY3375" s="939"/>
      <c r="EZ3375" s="886"/>
    </row>
    <row r="3376" spans="88:156">
      <c r="CJ3376" s="197"/>
      <c r="CK3376" s="197"/>
      <c r="CL3376" s="197"/>
      <c r="CM3376" s="213"/>
      <c r="CN3376" s="213"/>
      <c r="CO3376" s="197"/>
      <c r="CP3376" s="197"/>
      <c r="CQ3376" s="197"/>
      <c r="CR3376" s="197"/>
      <c r="CS3376" s="197"/>
      <c r="CT3376" s="197"/>
      <c r="CU3376" s="197"/>
      <c r="CV3376" s="197"/>
      <c r="CW3376" s="197"/>
      <c r="CX3376" s="959"/>
      <c r="CY3376" s="959"/>
      <c r="CZ3376" s="959"/>
      <c r="DA3376" s="959"/>
      <c r="DB3376" s="959"/>
      <c r="DG3376" s="959"/>
      <c r="DH3376" s="959"/>
      <c r="ER3376" s="905">
        <v>9792</v>
      </c>
      <c r="ES3376" s="906" t="s">
        <v>2488</v>
      </c>
      <c r="ET3376" s="2686">
        <v>9</v>
      </c>
      <c r="EV3376" s="985"/>
      <c r="EW3376" s="985"/>
      <c r="EX3376" s="387"/>
      <c r="EY3376" s="939"/>
      <c r="EZ3376" s="886"/>
    </row>
    <row r="3377" spans="88:156">
      <c r="CJ3377" s="197"/>
      <c r="CK3377" s="197"/>
      <c r="CL3377" s="197"/>
      <c r="CM3377" s="213"/>
      <c r="CN3377" s="213"/>
      <c r="CO3377" s="197"/>
      <c r="CP3377" s="197"/>
      <c r="CQ3377" s="197"/>
      <c r="CR3377" s="197"/>
      <c r="CS3377" s="197"/>
      <c r="CT3377" s="197"/>
      <c r="CU3377" s="197"/>
      <c r="CV3377" s="197"/>
      <c r="CW3377" s="197"/>
      <c r="CX3377" s="959"/>
      <c r="CY3377" s="959"/>
      <c r="CZ3377" s="959"/>
      <c r="DA3377" s="959"/>
      <c r="DB3377" s="959"/>
      <c r="DG3377" s="959"/>
      <c r="DH3377" s="959"/>
      <c r="ER3377" s="905">
        <v>9793</v>
      </c>
      <c r="ES3377" s="906" t="s">
        <v>2489</v>
      </c>
      <c r="ET3377" s="2686">
        <v>9</v>
      </c>
      <c r="EV3377" s="985"/>
      <c r="EW3377" s="985"/>
      <c r="EX3377" s="387"/>
      <c r="EY3377" s="939"/>
      <c r="EZ3377" s="886"/>
    </row>
    <row r="3378" spans="88:156">
      <c r="CJ3378" s="197"/>
      <c r="CK3378" s="197"/>
      <c r="CL3378" s="197"/>
      <c r="CM3378" s="213"/>
      <c r="CN3378" s="213"/>
      <c r="CO3378" s="197"/>
      <c r="CP3378" s="197"/>
      <c r="CQ3378" s="197"/>
      <c r="CR3378" s="197"/>
      <c r="CS3378" s="197"/>
      <c r="CT3378" s="197"/>
      <c r="CU3378" s="197"/>
      <c r="CV3378" s="197"/>
      <c r="CW3378" s="197"/>
      <c r="CX3378" s="959"/>
      <c r="CY3378" s="959"/>
      <c r="CZ3378" s="959"/>
      <c r="DA3378" s="959"/>
      <c r="DB3378" s="959"/>
      <c r="DG3378" s="959"/>
      <c r="DH3378" s="959"/>
      <c r="ER3378" s="905">
        <v>9794</v>
      </c>
      <c r="ES3378" s="906" t="s">
        <v>2490</v>
      </c>
      <c r="ET3378" s="2686">
        <v>9</v>
      </c>
      <c r="EV3378" s="985"/>
      <c r="EW3378" s="985"/>
      <c r="EX3378" s="387"/>
      <c r="EY3378" s="939"/>
      <c r="EZ3378" s="886"/>
    </row>
    <row r="3379" spans="88:156">
      <c r="CJ3379" s="197"/>
      <c r="CK3379" s="197"/>
      <c r="CL3379" s="197"/>
      <c r="CM3379" s="213"/>
      <c r="CN3379" s="213"/>
      <c r="CO3379" s="197"/>
      <c r="CP3379" s="197"/>
      <c r="CQ3379" s="197"/>
      <c r="CR3379" s="197"/>
      <c r="CS3379" s="197"/>
      <c r="CT3379" s="197"/>
      <c r="CU3379" s="197"/>
      <c r="CV3379" s="197"/>
      <c r="CW3379" s="197"/>
      <c r="CX3379" s="959"/>
      <c r="CY3379" s="959"/>
      <c r="CZ3379" s="959"/>
      <c r="DA3379" s="959"/>
      <c r="DB3379" s="959"/>
      <c r="DG3379" s="959"/>
      <c r="DH3379" s="959"/>
      <c r="ER3379" s="905">
        <v>9795</v>
      </c>
      <c r="ES3379" s="906" t="s">
        <v>2491</v>
      </c>
      <c r="ET3379" s="2686">
        <v>9</v>
      </c>
      <c r="EV3379" s="985"/>
      <c r="EW3379" s="985"/>
      <c r="EX3379" s="387"/>
      <c r="EY3379" s="939"/>
      <c r="EZ3379" s="886"/>
    </row>
    <row r="3380" spans="88:156">
      <c r="CJ3380" s="197"/>
      <c r="CK3380" s="197"/>
      <c r="CL3380" s="197"/>
      <c r="CM3380" s="213"/>
      <c r="CN3380" s="213"/>
      <c r="CO3380" s="197"/>
      <c r="CP3380" s="197"/>
      <c r="CQ3380" s="197"/>
      <c r="CR3380" s="197"/>
      <c r="CS3380" s="197"/>
      <c r="CT3380" s="197"/>
      <c r="CU3380" s="197"/>
      <c r="CV3380" s="197"/>
      <c r="CW3380" s="197"/>
      <c r="CX3380" s="959"/>
      <c r="CY3380" s="959"/>
      <c r="CZ3380" s="959"/>
      <c r="DA3380" s="959"/>
      <c r="DB3380" s="959"/>
      <c r="DG3380" s="959"/>
      <c r="DH3380" s="959"/>
      <c r="ER3380" s="905">
        <v>9796</v>
      </c>
      <c r="ES3380" s="906" t="s">
        <v>4723</v>
      </c>
      <c r="ET3380" s="2686">
        <v>9</v>
      </c>
      <c r="EV3380" s="985"/>
      <c r="EW3380" s="985"/>
      <c r="EX3380" s="387"/>
      <c r="EY3380" s="939"/>
      <c r="EZ3380" s="886"/>
    </row>
    <row r="3381" spans="88:156">
      <c r="CJ3381" s="197"/>
      <c r="CK3381" s="197"/>
      <c r="CL3381" s="197"/>
      <c r="CM3381" s="213"/>
      <c r="CN3381" s="213"/>
      <c r="CO3381" s="197"/>
      <c r="CP3381" s="197"/>
      <c r="CQ3381" s="197"/>
      <c r="CR3381" s="197"/>
      <c r="CS3381" s="197"/>
      <c r="CT3381" s="197"/>
      <c r="CU3381" s="197"/>
      <c r="CV3381" s="197"/>
      <c r="CW3381" s="197"/>
      <c r="CX3381" s="959"/>
      <c r="CY3381" s="959"/>
      <c r="CZ3381" s="959"/>
      <c r="DA3381" s="959"/>
      <c r="DB3381" s="959"/>
      <c r="DG3381" s="959"/>
      <c r="DH3381" s="959"/>
      <c r="ER3381" s="905">
        <v>9796</v>
      </c>
      <c r="ES3381" s="906" t="s">
        <v>2492</v>
      </c>
      <c r="ET3381" s="2686">
        <v>9</v>
      </c>
      <c r="EV3381" s="985"/>
      <c r="EW3381" s="985"/>
      <c r="EX3381" s="387"/>
      <c r="EY3381" s="939"/>
      <c r="EZ3381" s="886"/>
    </row>
    <row r="3382" spans="88:156">
      <c r="CJ3382" s="197"/>
      <c r="CK3382" s="197"/>
      <c r="CL3382" s="197"/>
      <c r="CM3382" s="213"/>
      <c r="CN3382" s="213"/>
      <c r="CO3382" s="197"/>
      <c r="CP3382" s="197"/>
      <c r="CQ3382" s="197"/>
      <c r="CR3382" s="197"/>
      <c r="CS3382" s="197"/>
      <c r="CT3382" s="197"/>
      <c r="CU3382" s="197"/>
      <c r="CV3382" s="197"/>
      <c r="CW3382" s="197"/>
      <c r="CX3382" s="959"/>
      <c r="CY3382" s="959"/>
      <c r="CZ3382" s="959"/>
      <c r="DA3382" s="959"/>
      <c r="DB3382" s="959"/>
      <c r="DG3382" s="959"/>
      <c r="DH3382" s="959"/>
      <c r="ER3382" s="905">
        <v>9797</v>
      </c>
      <c r="ES3382" s="906" t="s">
        <v>2493</v>
      </c>
      <c r="ET3382" s="2686">
        <v>9</v>
      </c>
      <c r="EV3382" s="985"/>
      <c r="EW3382" s="985"/>
      <c r="EX3382" s="387"/>
      <c r="EY3382" s="939"/>
      <c r="EZ3382" s="886"/>
    </row>
    <row r="3383" spans="88:156">
      <c r="CJ3383" s="197"/>
      <c r="CK3383" s="197"/>
      <c r="CL3383" s="197"/>
      <c r="CM3383" s="213"/>
      <c r="CN3383" s="213"/>
      <c r="CO3383" s="197"/>
      <c r="CP3383" s="197"/>
      <c r="CQ3383" s="197"/>
      <c r="CR3383" s="197"/>
      <c r="CS3383" s="197"/>
      <c r="CT3383" s="197"/>
      <c r="CU3383" s="197"/>
      <c r="CV3383" s="197"/>
      <c r="CW3383" s="197"/>
      <c r="CX3383" s="959"/>
      <c r="CY3383" s="959"/>
      <c r="CZ3383" s="959"/>
      <c r="DA3383" s="959"/>
      <c r="DB3383" s="959"/>
      <c r="DG3383" s="959"/>
      <c r="DH3383" s="959"/>
      <c r="ER3383" s="905">
        <v>9798</v>
      </c>
      <c r="ES3383" s="906" t="s">
        <v>2494</v>
      </c>
      <c r="ET3383" s="2686">
        <v>9</v>
      </c>
      <c r="EV3383" s="985"/>
      <c r="EW3383" s="985"/>
      <c r="EX3383" s="387"/>
      <c r="EY3383" s="939"/>
      <c r="EZ3383" s="886"/>
    </row>
    <row r="3384" spans="88:156">
      <c r="CJ3384" s="197"/>
      <c r="CK3384" s="197"/>
      <c r="CL3384" s="197"/>
      <c r="CM3384" s="213"/>
      <c r="CN3384" s="213"/>
      <c r="CO3384" s="197"/>
      <c r="CP3384" s="197"/>
      <c r="CQ3384" s="197"/>
      <c r="CR3384" s="197"/>
      <c r="CS3384" s="197"/>
      <c r="CT3384" s="197"/>
      <c r="CU3384" s="197"/>
      <c r="CV3384" s="197"/>
      <c r="CW3384" s="197"/>
      <c r="CX3384" s="959"/>
      <c r="CY3384" s="959"/>
      <c r="CZ3384" s="959"/>
      <c r="DA3384" s="959"/>
      <c r="DB3384" s="959"/>
      <c r="DG3384" s="959"/>
      <c r="DH3384" s="959"/>
      <c r="ER3384" s="905">
        <v>9799</v>
      </c>
      <c r="ES3384" s="906" t="s">
        <v>2495</v>
      </c>
      <c r="ET3384" s="2686">
        <v>9</v>
      </c>
      <c r="EV3384" s="985"/>
      <c r="EW3384" s="985"/>
      <c r="EX3384" s="387"/>
      <c r="EY3384" s="939"/>
      <c r="EZ3384" s="886"/>
    </row>
    <row r="3385" spans="88:156">
      <c r="CJ3385" s="197"/>
      <c r="CK3385" s="197"/>
      <c r="CL3385" s="197"/>
      <c r="CM3385" s="213"/>
      <c r="CN3385" s="213"/>
      <c r="CO3385" s="197"/>
      <c r="CP3385" s="197"/>
      <c r="CQ3385" s="197"/>
      <c r="CR3385" s="197"/>
      <c r="CS3385" s="197"/>
      <c r="CT3385" s="197"/>
      <c r="CU3385" s="197"/>
      <c r="CV3385" s="197"/>
      <c r="CW3385" s="197"/>
      <c r="CX3385" s="959"/>
      <c r="CY3385" s="959"/>
      <c r="CZ3385" s="959"/>
      <c r="DA3385" s="959"/>
      <c r="DB3385" s="959"/>
      <c r="DG3385" s="959"/>
      <c r="DH3385" s="959"/>
      <c r="ER3385" s="905">
        <v>9800</v>
      </c>
      <c r="ES3385" s="906" t="s">
        <v>2496</v>
      </c>
      <c r="ET3385" s="2686">
        <v>9</v>
      </c>
      <c r="EV3385" s="985"/>
      <c r="EW3385" s="985"/>
      <c r="EX3385" s="387"/>
      <c r="EY3385" s="939"/>
      <c r="EZ3385" s="886"/>
    </row>
    <row r="3386" spans="88:156">
      <c r="CJ3386" s="197"/>
      <c r="CK3386" s="197"/>
      <c r="CL3386" s="197"/>
      <c r="CM3386" s="213"/>
      <c r="CN3386" s="213"/>
      <c r="CO3386" s="197"/>
      <c r="CP3386" s="197"/>
      <c r="CQ3386" s="197"/>
      <c r="CR3386" s="197"/>
      <c r="CS3386" s="197"/>
      <c r="CT3386" s="197"/>
      <c r="CU3386" s="197"/>
      <c r="CV3386" s="197"/>
      <c r="CW3386" s="197"/>
      <c r="CX3386" s="959"/>
      <c r="CY3386" s="959"/>
      <c r="CZ3386" s="959"/>
      <c r="DA3386" s="959"/>
      <c r="DB3386" s="959"/>
      <c r="DG3386" s="959"/>
      <c r="DH3386" s="959"/>
      <c r="ER3386" s="905">
        <v>9811</v>
      </c>
      <c r="ES3386" s="906" t="s">
        <v>2497</v>
      </c>
      <c r="ET3386" s="2686">
        <v>9</v>
      </c>
      <c r="EV3386" s="985"/>
      <c r="EW3386" s="985"/>
      <c r="EX3386" s="387"/>
      <c r="EY3386" s="939"/>
      <c r="EZ3386" s="886"/>
    </row>
    <row r="3387" spans="88:156">
      <c r="CJ3387" s="197"/>
      <c r="CK3387" s="197"/>
      <c r="CL3387" s="197"/>
      <c r="CM3387" s="213"/>
      <c r="CN3387" s="213"/>
      <c r="CO3387" s="197"/>
      <c r="CP3387" s="197"/>
      <c r="CQ3387" s="197"/>
      <c r="CR3387" s="197"/>
      <c r="CS3387" s="197"/>
      <c r="CT3387" s="197"/>
      <c r="CU3387" s="197"/>
      <c r="CV3387" s="197"/>
      <c r="CW3387" s="197"/>
      <c r="CX3387" s="959"/>
      <c r="CY3387" s="959"/>
      <c r="CZ3387" s="959"/>
      <c r="DA3387" s="959"/>
      <c r="DB3387" s="959"/>
      <c r="DG3387" s="959"/>
      <c r="DH3387" s="959"/>
      <c r="ER3387" s="905">
        <v>9812</v>
      </c>
      <c r="ES3387" s="906" t="s">
        <v>2498</v>
      </c>
      <c r="ET3387" s="2686">
        <v>9</v>
      </c>
      <c r="EV3387" s="985"/>
      <c r="EW3387" s="985"/>
      <c r="EX3387" s="387"/>
      <c r="EY3387" s="939"/>
      <c r="EZ3387" s="886"/>
    </row>
    <row r="3388" spans="88:156">
      <c r="CJ3388" s="197"/>
      <c r="CK3388" s="197"/>
      <c r="CL3388" s="197"/>
      <c r="CM3388" s="213"/>
      <c r="CN3388" s="213"/>
      <c r="CO3388" s="197"/>
      <c r="CP3388" s="197"/>
      <c r="CQ3388" s="197"/>
      <c r="CR3388" s="197"/>
      <c r="CS3388" s="197"/>
      <c r="CT3388" s="197"/>
      <c r="CU3388" s="197"/>
      <c r="CV3388" s="197"/>
      <c r="CW3388" s="197"/>
      <c r="CX3388" s="959"/>
      <c r="CY3388" s="959"/>
      <c r="CZ3388" s="959"/>
      <c r="DA3388" s="959"/>
      <c r="DB3388" s="959"/>
      <c r="DG3388" s="959"/>
      <c r="DH3388" s="959"/>
      <c r="ER3388" s="905">
        <v>9813</v>
      </c>
      <c r="ES3388" s="906" t="s">
        <v>4724</v>
      </c>
      <c r="ET3388" s="2686">
        <v>9</v>
      </c>
      <c r="EV3388" s="985"/>
      <c r="EW3388" s="985"/>
      <c r="EX3388" s="387"/>
      <c r="EY3388" s="939"/>
      <c r="EZ3388" s="886"/>
    </row>
    <row r="3389" spans="88:156">
      <c r="CJ3389" s="197"/>
      <c r="CK3389" s="197"/>
      <c r="CL3389" s="197"/>
      <c r="CM3389" s="213"/>
      <c r="CN3389" s="213"/>
      <c r="CO3389" s="197"/>
      <c r="CP3389" s="197"/>
      <c r="CQ3389" s="197"/>
      <c r="CR3389" s="197"/>
      <c r="CS3389" s="197"/>
      <c r="CT3389" s="197"/>
      <c r="CU3389" s="197"/>
      <c r="CV3389" s="197"/>
      <c r="CW3389" s="197"/>
      <c r="CX3389" s="959"/>
      <c r="CY3389" s="959"/>
      <c r="CZ3389" s="959"/>
      <c r="DA3389" s="959"/>
      <c r="DB3389" s="959"/>
      <c r="DG3389" s="959"/>
      <c r="DH3389" s="959"/>
      <c r="ER3389" s="905">
        <v>9813</v>
      </c>
      <c r="ES3389" s="906" t="s">
        <v>2499</v>
      </c>
      <c r="ET3389" s="2686">
        <v>9</v>
      </c>
      <c r="EV3389" s="985"/>
      <c r="EW3389" s="985"/>
      <c r="EX3389" s="387"/>
      <c r="EY3389" s="939"/>
      <c r="EZ3389" s="886"/>
    </row>
    <row r="3390" spans="88:156">
      <c r="CJ3390" s="197"/>
      <c r="CK3390" s="197"/>
      <c r="CL3390" s="197"/>
      <c r="CM3390" s="213"/>
      <c r="CN3390" s="213"/>
      <c r="CO3390" s="197"/>
      <c r="CP3390" s="197"/>
      <c r="CQ3390" s="197"/>
      <c r="CR3390" s="197"/>
      <c r="CS3390" s="197"/>
      <c r="CT3390" s="197"/>
      <c r="CU3390" s="197"/>
      <c r="CV3390" s="197"/>
      <c r="CW3390" s="197"/>
      <c r="CX3390" s="959"/>
      <c r="CY3390" s="959"/>
      <c r="CZ3390" s="959"/>
      <c r="DA3390" s="959"/>
      <c r="DB3390" s="959"/>
      <c r="DG3390" s="959"/>
      <c r="DH3390" s="959"/>
      <c r="ER3390" s="905">
        <v>9814</v>
      </c>
      <c r="ES3390" s="906" t="s">
        <v>2500</v>
      </c>
      <c r="ET3390" s="2686">
        <v>9</v>
      </c>
      <c r="EV3390" s="985"/>
      <c r="EW3390" s="985"/>
      <c r="EX3390" s="387"/>
      <c r="EY3390" s="939"/>
      <c r="EZ3390" s="886"/>
    </row>
    <row r="3391" spans="88:156">
      <c r="CJ3391" s="197"/>
      <c r="CK3391" s="197"/>
      <c r="CL3391" s="197"/>
      <c r="CM3391" s="213"/>
      <c r="CN3391" s="213"/>
      <c r="CO3391" s="197"/>
      <c r="CP3391" s="197"/>
      <c r="CQ3391" s="197"/>
      <c r="CR3391" s="197"/>
      <c r="CS3391" s="197"/>
      <c r="CT3391" s="197"/>
      <c r="CU3391" s="197"/>
      <c r="CV3391" s="197"/>
      <c r="CW3391" s="197"/>
      <c r="CX3391" s="959"/>
      <c r="CY3391" s="959"/>
      <c r="CZ3391" s="959"/>
      <c r="DA3391" s="959"/>
      <c r="DB3391" s="959"/>
      <c r="DG3391" s="959"/>
      <c r="DH3391" s="959"/>
      <c r="ER3391" s="905">
        <v>9821</v>
      </c>
      <c r="ES3391" s="906" t="s">
        <v>4725</v>
      </c>
      <c r="ET3391" s="2686">
        <v>9</v>
      </c>
      <c r="EV3391" s="985"/>
      <c r="EW3391" s="985"/>
      <c r="EX3391" s="387"/>
      <c r="EY3391" s="939"/>
      <c r="EZ3391" s="886"/>
    </row>
    <row r="3392" spans="88:156">
      <c r="CJ3392" s="197"/>
      <c r="CK3392" s="197"/>
      <c r="CL3392" s="197"/>
      <c r="CM3392" s="213"/>
      <c r="CN3392" s="213"/>
      <c r="CO3392" s="197"/>
      <c r="CP3392" s="197"/>
      <c r="CQ3392" s="197"/>
      <c r="CR3392" s="197"/>
      <c r="CS3392" s="197"/>
      <c r="CT3392" s="197"/>
      <c r="CU3392" s="197"/>
      <c r="CV3392" s="197"/>
      <c r="CW3392" s="197"/>
      <c r="CX3392" s="959"/>
      <c r="CY3392" s="959"/>
      <c r="CZ3392" s="959"/>
      <c r="DA3392" s="959"/>
      <c r="DB3392" s="959"/>
      <c r="DG3392" s="959"/>
      <c r="DH3392" s="959"/>
      <c r="ER3392" s="905">
        <v>9821</v>
      </c>
      <c r="ES3392" s="906" t="s">
        <v>2501</v>
      </c>
      <c r="ET3392" s="2686">
        <v>9</v>
      </c>
      <c r="EV3392" s="985"/>
      <c r="EW3392" s="985"/>
      <c r="EX3392" s="387"/>
      <c r="EY3392" s="939"/>
      <c r="EZ3392" s="886"/>
    </row>
    <row r="3393" spans="88:156">
      <c r="CJ3393" s="197"/>
      <c r="CK3393" s="197"/>
      <c r="CL3393" s="197"/>
      <c r="CM3393" s="213"/>
      <c r="CN3393" s="213"/>
      <c r="CO3393" s="197"/>
      <c r="CP3393" s="197"/>
      <c r="CQ3393" s="197"/>
      <c r="CR3393" s="197"/>
      <c r="CS3393" s="197"/>
      <c r="CT3393" s="197"/>
      <c r="CU3393" s="197"/>
      <c r="CV3393" s="197"/>
      <c r="CW3393" s="197"/>
      <c r="CX3393" s="959"/>
      <c r="CY3393" s="959"/>
      <c r="CZ3393" s="959"/>
      <c r="DA3393" s="959"/>
      <c r="DB3393" s="959"/>
      <c r="DG3393" s="959"/>
      <c r="DH3393" s="959"/>
      <c r="ER3393" s="905">
        <v>9823</v>
      </c>
      <c r="ES3393" s="906" t="s">
        <v>2502</v>
      </c>
      <c r="ET3393" s="2686">
        <v>9</v>
      </c>
      <c r="EV3393" s="985"/>
      <c r="EW3393" s="985"/>
      <c r="EX3393" s="387"/>
      <c r="EY3393" s="939"/>
      <c r="EZ3393" s="886"/>
    </row>
    <row r="3394" spans="88:156">
      <c r="CJ3394" s="197"/>
      <c r="CK3394" s="197"/>
      <c r="CL3394" s="197"/>
      <c r="CM3394" s="213"/>
      <c r="CN3394" s="213"/>
      <c r="CO3394" s="197"/>
      <c r="CP3394" s="197"/>
      <c r="CQ3394" s="197"/>
      <c r="CR3394" s="197"/>
      <c r="CS3394" s="197"/>
      <c r="CT3394" s="197"/>
      <c r="CU3394" s="197"/>
      <c r="CV3394" s="197"/>
      <c r="CW3394" s="197"/>
      <c r="CX3394" s="959"/>
      <c r="CY3394" s="959"/>
      <c r="CZ3394" s="959"/>
      <c r="DA3394" s="959"/>
      <c r="DB3394" s="959"/>
      <c r="DG3394" s="959"/>
      <c r="DH3394" s="959"/>
      <c r="ER3394" s="905">
        <v>9824</v>
      </c>
      <c r="ES3394" s="906" t="s">
        <v>2503</v>
      </c>
      <c r="ET3394" s="2686">
        <v>9</v>
      </c>
      <c r="EV3394" s="985"/>
      <c r="EW3394" s="985"/>
      <c r="EX3394" s="387"/>
      <c r="EY3394" s="939"/>
      <c r="EZ3394" s="886"/>
    </row>
    <row r="3395" spans="88:156">
      <c r="CJ3395" s="197"/>
      <c r="CK3395" s="197"/>
      <c r="CL3395" s="197"/>
      <c r="CM3395" s="213"/>
      <c r="CN3395" s="213"/>
      <c r="CO3395" s="197"/>
      <c r="CP3395" s="197"/>
      <c r="CQ3395" s="197"/>
      <c r="CR3395" s="197"/>
      <c r="CS3395" s="197"/>
      <c r="CT3395" s="197"/>
      <c r="CU3395" s="197"/>
      <c r="CV3395" s="197"/>
      <c r="CW3395" s="197"/>
      <c r="CX3395" s="959"/>
      <c r="CY3395" s="959"/>
      <c r="CZ3395" s="959"/>
      <c r="DA3395" s="959"/>
      <c r="DB3395" s="959"/>
      <c r="DG3395" s="959"/>
      <c r="DH3395" s="959"/>
      <c r="ER3395" s="905">
        <v>9825</v>
      </c>
      <c r="ES3395" s="906" t="s">
        <v>2504</v>
      </c>
      <c r="ET3395" s="2686">
        <v>9</v>
      </c>
      <c r="EV3395" s="985"/>
      <c r="EW3395" s="985"/>
      <c r="EX3395" s="387"/>
      <c r="EY3395" s="939"/>
      <c r="EZ3395" s="886"/>
    </row>
    <row r="3396" spans="88:156">
      <c r="CJ3396" s="197"/>
      <c r="CK3396" s="197"/>
      <c r="CL3396" s="197"/>
      <c r="CM3396" s="213"/>
      <c r="CN3396" s="213"/>
      <c r="CO3396" s="197"/>
      <c r="CP3396" s="197"/>
      <c r="CQ3396" s="197"/>
      <c r="CR3396" s="197"/>
      <c r="CS3396" s="197"/>
      <c r="CT3396" s="197"/>
      <c r="CU3396" s="197"/>
      <c r="CV3396" s="197"/>
      <c r="CW3396" s="197"/>
      <c r="CX3396" s="959"/>
      <c r="CY3396" s="959"/>
      <c r="CZ3396" s="959"/>
      <c r="DA3396" s="959"/>
      <c r="DB3396" s="959"/>
      <c r="DG3396" s="959"/>
      <c r="DH3396" s="959"/>
      <c r="ER3396" s="905">
        <v>9826</v>
      </c>
      <c r="ES3396" s="906" t="s">
        <v>2505</v>
      </c>
      <c r="ET3396" s="2686">
        <v>9</v>
      </c>
      <c r="EV3396" s="985"/>
      <c r="EW3396" s="985"/>
      <c r="EX3396" s="387"/>
      <c r="EY3396" s="939"/>
      <c r="EZ3396" s="886"/>
    </row>
    <row r="3397" spans="88:156">
      <c r="CJ3397" s="197"/>
      <c r="CK3397" s="197"/>
      <c r="CL3397" s="197"/>
      <c r="CM3397" s="213"/>
      <c r="CN3397" s="213"/>
      <c r="CO3397" s="197"/>
      <c r="CP3397" s="197"/>
      <c r="CQ3397" s="197"/>
      <c r="CR3397" s="197"/>
      <c r="CS3397" s="197"/>
      <c r="CT3397" s="197"/>
      <c r="CU3397" s="197"/>
      <c r="CV3397" s="197"/>
      <c r="CW3397" s="197"/>
      <c r="CX3397" s="959"/>
      <c r="CY3397" s="959"/>
      <c r="CZ3397" s="959"/>
      <c r="DA3397" s="959"/>
      <c r="DB3397" s="959"/>
      <c r="DG3397" s="959"/>
      <c r="DH3397" s="959"/>
      <c r="ER3397" s="905">
        <v>9831</v>
      </c>
      <c r="ES3397" s="906" t="s">
        <v>2506</v>
      </c>
      <c r="ET3397" s="2686">
        <v>9</v>
      </c>
      <c r="EV3397" s="985"/>
      <c r="EW3397" s="985"/>
      <c r="EX3397" s="387"/>
      <c r="EY3397" s="939"/>
      <c r="EZ3397" s="886"/>
    </row>
    <row r="3398" spans="88:156">
      <c r="CJ3398" s="197"/>
      <c r="CK3398" s="197"/>
      <c r="CL3398" s="197"/>
      <c r="CM3398" s="213"/>
      <c r="CN3398" s="213"/>
      <c r="CO3398" s="197"/>
      <c r="CP3398" s="197"/>
      <c r="CQ3398" s="197"/>
      <c r="CR3398" s="197"/>
      <c r="CS3398" s="197"/>
      <c r="CT3398" s="197"/>
      <c r="CU3398" s="197"/>
      <c r="CV3398" s="197"/>
      <c r="CW3398" s="197"/>
      <c r="CX3398" s="959"/>
      <c r="CY3398" s="959"/>
      <c r="CZ3398" s="959"/>
      <c r="DA3398" s="959"/>
      <c r="DB3398" s="959"/>
      <c r="DG3398" s="959"/>
      <c r="DH3398" s="959"/>
      <c r="ER3398" s="905">
        <v>9832</v>
      </c>
      <c r="ES3398" s="906" t="s">
        <v>2507</v>
      </c>
      <c r="ET3398" s="2686">
        <v>9</v>
      </c>
      <c r="EV3398" s="985"/>
      <c r="EW3398" s="985"/>
      <c r="EX3398" s="387"/>
      <c r="EY3398" s="939"/>
      <c r="EZ3398" s="886"/>
    </row>
    <row r="3399" spans="88:156">
      <c r="CJ3399" s="197"/>
      <c r="CK3399" s="197"/>
      <c r="CL3399" s="197"/>
      <c r="CM3399" s="213"/>
      <c r="CN3399" s="213"/>
      <c r="CO3399" s="197"/>
      <c r="CP3399" s="197"/>
      <c r="CQ3399" s="197"/>
      <c r="CR3399" s="197"/>
      <c r="CS3399" s="197"/>
      <c r="CT3399" s="197"/>
      <c r="CU3399" s="197"/>
      <c r="CV3399" s="197"/>
      <c r="CW3399" s="197"/>
      <c r="CX3399" s="959"/>
      <c r="CY3399" s="959"/>
      <c r="CZ3399" s="959"/>
      <c r="DA3399" s="959"/>
      <c r="DB3399" s="959"/>
      <c r="DG3399" s="959"/>
      <c r="DH3399" s="959"/>
      <c r="ER3399" s="905">
        <v>9833</v>
      </c>
      <c r="ES3399" s="906" t="s">
        <v>2508</v>
      </c>
      <c r="ET3399" s="2686">
        <v>9</v>
      </c>
      <c r="EV3399" s="985"/>
      <c r="EW3399" s="985"/>
      <c r="EX3399" s="387"/>
      <c r="EY3399" s="939"/>
      <c r="EZ3399" s="886"/>
    </row>
    <row r="3400" spans="88:156">
      <c r="CJ3400" s="197"/>
      <c r="CK3400" s="197"/>
      <c r="CL3400" s="197"/>
      <c r="CM3400" s="213"/>
      <c r="CN3400" s="213"/>
      <c r="CO3400" s="197"/>
      <c r="CP3400" s="197"/>
      <c r="CQ3400" s="197"/>
      <c r="CR3400" s="197"/>
      <c r="CS3400" s="197"/>
      <c r="CT3400" s="197"/>
      <c r="CU3400" s="197"/>
      <c r="CV3400" s="197"/>
      <c r="CW3400" s="197"/>
      <c r="CX3400" s="959"/>
      <c r="CY3400" s="959"/>
      <c r="CZ3400" s="959"/>
      <c r="DA3400" s="959"/>
      <c r="DB3400" s="959"/>
      <c r="DG3400" s="959"/>
      <c r="DH3400" s="959"/>
      <c r="ER3400" s="905">
        <v>9834</v>
      </c>
      <c r="ES3400" s="906" t="s">
        <v>2509</v>
      </c>
      <c r="ET3400" s="2686">
        <v>9</v>
      </c>
      <c r="EV3400" s="985"/>
      <c r="EW3400" s="985"/>
      <c r="EX3400" s="387"/>
      <c r="EY3400" s="939"/>
      <c r="EZ3400" s="886"/>
    </row>
    <row r="3401" spans="88:156">
      <c r="CJ3401" s="197"/>
      <c r="CK3401" s="197"/>
      <c r="CL3401" s="197"/>
      <c r="CM3401" s="213"/>
      <c r="CN3401" s="213"/>
      <c r="CO3401" s="197"/>
      <c r="CP3401" s="197"/>
      <c r="CQ3401" s="197"/>
      <c r="CR3401" s="197"/>
      <c r="CS3401" s="197"/>
      <c r="CT3401" s="197"/>
      <c r="CU3401" s="197"/>
      <c r="CV3401" s="197"/>
      <c r="CW3401" s="197"/>
      <c r="CX3401" s="959"/>
      <c r="CY3401" s="959"/>
      <c r="CZ3401" s="959"/>
      <c r="DA3401" s="959"/>
      <c r="DB3401" s="959"/>
      <c r="DG3401" s="959"/>
      <c r="DH3401" s="959"/>
      <c r="ER3401" s="905">
        <v>9835</v>
      </c>
      <c r="ES3401" s="906" t="s">
        <v>2510</v>
      </c>
      <c r="ET3401" s="2686">
        <v>9</v>
      </c>
      <c r="EV3401" s="985"/>
      <c r="EW3401" s="985"/>
      <c r="EX3401" s="387"/>
      <c r="EY3401" s="939"/>
      <c r="EZ3401" s="886"/>
    </row>
    <row r="3402" spans="88:156">
      <c r="CJ3402" s="197"/>
      <c r="CK3402" s="197"/>
      <c r="CL3402" s="197"/>
      <c r="CM3402" s="213"/>
      <c r="CN3402" s="213"/>
      <c r="CO3402" s="197"/>
      <c r="CP3402" s="197"/>
      <c r="CQ3402" s="197"/>
      <c r="CR3402" s="197"/>
      <c r="CS3402" s="197"/>
      <c r="CT3402" s="197"/>
      <c r="CU3402" s="197"/>
      <c r="CV3402" s="197"/>
      <c r="CW3402" s="197"/>
      <c r="CX3402" s="959"/>
      <c r="CY3402" s="959"/>
      <c r="CZ3402" s="959"/>
      <c r="DA3402" s="959"/>
      <c r="DB3402" s="959"/>
      <c r="DG3402" s="959"/>
      <c r="DH3402" s="959"/>
      <c r="ER3402" s="905">
        <v>9836</v>
      </c>
      <c r="ES3402" s="906" t="s">
        <v>2511</v>
      </c>
      <c r="ET3402" s="2686">
        <v>9</v>
      </c>
      <c r="EV3402" s="985"/>
      <c r="EW3402" s="985"/>
      <c r="EX3402" s="387"/>
      <c r="EY3402" s="939"/>
      <c r="EZ3402" s="886"/>
    </row>
    <row r="3403" spans="88:156">
      <c r="CJ3403" s="197"/>
      <c r="CK3403" s="197"/>
      <c r="CL3403" s="197"/>
      <c r="CM3403" s="213"/>
      <c r="CN3403" s="213"/>
      <c r="CO3403" s="197"/>
      <c r="CP3403" s="197"/>
      <c r="CQ3403" s="197"/>
      <c r="CR3403" s="197"/>
      <c r="CS3403" s="197"/>
      <c r="CT3403" s="197"/>
      <c r="CU3403" s="197"/>
      <c r="CV3403" s="197"/>
      <c r="CW3403" s="197"/>
      <c r="CX3403" s="959"/>
      <c r="CY3403" s="959"/>
      <c r="CZ3403" s="959"/>
      <c r="DA3403" s="959"/>
      <c r="DB3403" s="959"/>
      <c r="DG3403" s="959"/>
      <c r="DH3403" s="959"/>
      <c r="ER3403" s="905">
        <v>9841</v>
      </c>
      <c r="ES3403" s="906" t="s">
        <v>2512</v>
      </c>
      <c r="ET3403" s="2686">
        <v>9</v>
      </c>
      <c r="EV3403" s="985"/>
      <c r="EW3403" s="985"/>
      <c r="EX3403" s="387"/>
      <c r="EY3403" s="939"/>
      <c r="EZ3403" s="886"/>
    </row>
    <row r="3404" spans="88:156">
      <c r="CJ3404" s="197"/>
      <c r="CK3404" s="197"/>
      <c r="CL3404" s="197"/>
      <c r="CM3404" s="213"/>
      <c r="CN3404" s="213"/>
      <c r="CO3404" s="197"/>
      <c r="CP3404" s="197"/>
      <c r="CQ3404" s="197"/>
      <c r="CR3404" s="197"/>
      <c r="CS3404" s="197"/>
      <c r="CT3404" s="197"/>
      <c r="CU3404" s="197"/>
      <c r="CV3404" s="197"/>
      <c r="CW3404" s="197"/>
      <c r="CX3404" s="959"/>
      <c r="CY3404" s="959"/>
      <c r="CZ3404" s="959"/>
      <c r="DA3404" s="959"/>
      <c r="DB3404" s="959"/>
      <c r="DG3404" s="959"/>
      <c r="DH3404" s="959"/>
      <c r="ER3404" s="905">
        <v>9842</v>
      </c>
      <c r="ES3404" s="906" t="s">
        <v>2513</v>
      </c>
      <c r="ET3404" s="2686">
        <v>9</v>
      </c>
      <c r="EV3404" s="985"/>
      <c r="EW3404" s="985"/>
      <c r="EX3404" s="387"/>
      <c r="EY3404" s="939"/>
      <c r="EZ3404" s="886"/>
    </row>
    <row r="3405" spans="88:156">
      <c r="CJ3405" s="197"/>
      <c r="CK3405" s="197"/>
      <c r="CL3405" s="197"/>
      <c r="CM3405" s="213"/>
      <c r="CN3405" s="213"/>
      <c r="CO3405" s="197"/>
      <c r="CP3405" s="197"/>
      <c r="CQ3405" s="197"/>
      <c r="CR3405" s="197"/>
      <c r="CS3405" s="197"/>
      <c r="CT3405" s="197"/>
      <c r="CU3405" s="197"/>
      <c r="CV3405" s="197"/>
      <c r="CW3405" s="197"/>
      <c r="CX3405" s="959"/>
      <c r="CY3405" s="959"/>
      <c r="CZ3405" s="959"/>
      <c r="DA3405" s="959"/>
      <c r="DB3405" s="959"/>
      <c r="DG3405" s="959"/>
      <c r="DH3405" s="959"/>
      <c r="ER3405" s="905">
        <v>9900</v>
      </c>
      <c r="ES3405" s="906" t="s">
        <v>2514</v>
      </c>
      <c r="ET3405" s="2686">
        <v>9</v>
      </c>
      <c r="EV3405" s="985"/>
      <c r="EW3405" s="985"/>
      <c r="EX3405" s="387"/>
      <c r="EY3405" s="939"/>
      <c r="EZ3405" s="886"/>
    </row>
    <row r="3406" spans="88:156">
      <c r="CJ3406" s="197"/>
      <c r="CK3406" s="197"/>
      <c r="CL3406" s="197"/>
      <c r="CM3406" s="213"/>
      <c r="CN3406" s="213"/>
      <c r="CO3406" s="197"/>
      <c r="CP3406" s="197"/>
      <c r="CQ3406" s="197"/>
      <c r="CR3406" s="197"/>
      <c r="CS3406" s="197"/>
      <c r="CT3406" s="197"/>
      <c r="CU3406" s="197"/>
      <c r="CV3406" s="197"/>
      <c r="CW3406" s="197"/>
      <c r="CX3406" s="959"/>
      <c r="CY3406" s="959"/>
      <c r="CZ3406" s="959"/>
      <c r="DA3406" s="959"/>
      <c r="DB3406" s="959"/>
      <c r="DG3406" s="959"/>
      <c r="DH3406" s="959"/>
      <c r="ER3406" s="905">
        <v>9909</v>
      </c>
      <c r="ES3406" s="905" t="s">
        <v>4726</v>
      </c>
      <c r="ET3406" s="2686">
        <v>9</v>
      </c>
      <c r="EV3406" s="985"/>
      <c r="EW3406" s="985"/>
      <c r="EX3406" s="387"/>
      <c r="EY3406" s="939"/>
      <c r="EZ3406" s="886"/>
    </row>
    <row r="3407" spans="88:156">
      <c r="CJ3407" s="197"/>
      <c r="CK3407" s="197"/>
      <c r="CL3407" s="197"/>
      <c r="CM3407" s="213"/>
      <c r="CN3407" s="213"/>
      <c r="CO3407" s="197"/>
      <c r="CP3407" s="197"/>
      <c r="CQ3407" s="197"/>
      <c r="CR3407" s="197"/>
      <c r="CS3407" s="197"/>
      <c r="CT3407" s="197"/>
      <c r="CU3407" s="197"/>
      <c r="CV3407" s="197"/>
      <c r="CW3407" s="197"/>
      <c r="CX3407" s="959"/>
      <c r="CY3407" s="959"/>
      <c r="CZ3407" s="959"/>
      <c r="DA3407" s="959"/>
      <c r="DB3407" s="959"/>
      <c r="DG3407" s="959"/>
      <c r="DH3407" s="959"/>
      <c r="ER3407" s="905">
        <v>9909</v>
      </c>
      <c r="ES3407" s="906" t="s">
        <v>2515</v>
      </c>
      <c r="ET3407" s="2686">
        <v>9</v>
      </c>
      <c r="EV3407" s="985"/>
      <c r="EW3407" s="985"/>
      <c r="EX3407" s="387"/>
      <c r="EY3407" s="939"/>
      <c r="EZ3407" s="886"/>
    </row>
    <row r="3408" spans="88:156">
      <c r="CJ3408" s="197"/>
      <c r="CK3408" s="197"/>
      <c r="CL3408" s="197"/>
      <c r="CM3408" s="213"/>
      <c r="CN3408" s="213"/>
      <c r="CO3408" s="197"/>
      <c r="CP3408" s="197"/>
      <c r="CQ3408" s="197"/>
      <c r="CR3408" s="197"/>
      <c r="CS3408" s="197"/>
      <c r="CT3408" s="197"/>
      <c r="CU3408" s="197"/>
      <c r="CV3408" s="197"/>
      <c r="CW3408" s="197"/>
      <c r="CX3408" s="959"/>
      <c r="CY3408" s="959"/>
      <c r="CZ3408" s="959"/>
      <c r="DA3408" s="959"/>
      <c r="DB3408" s="959"/>
      <c r="DG3408" s="959"/>
      <c r="DH3408" s="959"/>
      <c r="ER3408" s="905">
        <v>9912</v>
      </c>
      <c r="ES3408" s="906" t="s">
        <v>2516</v>
      </c>
      <c r="ET3408" s="2686">
        <v>9</v>
      </c>
      <c r="EV3408" s="985"/>
      <c r="EW3408" s="985"/>
      <c r="EX3408" s="387"/>
      <c r="EY3408" s="939"/>
      <c r="EZ3408" s="886"/>
    </row>
    <row r="3409" spans="88:156">
      <c r="CJ3409" s="197"/>
      <c r="CK3409" s="197"/>
      <c r="CL3409" s="197"/>
      <c r="CM3409" s="213"/>
      <c r="CN3409" s="213"/>
      <c r="CO3409" s="197"/>
      <c r="CP3409" s="197"/>
      <c r="CQ3409" s="197"/>
      <c r="CR3409" s="197"/>
      <c r="CS3409" s="197"/>
      <c r="CT3409" s="197"/>
      <c r="CU3409" s="197"/>
      <c r="CV3409" s="197"/>
      <c r="CW3409" s="197"/>
      <c r="CX3409" s="959"/>
      <c r="CY3409" s="959"/>
      <c r="CZ3409" s="959"/>
      <c r="DA3409" s="959"/>
      <c r="DB3409" s="959"/>
      <c r="DG3409" s="959"/>
      <c r="DH3409" s="959"/>
      <c r="ER3409" s="905">
        <v>9912</v>
      </c>
      <c r="ES3409" s="906" t="s">
        <v>2517</v>
      </c>
      <c r="ET3409" s="2686">
        <v>9</v>
      </c>
      <c r="EV3409" s="985"/>
      <c r="EW3409" s="985"/>
      <c r="EX3409" s="387"/>
      <c r="EY3409" s="939"/>
      <c r="EZ3409" s="886"/>
    </row>
    <row r="3410" spans="88:156">
      <c r="CJ3410" s="197"/>
      <c r="CK3410" s="197"/>
      <c r="CL3410" s="197"/>
      <c r="CM3410" s="213"/>
      <c r="CN3410" s="213"/>
      <c r="CO3410" s="197"/>
      <c r="CP3410" s="197"/>
      <c r="CQ3410" s="197"/>
      <c r="CR3410" s="197"/>
      <c r="CS3410" s="197"/>
      <c r="CT3410" s="197"/>
      <c r="CU3410" s="197"/>
      <c r="CV3410" s="197"/>
      <c r="CW3410" s="197"/>
      <c r="CX3410" s="959"/>
      <c r="CY3410" s="959"/>
      <c r="CZ3410" s="959"/>
      <c r="DA3410" s="959"/>
      <c r="DB3410" s="959"/>
      <c r="DG3410" s="959"/>
      <c r="DH3410" s="959"/>
      <c r="ER3410" s="905">
        <v>9913</v>
      </c>
      <c r="ES3410" s="906" t="s">
        <v>4727</v>
      </c>
      <c r="ET3410" s="2686">
        <v>9</v>
      </c>
      <c r="EV3410" s="985"/>
      <c r="EW3410" s="985"/>
      <c r="EX3410" s="387"/>
      <c r="EY3410" s="939"/>
      <c r="EZ3410" s="886"/>
    </row>
    <row r="3411" spans="88:156">
      <c r="CJ3411" s="197"/>
      <c r="CK3411" s="197"/>
      <c r="CL3411" s="197"/>
      <c r="CM3411" s="213"/>
      <c r="CN3411" s="213"/>
      <c r="CO3411" s="197"/>
      <c r="CP3411" s="197"/>
      <c r="CQ3411" s="197"/>
      <c r="CR3411" s="197"/>
      <c r="CS3411" s="197"/>
      <c r="CT3411" s="197"/>
      <c r="CU3411" s="197"/>
      <c r="CV3411" s="197"/>
      <c r="CW3411" s="197"/>
      <c r="CX3411" s="959"/>
      <c r="CY3411" s="959"/>
      <c r="CZ3411" s="959"/>
      <c r="DA3411" s="959"/>
      <c r="DB3411" s="959"/>
      <c r="DG3411" s="959"/>
      <c r="DH3411" s="959"/>
      <c r="ER3411" s="905">
        <v>9913</v>
      </c>
      <c r="ES3411" s="906" t="s">
        <v>4728</v>
      </c>
      <c r="ET3411" s="2686">
        <v>9</v>
      </c>
      <c r="EV3411" s="985"/>
      <c r="EW3411" s="985"/>
      <c r="EX3411" s="387"/>
      <c r="EY3411" s="939"/>
      <c r="EZ3411" s="886"/>
    </row>
    <row r="3412" spans="88:156">
      <c r="CJ3412" s="197"/>
      <c r="CK3412" s="197"/>
      <c r="CL3412" s="197"/>
      <c r="CM3412" s="213"/>
      <c r="CN3412" s="213"/>
      <c r="CO3412" s="197"/>
      <c r="CP3412" s="197"/>
      <c r="CQ3412" s="197"/>
      <c r="CR3412" s="197"/>
      <c r="CS3412" s="197"/>
      <c r="CT3412" s="197"/>
      <c r="CU3412" s="197"/>
      <c r="CV3412" s="197"/>
      <c r="CW3412" s="197"/>
      <c r="CX3412" s="959"/>
      <c r="CY3412" s="959"/>
      <c r="CZ3412" s="959"/>
      <c r="DA3412" s="959"/>
      <c r="DB3412" s="959"/>
      <c r="DG3412" s="959"/>
      <c r="DH3412" s="959"/>
      <c r="ER3412" s="905">
        <v>9913</v>
      </c>
      <c r="ES3412" s="906" t="s">
        <v>2518</v>
      </c>
      <c r="ET3412" s="2686">
        <v>9</v>
      </c>
      <c r="EV3412" s="985"/>
      <c r="EW3412" s="985"/>
      <c r="EX3412" s="387"/>
      <c r="EY3412" s="939"/>
      <c r="EZ3412" s="886"/>
    </row>
    <row r="3413" spans="88:156">
      <c r="CJ3413" s="197"/>
      <c r="CK3413" s="197"/>
      <c r="CL3413" s="197"/>
      <c r="CM3413" s="213"/>
      <c r="CN3413" s="213"/>
      <c r="CO3413" s="197"/>
      <c r="CP3413" s="197"/>
      <c r="CQ3413" s="197"/>
      <c r="CR3413" s="197"/>
      <c r="CS3413" s="197"/>
      <c r="CT3413" s="197"/>
      <c r="CU3413" s="197"/>
      <c r="CV3413" s="197"/>
      <c r="CW3413" s="197"/>
      <c r="CX3413" s="959"/>
      <c r="CY3413" s="959"/>
      <c r="CZ3413" s="959"/>
      <c r="DA3413" s="959"/>
      <c r="DB3413" s="959"/>
      <c r="DG3413" s="959"/>
      <c r="DH3413" s="959"/>
      <c r="ER3413" s="905">
        <v>9914</v>
      </c>
      <c r="ES3413" s="906" t="s">
        <v>2519</v>
      </c>
      <c r="ET3413" s="2686">
        <v>9</v>
      </c>
      <c r="EV3413" s="985"/>
      <c r="EW3413" s="985"/>
      <c r="EX3413" s="387"/>
      <c r="EY3413" s="939"/>
      <c r="EZ3413" s="886"/>
    </row>
    <row r="3414" spans="88:156">
      <c r="CJ3414" s="197"/>
      <c r="CK3414" s="197"/>
      <c r="CL3414" s="197"/>
      <c r="CM3414" s="213"/>
      <c r="CN3414" s="213"/>
      <c r="CO3414" s="197"/>
      <c r="CP3414" s="197"/>
      <c r="CQ3414" s="197"/>
      <c r="CR3414" s="197"/>
      <c r="CS3414" s="197"/>
      <c r="CT3414" s="197"/>
      <c r="CU3414" s="197"/>
      <c r="CV3414" s="197"/>
      <c r="CW3414" s="197"/>
      <c r="CX3414" s="959"/>
      <c r="CY3414" s="959"/>
      <c r="CZ3414" s="959"/>
      <c r="DA3414" s="959"/>
      <c r="DB3414" s="959"/>
      <c r="DG3414" s="959"/>
      <c r="DH3414" s="959"/>
      <c r="ER3414" s="905">
        <v>9915</v>
      </c>
      <c r="ES3414" s="906" t="s">
        <v>4729</v>
      </c>
      <c r="ET3414" s="2686">
        <v>9</v>
      </c>
      <c r="EV3414" s="985"/>
      <c r="EW3414" s="985"/>
      <c r="EX3414" s="387"/>
      <c r="EY3414" s="939"/>
      <c r="EZ3414" s="886"/>
    </row>
    <row r="3415" spans="88:156">
      <c r="CJ3415" s="197"/>
      <c r="CK3415" s="197"/>
      <c r="CL3415" s="197"/>
      <c r="CM3415" s="213"/>
      <c r="CN3415" s="213"/>
      <c r="CO3415" s="197"/>
      <c r="CP3415" s="197"/>
      <c r="CQ3415" s="197"/>
      <c r="CR3415" s="197"/>
      <c r="CS3415" s="197"/>
      <c r="CT3415" s="197"/>
      <c r="CU3415" s="197"/>
      <c r="CV3415" s="197"/>
      <c r="CW3415" s="197"/>
      <c r="CX3415" s="959"/>
      <c r="CY3415" s="959"/>
      <c r="CZ3415" s="959"/>
      <c r="DA3415" s="959"/>
      <c r="DB3415" s="959"/>
      <c r="DG3415" s="959"/>
      <c r="DH3415" s="959"/>
      <c r="ER3415" s="905">
        <v>9915</v>
      </c>
      <c r="ES3415" s="906" t="s">
        <v>4730</v>
      </c>
      <c r="ET3415" s="2686">
        <v>9</v>
      </c>
      <c r="EV3415" s="985"/>
      <c r="EW3415" s="985"/>
      <c r="EX3415" s="387"/>
      <c r="EY3415" s="939"/>
      <c r="EZ3415" s="886"/>
    </row>
    <row r="3416" spans="88:156">
      <c r="CJ3416" s="197"/>
      <c r="CK3416" s="197"/>
      <c r="CL3416" s="197"/>
      <c r="CM3416" s="213"/>
      <c r="CN3416" s="213"/>
      <c r="CO3416" s="197"/>
      <c r="CP3416" s="197"/>
      <c r="CQ3416" s="197"/>
      <c r="CR3416" s="197"/>
      <c r="CS3416" s="197"/>
      <c r="CT3416" s="197"/>
      <c r="CU3416" s="197"/>
      <c r="CV3416" s="197"/>
      <c r="CW3416" s="197"/>
      <c r="CX3416" s="959"/>
      <c r="CY3416" s="959"/>
      <c r="CZ3416" s="959"/>
      <c r="DA3416" s="959"/>
      <c r="DB3416" s="959"/>
      <c r="DG3416" s="959"/>
      <c r="DH3416" s="959"/>
      <c r="ER3416" s="905">
        <v>9915</v>
      </c>
      <c r="ES3416" s="906" t="s">
        <v>4731</v>
      </c>
      <c r="ET3416" s="2686">
        <v>9</v>
      </c>
      <c r="EV3416" s="985"/>
      <c r="EW3416" s="985"/>
      <c r="EX3416" s="387"/>
      <c r="EY3416" s="939"/>
      <c r="EZ3416" s="886"/>
    </row>
    <row r="3417" spans="88:156">
      <c r="CJ3417" s="197"/>
      <c r="CK3417" s="197"/>
      <c r="CL3417" s="197"/>
      <c r="CM3417" s="213"/>
      <c r="CN3417" s="213"/>
      <c r="CO3417" s="197"/>
      <c r="CP3417" s="197"/>
      <c r="CQ3417" s="197"/>
      <c r="CR3417" s="197"/>
      <c r="CS3417" s="197"/>
      <c r="CT3417" s="197"/>
      <c r="CU3417" s="197"/>
      <c r="CV3417" s="197"/>
      <c r="CW3417" s="197"/>
      <c r="CX3417" s="959"/>
      <c r="CY3417" s="959"/>
      <c r="CZ3417" s="959"/>
      <c r="DA3417" s="959"/>
      <c r="DB3417" s="959"/>
      <c r="DG3417" s="959"/>
      <c r="DH3417" s="959"/>
      <c r="ER3417" s="905">
        <v>9915</v>
      </c>
      <c r="ES3417" s="906" t="s">
        <v>2520</v>
      </c>
      <c r="ET3417" s="2686">
        <v>9</v>
      </c>
      <c r="EV3417" s="985"/>
      <c r="EW3417" s="985"/>
      <c r="EX3417" s="387"/>
      <c r="EY3417" s="939"/>
      <c r="EZ3417" s="886"/>
    </row>
    <row r="3418" spans="88:156">
      <c r="CJ3418" s="197"/>
      <c r="CK3418" s="197"/>
      <c r="CL3418" s="197"/>
      <c r="CM3418" s="213"/>
      <c r="CN3418" s="213"/>
      <c r="CO3418" s="197"/>
      <c r="CP3418" s="197"/>
      <c r="CQ3418" s="197"/>
      <c r="CR3418" s="197"/>
      <c r="CS3418" s="197"/>
      <c r="CT3418" s="197"/>
      <c r="CU3418" s="197"/>
      <c r="CV3418" s="197"/>
      <c r="CW3418" s="197"/>
      <c r="CX3418" s="959"/>
      <c r="CY3418" s="959"/>
      <c r="CZ3418" s="959"/>
      <c r="DA3418" s="959"/>
      <c r="DB3418" s="959"/>
      <c r="DG3418" s="959"/>
      <c r="DH3418" s="959"/>
      <c r="ER3418" s="905">
        <v>9917</v>
      </c>
      <c r="ES3418" s="906" t="s">
        <v>4732</v>
      </c>
      <c r="ET3418" s="2686">
        <v>9</v>
      </c>
      <c r="EV3418" s="985"/>
      <c r="EW3418" s="985"/>
      <c r="EX3418" s="387"/>
      <c r="EY3418" s="939"/>
      <c r="EZ3418" s="886"/>
    </row>
    <row r="3419" spans="88:156">
      <c r="CJ3419" s="197"/>
      <c r="CK3419" s="197"/>
      <c r="CL3419" s="197"/>
      <c r="CM3419" s="213"/>
      <c r="CN3419" s="213"/>
      <c r="CO3419" s="197"/>
      <c r="CP3419" s="197"/>
      <c r="CQ3419" s="197"/>
      <c r="CR3419" s="197"/>
      <c r="CS3419" s="197"/>
      <c r="CT3419" s="197"/>
      <c r="CU3419" s="197"/>
      <c r="CV3419" s="197"/>
      <c r="CW3419" s="197"/>
      <c r="CX3419" s="959"/>
      <c r="CY3419" s="959"/>
      <c r="CZ3419" s="959"/>
      <c r="DA3419" s="959"/>
      <c r="DB3419" s="959"/>
      <c r="DG3419" s="959"/>
      <c r="DH3419" s="959"/>
      <c r="ER3419" s="905">
        <v>9917</v>
      </c>
      <c r="ES3419" s="906" t="s">
        <v>2521</v>
      </c>
      <c r="ET3419" s="2686">
        <v>9</v>
      </c>
      <c r="EV3419" s="985"/>
      <c r="EW3419" s="985"/>
      <c r="EX3419" s="387"/>
      <c r="EY3419" s="939"/>
      <c r="EZ3419" s="886"/>
    </row>
    <row r="3420" spans="88:156">
      <c r="ER3420" s="905">
        <v>9918</v>
      </c>
      <c r="ES3420" s="906" t="s">
        <v>2522</v>
      </c>
      <c r="ET3420" s="2686">
        <v>9</v>
      </c>
      <c r="EV3420" s="985"/>
      <c r="EW3420" s="985"/>
      <c r="EX3420" s="387"/>
      <c r="EY3420" s="939"/>
      <c r="EZ3420" s="886"/>
    </row>
    <row r="3421" spans="88:156">
      <c r="ER3421" s="905">
        <v>9919</v>
      </c>
      <c r="ES3421" s="906" t="s">
        <v>2523</v>
      </c>
      <c r="ET3421" s="2686">
        <v>9</v>
      </c>
      <c r="EV3421" s="985"/>
      <c r="EW3421" s="985"/>
      <c r="EX3421" s="387"/>
      <c r="EY3421" s="939"/>
      <c r="EZ3421" s="886"/>
    </row>
    <row r="3422" spans="88:156">
      <c r="ER3422" s="905">
        <v>9921</v>
      </c>
      <c r="ES3422" s="906" t="s">
        <v>2524</v>
      </c>
      <c r="ET3422" s="2686">
        <v>9</v>
      </c>
      <c r="EV3422" s="985"/>
      <c r="EW3422" s="985"/>
      <c r="EX3422" s="387"/>
      <c r="EY3422" s="939"/>
      <c r="EZ3422" s="886"/>
    </row>
    <row r="3423" spans="88:156">
      <c r="ER3423" s="905">
        <v>9922</v>
      </c>
      <c r="ES3423" s="906" t="s">
        <v>2525</v>
      </c>
      <c r="ET3423" s="2686">
        <v>9</v>
      </c>
      <c r="EV3423" s="985"/>
      <c r="EW3423" s="985"/>
      <c r="EX3423" s="387"/>
      <c r="EY3423" s="939"/>
      <c r="EZ3423" s="886"/>
    </row>
    <row r="3424" spans="88:156">
      <c r="ER3424" s="905">
        <v>9923</v>
      </c>
      <c r="ES3424" s="906" t="s">
        <v>2526</v>
      </c>
      <c r="ET3424" s="2686">
        <v>9</v>
      </c>
      <c r="EV3424" s="985"/>
      <c r="EW3424" s="985"/>
      <c r="EX3424" s="387"/>
      <c r="EY3424" s="939"/>
      <c r="EZ3424" s="886"/>
    </row>
    <row r="3425" spans="148:156">
      <c r="ER3425" s="905">
        <v>9931</v>
      </c>
      <c r="ES3425" s="906" t="s">
        <v>4733</v>
      </c>
      <c r="ET3425" s="2686">
        <v>9</v>
      </c>
      <c r="EV3425" s="985"/>
      <c r="EW3425" s="985"/>
      <c r="EX3425" s="387"/>
      <c r="EY3425" s="939"/>
      <c r="EZ3425" s="886"/>
    </row>
    <row r="3426" spans="148:156">
      <c r="ER3426" s="905">
        <v>9931</v>
      </c>
      <c r="ES3426" s="906" t="s">
        <v>2527</v>
      </c>
      <c r="ET3426" s="2686">
        <v>9</v>
      </c>
      <c r="EV3426" s="985"/>
      <c r="EW3426" s="985"/>
      <c r="EX3426" s="387"/>
      <c r="EY3426" s="939"/>
      <c r="EZ3426" s="886"/>
    </row>
    <row r="3427" spans="148:156">
      <c r="ER3427" s="905">
        <v>9932</v>
      </c>
      <c r="ES3427" s="906" t="s">
        <v>4866</v>
      </c>
      <c r="ET3427" s="2686">
        <v>9</v>
      </c>
      <c r="EV3427" s="985"/>
      <c r="EW3427" s="985"/>
      <c r="EX3427" s="387"/>
      <c r="EY3427" s="939"/>
      <c r="EZ3427" s="886"/>
    </row>
    <row r="3428" spans="148:156">
      <c r="ER3428" s="905">
        <v>9933</v>
      </c>
      <c r="ES3428" s="906" t="s">
        <v>4734</v>
      </c>
      <c r="ET3428" s="2686">
        <v>9</v>
      </c>
      <c r="EV3428" s="985"/>
      <c r="EW3428" s="985"/>
      <c r="EX3428" s="387"/>
      <c r="EY3428" s="939"/>
      <c r="EZ3428" s="886"/>
    </row>
    <row r="3429" spans="148:156">
      <c r="ER3429" s="905">
        <v>9934</v>
      </c>
      <c r="ES3429" s="906" t="s">
        <v>4336</v>
      </c>
      <c r="ET3429" s="2686">
        <v>9</v>
      </c>
      <c r="EV3429" s="985"/>
      <c r="EW3429" s="985"/>
      <c r="EX3429" s="387"/>
      <c r="EY3429" s="939"/>
      <c r="EZ3429" s="886"/>
    </row>
    <row r="3430" spans="148:156">
      <c r="ER3430" s="905">
        <v>9934</v>
      </c>
      <c r="ES3430" s="906" t="s">
        <v>4735</v>
      </c>
      <c r="ET3430" s="2686">
        <v>9</v>
      </c>
      <c r="EV3430" s="985"/>
      <c r="EW3430" s="985"/>
      <c r="EX3430" s="387"/>
      <c r="EY3430" s="939"/>
      <c r="EZ3430" s="886"/>
    </row>
    <row r="3431" spans="148:156">
      <c r="ER3431" s="905">
        <v>9934</v>
      </c>
      <c r="ES3431" s="906" t="s">
        <v>4736</v>
      </c>
      <c r="ET3431" s="2686">
        <v>9</v>
      </c>
      <c r="EV3431" s="985"/>
      <c r="EW3431" s="985"/>
      <c r="EX3431" s="387"/>
      <c r="EY3431" s="939"/>
      <c r="EZ3431" s="886"/>
    </row>
    <row r="3432" spans="148:156">
      <c r="ER3432" s="905">
        <v>9935</v>
      </c>
      <c r="ES3432" s="906" t="s">
        <v>4337</v>
      </c>
      <c r="ET3432" s="2686">
        <v>9</v>
      </c>
      <c r="EV3432" s="985"/>
      <c r="EW3432" s="985"/>
      <c r="EX3432" s="387"/>
      <c r="EY3432" s="939"/>
      <c r="EZ3432" s="886"/>
    </row>
    <row r="3433" spans="148:156">
      <c r="ER3433" s="905">
        <v>9936</v>
      </c>
      <c r="ES3433" s="906" t="s">
        <v>4338</v>
      </c>
      <c r="ET3433" s="2686">
        <v>9</v>
      </c>
      <c r="EV3433" s="985"/>
      <c r="EW3433" s="985"/>
      <c r="EX3433" s="387"/>
      <c r="EY3433" s="939"/>
      <c r="EZ3433" s="886"/>
    </row>
    <row r="3434" spans="148:156">
      <c r="ER3434" s="905">
        <v>9937</v>
      </c>
      <c r="ES3434" s="906" t="s">
        <v>4339</v>
      </c>
      <c r="ET3434" s="2686">
        <v>9</v>
      </c>
      <c r="EV3434" s="985"/>
      <c r="EW3434" s="985"/>
      <c r="EX3434" s="387"/>
      <c r="EY3434" s="939"/>
      <c r="EZ3434" s="886"/>
    </row>
    <row r="3435" spans="148:156">
      <c r="ER3435" s="905">
        <v>9938</v>
      </c>
      <c r="ES3435" s="906" t="s">
        <v>4737</v>
      </c>
      <c r="ET3435" s="2686">
        <v>9</v>
      </c>
      <c r="EV3435" s="985"/>
      <c r="EW3435" s="985"/>
      <c r="EX3435" s="387"/>
      <c r="EY3435" s="939"/>
      <c r="EZ3435" s="886"/>
    </row>
    <row r="3436" spans="148:156">
      <c r="ER3436" s="905">
        <v>9938</v>
      </c>
      <c r="ES3436" s="906" t="s">
        <v>4340</v>
      </c>
      <c r="ET3436" s="2686">
        <v>9</v>
      </c>
      <c r="EV3436" s="985"/>
      <c r="EW3436" s="985"/>
      <c r="EX3436" s="387"/>
      <c r="EY3436" s="939"/>
      <c r="EZ3436" s="886"/>
    </row>
    <row r="3437" spans="148:156">
      <c r="ER3437" s="905">
        <v>9941</v>
      </c>
      <c r="ES3437" s="906" t="s">
        <v>4738</v>
      </c>
      <c r="ET3437" s="2686">
        <v>9</v>
      </c>
      <c r="EV3437" s="985"/>
      <c r="EW3437" s="985"/>
      <c r="EX3437" s="387"/>
      <c r="EY3437" s="939"/>
      <c r="EZ3437" s="886"/>
    </row>
    <row r="3438" spans="148:156">
      <c r="ER3438" s="905">
        <v>9941</v>
      </c>
      <c r="ES3438" s="906" t="s">
        <v>4341</v>
      </c>
      <c r="ET3438" s="2686">
        <v>9</v>
      </c>
      <c r="EV3438" s="985"/>
      <c r="EW3438" s="985"/>
      <c r="EX3438" s="387"/>
      <c r="EY3438" s="939"/>
      <c r="EZ3438" s="886"/>
    </row>
    <row r="3439" spans="148:156">
      <c r="ER3439" s="905">
        <v>9942</v>
      </c>
      <c r="ES3439" s="906" t="s">
        <v>4342</v>
      </c>
      <c r="ET3439" s="2686">
        <v>9</v>
      </c>
      <c r="EV3439" s="985"/>
      <c r="EW3439" s="985"/>
      <c r="EX3439" s="387"/>
      <c r="EY3439" s="939"/>
      <c r="EZ3439" s="886"/>
    </row>
    <row r="3440" spans="148:156">
      <c r="ER3440" s="905">
        <v>9943</v>
      </c>
      <c r="ES3440" s="906" t="s">
        <v>4343</v>
      </c>
      <c r="ET3440" s="2686">
        <v>9</v>
      </c>
      <c r="EV3440" s="985"/>
      <c r="EW3440" s="985"/>
      <c r="EX3440" s="387"/>
      <c r="EY3440" s="939"/>
      <c r="EZ3440" s="886"/>
    </row>
    <row r="3441" spans="148:156">
      <c r="ER3441" s="905">
        <v>9944</v>
      </c>
      <c r="ES3441" s="906" t="s">
        <v>4739</v>
      </c>
      <c r="ET3441" s="2686">
        <v>9</v>
      </c>
      <c r="EV3441" s="985"/>
      <c r="EW3441" s="985"/>
      <c r="EX3441" s="387"/>
      <c r="EY3441" s="939"/>
      <c r="EZ3441" s="886"/>
    </row>
    <row r="3442" spans="148:156">
      <c r="ER3442" s="905">
        <v>9944</v>
      </c>
      <c r="ES3442" s="906" t="s">
        <v>4344</v>
      </c>
      <c r="ET3442" s="2686">
        <v>9</v>
      </c>
      <c r="EV3442" s="985"/>
      <c r="EW3442" s="985"/>
      <c r="EX3442" s="387"/>
      <c r="EY3442" s="939"/>
      <c r="EZ3442" s="886"/>
    </row>
    <row r="3443" spans="148:156">
      <c r="ER3443" s="905">
        <v>9945</v>
      </c>
      <c r="ES3443" s="906" t="s">
        <v>3510</v>
      </c>
      <c r="ET3443" s="2686">
        <v>9</v>
      </c>
      <c r="EV3443" s="985"/>
      <c r="EW3443" s="985"/>
      <c r="EX3443" s="387"/>
      <c r="EY3443" s="939"/>
      <c r="EZ3443" s="886"/>
    </row>
    <row r="3444" spans="148:156">
      <c r="ER3444" s="905">
        <v>9946</v>
      </c>
      <c r="ES3444" s="906" t="s">
        <v>4740</v>
      </c>
      <c r="ET3444" s="2686">
        <v>9</v>
      </c>
      <c r="EV3444" s="985"/>
      <c r="EW3444" s="985"/>
      <c r="EX3444" s="387"/>
      <c r="EY3444" s="939"/>
      <c r="EZ3444" s="886"/>
    </row>
    <row r="3445" spans="148:156">
      <c r="ER3445" s="905">
        <v>9946</v>
      </c>
      <c r="ES3445" s="906" t="s">
        <v>3511</v>
      </c>
      <c r="ET3445" s="2686">
        <v>9</v>
      </c>
      <c r="EV3445" s="985"/>
      <c r="EW3445" s="985"/>
      <c r="EX3445" s="387"/>
      <c r="EY3445" s="939"/>
      <c r="EZ3445" s="886"/>
    </row>
    <row r="3446" spans="148:156">
      <c r="ER3446" s="905">
        <v>9951</v>
      </c>
      <c r="ES3446" s="906" t="s">
        <v>3512</v>
      </c>
      <c r="ET3446" s="2686">
        <v>9</v>
      </c>
      <c r="EV3446" s="985"/>
      <c r="EW3446" s="985"/>
      <c r="EX3446" s="387"/>
      <c r="EY3446" s="939"/>
      <c r="EZ3446" s="886"/>
    </row>
    <row r="3447" spans="148:156">
      <c r="ER3447" s="905">
        <v>9952</v>
      </c>
      <c r="ES3447" s="906" t="s">
        <v>3513</v>
      </c>
      <c r="ET3447" s="2686">
        <v>9</v>
      </c>
      <c r="EV3447" s="985"/>
      <c r="EW3447" s="985"/>
      <c r="EX3447" s="387"/>
      <c r="EY3447" s="939"/>
      <c r="EZ3447" s="886"/>
    </row>
    <row r="3448" spans="148:156">
      <c r="ER3448" s="905">
        <v>9953</v>
      </c>
      <c r="ES3448" s="906" t="s">
        <v>4741</v>
      </c>
      <c r="ET3448" s="2686">
        <v>9</v>
      </c>
      <c r="EV3448" s="985"/>
      <c r="EW3448" s="985"/>
      <c r="EX3448" s="387"/>
      <c r="EY3448" s="939"/>
      <c r="EZ3448" s="886"/>
    </row>
    <row r="3449" spans="148:156">
      <c r="ER3449" s="905">
        <v>9953</v>
      </c>
      <c r="ES3449" s="906" t="s">
        <v>3514</v>
      </c>
      <c r="ET3449" s="2686">
        <v>9</v>
      </c>
      <c r="EV3449" s="985"/>
      <c r="EW3449" s="985"/>
      <c r="EX3449" s="387"/>
      <c r="EY3449" s="939"/>
      <c r="EZ3449" s="886"/>
    </row>
    <row r="3450" spans="148:156">
      <c r="ER3450" s="905">
        <v>9954</v>
      </c>
      <c r="ES3450" s="906" t="s">
        <v>3515</v>
      </c>
      <c r="ET3450" s="2686">
        <v>9</v>
      </c>
      <c r="EV3450" s="985"/>
      <c r="EW3450" s="985"/>
      <c r="EX3450" s="387"/>
      <c r="EY3450" s="939"/>
      <c r="EZ3450" s="886"/>
    </row>
    <row r="3451" spans="148:156">
      <c r="ER3451" s="905">
        <v>9955</v>
      </c>
      <c r="ES3451" s="905" t="s">
        <v>4742</v>
      </c>
      <c r="ET3451" s="2686">
        <v>9</v>
      </c>
      <c r="EV3451" s="985"/>
      <c r="EW3451" s="985"/>
      <c r="EX3451" s="387"/>
      <c r="EY3451" s="939"/>
      <c r="EZ3451" s="886"/>
    </row>
    <row r="3452" spans="148:156">
      <c r="ER3452" s="905">
        <v>9961</v>
      </c>
      <c r="ES3452" s="906" t="s">
        <v>1133</v>
      </c>
      <c r="ET3452" s="2686">
        <v>9</v>
      </c>
      <c r="EV3452" s="985"/>
      <c r="EW3452" s="985"/>
      <c r="EX3452" s="387"/>
      <c r="EY3452" s="939"/>
      <c r="EZ3452" s="886"/>
    </row>
    <row r="3453" spans="148:156">
      <c r="ER3453" s="905">
        <v>9962</v>
      </c>
      <c r="ES3453" s="906" t="s">
        <v>4743</v>
      </c>
      <c r="ET3453" s="2686">
        <v>9</v>
      </c>
      <c r="EV3453" s="985"/>
      <c r="EW3453" s="985"/>
      <c r="EX3453" s="387"/>
      <c r="EY3453" s="939"/>
      <c r="EZ3453" s="886"/>
    </row>
    <row r="3454" spans="148:156">
      <c r="ER3454" s="905">
        <v>9962</v>
      </c>
      <c r="ES3454" s="906" t="s">
        <v>1134</v>
      </c>
      <c r="ET3454" s="2686">
        <v>9</v>
      </c>
      <c r="EV3454" s="985"/>
      <c r="EW3454" s="985"/>
      <c r="EX3454" s="387"/>
      <c r="EY3454" s="939"/>
      <c r="EZ3454" s="886"/>
    </row>
    <row r="3455" spans="148:156">
      <c r="ER3455" s="905">
        <v>9970</v>
      </c>
      <c r="ES3455" s="906" t="s">
        <v>1135</v>
      </c>
      <c r="ET3455" s="2686">
        <v>9</v>
      </c>
      <c r="EV3455" s="985"/>
      <c r="EW3455" s="985"/>
      <c r="EX3455" s="387"/>
      <c r="EY3455" s="939"/>
      <c r="EZ3455" s="886"/>
    </row>
    <row r="3456" spans="148:156">
      <c r="ER3456" s="905">
        <v>9981</v>
      </c>
      <c r="ES3456" s="905" t="s">
        <v>4744</v>
      </c>
      <c r="ET3456" s="2686">
        <v>9</v>
      </c>
      <c r="EV3456" s="985"/>
      <c r="EW3456" s="985"/>
      <c r="EX3456" s="387"/>
      <c r="EY3456" s="939"/>
      <c r="EZ3456" s="886"/>
    </row>
    <row r="3457" spans="148:156">
      <c r="ER3457" s="905">
        <v>9982</v>
      </c>
      <c r="ES3457" s="906" t="s">
        <v>4745</v>
      </c>
      <c r="ET3457" s="2686">
        <v>9</v>
      </c>
      <c r="EV3457" s="985"/>
      <c r="EW3457" s="985"/>
      <c r="EX3457" s="387"/>
      <c r="EY3457" s="939"/>
      <c r="EZ3457" s="886"/>
    </row>
    <row r="3458" spans="148:156">
      <c r="ER3458" s="905">
        <v>9982</v>
      </c>
      <c r="ES3458" s="906" t="s">
        <v>4746</v>
      </c>
      <c r="ET3458" s="2686">
        <v>9</v>
      </c>
      <c r="EV3458" s="985"/>
      <c r="EW3458" s="985"/>
      <c r="EX3458" s="387"/>
      <c r="EY3458" s="939"/>
      <c r="EZ3458" s="886"/>
    </row>
    <row r="3459" spans="148:156">
      <c r="ER3459" s="905">
        <v>9982</v>
      </c>
      <c r="ES3459" s="906" t="s">
        <v>1137</v>
      </c>
      <c r="ET3459" s="2686">
        <v>9</v>
      </c>
      <c r="EV3459" s="985"/>
      <c r="EW3459" s="985"/>
      <c r="EX3459" s="387"/>
      <c r="EY3459" s="939"/>
      <c r="EZ3459" s="886"/>
    </row>
    <row r="3460" spans="148:156">
      <c r="ER3460" s="905">
        <v>9983</v>
      </c>
      <c r="ES3460" s="906" t="s">
        <v>4747</v>
      </c>
      <c r="ET3460" s="2686">
        <v>9</v>
      </c>
      <c r="EV3460" s="985"/>
      <c r="EW3460" s="985"/>
      <c r="EX3460" s="387"/>
      <c r="EY3460" s="939"/>
      <c r="EZ3460" s="886"/>
    </row>
    <row r="3461" spans="148:156">
      <c r="ER3461" s="905">
        <v>9983</v>
      </c>
      <c r="ES3461" s="906" t="s">
        <v>1138</v>
      </c>
      <c r="ET3461" s="2686">
        <v>9</v>
      </c>
      <c r="EV3461" s="985"/>
      <c r="EW3461" s="985"/>
      <c r="EX3461" s="387"/>
      <c r="EY3461" s="939"/>
      <c r="EZ3461" s="886"/>
    </row>
    <row r="3462" spans="148:156">
      <c r="ER3462" s="905">
        <v>9985</v>
      </c>
      <c r="ES3462" s="906" t="s">
        <v>1139</v>
      </c>
      <c r="ET3462" s="2686">
        <v>9</v>
      </c>
      <c r="EV3462" s="985"/>
      <c r="EW3462" s="985"/>
      <c r="EX3462" s="387"/>
      <c r="EY3462" s="939"/>
      <c r="EZ3462" s="886"/>
    </row>
    <row r="3463" spans="148:156">
      <c r="EV3463" s="985"/>
      <c r="EW3463" s="985"/>
      <c r="EX3463" s="387"/>
      <c r="EY3463" s="939"/>
      <c r="EZ3463" s="886"/>
    </row>
    <row r="3464" spans="148:156">
      <c r="EV3464" s="985"/>
      <c r="EW3464" s="985"/>
      <c r="EX3464" s="387"/>
      <c r="EY3464" s="939"/>
      <c r="EZ3464" s="886"/>
    </row>
    <row r="3465" spans="148:156">
      <c r="EV3465" s="985"/>
      <c r="EW3465" s="985"/>
      <c r="EX3465" s="387"/>
      <c r="EY3465" s="939"/>
      <c r="EZ3465" s="886"/>
    </row>
    <row r="3466" spans="148:156">
      <c r="EV3466" s="985"/>
      <c r="EW3466" s="985"/>
      <c r="EX3466" s="387"/>
      <c r="EY3466" s="939"/>
      <c r="EZ3466" s="886"/>
    </row>
    <row r="3467" spans="148:156">
      <c r="EV3467" s="985"/>
      <c r="EW3467" s="985"/>
      <c r="EX3467" s="387"/>
      <c r="EY3467" s="939"/>
      <c r="EZ3467" s="886"/>
    </row>
    <row r="3468" spans="148:156">
      <c r="EV3468" s="985"/>
      <c r="EW3468" s="985"/>
      <c r="EX3468" s="387"/>
      <c r="EY3468" s="939"/>
      <c r="EZ3468" s="886"/>
    </row>
    <row r="3469" spans="148:156">
      <c r="EV3469" s="985"/>
      <c r="EW3469" s="985"/>
      <c r="EX3469" s="387"/>
      <c r="EY3469" s="939"/>
      <c r="EZ3469" s="886"/>
    </row>
    <row r="3470" spans="148:156">
      <c r="EV3470" s="985"/>
      <c r="EW3470" s="985"/>
      <c r="EX3470" s="387"/>
      <c r="EY3470" s="939"/>
      <c r="EZ3470" s="886"/>
    </row>
    <row r="3471" spans="148:156">
      <c r="EV3471" s="985"/>
      <c r="EW3471" s="985"/>
      <c r="EX3471" s="387"/>
      <c r="EY3471" s="939"/>
      <c r="EZ3471" s="886"/>
    </row>
    <row r="3472" spans="148:156">
      <c r="EV3472" s="985"/>
      <c r="EW3472" s="985"/>
      <c r="EX3472" s="387"/>
      <c r="EY3472" s="939"/>
      <c r="EZ3472" s="886"/>
    </row>
    <row r="3473" spans="152:156">
      <c r="EV3473" s="985"/>
      <c r="EW3473" s="985"/>
      <c r="EX3473" s="387"/>
      <c r="EY3473" s="939"/>
      <c r="EZ3473" s="886"/>
    </row>
    <row r="3474" spans="152:156">
      <c r="EV3474" s="985"/>
      <c r="EW3474" s="985"/>
      <c r="EX3474" s="387"/>
      <c r="EY3474" s="939"/>
      <c r="EZ3474" s="886"/>
    </row>
    <row r="3475" spans="152:156">
      <c r="EV3475" s="985"/>
      <c r="EW3475" s="985"/>
      <c r="EX3475" s="387"/>
      <c r="EY3475" s="939"/>
      <c r="EZ3475" s="886"/>
    </row>
    <row r="3476" spans="152:156">
      <c r="EV3476" s="985"/>
      <c r="EW3476" s="985"/>
      <c r="EX3476" s="387"/>
      <c r="EY3476" s="939"/>
      <c r="EZ3476" s="886"/>
    </row>
    <row r="3477" spans="152:156">
      <c r="EV3477" s="985"/>
      <c r="EW3477" s="985"/>
      <c r="EX3477" s="387"/>
      <c r="EY3477" s="939"/>
      <c r="EZ3477" s="886"/>
    </row>
    <row r="3478" spans="152:156">
      <c r="EV3478" s="985"/>
      <c r="EW3478" s="985"/>
      <c r="EX3478" s="387"/>
      <c r="EY3478" s="939"/>
      <c r="EZ3478" s="886"/>
    </row>
    <row r="3479" spans="152:156">
      <c r="EV3479" s="985"/>
      <c r="EW3479" s="985"/>
      <c r="EX3479" s="387"/>
      <c r="EY3479" s="939"/>
      <c r="EZ3479" s="886"/>
    </row>
    <row r="3480" spans="152:156">
      <c r="EV3480" s="985"/>
      <c r="EW3480" s="985"/>
      <c r="EX3480" s="387"/>
      <c r="EY3480" s="939"/>
      <c r="EZ3480" s="886"/>
    </row>
    <row r="3481" spans="152:156">
      <c r="EV3481" s="985"/>
      <c r="EW3481" s="985"/>
      <c r="EX3481" s="387"/>
      <c r="EY3481" s="939"/>
      <c r="EZ3481" s="886"/>
    </row>
    <row r="3482" spans="152:156">
      <c r="EV3482" s="985"/>
      <c r="EW3482" s="985"/>
      <c r="EX3482" s="387"/>
      <c r="EY3482" s="939"/>
      <c r="EZ3482" s="886"/>
    </row>
    <row r="3483" spans="152:156">
      <c r="EV3483" s="985"/>
      <c r="EW3483" s="985"/>
      <c r="EX3483" s="387"/>
      <c r="EY3483" s="939"/>
      <c r="EZ3483" s="886"/>
    </row>
    <row r="3484" spans="152:156">
      <c r="EV3484" s="985"/>
      <c r="EW3484" s="985"/>
      <c r="EX3484" s="387"/>
      <c r="EY3484" s="939"/>
      <c r="EZ3484" s="886"/>
    </row>
    <row r="3485" spans="152:156">
      <c r="EV3485" s="985"/>
      <c r="EW3485" s="985"/>
      <c r="EX3485" s="387"/>
      <c r="EY3485" s="939"/>
      <c r="EZ3485" s="886"/>
    </row>
    <row r="3486" spans="152:156">
      <c r="EV3486" s="985"/>
      <c r="EW3486" s="985"/>
      <c r="EX3486" s="387"/>
      <c r="EY3486" s="939"/>
      <c r="EZ3486" s="886"/>
    </row>
    <row r="3487" spans="152:156">
      <c r="EV3487" s="985"/>
      <c r="EW3487" s="985"/>
      <c r="EX3487" s="387"/>
      <c r="EY3487" s="939"/>
      <c r="EZ3487" s="886"/>
    </row>
    <row r="3488" spans="152:156">
      <c r="EV3488" s="985"/>
      <c r="EW3488" s="985"/>
      <c r="EX3488" s="387"/>
      <c r="EY3488" s="939"/>
      <c r="EZ3488" s="886"/>
    </row>
    <row r="3489" spans="152:156">
      <c r="EV3489" s="985"/>
      <c r="EW3489" s="985"/>
      <c r="EX3489" s="387"/>
      <c r="EY3489" s="939"/>
      <c r="EZ3489" s="886"/>
    </row>
    <row r="3490" spans="152:156">
      <c r="EV3490" s="985"/>
      <c r="EW3490" s="985"/>
      <c r="EX3490" s="387"/>
      <c r="EY3490" s="939"/>
      <c r="EZ3490" s="886"/>
    </row>
    <row r="3491" spans="152:156">
      <c r="EV3491" s="985"/>
      <c r="EW3491" s="985"/>
      <c r="EX3491" s="387"/>
      <c r="EY3491" s="939"/>
      <c r="EZ3491" s="886"/>
    </row>
    <row r="3492" spans="152:156">
      <c r="EV3492" s="985"/>
      <c r="EW3492" s="985"/>
      <c r="EX3492" s="387"/>
      <c r="EY3492" s="939"/>
      <c r="EZ3492" s="886"/>
    </row>
    <row r="3493" spans="152:156">
      <c r="EV3493" s="985"/>
      <c r="EW3493" s="985"/>
      <c r="EX3493" s="387"/>
      <c r="EY3493" s="939"/>
      <c r="EZ3493" s="886"/>
    </row>
    <row r="3494" spans="152:156">
      <c r="EV3494" s="985"/>
      <c r="EW3494" s="985"/>
      <c r="EX3494" s="387"/>
      <c r="EY3494" s="939"/>
      <c r="EZ3494" s="886"/>
    </row>
    <row r="3495" spans="152:156">
      <c r="EV3495" s="985"/>
      <c r="EW3495" s="985"/>
      <c r="EX3495" s="387"/>
      <c r="EY3495" s="939"/>
      <c r="EZ3495" s="886"/>
    </row>
    <row r="3496" spans="152:156">
      <c r="EV3496" s="985"/>
      <c r="EW3496" s="985"/>
      <c r="EX3496" s="387"/>
      <c r="EY3496" s="939"/>
      <c r="EZ3496" s="886"/>
    </row>
    <row r="3497" spans="152:156">
      <c r="EV3497" s="985"/>
      <c r="EW3497" s="985"/>
      <c r="EX3497" s="387"/>
      <c r="EY3497" s="939"/>
      <c r="EZ3497" s="886"/>
    </row>
    <row r="3498" spans="152:156">
      <c r="EV3498" s="985"/>
      <c r="EW3498" s="985"/>
      <c r="EX3498" s="387"/>
      <c r="EY3498" s="939"/>
      <c r="EZ3498" s="886"/>
    </row>
    <row r="3499" spans="152:156">
      <c r="EV3499" s="985"/>
      <c r="EW3499" s="985"/>
      <c r="EX3499" s="387"/>
      <c r="EY3499" s="939"/>
      <c r="EZ3499" s="886"/>
    </row>
    <row r="3500" spans="152:156">
      <c r="EV3500" s="985"/>
      <c r="EW3500" s="985"/>
      <c r="EX3500" s="387"/>
      <c r="EY3500" s="939"/>
      <c r="EZ3500" s="886"/>
    </row>
    <row r="3501" spans="152:156">
      <c r="EV3501" s="985"/>
      <c r="EW3501" s="985"/>
      <c r="EX3501" s="387"/>
      <c r="EY3501" s="939"/>
      <c r="EZ3501" s="886"/>
    </row>
    <row r="3502" spans="152:156">
      <c r="EV3502" s="985"/>
      <c r="EW3502" s="985"/>
      <c r="EX3502" s="387"/>
      <c r="EY3502" s="939"/>
      <c r="EZ3502" s="886"/>
    </row>
    <row r="3503" spans="152:156">
      <c r="EV3503" s="985"/>
      <c r="EW3503" s="985"/>
      <c r="EX3503" s="387"/>
      <c r="EY3503" s="939"/>
      <c r="EZ3503" s="886"/>
    </row>
    <row r="3504" spans="152:156">
      <c r="EV3504" s="985"/>
      <c r="EW3504" s="985"/>
      <c r="EX3504" s="387"/>
      <c r="EY3504" s="939"/>
      <c r="EZ3504" s="886"/>
    </row>
    <row r="3505" spans="152:156">
      <c r="EV3505" s="985"/>
      <c r="EW3505" s="985"/>
      <c r="EX3505" s="387"/>
      <c r="EY3505" s="939"/>
      <c r="EZ3505" s="886"/>
    </row>
    <row r="3506" spans="152:156">
      <c r="EV3506" s="985"/>
      <c r="EW3506" s="985"/>
      <c r="EX3506" s="387"/>
      <c r="EY3506" s="939"/>
      <c r="EZ3506" s="886"/>
    </row>
    <row r="3507" spans="152:156">
      <c r="EV3507" s="985"/>
      <c r="EW3507" s="985"/>
      <c r="EX3507" s="387"/>
      <c r="EY3507" s="939"/>
      <c r="EZ3507" s="886"/>
    </row>
    <row r="3508" spans="152:156">
      <c r="EV3508" s="985"/>
      <c r="EW3508" s="985"/>
      <c r="EX3508" s="387"/>
      <c r="EY3508" s="939"/>
      <c r="EZ3508" s="886"/>
    </row>
    <row r="3509" spans="152:156">
      <c r="EV3509" s="985"/>
      <c r="EW3509" s="985"/>
      <c r="EX3509" s="387"/>
      <c r="EY3509" s="939"/>
      <c r="EZ3509" s="886"/>
    </row>
    <row r="3510" spans="152:156">
      <c r="EV3510" s="985"/>
      <c r="EW3510" s="985"/>
      <c r="EX3510" s="387"/>
      <c r="EY3510" s="939"/>
      <c r="EZ3510" s="886"/>
    </row>
    <row r="3511" spans="152:156">
      <c r="EV3511" s="985"/>
      <c r="EW3511" s="985"/>
      <c r="EX3511" s="387"/>
      <c r="EY3511" s="939"/>
      <c r="EZ3511" s="886"/>
    </row>
    <row r="3512" spans="152:156">
      <c r="EV3512" s="985"/>
      <c r="EW3512" s="985"/>
      <c r="EX3512" s="387"/>
      <c r="EY3512" s="939"/>
      <c r="EZ3512" s="886"/>
    </row>
    <row r="3513" spans="152:156">
      <c r="EV3513" s="985"/>
      <c r="EW3513" s="985"/>
      <c r="EX3513" s="387"/>
      <c r="EY3513" s="939"/>
      <c r="EZ3513" s="886"/>
    </row>
    <row r="3514" spans="152:156">
      <c r="EV3514" s="985"/>
      <c r="EW3514" s="985"/>
      <c r="EX3514" s="387"/>
      <c r="EY3514" s="939"/>
      <c r="EZ3514" s="886"/>
    </row>
    <row r="3515" spans="152:156">
      <c r="EV3515" s="985"/>
      <c r="EW3515" s="985"/>
      <c r="EX3515" s="387"/>
      <c r="EY3515" s="939"/>
      <c r="EZ3515" s="886"/>
    </row>
    <row r="3516" spans="152:156">
      <c r="EV3516" s="985"/>
      <c r="EW3516" s="985"/>
      <c r="EX3516" s="387"/>
      <c r="EY3516" s="939"/>
      <c r="EZ3516" s="886"/>
    </row>
    <row r="3517" spans="152:156">
      <c r="EV3517" s="985"/>
      <c r="EW3517" s="985"/>
      <c r="EX3517" s="387"/>
      <c r="EY3517" s="939"/>
      <c r="EZ3517" s="886"/>
    </row>
    <row r="3518" spans="152:156">
      <c r="EV3518" s="985"/>
      <c r="EW3518" s="985"/>
      <c r="EX3518" s="387"/>
      <c r="EY3518" s="939"/>
      <c r="EZ3518" s="886"/>
    </row>
    <row r="3519" spans="152:156">
      <c r="EV3519" s="985"/>
      <c r="EW3519" s="985"/>
      <c r="EX3519" s="387"/>
      <c r="EY3519" s="939"/>
      <c r="EZ3519" s="886"/>
    </row>
    <row r="3520" spans="152:156">
      <c r="EV3520" s="985"/>
      <c r="EW3520" s="985"/>
      <c r="EX3520" s="387"/>
      <c r="EY3520" s="939"/>
      <c r="EZ3520" s="886"/>
    </row>
    <row r="3521" spans="152:156">
      <c r="EV3521" s="985"/>
      <c r="EW3521" s="985"/>
      <c r="EX3521" s="387"/>
      <c r="EY3521" s="939"/>
      <c r="EZ3521" s="886"/>
    </row>
    <row r="3522" spans="152:156">
      <c r="EV3522" s="985"/>
      <c r="EW3522" s="985"/>
      <c r="EX3522" s="387"/>
      <c r="EY3522" s="939"/>
      <c r="EZ3522" s="886"/>
    </row>
    <row r="3523" spans="152:156">
      <c r="EV3523" s="985"/>
      <c r="EW3523" s="985"/>
      <c r="EX3523" s="387"/>
      <c r="EY3523" s="939"/>
      <c r="EZ3523" s="886"/>
    </row>
    <row r="3524" spans="152:156">
      <c r="EV3524" s="985"/>
      <c r="EW3524" s="985"/>
      <c r="EX3524" s="387"/>
      <c r="EY3524" s="939"/>
      <c r="EZ3524" s="886"/>
    </row>
    <row r="3525" spans="152:156">
      <c r="EV3525" s="985"/>
      <c r="EW3525" s="985"/>
      <c r="EX3525" s="387"/>
      <c r="EY3525" s="939"/>
      <c r="EZ3525" s="886"/>
    </row>
    <row r="3526" spans="152:156">
      <c r="EV3526" s="985"/>
      <c r="EW3526" s="985"/>
      <c r="EX3526" s="387"/>
      <c r="EY3526" s="939"/>
      <c r="EZ3526" s="886"/>
    </row>
    <row r="3527" spans="152:156">
      <c r="EV3527" s="985"/>
      <c r="EW3527" s="985"/>
      <c r="EX3527" s="387"/>
      <c r="EY3527" s="939"/>
      <c r="EZ3527" s="886"/>
    </row>
    <row r="3528" spans="152:156">
      <c r="EV3528" s="985"/>
      <c r="EW3528" s="985"/>
      <c r="EX3528" s="387"/>
      <c r="EY3528" s="939"/>
      <c r="EZ3528" s="886"/>
    </row>
    <row r="3529" spans="152:156">
      <c r="EV3529" s="985"/>
      <c r="EW3529" s="985"/>
      <c r="EX3529" s="387"/>
      <c r="EY3529" s="939"/>
      <c r="EZ3529" s="886"/>
    </row>
    <row r="3530" spans="152:156">
      <c r="EV3530" s="985"/>
      <c r="EW3530" s="985"/>
      <c r="EX3530" s="387"/>
      <c r="EY3530" s="939"/>
      <c r="EZ3530" s="886"/>
    </row>
    <row r="3531" spans="152:156">
      <c r="EV3531" s="985"/>
      <c r="EW3531" s="985"/>
      <c r="EX3531" s="387"/>
      <c r="EY3531" s="939"/>
      <c r="EZ3531" s="886"/>
    </row>
    <row r="3532" spans="152:156">
      <c r="EV3532" s="985"/>
      <c r="EW3532" s="985"/>
      <c r="EX3532" s="387"/>
      <c r="EY3532" s="939"/>
      <c r="EZ3532" s="886"/>
    </row>
    <row r="3533" spans="152:156">
      <c r="EV3533" s="985"/>
      <c r="EW3533" s="985"/>
      <c r="EX3533" s="387"/>
      <c r="EY3533" s="939"/>
      <c r="EZ3533" s="886"/>
    </row>
    <row r="3534" spans="152:156">
      <c r="EV3534" s="985"/>
      <c r="EW3534" s="985"/>
      <c r="EX3534" s="387"/>
      <c r="EY3534" s="939"/>
      <c r="EZ3534" s="886"/>
    </row>
    <row r="3535" spans="152:156">
      <c r="EV3535" s="985"/>
      <c r="EW3535" s="985"/>
      <c r="EX3535" s="387"/>
      <c r="EY3535" s="939"/>
      <c r="EZ3535" s="886"/>
    </row>
    <row r="3536" spans="152:156">
      <c r="EV3536" s="985"/>
      <c r="EW3536" s="985"/>
      <c r="EX3536" s="387"/>
      <c r="EY3536" s="939"/>
      <c r="EZ3536" s="886"/>
    </row>
    <row r="3537" spans="152:156">
      <c r="EV3537" s="985"/>
      <c r="EW3537" s="985"/>
      <c r="EX3537" s="387"/>
      <c r="EY3537" s="939"/>
      <c r="EZ3537" s="886"/>
    </row>
    <row r="3538" spans="152:156">
      <c r="EV3538" s="985"/>
      <c r="EW3538" s="985"/>
      <c r="EX3538" s="387"/>
      <c r="EY3538" s="939"/>
      <c r="EZ3538" s="886"/>
    </row>
    <row r="3539" spans="152:156">
      <c r="EV3539" s="985"/>
      <c r="EW3539" s="985"/>
      <c r="EX3539" s="387"/>
      <c r="EY3539" s="939"/>
      <c r="EZ3539" s="886"/>
    </row>
    <row r="3540" spans="152:156">
      <c r="EV3540" s="985"/>
      <c r="EW3540" s="985"/>
      <c r="EX3540" s="387"/>
      <c r="EY3540" s="939"/>
      <c r="EZ3540" s="886"/>
    </row>
    <row r="3541" spans="152:156">
      <c r="EV3541" s="985"/>
      <c r="EW3541" s="985"/>
      <c r="EX3541" s="387"/>
      <c r="EY3541" s="939"/>
      <c r="EZ3541" s="886"/>
    </row>
    <row r="3542" spans="152:156">
      <c r="EV3542" s="985"/>
      <c r="EW3542" s="985"/>
      <c r="EX3542" s="387"/>
      <c r="EY3542" s="939"/>
      <c r="EZ3542" s="886"/>
    </row>
    <row r="3543" spans="152:156">
      <c r="EV3543" s="985"/>
      <c r="EW3543" s="985"/>
      <c r="EX3543" s="387"/>
      <c r="EY3543" s="939"/>
      <c r="EZ3543" s="886"/>
    </row>
    <row r="3544" spans="152:156">
      <c r="EV3544" s="985"/>
      <c r="EW3544" s="985"/>
      <c r="EX3544" s="387"/>
      <c r="EY3544" s="939"/>
      <c r="EZ3544" s="886"/>
    </row>
    <row r="3545" spans="152:156">
      <c r="EV3545" s="985"/>
      <c r="EW3545" s="985"/>
      <c r="EX3545" s="387"/>
      <c r="EY3545" s="939"/>
      <c r="EZ3545" s="886"/>
    </row>
    <row r="3546" spans="152:156">
      <c r="EV3546" s="985"/>
      <c r="EW3546" s="985"/>
      <c r="EX3546" s="387"/>
      <c r="EY3546" s="939"/>
      <c r="EZ3546" s="886"/>
    </row>
    <row r="3547" spans="152:156">
      <c r="EV3547" s="985"/>
      <c r="EW3547" s="985"/>
      <c r="EX3547" s="387"/>
      <c r="EY3547" s="939"/>
      <c r="EZ3547" s="886"/>
    </row>
    <row r="3548" spans="152:156">
      <c r="EV3548" s="985"/>
      <c r="EW3548" s="985"/>
      <c r="EX3548" s="387"/>
      <c r="EY3548" s="939"/>
      <c r="EZ3548" s="886"/>
    </row>
    <row r="3549" spans="152:156">
      <c r="EV3549" s="985"/>
      <c r="EW3549" s="985"/>
      <c r="EX3549" s="387"/>
      <c r="EY3549" s="939"/>
      <c r="EZ3549" s="886"/>
    </row>
    <row r="3550" spans="152:156">
      <c r="EV3550" s="985"/>
      <c r="EW3550" s="985"/>
      <c r="EX3550" s="387"/>
      <c r="EY3550" s="939"/>
      <c r="EZ3550" s="886"/>
    </row>
    <row r="3551" spans="152:156">
      <c r="EV3551" s="985"/>
      <c r="EW3551" s="985"/>
      <c r="EX3551" s="387"/>
      <c r="EY3551" s="939"/>
      <c r="EZ3551" s="886"/>
    </row>
    <row r="3552" spans="152:156">
      <c r="EV3552" s="985"/>
      <c r="EW3552" s="985"/>
      <c r="EX3552" s="387"/>
      <c r="EY3552" s="939"/>
      <c r="EZ3552" s="886"/>
    </row>
    <row r="3553" spans="152:156">
      <c r="EV3553" s="985"/>
      <c r="EW3553" s="985"/>
      <c r="EX3553" s="387"/>
      <c r="EY3553" s="939"/>
      <c r="EZ3553" s="886"/>
    </row>
    <row r="3554" spans="152:156">
      <c r="EV3554" s="985"/>
      <c r="EW3554" s="985"/>
      <c r="EX3554" s="387"/>
      <c r="EY3554" s="939"/>
      <c r="EZ3554" s="886"/>
    </row>
    <row r="3555" spans="152:156">
      <c r="EV3555" s="985"/>
      <c r="EW3555" s="985"/>
      <c r="EX3555" s="387"/>
      <c r="EY3555" s="939"/>
      <c r="EZ3555" s="886"/>
    </row>
    <row r="3556" spans="152:156">
      <c r="EV3556" s="985"/>
      <c r="EW3556" s="985"/>
      <c r="EX3556" s="387"/>
      <c r="EY3556" s="939"/>
      <c r="EZ3556" s="886"/>
    </row>
    <row r="3557" spans="152:156">
      <c r="EV3557" s="985"/>
      <c r="EW3557" s="985"/>
      <c r="EX3557" s="387"/>
      <c r="EY3557" s="939"/>
      <c r="EZ3557" s="886"/>
    </row>
    <row r="3558" spans="152:156">
      <c r="EV3558" s="985"/>
      <c r="EW3558" s="985"/>
      <c r="EX3558" s="387"/>
      <c r="EY3558" s="939"/>
      <c r="EZ3558" s="886"/>
    </row>
    <row r="3559" spans="152:156">
      <c r="EV3559" s="985"/>
      <c r="EW3559" s="985"/>
      <c r="EX3559" s="387"/>
      <c r="EY3559" s="939"/>
      <c r="EZ3559" s="886"/>
    </row>
    <row r="3560" spans="152:156">
      <c r="EV3560" s="985"/>
      <c r="EW3560" s="985"/>
      <c r="EX3560" s="387"/>
      <c r="EY3560" s="939"/>
      <c r="EZ3560" s="886"/>
    </row>
    <row r="3561" spans="152:156">
      <c r="EV3561" s="985"/>
      <c r="EW3561" s="985"/>
      <c r="EX3561" s="387"/>
      <c r="EY3561" s="939"/>
      <c r="EZ3561" s="886"/>
    </row>
    <row r="3562" spans="152:156">
      <c r="EV3562" s="985"/>
      <c r="EW3562" s="985"/>
      <c r="EX3562" s="387"/>
      <c r="EY3562" s="939"/>
      <c r="EZ3562" s="886"/>
    </row>
    <row r="3563" spans="152:156">
      <c r="EV3563" s="985"/>
      <c r="EW3563" s="985"/>
      <c r="EX3563" s="387"/>
      <c r="EY3563" s="939"/>
      <c r="EZ3563" s="886"/>
    </row>
    <row r="3564" spans="152:156">
      <c r="EV3564" s="985"/>
      <c r="EW3564" s="985"/>
      <c r="EX3564" s="387"/>
      <c r="EY3564" s="939"/>
      <c r="EZ3564" s="886"/>
    </row>
    <row r="3565" spans="152:156">
      <c r="EV3565" s="985"/>
      <c r="EW3565" s="985"/>
      <c r="EX3565" s="387"/>
      <c r="EY3565" s="939"/>
      <c r="EZ3565" s="886"/>
    </row>
    <row r="3566" spans="152:156">
      <c r="EV3566" s="985"/>
      <c r="EW3566" s="985"/>
      <c r="EX3566" s="387"/>
      <c r="EY3566" s="939"/>
      <c r="EZ3566" s="886"/>
    </row>
    <row r="3567" spans="152:156">
      <c r="EV3567" s="985"/>
      <c r="EW3567" s="985"/>
      <c r="EX3567" s="387"/>
      <c r="EY3567" s="939"/>
      <c r="EZ3567" s="886"/>
    </row>
    <row r="3568" spans="152:156">
      <c r="EV3568" s="985"/>
      <c r="EW3568" s="985"/>
      <c r="EX3568" s="387"/>
      <c r="EY3568" s="939"/>
      <c r="EZ3568" s="886"/>
    </row>
    <row r="3569" spans="152:156">
      <c r="EV3569" s="985"/>
      <c r="EW3569" s="985"/>
      <c r="EX3569" s="387"/>
      <c r="EY3569" s="939"/>
      <c r="EZ3569" s="886"/>
    </row>
    <row r="3570" spans="152:156">
      <c r="EV3570" s="985"/>
      <c r="EW3570" s="985"/>
      <c r="EX3570" s="387"/>
      <c r="EY3570" s="939"/>
      <c r="EZ3570" s="886"/>
    </row>
    <row r="3571" spans="152:156">
      <c r="EV3571" s="985"/>
      <c r="EW3571" s="985"/>
      <c r="EX3571" s="387"/>
      <c r="EY3571" s="939"/>
      <c r="EZ3571" s="886"/>
    </row>
    <row r="3572" spans="152:156">
      <c r="EV3572" s="985"/>
      <c r="EW3572" s="985"/>
      <c r="EX3572" s="387"/>
      <c r="EY3572" s="939"/>
      <c r="EZ3572" s="886"/>
    </row>
    <row r="3573" spans="152:156">
      <c r="EV3573" s="985"/>
      <c r="EW3573" s="985"/>
      <c r="EX3573" s="387"/>
      <c r="EY3573" s="939"/>
      <c r="EZ3573" s="886"/>
    </row>
    <row r="3574" spans="152:156">
      <c r="EV3574" s="985"/>
      <c r="EW3574" s="985"/>
      <c r="EX3574" s="387"/>
      <c r="EY3574" s="939"/>
      <c r="EZ3574" s="886"/>
    </row>
    <row r="3575" spans="152:156">
      <c r="EV3575" s="985"/>
      <c r="EW3575" s="985"/>
      <c r="EX3575" s="387"/>
      <c r="EY3575" s="939"/>
      <c r="EZ3575" s="886"/>
    </row>
    <row r="3576" spans="152:156">
      <c r="EV3576" s="985"/>
      <c r="EW3576" s="985"/>
      <c r="EX3576" s="387"/>
      <c r="EY3576" s="939"/>
      <c r="EZ3576" s="886"/>
    </row>
    <row r="3577" spans="152:156">
      <c r="EV3577" s="985"/>
      <c r="EW3577" s="985"/>
      <c r="EX3577" s="387"/>
      <c r="EY3577" s="939"/>
      <c r="EZ3577" s="886"/>
    </row>
    <row r="3578" spans="152:156">
      <c r="EV3578" s="985"/>
      <c r="EW3578" s="985"/>
      <c r="EX3578" s="387"/>
      <c r="EY3578" s="939"/>
      <c r="EZ3578" s="886"/>
    </row>
    <row r="3579" spans="152:156">
      <c r="EV3579" s="985"/>
      <c r="EW3579" s="985"/>
      <c r="EX3579" s="387"/>
      <c r="EY3579" s="939"/>
      <c r="EZ3579" s="886"/>
    </row>
    <row r="3580" spans="152:156">
      <c r="EV3580" s="985"/>
      <c r="EW3580" s="985"/>
      <c r="EX3580" s="387"/>
      <c r="EY3580" s="939"/>
      <c r="EZ3580" s="886"/>
    </row>
    <row r="3581" spans="152:156">
      <c r="EV3581" s="985"/>
      <c r="EW3581" s="985"/>
      <c r="EX3581" s="387"/>
      <c r="EY3581" s="939"/>
      <c r="EZ3581" s="886"/>
    </row>
    <row r="3582" spans="152:156">
      <c r="EV3582" s="985"/>
      <c r="EW3582" s="985"/>
      <c r="EX3582" s="387"/>
      <c r="EY3582" s="939"/>
      <c r="EZ3582" s="886"/>
    </row>
    <row r="3583" spans="152:156">
      <c r="EV3583" s="985"/>
      <c r="EW3583" s="985"/>
      <c r="EX3583" s="387"/>
      <c r="EY3583" s="939"/>
      <c r="EZ3583" s="886"/>
    </row>
    <row r="3584" spans="152:156">
      <c r="EV3584" s="985"/>
      <c r="EW3584" s="985"/>
      <c r="EX3584" s="387"/>
      <c r="EY3584" s="939"/>
      <c r="EZ3584" s="886"/>
    </row>
    <row r="3585" spans="152:156">
      <c r="EV3585" s="985"/>
      <c r="EW3585" s="985"/>
      <c r="EX3585" s="387"/>
      <c r="EY3585" s="939"/>
      <c r="EZ3585" s="886"/>
    </row>
    <row r="3586" spans="152:156">
      <c r="EV3586" s="985"/>
      <c r="EW3586" s="985"/>
      <c r="EX3586" s="387"/>
      <c r="EY3586" s="939"/>
      <c r="EZ3586" s="886"/>
    </row>
    <row r="3587" spans="152:156">
      <c r="EV3587" s="985"/>
      <c r="EW3587" s="985"/>
      <c r="EX3587" s="387"/>
      <c r="EY3587" s="939"/>
      <c r="EZ3587" s="886"/>
    </row>
    <row r="3588" spans="152:156">
      <c r="EV3588" s="985"/>
      <c r="EW3588" s="985"/>
      <c r="EX3588" s="387"/>
      <c r="EY3588" s="939"/>
      <c r="EZ3588" s="886"/>
    </row>
    <row r="3589" spans="152:156">
      <c r="EV3589" s="985"/>
      <c r="EW3589" s="985"/>
      <c r="EX3589" s="387"/>
      <c r="EY3589" s="939"/>
      <c r="EZ3589" s="886"/>
    </row>
    <row r="3590" spans="152:156">
      <c r="EV3590" s="985"/>
      <c r="EW3590" s="985"/>
      <c r="EX3590" s="387"/>
      <c r="EY3590" s="939"/>
      <c r="EZ3590" s="886"/>
    </row>
    <row r="3591" spans="152:156">
      <c r="EV3591" s="985"/>
      <c r="EW3591" s="985"/>
      <c r="EX3591" s="387"/>
      <c r="EY3591" s="939"/>
      <c r="EZ3591" s="886"/>
    </row>
    <row r="3592" spans="152:156">
      <c r="EV3592" s="985"/>
      <c r="EW3592" s="985"/>
      <c r="EX3592" s="387"/>
      <c r="EY3592" s="939"/>
      <c r="EZ3592" s="886"/>
    </row>
    <row r="3593" spans="152:156">
      <c r="EV3593" s="985"/>
      <c r="EW3593" s="985"/>
      <c r="EX3593" s="387"/>
      <c r="EY3593" s="939"/>
      <c r="EZ3593" s="886"/>
    </row>
    <row r="3594" spans="152:156">
      <c r="EV3594" s="985"/>
      <c r="EW3594" s="985"/>
      <c r="EX3594" s="387"/>
      <c r="EY3594" s="939"/>
      <c r="EZ3594" s="886"/>
    </row>
    <row r="3595" spans="152:156">
      <c r="EV3595" s="985"/>
      <c r="EW3595" s="985"/>
      <c r="EX3595" s="387"/>
      <c r="EY3595" s="939"/>
      <c r="EZ3595" s="886"/>
    </row>
    <row r="3596" spans="152:156">
      <c r="EV3596" s="985"/>
      <c r="EW3596" s="985"/>
      <c r="EX3596" s="387"/>
      <c r="EY3596" s="939"/>
      <c r="EZ3596" s="886"/>
    </row>
    <row r="3597" spans="152:156">
      <c r="EV3597" s="985"/>
      <c r="EW3597" s="985"/>
      <c r="EX3597" s="387"/>
      <c r="EY3597" s="939"/>
      <c r="EZ3597" s="886"/>
    </row>
    <row r="3598" spans="152:156">
      <c r="EV3598" s="985"/>
      <c r="EW3598" s="985"/>
      <c r="EX3598" s="387"/>
      <c r="EY3598" s="939"/>
      <c r="EZ3598" s="886"/>
    </row>
    <row r="3599" spans="152:156">
      <c r="EV3599" s="985"/>
      <c r="EW3599" s="985"/>
      <c r="EX3599" s="387"/>
      <c r="EY3599" s="939"/>
      <c r="EZ3599" s="886"/>
    </row>
    <row r="3600" spans="152:156">
      <c r="EV3600" s="985"/>
      <c r="EW3600" s="985"/>
      <c r="EX3600" s="387"/>
      <c r="EY3600" s="939"/>
      <c r="EZ3600" s="886"/>
    </row>
    <row r="3601" spans="152:156">
      <c r="EV3601" s="985"/>
      <c r="EW3601" s="985"/>
      <c r="EX3601" s="387"/>
      <c r="EY3601" s="939"/>
      <c r="EZ3601" s="886"/>
    </row>
    <row r="3602" spans="152:156">
      <c r="EV3602" s="985"/>
      <c r="EW3602" s="985"/>
      <c r="EX3602" s="387"/>
      <c r="EY3602" s="939"/>
      <c r="EZ3602" s="886"/>
    </row>
    <row r="3603" spans="152:156">
      <c r="EV3603" s="985"/>
      <c r="EW3603" s="985"/>
      <c r="EX3603" s="387"/>
      <c r="EY3603" s="939"/>
      <c r="EZ3603" s="886"/>
    </row>
    <row r="3604" spans="152:156">
      <c r="EV3604" s="985"/>
      <c r="EW3604" s="985"/>
      <c r="EX3604" s="387"/>
      <c r="EY3604" s="939"/>
      <c r="EZ3604" s="886"/>
    </row>
    <row r="3605" spans="152:156">
      <c r="EV3605" s="985"/>
      <c r="EW3605" s="985"/>
      <c r="EX3605" s="387"/>
      <c r="EY3605" s="939"/>
      <c r="EZ3605" s="886"/>
    </row>
    <row r="3606" spans="152:156">
      <c r="EV3606" s="985"/>
      <c r="EW3606" s="985"/>
      <c r="EX3606" s="387"/>
      <c r="EY3606" s="939"/>
      <c r="EZ3606" s="886"/>
    </row>
    <row r="3607" spans="152:156">
      <c r="EV3607" s="985"/>
      <c r="EW3607" s="985"/>
      <c r="EX3607" s="387"/>
      <c r="EY3607" s="939"/>
      <c r="EZ3607" s="886"/>
    </row>
    <row r="3608" spans="152:156">
      <c r="EV3608" s="985"/>
      <c r="EW3608" s="985"/>
      <c r="EX3608" s="387"/>
      <c r="EY3608" s="939"/>
      <c r="EZ3608" s="886"/>
    </row>
    <row r="3609" spans="152:156">
      <c r="EV3609" s="985"/>
      <c r="EW3609" s="985"/>
      <c r="EX3609" s="387"/>
      <c r="EY3609" s="939"/>
      <c r="EZ3609" s="886"/>
    </row>
    <row r="3610" spans="152:156">
      <c r="EV3610" s="985"/>
      <c r="EW3610" s="985"/>
      <c r="EX3610" s="387"/>
      <c r="EY3610" s="939"/>
      <c r="EZ3610" s="886"/>
    </row>
    <row r="3611" spans="152:156">
      <c r="EV3611" s="985"/>
      <c r="EW3611" s="985"/>
      <c r="EX3611" s="387"/>
      <c r="EY3611" s="939"/>
      <c r="EZ3611" s="886"/>
    </row>
    <row r="3612" spans="152:156">
      <c r="EV3612" s="985"/>
      <c r="EW3612" s="985"/>
      <c r="EX3612" s="387"/>
      <c r="EY3612" s="939"/>
      <c r="EZ3612" s="886"/>
    </row>
    <row r="3613" spans="152:156">
      <c r="EV3613" s="985"/>
      <c r="EW3613" s="985"/>
      <c r="EX3613" s="387"/>
      <c r="EY3613" s="939"/>
      <c r="EZ3613" s="886"/>
    </row>
    <row r="3614" spans="152:156">
      <c r="EV3614" s="985"/>
      <c r="EW3614" s="985"/>
      <c r="EX3614" s="387"/>
      <c r="EY3614" s="939"/>
      <c r="EZ3614" s="886"/>
    </row>
    <row r="3615" spans="152:156">
      <c r="EV3615" s="985"/>
      <c r="EW3615" s="985"/>
      <c r="EX3615" s="387"/>
      <c r="EY3615" s="939"/>
      <c r="EZ3615" s="886"/>
    </row>
    <row r="3616" spans="152:156">
      <c r="EV3616" s="985"/>
      <c r="EW3616" s="985"/>
      <c r="EX3616" s="387"/>
      <c r="EY3616" s="939"/>
      <c r="EZ3616" s="886"/>
    </row>
    <row r="3617" spans="152:156">
      <c r="EV3617" s="985"/>
      <c r="EW3617" s="985"/>
      <c r="EX3617" s="387"/>
      <c r="EY3617" s="939"/>
      <c r="EZ3617" s="886"/>
    </row>
    <row r="3618" spans="152:156">
      <c r="EV3618" s="985"/>
      <c r="EW3618" s="985"/>
      <c r="EX3618" s="387"/>
      <c r="EY3618" s="939"/>
      <c r="EZ3618" s="886"/>
    </row>
    <row r="3619" spans="152:156">
      <c r="EV3619" s="985"/>
      <c r="EW3619" s="985"/>
      <c r="EX3619" s="387"/>
      <c r="EY3619" s="939"/>
      <c r="EZ3619" s="886"/>
    </row>
    <row r="3620" spans="152:156">
      <c r="EV3620" s="985"/>
      <c r="EW3620" s="985"/>
      <c r="EX3620" s="387"/>
      <c r="EY3620" s="939"/>
      <c r="EZ3620" s="886"/>
    </row>
    <row r="3621" spans="152:156">
      <c r="EV3621" s="985"/>
      <c r="EW3621" s="985"/>
      <c r="EX3621" s="387"/>
      <c r="EY3621" s="939"/>
      <c r="EZ3621" s="886"/>
    </row>
    <row r="3622" spans="152:156">
      <c r="EV3622" s="985"/>
      <c r="EW3622" s="985"/>
      <c r="EX3622" s="387"/>
      <c r="EY3622" s="939"/>
      <c r="EZ3622" s="886"/>
    </row>
    <row r="3623" spans="152:156">
      <c r="EV3623" s="985"/>
      <c r="EW3623" s="985"/>
      <c r="EX3623" s="387"/>
      <c r="EY3623" s="939"/>
      <c r="EZ3623" s="886"/>
    </row>
    <row r="3624" spans="152:156">
      <c r="EV3624" s="985"/>
      <c r="EW3624" s="985"/>
      <c r="EX3624" s="387"/>
      <c r="EY3624" s="939"/>
      <c r="EZ3624" s="886"/>
    </row>
    <row r="3625" spans="152:156">
      <c r="EV3625" s="985"/>
      <c r="EW3625" s="985"/>
      <c r="EX3625" s="387"/>
      <c r="EY3625" s="939"/>
      <c r="EZ3625" s="886"/>
    </row>
    <row r="3626" spans="152:156">
      <c r="EV3626" s="985"/>
      <c r="EW3626" s="985"/>
      <c r="EX3626" s="387"/>
      <c r="EY3626" s="939"/>
      <c r="EZ3626" s="886"/>
    </row>
    <row r="3627" spans="152:156">
      <c r="EV3627" s="985"/>
      <c r="EW3627" s="985"/>
      <c r="EX3627" s="387"/>
      <c r="EY3627" s="939"/>
      <c r="EZ3627" s="886"/>
    </row>
    <row r="3628" spans="152:156">
      <c r="EV3628" s="985"/>
      <c r="EW3628" s="985"/>
      <c r="EX3628" s="387"/>
      <c r="EY3628" s="939"/>
      <c r="EZ3628" s="886"/>
    </row>
    <row r="3629" spans="152:156">
      <c r="EV3629" s="985"/>
      <c r="EW3629" s="985"/>
      <c r="EX3629" s="387"/>
      <c r="EY3629" s="939"/>
      <c r="EZ3629" s="886"/>
    </row>
    <row r="3630" spans="152:156">
      <c r="EV3630" s="985"/>
      <c r="EW3630" s="985"/>
      <c r="EX3630" s="387"/>
      <c r="EY3630" s="939"/>
      <c r="EZ3630" s="886"/>
    </row>
    <row r="3631" spans="152:156">
      <c r="EV3631" s="985"/>
      <c r="EW3631" s="985"/>
      <c r="EX3631" s="387"/>
      <c r="EY3631" s="939"/>
      <c r="EZ3631" s="886"/>
    </row>
    <row r="3632" spans="152:156">
      <c r="EV3632" s="985"/>
      <c r="EW3632" s="985"/>
      <c r="EX3632" s="387"/>
      <c r="EY3632" s="939"/>
      <c r="EZ3632" s="886"/>
    </row>
    <row r="3633" spans="152:156">
      <c r="EV3633" s="985"/>
      <c r="EW3633" s="985"/>
      <c r="EX3633" s="387"/>
      <c r="EY3633" s="939"/>
      <c r="EZ3633" s="886"/>
    </row>
    <row r="3634" spans="152:156">
      <c r="EV3634" s="985"/>
      <c r="EW3634" s="985"/>
      <c r="EX3634" s="387"/>
      <c r="EY3634" s="939"/>
      <c r="EZ3634" s="886"/>
    </row>
    <row r="3635" spans="152:156">
      <c r="EV3635" s="985"/>
      <c r="EW3635" s="985"/>
      <c r="EX3635" s="387"/>
      <c r="EY3635" s="939"/>
      <c r="EZ3635" s="886"/>
    </row>
    <row r="3636" spans="152:156">
      <c r="EV3636" s="985"/>
      <c r="EW3636" s="985"/>
      <c r="EX3636" s="387"/>
      <c r="EY3636" s="939"/>
      <c r="EZ3636" s="886"/>
    </row>
    <row r="3637" spans="152:156">
      <c r="EV3637" s="985"/>
      <c r="EW3637" s="985"/>
      <c r="EX3637" s="387"/>
      <c r="EY3637" s="939"/>
      <c r="EZ3637" s="886"/>
    </row>
    <row r="3638" spans="152:156">
      <c r="EV3638" s="985"/>
      <c r="EW3638" s="985"/>
      <c r="EX3638" s="387"/>
      <c r="EY3638" s="939"/>
      <c r="EZ3638" s="886"/>
    </row>
    <row r="3639" spans="152:156">
      <c r="EV3639" s="985"/>
      <c r="EW3639" s="985"/>
      <c r="EX3639" s="387"/>
      <c r="EY3639" s="939"/>
      <c r="EZ3639" s="886"/>
    </row>
    <row r="3640" spans="152:156">
      <c r="EV3640" s="985"/>
      <c r="EW3640" s="985"/>
      <c r="EX3640" s="387"/>
      <c r="EY3640" s="939"/>
      <c r="EZ3640" s="886"/>
    </row>
    <row r="3641" spans="152:156">
      <c r="EV3641" s="985"/>
      <c r="EW3641" s="985"/>
      <c r="EX3641" s="387"/>
      <c r="EY3641" s="939"/>
      <c r="EZ3641" s="886"/>
    </row>
    <row r="3642" spans="152:156">
      <c r="EV3642" s="985"/>
      <c r="EW3642" s="985"/>
      <c r="EX3642" s="387"/>
      <c r="EY3642" s="939"/>
      <c r="EZ3642" s="886"/>
    </row>
    <row r="3643" spans="152:156">
      <c r="EV3643" s="985"/>
      <c r="EW3643" s="985"/>
      <c r="EX3643" s="387"/>
      <c r="EY3643" s="939"/>
      <c r="EZ3643" s="886"/>
    </row>
    <row r="3644" spans="152:156">
      <c r="EV3644" s="985"/>
      <c r="EW3644" s="985"/>
      <c r="EX3644" s="387"/>
      <c r="EY3644" s="939"/>
      <c r="EZ3644" s="886"/>
    </row>
    <row r="3645" spans="152:156">
      <c r="EV3645" s="985"/>
      <c r="EW3645" s="985"/>
      <c r="EX3645" s="387"/>
      <c r="EY3645" s="939"/>
      <c r="EZ3645" s="886"/>
    </row>
    <row r="3646" spans="152:156">
      <c r="EV3646" s="985"/>
      <c r="EW3646" s="985"/>
      <c r="EX3646" s="387"/>
      <c r="EY3646" s="939"/>
      <c r="EZ3646" s="886"/>
    </row>
    <row r="3647" spans="152:156">
      <c r="EV3647" s="985"/>
      <c r="EW3647" s="985"/>
      <c r="EX3647" s="387"/>
      <c r="EY3647" s="939"/>
      <c r="EZ3647" s="886"/>
    </row>
    <row r="3648" spans="152:156">
      <c r="EV3648" s="985"/>
      <c r="EW3648" s="985"/>
      <c r="EX3648" s="387"/>
      <c r="EY3648" s="939"/>
      <c r="EZ3648" s="886"/>
    </row>
    <row r="3649" spans="152:156">
      <c r="EV3649" s="985"/>
      <c r="EW3649" s="985"/>
      <c r="EX3649" s="387"/>
      <c r="EY3649" s="939"/>
      <c r="EZ3649" s="886"/>
    </row>
    <row r="3650" spans="152:156">
      <c r="EV3650" s="985"/>
      <c r="EW3650" s="985"/>
      <c r="EX3650" s="387"/>
      <c r="EY3650" s="939"/>
      <c r="EZ3650" s="886"/>
    </row>
    <row r="3651" spans="152:156">
      <c r="EV3651" s="985"/>
      <c r="EW3651" s="985"/>
      <c r="EX3651" s="387"/>
      <c r="EY3651" s="939"/>
      <c r="EZ3651" s="886"/>
    </row>
    <row r="3652" spans="152:156">
      <c r="EV3652" s="985"/>
      <c r="EW3652" s="985"/>
      <c r="EX3652" s="387"/>
      <c r="EY3652" s="939"/>
      <c r="EZ3652" s="886"/>
    </row>
    <row r="3653" spans="152:156">
      <c r="EV3653" s="985"/>
      <c r="EW3653" s="985"/>
      <c r="EX3653" s="387"/>
      <c r="EY3653" s="939"/>
      <c r="EZ3653" s="886"/>
    </row>
    <row r="3654" spans="152:156">
      <c r="EV3654" s="985"/>
      <c r="EW3654" s="985"/>
      <c r="EX3654" s="387"/>
      <c r="EY3654" s="939"/>
      <c r="EZ3654" s="886"/>
    </row>
    <row r="3655" spans="152:156">
      <c r="EV3655" s="985"/>
      <c r="EW3655" s="985"/>
      <c r="EX3655" s="387"/>
      <c r="EY3655" s="939"/>
      <c r="EZ3655" s="886"/>
    </row>
    <row r="3656" spans="152:156">
      <c r="EV3656" s="985"/>
      <c r="EW3656" s="985"/>
      <c r="EX3656" s="387"/>
      <c r="EY3656" s="939"/>
      <c r="EZ3656" s="886"/>
    </row>
    <row r="3657" spans="152:156">
      <c r="EV3657" s="985"/>
      <c r="EW3657" s="985"/>
      <c r="EX3657" s="387"/>
      <c r="EY3657" s="939"/>
      <c r="EZ3657" s="886"/>
    </row>
    <row r="3658" spans="152:156">
      <c r="EV3658" s="985"/>
      <c r="EW3658" s="985"/>
      <c r="EX3658" s="387"/>
      <c r="EY3658" s="939"/>
      <c r="EZ3658" s="886"/>
    </row>
    <row r="3659" spans="152:156">
      <c r="EV3659" s="985"/>
      <c r="EW3659" s="985"/>
      <c r="EX3659" s="387"/>
      <c r="EY3659" s="939"/>
      <c r="EZ3659" s="886"/>
    </row>
    <row r="3660" spans="152:156">
      <c r="EV3660" s="985"/>
      <c r="EW3660" s="985"/>
      <c r="EX3660" s="387"/>
      <c r="EY3660" s="939"/>
      <c r="EZ3660" s="886"/>
    </row>
    <row r="3661" spans="152:156">
      <c r="EV3661" s="985"/>
      <c r="EW3661" s="985"/>
      <c r="EX3661" s="387"/>
      <c r="EY3661" s="939"/>
      <c r="EZ3661" s="886"/>
    </row>
    <row r="3662" spans="152:156">
      <c r="EV3662" s="985"/>
      <c r="EW3662" s="985"/>
      <c r="EX3662" s="387"/>
      <c r="EY3662" s="939"/>
      <c r="EZ3662" s="886"/>
    </row>
    <row r="3663" spans="152:156">
      <c r="EV3663" s="985"/>
      <c r="EW3663" s="985"/>
      <c r="EX3663" s="387"/>
      <c r="EY3663" s="939"/>
      <c r="EZ3663" s="886"/>
    </row>
    <row r="3664" spans="152:156">
      <c r="EV3664" s="985"/>
      <c r="EW3664" s="985"/>
      <c r="EX3664" s="387"/>
      <c r="EY3664" s="939"/>
      <c r="EZ3664" s="886"/>
    </row>
    <row r="3665" spans="152:156">
      <c r="EV3665" s="985"/>
      <c r="EW3665" s="985"/>
      <c r="EX3665" s="387"/>
      <c r="EY3665" s="939"/>
      <c r="EZ3665" s="886"/>
    </row>
    <row r="3666" spans="152:156">
      <c r="EV3666" s="985"/>
      <c r="EW3666" s="985"/>
      <c r="EX3666" s="387"/>
      <c r="EY3666" s="939"/>
      <c r="EZ3666" s="886"/>
    </row>
    <row r="3667" spans="152:156">
      <c r="EV3667" s="985"/>
      <c r="EW3667" s="985"/>
      <c r="EX3667" s="387"/>
      <c r="EY3667" s="939"/>
      <c r="EZ3667" s="886"/>
    </row>
    <row r="3668" spans="152:156">
      <c r="EV3668" s="985"/>
      <c r="EW3668" s="985"/>
      <c r="EX3668" s="387"/>
      <c r="EY3668" s="939"/>
      <c r="EZ3668" s="886"/>
    </row>
    <row r="3669" spans="152:156">
      <c r="EV3669" s="985"/>
      <c r="EW3669" s="985"/>
      <c r="EX3669" s="387"/>
      <c r="EY3669" s="939"/>
      <c r="EZ3669" s="886"/>
    </row>
    <row r="3670" spans="152:156">
      <c r="EV3670" s="985"/>
      <c r="EW3670" s="985"/>
      <c r="EX3670" s="387"/>
      <c r="EY3670" s="939"/>
      <c r="EZ3670" s="886"/>
    </row>
    <row r="3671" spans="152:156">
      <c r="EV3671" s="985"/>
      <c r="EW3671" s="985"/>
      <c r="EX3671" s="387"/>
      <c r="EY3671" s="939"/>
      <c r="EZ3671" s="886"/>
    </row>
    <row r="3672" spans="152:156">
      <c r="EV3672" s="985"/>
      <c r="EW3672" s="985"/>
      <c r="EX3672" s="387"/>
      <c r="EY3672" s="939"/>
      <c r="EZ3672" s="886"/>
    </row>
    <row r="3673" spans="152:156">
      <c r="EV3673" s="985"/>
      <c r="EW3673" s="985"/>
      <c r="EX3673" s="387"/>
      <c r="EY3673" s="939"/>
      <c r="EZ3673" s="886"/>
    </row>
    <row r="3674" spans="152:156">
      <c r="EV3674" s="985"/>
      <c r="EW3674" s="985"/>
      <c r="EX3674" s="387"/>
      <c r="EY3674" s="939"/>
      <c r="EZ3674" s="886"/>
    </row>
    <row r="3675" spans="152:156">
      <c r="EV3675" s="985"/>
      <c r="EW3675" s="985"/>
      <c r="EX3675" s="387"/>
      <c r="EY3675" s="939"/>
      <c r="EZ3675" s="886"/>
    </row>
    <row r="3676" spans="152:156">
      <c r="EV3676" s="985"/>
      <c r="EW3676" s="985"/>
      <c r="EX3676" s="387"/>
      <c r="EY3676" s="939"/>
      <c r="EZ3676" s="886"/>
    </row>
    <row r="3677" spans="152:156">
      <c r="EV3677" s="985"/>
      <c r="EW3677" s="985"/>
      <c r="EX3677" s="387"/>
      <c r="EY3677" s="939"/>
      <c r="EZ3677" s="886"/>
    </row>
    <row r="3678" spans="152:156">
      <c r="EV3678" s="985"/>
      <c r="EW3678" s="985"/>
      <c r="EX3678" s="387"/>
      <c r="EY3678" s="939"/>
      <c r="EZ3678" s="886"/>
    </row>
    <row r="3679" spans="152:156">
      <c r="EV3679" s="985"/>
      <c r="EW3679" s="985"/>
      <c r="EX3679" s="387"/>
      <c r="EY3679" s="939"/>
      <c r="EZ3679" s="886"/>
    </row>
    <row r="3680" spans="152:156">
      <c r="EV3680" s="985"/>
      <c r="EW3680" s="985"/>
      <c r="EX3680" s="387"/>
      <c r="EY3680" s="939"/>
      <c r="EZ3680" s="886"/>
    </row>
    <row r="3681" spans="152:156">
      <c r="EV3681" s="985"/>
      <c r="EW3681" s="985"/>
      <c r="EX3681" s="387"/>
      <c r="EY3681" s="939"/>
      <c r="EZ3681" s="886"/>
    </row>
    <row r="3682" spans="152:156">
      <c r="EV3682" s="985"/>
      <c r="EW3682" s="985"/>
      <c r="EX3682" s="387"/>
      <c r="EY3682" s="939"/>
      <c r="EZ3682" s="886"/>
    </row>
    <row r="3683" spans="152:156">
      <c r="EV3683" s="985"/>
      <c r="EW3683" s="985"/>
      <c r="EX3683" s="387"/>
      <c r="EY3683" s="939"/>
      <c r="EZ3683" s="886"/>
    </row>
    <row r="3684" spans="152:156">
      <c r="EV3684" s="985"/>
      <c r="EW3684" s="985"/>
      <c r="EX3684" s="387"/>
      <c r="EY3684" s="939"/>
      <c r="EZ3684" s="886"/>
    </row>
    <row r="3685" spans="152:156">
      <c r="EV3685" s="985"/>
      <c r="EW3685" s="985"/>
      <c r="EX3685" s="387"/>
      <c r="EY3685" s="939"/>
      <c r="EZ3685" s="886"/>
    </row>
    <row r="3686" spans="152:156">
      <c r="EV3686" s="985"/>
      <c r="EW3686" s="985"/>
      <c r="EX3686" s="387"/>
      <c r="EY3686" s="939"/>
      <c r="EZ3686" s="886"/>
    </row>
    <row r="3687" spans="152:156">
      <c r="EV3687" s="985"/>
      <c r="EW3687" s="985"/>
      <c r="EX3687" s="387"/>
      <c r="EY3687" s="939"/>
      <c r="EZ3687" s="886"/>
    </row>
    <row r="3688" spans="152:156">
      <c r="EV3688" s="985"/>
      <c r="EW3688" s="985"/>
      <c r="EX3688" s="387"/>
      <c r="EY3688" s="939"/>
      <c r="EZ3688" s="886"/>
    </row>
    <row r="3689" spans="152:156">
      <c r="EV3689" s="985"/>
      <c r="EW3689" s="985"/>
      <c r="EX3689" s="387"/>
      <c r="EY3689" s="939"/>
      <c r="EZ3689" s="886"/>
    </row>
    <row r="3690" spans="152:156">
      <c r="EV3690" s="985"/>
      <c r="EW3690" s="985"/>
      <c r="EX3690" s="387"/>
      <c r="EY3690" s="939"/>
      <c r="EZ3690" s="886"/>
    </row>
    <row r="3691" spans="152:156">
      <c r="EV3691" s="985"/>
      <c r="EW3691" s="985"/>
      <c r="EX3691" s="387"/>
      <c r="EY3691" s="939"/>
      <c r="EZ3691" s="886"/>
    </row>
    <row r="3692" spans="152:156">
      <c r="EV3692" s="985"/>
      <c r="EW3692" s="985"/>
      <c r="EX3692" s="387"/>
      <c r="EY3692" s="939"/>
      <c r="EZ3692" s="886"/>
    </row>
    <row r="3693" spans="152:156">
      <c r="EV3693" s="985"/>
      <c r="EW3693" s="985"/>
      <c r="EX3693" s="387"/>
      <c r="EY3693" s="939"/>
      <c r="EZ3693" s="886"/>
    </row>
    <row r="3694" spans="152:156">
      <c r="EV3694" s="985"/>
      <c r="EW3694" s="985"/>
      <c r="EX3694" s="387"/>
      <c r="EY3694" s="939"/>
      <c r="EZ3694" s="886"/>
    </row>
    <row r="3695" spans="152:156">
      <c r="EV3695" s="985"/>
      <c r="EW3695" s="985"/>
      <c r="EX3695" s="387"/>
      <c r="EY3695" s="939"/>
      <c r="EZ3695" s="886"/>
    </row>
    <row r="3696" spans="152:156">
      <c r="EV3696" s="985"/>
      <c r="EW3696" s="985"/>
      <c r="EX3696" s="387"/>
      <c r="EY3696" s="939"/>
      <c r="EZ3696" s="886"/>
    </row>
    <row r="3697" spans="152:156">
      <c r="EV3697" s="985"/>
      <c r="EW3697" s="985"/>
      <c r="EX3697" s="387"/>
      <c r="EY3697" s="939"/>
      <c r="EZ3697" s="886"/>
    </row>
    <row r="3698" spans="152:156">
      <c r="EV3698" s="985"/>
      <c r="EW3698" s="985"/>
      <c r="EX3698" s="387"/>
      <c r="EY3698" s="939"/>
      <c r="EZ3698" s="886"/>
    </row>
    <row r="3699" spans="152:156">
      <c r="EV3699" s="985"/>
      <c r="EW3699" s="985"/>
      <c r="EX3699" s="387"/>
      <c r="EY3699" s="939"/>
      <c r="EZ3699" s="886"/>
    </row>
    <row r="3700" spans="152:156">
      <c r="EV3700" s="985"/>
      <c r="EW3700" s="985"/>
      <c r="EX3700" s="387"/>
      <c r="EY3700" s="939"/>
      <c r="EZ3700" s="886"/>
    </row>
    <row r="3701" spans="152:156">
      <c r="EV3701" s="985"/>
      <c r="EW3701" s="985"/>
      <c r="EX3701" s="387"/>
      <c r="EY3701" s="939"/>
      <c r="EZ3701" s="886"/>
    </row>
    <row r="3702" spans="152:156">
      <c r="EV3702" s="985"/>
      <c r="EW3702" s="985"/>
      <c r="EX3702" s="387"/>
      <c r="EY3702" s="939"/>
      <c r="EZ3702" s="886"/>
    </row>
    <row r="3703" spans="152:156">
      <c r="EV3703" s="985"/>
      <c r="EW3703" s="985"/>
      <c r="EX3703" s="387"/>
      <c r="EY3703" s="939"/>
      <c r="EZ3703" s="886"/>
    </row>
    <row r="3704" spans="152:156">
      <c r="EV3704" s="985"/>
      <c r="EW3704" s="985"/>
      <c r="EX3704" s="387"/>
      <c r="EY3704" s="939"/>
      <c r="EZ3704" s="886"/>
    </row>
    <row r="3705" spans="152:156">
      <c r="EV3705" s="985"/>
      <c r="EW3705" s="985"/>
      <c r="EX3705" s="387"/>
      <c r="EY3705" s="939"/>
      <c r="EZ3705" s="886"/>
    </row>
    <row r="3706" spans="152:156">
      <c r="EV3706" s="985"/>
      <c r="EW3706" s="985"/>
      <c r="EX3706" s="387"/>
      <c r="EY3706" s="939"/>
      <c r="EZ3706" s="886"/>
    </row>
    <row r="3707" spans="152:156">
      <c r="EV3707" s="985"/>
      <c r="EW3707" s="985"/>
      <c r="EX3707" s="387"/>
      <c r="EY3707" s="939"/>
      <c r="EZ3707" s="886"/>
    </row>
    <row r="3708" spans="152:156">
      <c r="EV3708" s="985"/>
      <c r="EW3708" s="985"/>
      <c r="EX3708" s="387"/>
      <c r="EY3708" s="939"/>
      <c r="EZ3708" s="886"/>
    </row>
    <row r="3709" spans="152:156">
      <c r="EV3709" s="985"/>
      <c r="EW3709" s="985"/>
      <c r="EX3709" s="387"/>
      <c r="EY3709" s="939"/>
      <c r="EZ3709" s="886"/>
    </row>
    <row r="3710" spans="152:156">
      <c r="EV3710" s="985"/>
      <c r="EW3710" s="985"/>
      <c r="EX3710" s="387"/>
      <c r="EY3710" s="939"/>
      <c r="EZ3710" s="886"/>
    </row>
    <row r="3711" spans="152:156">
      <c r="EV3711" s="985"/>
      <c r="EW3711" s="985"/>
      <c r="EX3711" s="387"/>
      <c r="EY3711" s="939"/>
      <c r="EZ3711" s="886"/>
    </row>
    <row r="3712" spans="152:156">
      <c r="EV3712" s="985"/>
      <c r="EW3712" s="985"/>
      <c r="EX3712" s="387"/>
      <c r="EY3712" s="939"/>
      <c r="EZ3712" s="886"/>
    </row>
    <row r="3713" spans="152:156">
      <c r="EV3713" s="985"/>
      <c r="EW3713" s="985"/>
      <c r="EX3713" s="387"/>
      <c r="EY3713" s="939"/>
      <c r="EZ3713" s="886"/>
    </row>
    <row r="3714" spans="152:156">
      <c r="EV3714" s="985"/>
      <c r="EW3714" s="985"/>
      <c r="EX3714" s="387"/>
      <c r="EY3714" s="939"/>
      <c r="EZ3714" s="886"/>
    </row>
    <row r="3715" spans="152:156">
      <c r="EV3715" s="985"/>
      <c r="EW3715" s="985"/>
      <c r="EX3715" s="387"/>
      <c r="EY3715" s="939"/>
      <c r="EZ3715" s="886"/>
    </row>
    <row r="3716" spans="152:156">
      <c r="EV3716" s="985"/>
      <c r="EW3716" s="985"/>
      <c r="EX3716" s="387"/>
      <c r="EY3716" s="939"/>
      <c r="EZ3716" s="886"/>
    </row>
    <row r="3717" spans="152:156">
      <c r="EV3717" s="985"/>
      <c r="EW3717" s="985"/>
      <c r="EX3717" s="387"/>
      <c r="EY3717" s="939"/>
      <c r="EZ3717" s="886"/>
    </row>
    <row r="3718" spans="152:156">
      <c r="EV3718" s="985"/>
      <c r="EW3718" s="985"/>
      <c r="EX3718" s="387"/>
      <c r="EY3718" s="939"/>
      <c r="EZ3718" s="886"/>
    </row>
    <row r="3719" spans="152:156">
      <c r="EV3719" s="985"/>
      <c r="EW3719" s="985"/>
      <c r="EX3719" s="387"/>
      <c r="EY3719" s="939"/>
      <c r="EZ3719" s="886"/>
    </row>
    <row r="3720" spans="152:156">
      <c r="EV3720" s="985"/>
      <c r="EW3720" s="985"/>
      <c r="EX3720" s="387"/>
      <c r="EY3720" s="939"/>
      <c r="EZ3720" s="886"/>
    </row>
    <row r="3721" spans="152:156">
      <c r="EV3721" s="985"/>
      <c r="EW3721" s="985"/>
      <c r="EX3721" s="387"/>
      <c r="EY3721" s="939"/>
      <c r="EZ3721" s="886"/>
    </row>
    <row r="3722" spans="152:156">
      <c r="EV3722" s="985"/>
      <c r="EW3722" s="985"/>
      <c r="EX3722" s="387"/>
      <c r="EY3722" s="939"/>
      <c r="EZ3722" s="886"/>
    </row>
    <row r="3723" spans="152:156">
      <c r="EV3723" s="985"/>
      <c r="EW3723" s="985"/>
      <c r="EX3723" s="387"/>
      <c r="EY3723" s="939"/>
      <c r="EZ3723" s="886"/>
    </row>
    <row r="3724" spans="152:156">
      <c r="EV3724" s="985"/>
      <c r="EW3724" s="985"/>
      <c r="EX3724" s="387"/>
      <c r="EY3724" s="939"/>
      <c r="EZ3724" s="886"/>
    </row>
    <row r="3725" spans="152:156">
      <c r="EV3725" s="985"/>
      <c r="EW3725" s="985"/>
      <c r="EX3725" s="387"/>
      <c r="EY3725" s="939"/>
      <c r="EZ3725" s="886"/>
    </row>
    <row r="3726" spans="152:156">
      <c r="EV3726" s="985"/>
      <c r="EW3726" s="985"/>
      <c r="EX3726" s="387"/>
      <c r="EY3726" s="939"/>
      <c r="EZ3726" s="886"/>
    </row>
    <row r="3727" spans="152:156">
      <c r="EV3727" s="985"/>
      <c r="EW3727" s="985"/>
      <c r="EX3727" s="387"/>
      <c r="EY3727" s="939"/>
      <c r="EZ3727" s="886"/>
    </row>
    <row r="3728" spans="152:156">
      <c r="EV3728" s="985"/>
      <c r="EW3728" s="985"/>
      <c r="EX3728" s="387"/>
      <c r="EY3728" s="939"/>
      <c r="EZ3728" s="886"/>
    </row>
    <row r="3729" spans="152:156">
      <c r="EV3729" s="985"/>
      <c r="EW3729" s="985"/>
      <c r="EX3729" s="387"/>
      <c r="EY3729" s="939"/>
      <c r="EZ3729" s="886"/>
    </row>
    <row r="3730" spans="152:156">
      <c r="EV3730" s="985"/>
      <c r="EW3730" s="985"/>
      <c r="EX3730" s="387"/>
      <c r="EY3730" s="939"/>
      <c r="EZ3730" s="886"/>
    </row>
    <row r="3731" spans="152:156">
      <c r="EV3731" s="985"/>
      <c r="EW3731" s="985"/>
      <c r="EX3731" s="387"/>
      <c r="EY3731" s="939"/>
      <c r="EZ3731" s="886"/>
    </row>
    <row r="3732" spans="152:156">
      <c r="EV3732" s="985"/>
      <c r="EW3732" s="985"/>
      <c r="EX3732" s="387"/>
      <c r="EY3732" s="939"/>
      <c r="EZ3732" s="886"/>
    </row>
    <row r="3733" spans="152:156">
      <c r="EV3733" s="985"/>
      <c r="EW3733" s="985"/>
      <c r="EX3733" s="387"/>
      <c r="EY3733" s="939"/>
      <c r="EZ3733" s="886"/>
    </row>
    <row r="3734" spans="152:156">
      <c r="EV3734" s="985"/>
      <c r="EW3734" s="985"/>
      <c r="EX3734" s="387"/>
      <c r="EY3734" s="939"/>
      <c r="EZ3734" s="886"/>
    </row>
    <row r="3735" spans="152:156">
      <c r="EV3735" s="985"/>
      <c r="EW3735" s="985"/>
      <c r="EX3735" s="387"/>
      <c r="EY3735" s="939"/>
      <c r="EZ3735" s="886"/>
    </row>
    <row r="3736" spans="152:156">
      <c r="EV3736" s="985"/>
      <c r="EW3736" s="985"/>
      <c r="EX3736" s="387"/>
      <c r="EY3736" s="939"/>
      <c r="EZ3736" s="886"/>
    </row>
    <row r="3737" spans="152:156">
      <c r="EV3737" s="985"/>
      <c r="EW3737" s="985"/>
      <c r="EX3737" s="387"/>
      <c r="EY3737" s="939"/>
      <c r="EZ3737" s="886"/>
    </row>
    <row r="3738" spans="152:156">
      <c r="EV3738" s="985"/>
      <c r="EW3738" s="985"/>
      <c r="EX3738" s="387"/>
      <c r="EY3738" s="939"/>
      <c r="EZ3738" s="886"/>
    </row>
    <row r="3739" spans="152:156">
      <c r="EV3739" s="985"/>
      <c r="EW3739" s="985"/>
      <c r="EX3739" s="387"/>
      <c r="EY3739" s="939"/>
      <c r="EZ3739" s="886"/>
    </row>
    <row r="3740" spans="152:156">
      <c r="EV3740" s="985"/>
      <c r="EW3740" s="985"/>
      <c r="EX3740" s="387"/>
      <c r="EY3740" s="939"/>
      <c r="EZ3740" s="886"/>
    </row>
    <row r="3741" spans="152:156">
      <c r="EV3741" s="985"/>
      <c r="EW3741" s="985"/>
      <c r="EX3741" s="387"/>
      <c r="EY3741" s="939"/>
      <c r="EZ3741" s="886"/>
    </row>
    <row r="3742" spans="152:156">
      <c r="EV3742" s="985"/>
      <c r="EW3742" s="985"/>
      <c r="EX3742" s="387"/>
      <c r="EY3742" s="939"/>
      <c r="EZ3742" s="886"/>
    </row>
    <row r="3743" spans="152:156">
      <c r="EV3743" s="985"/>
      <c r="EW3743" s="985"/>
      <c r="EX3743" s="387"/>
      <c r="EY3743" s="939"/>
      <c r="EZ3743" s="886"/>
    </row>
    <row r="3744" spans="152:156">
      <c r="EV3744" s="985"/>
      <c r="EW3744" s="985"/>
      <c r="EX3744" s="387"/>
      <c r="EY3744" s="939"/>
      <c r="EZ3744" s="886"/>
    </row>
    <row r="3745" spans="152:156">
      <c r="EV3745" s="985"/>
      <c r="EW3745" s="985"/>
      <c r="EX3745" s="387"/>
      <c r="EY3745" s="939"/>
      <c r="EZ3745" s="886"/>
    </row>
    <row r="3746" spans="152:156">
      <c r="EV3746" s="985"/>
      <c r="EW3746" s="985"/>
      <c r="EX3746" s="387"/>
      <c r="EY3746" s="939"/>
      <c r="EZ3746" s="886"/>
    </row>
    <row r="3747" spans="152:156">
      <c r="EV3747" s="985"/>
      <c r="EW3747" s="985"/>
      <c r="EX3747" s="387"/>
      <c r="EY3747" s="939"/>
      <c r="EZ3747" s="886"/>
    </row>
    <row r="3748" spans="152:156">
      <c r="EV3748" s="985"/>
      <c r="EW3748" s="985"/>
      <c r="EX3748" s="387"/>
      <c r="EY3748" s="939"/>
      <c r="EZ3748" s="886"/>
    </row>
    <row r="3749" spans="152:156">
      <c r="EV3749" s="985"/>
      <c r="EW3749" s="985"/>
      <c r="EX3749" s="387"/>
      <c r="EY3749" s="939"/>
      <c r="EZ3749" s="886"/>
    </row>
    <row r="3750" spans="152:156">
      <c r="EV3750" s="985"/>
      <c r="EW3750" s="985"/>
      <c r="EX3750" s="387"/>
      <c r="EY3750" s="939"/>
      <c r="EZ3750" s="886"/>
    </row>
    <row r="3751" spans="152:156">
      <c r="EV3751" s="985"/>
      <c r="EW3751" s="985"/>
      <c r="EX3751" s="387"/>
      <c r="EY3751" s="939"/>
      <c r="EZ3751" s="886"/>
    </row>
    <row r="3752" spans="152:156">
      <c r="EV3752" s="985"/>
      <c r="EW3752" s="985"/>
      <c r="EX3752" s="387"/>
      <c r="EY3752" s="939"/>
      <c r="EZ3752" s="886"/>
    </row>
    <row r="3753" spans="152:156">
      <c r="EV3753" s="985"/>
      <c r="EW3753" s="985"/>
      <c r="EX3753" s="387"/>
      <c r="EY3753" s="939"/>
      <c r="EZ3753" s="886"/>
    </row>
    <row r="3754" spans="152:156">
      <c r="EV3754" s="985"/>
      <c r="EW3754" s="985"/>
      <c r="EX3754" s="387"/>
      <c r="EY3754" s="939"/>
      <c r="EZ3754" s="886"/>
    </row>
    <row r="3755" spans="152:156">
      <c r="EV3755" s="985"/>
      <c r="EW3755" s="985"/>
      <c r="EX3755" s="387"/>
      <c r="EY3755" s="939"/>
      <c r="EZ3755" s="886"/>
    </row>
    <row r="3756" spans="152:156">
      <c r="EV3756" s="985"/>
      <c r="EW3756" s="985"/>
      <c r="EX3756" s="387"/>
      <c r="EY3756" s="939"/>
      <c r="EZ3756" s="886"/>
    </row>
    <row r="3757" spans="152:156">
      <c r="EV3757" s="985"/>
      <c r="EW3757" s="985"/>
      <c r="EX3757" s="387"/>
      <c r="EY3757" s="939"/>
      <c r="EZ3757" s="886"/>
    </row>
    <row r="3758" spans="152:156">
      <c r="EV3758" s="985"/>
      <c r="EW3758" s="985"/>
      <c r="EX3758" s="387"/>
      <c r="EY3758" s="939"/>
      <c r="EZ3758" s="886"/>
    </row>
    <row r="3759" spans="152:156">
      <c r="EV3759" s="985"/>
      <c r="EW3759" s="985"/>
      <c r="EX3759" s="387"/>
      <c r="EY3759" s="939"/>
      <c r="EZ3759" s="886"/>
    </row>
    <row r="3760" spans="152:156">
      <c r="EV3760" s="985"/>
      <c r="EW3760" s="985"/>
      <c r="EX3760" s="387"/>
      <c r="EY3760" s="939"/>
      <c r="EZ3760" s="886"/>
    </row>
    <row r="3761" spans="152:156">
      <c r="EV3761" s="985"/>
      <c r="EW3761" s="985"/>
      <c r="EX3761" s="387"/>
      <c r="EY3761" s="939"/>
      <c r="EZ3761" s="886"/>
    </row>
    <row r="3762" spans="152:156">
      <c r="EV3762" s="985"/>
      <c r="EW3762" s="985"/>
      <c r="EX3762" s="387"/>
      <c r="EY3762" s="939"/>
      <c r="EZ3762" s="886"/>
    </row>
    <row r="3763" spans="152:156">
      <c r="EV3763" s="985"/>
      <c r="EW3763" s="985"/>
      <c r="EX3763" s="387"/>
      <c r="EY3763" s="939"/>
      <c r="EZ3763" s="886"/>
    </row>
    <row r="3764" spans="152:156">
      <c r="EV3764" s="985"/>
      <c r="EW3764" s="985"/>
      <c r="EX3764" s="387"/>
      <c r="EY3764" s="939"/>
      <c r="EZ3764" s="886"/>
    </row>
    <row r="3765" spans="152:156">
      <c r="EV3765" s="985"/>
      <c r="EW3765" s="985"/>
      <c r="EX3765" s="387"/>
      <c r="EY3765" s="939"/>
      <c r="EZ3765" s="886"/>
    </row>
    <row r="3766" spans="152:156">
      <c r="EV3766" s="985"/>
      <c r="EW3766" s="985"/>
      <c r="EX3766" s="387"/>
      <c r="EY3766" s="939"/>
      <c r="EZ3766" s="886"/>
    </row>
    <row r="3767" spans="152:156">
      <c r="EV3767" s="985"/>
      <c r="EW3767" s="985"/>
      <c r="EX3767" s="387"/>
      <c r="EY3767" s="939"/>
      <c r="EZ3767" s="886"/>
    </row>
    <row r="3768" spans="152:156">
      <c r="EV3768" s="985"/>
      <c r="EW3768" s="985"/>
      <c r="EX3768" s="387"/>
      <c r="EY3768" s="939"/>
      <c r="EZ3768" s="886"/>
    </row>
    <row r="3769" spans="152:156">
      <c r="EV3769" s="985"/>
      <c r="EW3769" s="985"/>
      <c r="EX3769" s="387"/>
      <c r="EY3769" s="939"/>
      <c r="EZ3769" s="886"/>
    </row>
    <row r="3770" spans="152:156">
      <c r="EV3770" s="985"/>
      <c r="EW3770" s="985"/>
      <c r="EX3770" s="387"/>
      <c r="EY3770" s="939"/>
      <c r="EZ3770" s="886"/>
    </row>
    <row r="3771" spans="152:156">
      <c r="EV3771" s="985"/>
      <c r="EW3771" s="985"/>
      <c r="EX3771" s="387"/>
      <c r="EY3771" s="939"/>
      <c r="EZ3771" s="886"/>
    </row>
    <row r="3772" spans="152:156">
      <c r="EV3772" s="985"/>
      <c r="EW3772" s="985"/>
      <c r="EX3772" s="387"/>
      <c r="EY3772" s="939"/>
      <c r="EZ3772" s="886"/>
    </row>
    <row r="3773" spans="152:156">
      <c r="EV3773" s="985"/>
      <c r="EW3773" s="985"/>
      <c r="EX3773" s="387"/>
      <c r="EY3773" s="939"/>
      <c r="EZ3773" s="886"/>
    </row>
    <row r="3774" spans="152:156">
      <c r="EV3774" s="985"/>
      <c r="EW3774" s="985"/>
      <c r="EX3774" s="387"/>
      <c r="EY3774" s="939"/>
      <c r="EZ3774" s="886"/>
    </row>
    <row r="3775" spans="152:156">
      <c r="EV3775" s="985"/>
      <c r="EW3775" s="985"/>
      <c r="EX3775" s="387"/>
      <c r="EY3775" s="939"/>
      <c r="EZ3775" s="886"/>
    </row>
    <row r="3776" spans="152:156">
      <c r="EV3776" s="985"/>
      <c r="EW3776" s="985"/>
      <c r="EX3776" s="387"/>
      <c r="EY3776" s="939"/>
      <c r="EZ3776" s="886"/>
    </row>
    <row r="3777" spans="152:156">
      <c r="EV3777" s="985"/>
      <c r="EW3777" s="985"/>
      <c r="EX3777" s="387"/>
      <c r="EY3777" s="939"/>
      <c r="EZ3777" s="886"/>
    </row>
    <row r="3778" spans="152:156">
      <c r="EV3778" s="985"/>
      <c r="EW3778" s="985"/>
      <c r="EX3778" s="387"/>
      <c r="EY3778" s="939"/>
      <c r="EZ3778" s="886"/>
    </row>
    <row r="3779" spans="152:156">
      <c r="EV3779" s="985"/>
      <c r="EW3779" s="985"/>
      <c r="EX3779" s="387"/>
      <c r="EY3779" s="939"/>
      <c r="EZ3779" s="886"/>
    </row>
    <row r="3780" spans="152:156">
      <c r="EV3780" s="985"/>
      <c r="EW3780" s="985"/>
      <c r="EX3780" s="387"/>
      <c r="EY3780" s="939"/>
      <c r="EZ3780" s="886"/>
    </row>
    <row r="3781" spans="152:156">
      <c r="EV3781" s="985"/>
      <c r="EW3781" s="985"/>
      <c r="EX3781" s="387"/>
      <c r="EY3781" s="939"/>
      <c r="EZ3781" s="886"/>
    </row>
    <row r="3782" spans="152:156">
      <c r="EV3782" s="985"/>
      <c r="EW3782" s="985"/>
      <c r="EX3782" s="387"/>
      <c r="EY3782" s="939"/>
      <c r="EZ3782" s="886"/>
    </row>
    <row r="3783" spans="152:156">
      <c r="EV3783" s="985"/>
      <c r="EW3783" s="985"/>
      <c r="EX3783" s="387"/>
      <c r="EY3783" s="939"/>
      <c r="EZ3783" s="886"/>
    </row>
    <row r="3784" spans="152:156">
      <c r="EV3784" s="985"/>
      <c r="EW3784" s="985"/>
      <c r="EX3784" s="387"/>
      <c r="EY3784" s="939"/>
      <c r="EZ3784" s="886"/>
    </row>
    <row r="3785" spans="152:156">
      <c r="EV3785" s="985"/>
      <c r="EW3785" s="985"/>
      <c r="EX3785" s="387"/>
      <c r="EY3785" s="939"/>
      <c r="EZ3785" s="886"/>
    </row>
    <row r="3786" spans="152:156">
      <c r="EV3786" s="985"/>
      <c r="EW3786" s="985"/>
      <c r="EX3786" s="387"/>
      <c r="EY3786" s="939"/>
      <c r="EZ3786" s="886"/>
    </row>
    <row r="3787" spans="152:156">
      <c r="EV3787" s="985"/>
      <c r="EW3787" s="985"/>
      <c r="EX3787" s="387"/>
      <c r="EY3787" s="939"/>
      <c r="EZ3787" s="886"/>
    </row>
    <row r="3788" spans="152:156">
      <c r="EV3788" s="985"/>
      <c r="EW3788" s="985"/>
      <c r="EX3788" s="387"/>
      <c r="EY3788" s="939"/>
      <c r="EZ3788" s="886"/>
    </row>
    <row r="3789" spans="152:156">
      <c r="EV3789" s="985"/>
      <c r="EW3789" s="985"/>
      <c r="EX3789" s="387"/>
      <c r="EY3789" s="939"/>
      <c r="EZ3789" s="886"/>
    </row>
    <row r="3790" spans="152:156">
      <c r="EV3790" s="985"/>
      <c r="EW3790" s="985"/>
      <c r="EX3790" s="387"/>
      <c r="EY3790" s="939"/>
      <c r="EZ3790" s="886"/>
    </row>
    <row r="3791" spans="152:156">
      <c r="EV3791" s="985"/>
      <c r="EW3791" s="985"/>
      <c r="EX3791" s="387"/>
      <c r="EY3791" s="939"/>
      <c r="EZ3791" s="886"/>
    </row>
    <row r="3792" spans="152:156">
      <c r="EV3792" s="985"/>
      <c r="EW3792" s="985"/>
      <c r="EX3792" s="387"/>
      <c r="EY3792" s="939"/>
      <c r="EZ3792" s="886"/>
    </row>
    <row r="3793" spans="152:156">
      <c r="EV3793" s="985"/>
      <c r="EW3793" s="985"/>
      <c r="EX3793" s="387"/>
      <c r="EY3793" s="939"/>
      <c r="EZ3793" s="886"/>
    </row>
    <row r="3794" spans="152:156">
      <c r="EV3794" s="985"/>
      <c r="EW3794" s="985"/>
      <c r="EX3794" s="387"/>
      <c r="EY3794" s="939"/>
      <c r="EZ3794" s="886"/>
    </row>
    <row r="3795" spans="152:156">
      <c r="EV3795" s="985"/>
      <c r="EW3795" s="985"/>
      <c r="EX3795" s="387"/>
      <c r="EY3795" s="939"/>
      <c r="EZ3795" s="886"/>
    </row>
    <row r="3796" spans="152:156">
      <c r="EV3796" s="985"/>
      <c r="EW3796" s="985"/>
      <c r="EX3796" s="387"/>
      <c r="EY3796" s="939"/>
      <c r="EZ3796" s="886"/>
    </row>
    <row r="3797" spans="152:156">
      <c r="EV3797" s="985"/>
      <c r="EW3797" s="985"/>
      <c r="EX3797" s="387"/>
      <c r="EY3797" s="939"/>
      <c r="EZ3797" s="886"/>
    </row>
    <row r="3798" spans="152:156">
      <c r="EV3798" s="985"/>
      <c r="EW3798" s="985"/>
      <c r="EX3798" s="387"/>
      <c r="EY3798" s="939"/>
      <c r="EZ3798" s="886"/>
    </row>
    <row r="3799" spans="152:156">
      <c r="EV3799" s="985"/>
      <c r="EW3799" s="985"/>
      <c r="EX3799" s="387"/>
      <c r="EY3799" s="939"/>
      <c r="EZ3799" s="886"/>
    </row>
    <row r="3800" spans="152:156">
      <c r="EV3800" s="985"/>
      <c r="EW3800" s="985"/>
      <c r="EX3800" s="387"/>
      <c r="EY3800" s="939"/>
      <c r="EZ3800" s="886"/>
    </row>
    <row r="3801" spans="152:156">
      <c r="EV3801" s="985"/>
      <c r="EW3801" s="985"/>
      <c r="EX3801" s="387"/>
      <c r="EY3801" s="939"/>
      <c r="EZ3801" s="886"/>
    </row>
    <row r="3802" spans="152:156">
      <c r="EV3802" s="985"/>
      <c r="EW3802" s="985"/>
      <c r="EX3802" s="387"/>
      <c r="EY3802" s="939"/>
      <c r="EZ3802" s="886"/>
    </row>
    <row r="3803" spans="152:156">
      <c r="EV3803" s="985"/>
      <c r="EW3803" s="985"/>
      <c r="EX3803" s="387"/>
      <c r="EY3803" s="939"/>
      <c r="EZ3803" s="886"/>
    </row>
    <row r="3804" spans="152:156">
      <c r="EV3804" s="985"/>
      <c r="EW3804" s="985"/>
      <c r="EX3804" s="387"/>
      <c r="EY3804" s="939"/>
      <c r="EZ3804" s="886"/>
    </row>
    <row r="3805" spans="152:156">
      <c r="EV3805" s="985"/>
      <c r="EW3805" s="985"/>
      <c r="EX3805" s="387"/>
      <c r="EY3805" s="939"/>
      <c r="EZ3805" s="886"/>
    </row>
    <row r="3806" spans="152:156">
      <c r="EV3806" s="985"/>
      <c r="EW3806" s="985"/>
      <c r="EX3806" s="387"/>
      <c r="EY3806" s="939"/>
      <c r="EZ3806" s="886"/>
    </row>
    <row r="3807" spans="152:156">
      <c r="EV3807" s="985"/>
      <c r="EW3807" s="985"/>
      <c r="EX3807" s="387"/>
      <c r="EY3807" s="939"/>
      <c r="EZ3807" s="886"/>
    </row>
    <row r="3808" spans="152:156">
      <c r="EV3808" s="985"/>
      <c r="EW3808" s="985"/>
      <c r="EX3808" s="387"/>
      <c r="EY3808" s="939"/>
      <c r="EZ3808" s="886"/>
    </row>
    <row r="3809" spans="152:156">
      <c r="EV3809" s="985"/>
      <c r="EW3809" s="985"/>
      <c r="EX3809" s="387"/>
      <c r="EY3809" s="939"/>
      <c r="EZ3809" s="886"/>
    </row>
    <row r="3810" spans="152:156">
      <c r="EV3810" s="985"/>
      <c r="EW3810" s="985"/>
      <c r="EX3810" s="387"/>
      <c r="EY3810" s="939"/>
      <c r="EZ3810" s="886"/>
    </row>
    <row r="3811" spans="152:156">
      <c r="EV3811" s="985"/>
      <c r="EW3811" s="985"/>
      <c r="EX3811" s="387"/>
      <c r="EY3811" s="939"/>
      <c r="EZ3811" s="886"/>
    </row>
    <row r="3812" spans="152:156">
      <c r="EV3812" s="985"/>
      <c r="EW3812" s="985"/>
      <c r="EX3812" s="387"/>
      <c r="EY3812" s="939"/>
      <c r="EZ3812" s="886"/>
    </row>
    <row r="3813" spans="152:156">
      <c r="EV3813" s="985"/>
      <c r="EW3813" s="985"/>
      <c r="EX3813" s="387"/>
      <c r="EY3813" s="939"/>
      <c r="EZ3813" s="886"/>
    </row>
    <row r="3814" spans="152:156">
      <c r="EV3814" s="985"/>
      <c r="EW3814" s="985"/>
      <c r="EX3814" s="387"/>
      <c r="EY3814" s="939"/>
      <c r="EZ3814" s="886"/>
    </row>
    <row r="3815" spans="152:156">
      <c r="EV3815" s="985"/>
      <c r="EW3815" s="985"/>
      <c r="EX3815" s="387"/>
      <c r="EY3815" s="939"/>
      <c r="EZ3815" s="886"/>
    </row>
    <row r="3816" spans="152:156">
      <c r="EV3816" s="985"/>
      <c r="EW3816" s="985"/>
      <c r="EX3816" s="387"/>
      <c r="EY3816" s="939"/>
      <c r="EZ3816" s="886"/>
    </row>
    <row r="3817" spans="152:156">
      <c r="EV3817" s="985"/>
      <c r="EW3817" s="985"/>
      <c r="EX3817" s="387"/>
      <c r="EY3817" s="939"/>
      <c r="EZ3817" s="886"/>
    </row>
    <row r="3818" spans="152:156">
      <c r="EV3818" s="985"/>
      <c r="EW3818" s="985"/>
      <c r="EX3818" s="387"/>
      <c r="EY3818" s="939"/>
      <c r="EZ3818" s="886"/>
    </row>
    <row r="3819" spans="152:156">
      <c r="EV3819" s="985"/>
      <c r="EW3819" s="985"/>
      <c r="EX3819" s="387"/>
      <c r="EY3819" s="939"/>
      <c r="EZ3819" s="886"/>
    </row>
    <row r="3820" spans="152:156">
      <c r="EV3820" s="985"/>
      <c r="EW3820" s="985"/>
      <c r="EX3820" s="387"/>
      <c r="EY3820" s="939"/>
      <c r="EZ3820" s="886"/>
    </row>
    <row r="3821" spans="152:156">
      <c r="EV3821" s="985"/>
      <c r="EW3821" s="985"/>
      <c r="EX3821" s="387"/>
      <c r="EY3821" s="939"/>
      <c r="EZ3821" s="886"/>
    </row>
    <row r="3822" spans="152:156">
      <c r="EV3822" s="985"/>
      <c r="EW3822" s="985"/>
      <c r="EX3822" s="387"/>
      <c r="EY3822" s="939"/>
      <c r="EZ3822" s="886"/>
    </row>
    <row r="3823" spans="152:156">
      <c r="EV3823" s="985"/>
      <c r="EW3823" s="985"/>
      <c r="EX3823" s="387"/>
      <c r="EY3823" s="939"/>
      <c r="EZ3823" s="886"/>
    </row>
    <row r="3824" spans="152:156">
      <c r="EV3824" s="985"/>
      <c r="EW3824" s="985"/>
      <c r="EX3824" s="387"/>
      <c r="EY3824" s="939"/>
      <c r="EZ3824" s="886"/>
    </row>
    <row r="3825" spans="152:156">
      <c r="EV3825" s="985"/>
      <c r="EW3825" s="985"/>
      <c r="EX3825" s="387"/>
      <c r="EY3825" s="939"/>
      <c r="EZ3825" s="886"/>
    </row>
    <row r="3826" spans="152:156">
      <c r="EV3826" s="985"/>
      <c r="EW3826" s="985"/>
      <c r="EX3826" s="387"/>
      <c r="EY3826" s="939"/>
      <c r="EZ3826" s="886"/>
    </row>
    <row r="3827" spans="152:156">
      <c r="EV3827" s="985"/>
      <c r="EW3827" s="985"/>
      <c r="EX3827" s="387"/>
      <c r="EY3827" s="939"/>
      <c r="EZ3827" s="886"/>
    </row>
    <row r="3828" spans="152:156">
      <c r="EV3828" s="985"/>
      <c r="EW3828" s="985"/>
      <c r="EX3828" s="387"/>
      <c r="EY3828" s="939"/>
      <c r="EZ3828" s="886"/>
    </row>
    <row r="3829" spans="152:156">
      <c r="EV3829" s="985"/>
      <c r="EW3829" s="985"/>
      <c r="EX3829" s="387"/>
      <c r="EY3829" s="939"/>
      <c r="EZ3829" s="886"/>
    </row>
    <row r="3830" spans="152:156">
      <c r="EV3830" s="985"/>
      <c r="EW3830" s="985"/>
      <c r="EX3830" s="387"/>
      <c r="EY3830" s="939"/>
      <c r="EZ3830" s="886"/>
    </row>
    <row r="3831" spans="152:156">
      <c r="EV3831" s="985"/>
      <c r="EW3831" s="985"/>
      <c r="EX3831" s="387"/>
      <c r="EY3831" s="939"/>
      <c r="EZ3831" s="886"/>
    </row>
    <row r="3832" spans="152:156">
      <c r="EV3832" s="985"/>
      <c r="EW3832" s="985"/>
      <c r="EX3832" s="387"/>
      <c r="EY3832" s="939"/>
      <c r="EZ3832" s="886"/>
    </row>
    <row r="3833" spans="152:156">
      <c r="EV3833" s="985"/>
      <c r="EW3833" s="985"/>
      <c r="EX3833" s="387"/>
      <c r="EY3833" s="939"/>
      <c r="EZ3833" s="886"/>
    </row>
    <row r="3834" spans="152:156">
      <c r="EV3834" s="985"/>
      <c r="EW3834" s="985"/>
      <c r="EX3834" s="387"/>
      <c r="EY3834" s="939"/>
      <c r="EZ3834" s="886"/>
    </row>
    <row r="3835" spans="152:156">
      <c r="EV3835" s="985"/>
      <c r="EW3835" s="985"/>
      <c r="EX3835" s="387"/>
      <c r="EY3835" s="939"/>
      <c r="EZ3835" s="886"/>
    </row>
    <row r="3836" spans="152:156">
      <c r="EV3836" s="985"/>
      <c r="EW3836" s="985"/>
      <c r="EX3836" s="387"/>
      <c r="EY3836" s="939"/>
      <c r="EZ3836" s="886"/>
    </row>
    <row r="3837" spans="152:156">
      <c r="EV3837" s="985"/>
      <c r="EW3837" s="985"/>
      <c r="EX3837" s="387"/>
      <c r="EY3837" s="939"/>
      <c r="EZ3837" s="886"/>
    </row>
    <row r="3838" spans="152:156">
      <c r="EV3838" s="985"/>
      <c r="EW3838" s="985"/>
      <c r="EX3838" s="387"/>
      <c r="EY3838" s="939"/>
      <c r="EZ3838" s="886"/>
    </row>
    <row r="3839" spans="152:156">
      <c r="EV3839" s="985"/>
      <c r="EW3839" s="985"/>
      <c r="EX3839" s="387"/>
      <c r="EY3839" s="939"/>
      <c r="EZ3839" s="886"/>
    </row>
    <row r="3840" spans="152:156">
      <c r="EV3840" s="985"/>
      <c r="EW3840" s="985"/>
      <c r="EX3840" s="387"/>
      <c r="EY3840" s="939"/>
      <c r="EZ3840" s="886"/>
    </row>
    <row r="3841" spans="152:156">
      <c r="EV3841" s="985"/>
      <c r="EW3841" s="985"/>
      <c r="EX3841" s="387"/>
      <c r="EY3841" s="939"/>
      <c r="EZ3841" s="886"/>
    </row>
    <row r="3842" spans="152:156">
      <c r="EV3842" s="985"/>
      <c r="EW3842" s="985"/>
      <c r="EX3842" s="387"/>
      <c r="EY3842" s="939"/>
      <c r="EZ3842" s="886"/>
    </row>
    <row r="3843" spans="152:156">
      <c r="EV3843" s="985"/>
      <c r="EW3843" s="985"/>
      <c r="EX3843" s="387"/>
      <c r="EY3843" s="939"/>
      <c r="EZ3843" s="886"/>
    </row>
    <row r="3844" spans="152:156">
      <c r="EV3844" s="985"/>
      <c r="EW3844" s="985"/>
      <c r="EX3844" s="387"/>
      <c r="EY3844" s="939"/>
      <c r="EZ3844" s="886"/>
    </row>
    <row r="3845" spans="152:156">
      <c r="EV3845" s="985"/>
      <c r="EW3845" s="985"/>
      <c r="EX3845" s="387"/>
      <c r="EY3845" s="939"/>
      <c r="EZ3845" s="886"/>
    </row>
    <row r="3846" spans="152:156">
      <c r="EV3846" s="985"/>
      <c r="EW3846" s="985"/>
      <c r="EX3846" s="387"/>
      <c r="EY3846" s="939"/>
      <c r="EZ3846" s="886"/>
    </row>
    <row r="3847" spans="152:156">
      <c r="EV3847" s="985"/>
      <c r="EW3847" s="985"/>
      <c r="EX3847" s="387"/>
      <c r="EY3847" s="939"/>
      <c r="EZ3847" s="886"/>
    </row>
    <row r="3848" spans="152:156">
      <c r="EV3848" s="985"/>
      <c r="EW3848" s="985"/>
      <c r="EX3848" s="387"/>
      <c r="EY3848" s="939"/>
      <c r="EZ3848" s="886"/>
    </row>
    <row r="3849" spans="152:156">
      <c r="EV3849" s="985"/>
      <c r="EW3849" s="985"/>
      <c r="EX3849" s="387"/>
      <c r="EY3849" s="939"/>
      <c r="EZ3849" s="886"/>
    </row>
    <row r="3850" spans="152:156">
      <c r="EV3850" s="985"/>
      <c r="EW3850" s="985"/>
      <c r="EX3850" s="387"/>
      <c r="EY3850" s="939"/>
      <c r="EZ3850" s="886"/>
    </row>
    <row r="3851" spans="152:156">
      <c r="EV3851" s="985"/>
      <c r="EW3851" s="985"/>
      <c r="EX3851" s="387"/>
      <c r="EY3851" s="939"/>
      <c r="EZ3851" s="886"/>
    </row>
    <row r="3852" spans="152:156">
      <c r="EV3852" s="985"/>
      <c r="EW3852" s="985"/>
      <c r="EX3852" s="387"/>
      <c r="EY3852" s="939"/>
      <c r="EZ3852" s="886"/>
    </row>
    <row r="3853" spans="152:156">
      <c r="EV3853" s="985"/>
      <c r="EW3853" s="985"/>
      <c r="EX3853" s="387"/>
      <c r="EY3853" s="939"/>
      <c r="EZ3853" s="886"/>
    </row>
    <row r="3854" spans="152:156">
      <c r="EV3854" s="985"/>
      <c r="EW3854" s="985"/>
      <c r="EX3854" s="387"/>
      <c r="EY3854" s="939"/>
      <c r="EZ3854" s="886"/>
    </row>
    <row r="3855" spans="152:156">
      <c r="EV3855" s="985"/>
      <c r="EW3855" s="985"/>
      <c r="EX3855" s="387"/>
      <c r="EY3855" s="939"/>
      <c r="EZ3855" s="886"/>
    </row>
    <row r="3856" spans="152:156">
      <c r="EV3856" s="985"/>
      <c r="EW3856" s="985"/>
      <c r="EX3856" s="387"/>
      <c r="EY3856" s="939"/>
      <c r="EZ3856" s="886"/>
    </row>
    <row r="3857" spans="152:156">
      <c r="EV3857" s="985"/>
      <c r="EW3857" s="985"/>
      <c r="EX3857" s="387"/>
      <c r="EY3857" s="939"/>
      <c r="EZ3857" s="886"/>
    </row>
    <row r="3858" spans="152:156">
      <c r="EV3858" s="985"/>
      <c r="EW3858" s="985"/>
      <c r="EX3858" s="387"/>
      <c r="EY3858" s="939"/>
      <c r="EZ3858" s="886"/>
    </row>
    <row r="3859" spans="152:156">
      <c r="EV3859" s="985"/>
      <c r="EW3859" s="985"/>
      <c r="EX3859" s="387"/>
      <c r="EY3859" s="939"/>
      <c r="EZ3859" s="886"/>
    </row>
    <row r="3860" spans="152:156">
      <c r="EV3860" s="985"/>
      <c r="EW3860" s="985"/>
      <c r="EX3860" s="387"/>
      <c r="EY3860" s="939"/>
      <c r="EZ3860" s="886"/>
    </row>
    <row r="3861" spans="152:156">
      <c r="EV3861" s="985"/>
      <c r="EW3861" s="985"/>
      <c r="EX3861" s="387"/>
      <c r="EY3861" s="939"/>
      <c r="EZ3861" s="886"/>
    </row>
    <row r="3862" spans="152:156">
      <c r="EV3862" s="985"/>
      <c r="EW3862" s="985"/>
      <c r="EX3862" s="387"/>
      <c r="EY3862" s="939"/>
      <c r="EZ3862" s="886"/>
    </row>
    <row r="3863" spans="152:156">
      <c r="EV3863" s="985"/>
      <c r="EW3863" s="985"/>
      <c r="EX3863" s="387"/>
      <c r="EY3863" s="939"/>
      <c r="EZ3863" s="886"/>
    </row>
    <row r="3864" spans="152:156">
      <c r="EV3864" s="985"/>
      <c r="EW3864" s="985"/>
      <c r="EX3864" s="387"/>
      <c r="EY3864" s="939"/>
      <c r="EZ3864" s="886"/>
    </row>
    <row r="3865" spans="152:156">
      <c r="EV3865" s="985"/>
      <c r="EW3865" s="985"/>
      <c r="EX3865" s="387"/>
      <c r="EY3865" s="939"/>
      <c r="EZ3865" s="886"/>
    </row>
    <row r="3866" spans="152:156">
      <c r="EV3866" s="985"/>
      <c r="EW3866" s="985"/>
      <c r="EX3866" s="387"/>
      <c r="EY3866" s="939"/>
      <c r="EZ3866" s="886"/>
    </row>
    <row r="3867" spans="152:156">
      <c r="EV3867" s="985"/>
      <c r="EW3867" s="985"/>
      <c r="EX3867" s="387"/>
      <c r="EY3867" s="939"/>
      <c r="EZ3867" s="886"/>
    </row>
    <row r="3868" spans="152:156">
      <c r="EV3868" s="985"/>
      <c r="EW3868" s="985"/>
      <c r="EX3868" s="387"/>
      <c r="EY3868" s="939"/>
      <c r="EZ3868" s="886"/>
    </row>
    <row r="3869" spans="152:156">
      <c r="EV3869" s="985"/>
      <c r="EW3869" s="985"/>
      <c r="EX3869" s="387"/>
      <c r="EY3869" s="939"/>
      <c r="EZ3869" s="886"/>
    </row>
    <row r="3870" spans="152:156">
      <c r="EV3870" s="985"/>
      <c r="EW3870" s="985"/>
      <c r="EX3870" s="387"/>
      <c r="EY3870" s="939"/>
      <c r="EZ3870" s="886"/>
    </row>
    <row r="3871" spans="152:156">
      <c r="EV3871" s="985"/>
      <c r="EW3871" s="985"/>
      <c r="EX3871" s="387"/>
      <c r="EY3871" s="939"/>
      <c r="EZ3871" s="886"/>
    </row>
    <row r="3872" spans="152:156">
      <c r="EV3872" s="985"/>
      <c r="EW3872" s="985"/>
      <c r="EX3872" s="387"/>
      <c r="EY3872" s="939"/>
      <c r="EZ3872" s="886"/>
    </row>
    <row r="3873" spans="152:156">
      <c r="EV3873" s="985"/>
      <c r="EW3873" s="985"/>
      <c r="EX3873" s="387"/>
      <c r="EY3873" s="939"/>
      <c r="EZ3873" s="886"/>
    </row>
    <row r="3874" spans="152:156">
      <c r="EV3874" s="985"/>
      <c r="EW3874" s="985"/>
      <c r="EX3874" s="387"/>
      <c r="EY3874" s="939"/>
      <c r="EZ3874" s="886"/>
    </row>
    <row r="3875" spans="152:156">
      <c r="EV3875" s="985"/>
      <c r="EW3875" s="985"/>
      <c r="EX3875" s="387"/>
      <c r="EY3875" s="939"/>
      <c r="EZ3875" s="886"/>
    </row>
    <row r="3876" spans="152:156">
      <c r="EV3876" s="985"/>
      <c r="EW3876" s="985"/>
      <c r="EX3876" s="387"/>
      <c r="EY3876" s="939"/>
      <c r="EZ3876" s="886"/>
    </row>
    <row r="3877" spans="152:156">
      <c r="EV3877" s="985"/>
      <c r="EW3877" s="985"/>
      <c r="EX3877" s="387"/>
      <c r="EY3877" s="939"/>
      <c r="EZ3877" s="886"/>
    </row>
    <row r="3878" spans="152:156">
      <c r="EV3878" s="985"/>
      <c r="EW3878" s="985"/>
      <c r="EX3878" s="387"/>
      <c r="EY3878" s="939"/>
      <c r="EZ3878" s="886"/>
    </row>
    <row r="3879" spans="152:156">
      <c r="EV3879" s="985"/>
      <c r="EW3879" s="985"/>
      <c r="EX3879" s="387"/>
      <c r="EY3879" s="939"/>
      <c r="EZ3879" s="886"/>
    </row>
    <row r="3880" spans="152:156">
      <c r="EV3880" s="985"/>
      <c r="EW3880" s="985"/>
      <c r="EX3880" s="387"/>
      <c r="EY3880" s="939"/>
      <c r="EZ3880" s="886"/>
    </row>
    <row r="3881" spans="152:156">
      <c r="EV3881" s="985"/>
      <c r="EW3881" s="985"/>
      <c r="EX3881" s="387"/>
      <c r="EY3881" s="939"/>
      <c r="EZ3881" s="886"/>
    </row>
    <row r="3882" spans="152:156">
      <c r="EV3882" s="985"/>
      <c r="EW3882" s="985"/>
      <c r="EX3882" s="387"/>
      <c r="EY3882" s="939"/>
      <c r="EZ3882" s="886"/>
    </row>
    <row r="3883" spans="152:156">
      <c r="EV3883" s="985"/>
      <c r="EW3883" s="985"/>
      <c r="EX3883" s="387"/>
      <c r="EY3883" s="939"/>
      <c r="EZ3883" s="886"/>
    </row>
    <row r="3884" spans="152:156">
      <c r="EV3884" s="985"/>
      <c r="EW3884" s="985"/>
      <c r="EX3884" s="387"/>
      <c r="EY3884" s="939"/>
      <c r="EZ3884" s="886"/>
    </row>
    <row r="3885" spans="152:156">
      <c r="EV3885" s="985"/>
      <c r="EW3885" s="985"/>
      <c r="EX3885" s="387"/>
      <c r="EY3885" s="939"/>
      <c r="EZ3885" s="886"/>
    </row>
    <row r="3886" spans="152:156">
      <c r="EV3886" s="985"/>
      <c r="EW3886" s="985"/>
      <c r="EX3886" s="387"/>
      <c r="EY3886" s="939"/>
      <c r="EZ3886" s="886"/>
    </row>
    <row r="3887" spans="152:156">
      <c r="EV3887" s="985"/>
      <c r="EW3887" s="985"/>
      <c r="EX3887" s="387"/>
      <c r="EY3887" s="939"/>
      <c r="EZ3887" s="886"/>
    </row>
    <row r="3888" spans="152:156">
      <c r="EV3888" s="985"/>
      <c r="EW3888" s="985"/>
      <c r="EX3888" s="387"/>
      <c r="EY3888" s="939"/>
      <c r="EZ3888" s="886"/>
    </row>
    <row r="3889" spans="152:156">
      <c r="EV3889" s="985"/>
      <c r="EW3889" s="985"/>
      <c r="EX3889" s="387"/>
      <c r="EY3889" s="939"/>
      <c r="EZ3889" s="886"/>
    </row>
    <row r="3890" spans="152:156">
      <c r="EV3890" s="985"/>
      <c r="EW3890" s="985"/>
      <c r="EX3890" s="387"/>
      <c r="EY3890" s="939"/>
      <c r="EZ3890" s="886"/>
    </row>
    <row r="3891" spans="152:156">
      <c r="EV3891" s="985"/>
      <c r="EW3891" s="985"/>
      <c r="EX3891" s="387"/>
      <c r="EY3891" s="939"/>
      <c r="EZ3891" s="886"/>
    </row>
    <row r="3892" spans="152:156">
      <c r="EV3892" s="985"/>
      <c r="EW3892" s="985"/>
      <c r="EX3892" s="387"/>
      <c r="EY3892" s="939"/>
      <c r="EZ3892" s="886"/>
    </row>
    <row r="3893" spans="152:156">
      <c r="EV3893" s="985"/>
      <c r="EW3893" s="985"/>
      <c r="EX3893" s="387"/>
      <c r="EY3893" s="939"/>
      <c r="EZ3893" s="886"/>
    </row>
    <row r="3894" spans="152:156">
      <c r="EV3894" s="985"/>
      <c r="EW3894" s="985"/>
      <c r="EX3894" s="387"/>
      <c r="EY3894" s="939"/>
      <c r="EZ3894" s="886"/>
    </row>
    <row r="3895" spans="152:156">
      <c r="EV3895" s="985"/>
      <c r="EW3895" s="985"/>
      <c r="EX3895" s="387"/>
      <c r="EY3895" s="939"/>
      <c r="EZ3895" s="886"/>
    </row>
    <row r="3896" spans="152:156">
      <c r="EV3896" s="985"/>
      <c r="EW3896" s="985"/>
      <c r="EX3896" s="387"/>
      <c r="EY3896" s="939"/>
      <c r="EZ3896" s="886"/>
    </row>
    <row r="3897" spans="152:156">
      <c r="EV3897" s="985"/>
      <c r="EW3897" s="985"/>
      <c r="EX3897" s="387"/>
      <c r="EY3897" s="939"/>
      <c r="EZ3897" s="886"/>
    </row>
    <row r="3898" spans="152:156">
      <c r="EV3898" s="985"/>
      <c r="EW3898" s="985"/>
      <c r="EX3898" s="387"/>
      <c r="EY3898" s="939"/>
      <c r="EZ3898" s="886"/>
    </row>
    <row r="3899" spans="152:156">
      <c r="EV3899" s="985"/>
      <c r="EW3899" s="985"/>
      <c r="EX3899" s="387"/>
      <c r="EY3899" s="939"/>
      <c r="EZ3899" s="886"/>
    </row>
    <row r="3900" spans="152:156">
      <c r="EV3900" s="985"/>
      <c r="EW3900" s="985"/>
      <c r="EX3900" s="387"/>
      <c r="EY3900" s="939"/>
      <c r="EZ3900" s="886"/>
    </row>
    <row r="3901" spans="152:156">
      <c r="EV3901" s="985"/>
      <c r="EW3901" s="985"/>
      <c r="EX3901" s="387"/>
      <c r="EY3901" s="939"/>
      <c r="EZ3901" s="886"/>
    </row>
    <row r="3902" spans="152:156">
      <c r="EV3902" s="985"/>
      <c r="EW3902" s="985"/>
      <c r="EX3902" s="387"/>
      <c r="EY3902" s="939"/>
      <c r="EZ3902" s="886"/>
    </row>
    <row r="3903" spans="152:156">
      <c r="EV3903" s="985"/>
      <c r="EW3903" s="985"/>
      <c r="EX3903" s="387"/>
      <c r="EY3903" s="939"/>
      <c r="EZ3903" s="886"/>
    </row>
    <row r="3904" spans="152:156">
      <c r="EV3904" s="985"/>
      <c r="EW3904" s="985"/>
      <c r="EX3904" s="387"/>
      <c r="EY3904" s="939"/>
      <c r="EZ3904" s="886"/>
    </row>
    <row r="3905" spans="152:156">
      <c r="EV3905" s="985"/>
      <c r="EW3905" s="985"/>
      <c r="EX3905" s="387"/>
      <c r="EY3905" s="939"/>
      <c r="EZ3905" s="886"/>
    </row>
    <row r="3906" spans="152:156">
      <c r="EV3906" s="985"/>
      <c r="EW3906" s="985"/>
      <c r="EX3906" s="387"/>
      <c r="EY3906" s="939"/>
      <c r="EZ3906" s="886"/>
    </row>
    <row r="3907" spans="152:156">
      <c r="EV3907" s="985"/>
      <c r="EW3907" s="985"/>
      <c r="EX3907" s="387"/>
      <c r="EY3907" s="939"/>
      <c r="EZ3907" s="886"/>
    </row>
    <row r="3908" spans="152:156">
      <c r="EV3908" s="985"/>
      <c r="EW3908" s="985"/>
      <c r="EX3908" s="387"/>
      <c r="EY3908" s="939"/>
      <c r="EZ3908" s="886"/>
    </row>
    <row r="3909" spans="152:156">
      <c r="EV3909" s="985"/>
      <c r="EW3909" s="985"/>
      <c r="EX3909" s="387"/>
      <c r="EY3909" s="939"/>
      <c r="EZ3909" s="886"/>
    </row>
    <row r="3910" spans="152:156">
      <c r="EV3910" s="985"/>
      <c r="EW3910" s="985"/>
      <c r="EX3910" s="387"/>
      <c r="EY3910" s="939"/>
      <c r="EZ3910" s="886"/>
    </row>
    <row r="3911" spans="152:156">
      <c r="EV3911" s="985"/>
      <c r="EW3911" s="985"/>
      <c r="EX3911" s="387"/>
      <c r="EY3911" s="939"/>
      <c r="EZ3911" s="886"/>
    </row>
    <row r="3912" spans="152:156">
      <c r="EV3912" s="985"/>
      <c r="EW3912" s="985"/>
      <c r="EX3912" s="387"/>
      <c r="EY3912" s="939"/>
      <c r="EZ3912" s="886"/>
    </row>
    <row r="3913" spans="152:156">
      <c r="EV3913" s="985"/>
      <c r="EW3913" s="985"/>
      <c r="EX3913" s="387"/>
      <c r="EY3913" s="939"/>
      <c r="EZ3913" s="886"/>
    </row>
    <row r="3914" spans="152:156">
      <c r="EV3914" s="985"/>
      <c r="EW3914" s="985"/>
      <c r="EX3914" s="387"/>
      <c r="EY3914" s="939"/>
      <c r="EZ3914" s="886"/>
    </row>
    <row r="3915" spans="152:156">
      <c r="EV3915" s="985"/>
      <c r="EW3915" s="985"/>
      <c r="EX3915" s="387"/>
      <c r="EY3915" s="939"/>
      <c r="EZ3915" s="886"/>
    </row>
    <row r="3916" spans="152:156">
      <c r="EV3916" s="985"/>
      <c r="EW3916" s="985"/>
      <c r="EX3916" s="387"/>
      <c r="EY3916" s="939"/>
      <c r="EZ3916" s="886"/>
    </row>
    <row r="3917" spans="152:156">
      <c r="EV3917" s="985"/>
      <c r="EW3917" s="985"/>
      <c r="EX3917" s="387"/>
      <c r="EY3917" s="939"/>
      <c r="EZ3917" s="886"/>
    </row>
    <row r="3918" spans="152:156">
      <c r="EV3918" s="985"/>
      <c r="EW3918" s="985"/>
      <c r="EX3918" s="387"/>
      <c r="EY3918" s="939"/>
      <c r="EZ3918" s="886"/>
    </row>
    <row r="3919" spans="152:156">
      <c r="EV3919" s="985"/>
      <c r="EW3919" s="985"/>
      <c r="EX3919" s="387"/>
      <c r="EY3919" s="939"/>
      <c r="EZ3919" s="886"/>
    </row>
    <row r="3920" spans="152:156">
      <c r="EV3920" s="985"/>
      <c r="EW3920" s="985"/>
      <c r="EX3920" s="387"/>
      <c r="EY3920" s="939"/>
      <c r="EZ3920" s="886"/>
    </row>
    <row r="3921" spans="152:156">
      <c r="EV3921" s="985"/>
      <c r="EW3921" s="985"/>
      <c r="EX3921" s="387"/>
      <c r="EY3921" s="939"/>
      <c r="EZ3921" s="886"/>
    </row>
    <row r="3922" spans="152:156">
      <c r="EV3922" s="985"/>
      <c r="EW3922" s="985"/>
      <c r="EX3922" s="387"/>
      <c r="EY3922" s="939"/>
      <c r="EZ3922" s="886"/>
    </row>
    <row r="3923" spans="152:156">
      <c r="EV3923" s="985"/>
      <c r="EW3923" s="985"/>
      <c r="EX3923" s="387"/>
      <c r="EY3923" s="939"/>
      <c r="EZ3923" s="886"/>
    </row>
    <row r="3924" spans="152:156">
      <c r="EV3924" s="985"/>
      <c r="EW3924" s="985"/>
      <c r="EX3924" s="387"/>
      <c r="EY3924" s="939"/>
      <c r="EZ3924" s="886"/>
    </row>
    <row r="3925" spans="152:156">
      <c r="EV3925" s="985"/>
      <c r="EW3925" s="985"/>
      <c r="EX3925" s="387"/>
      <c r="EY3925" s="939"/>
      <c r="EZ3925" s="886"/>
    </row>
    <row r="3926" spans="152:156">
      <c r="EV3926" s="985"/>
      <c r="EW3926" s="985"/>
      <c r="EX3926" s="387"/>
      <c r="EY3926" s="939"/>
      <c r="EZ3926" s="886"/>
    </row>
    <row r="3927" spans="152:156">
      <c r="EV3927" s="985"/>
      <c r="EW3927" s="985"/>
      <c r="EX3927" s="387"/>
      <c r="EY3927" s="939"/>
      <c r="EZ3927" s="886"/>
    </row>
    <row r="3928" spans="152:156">
      <c r="EV3928" s="985"/>
      <c r="EW3928" s="985"/>
      <c r="EX3928" s="387"/>
      <c r="EY3928" s="939"/>
      <c r="EZ3928" s="886"/>
    </row>
    <row r="3929" spans="152:156">
      <c r="EV3929" s="985"/>
      <c r="EW3929" s="985"/>
      <c r="EX3929" s="387"/>
      <c r="EY3929" s="939"/>
      <c r="EZ3929" s="886"/>
    </row>
    <row r="3930" spans="152:156">
      <c r="EV3930" s="985"/>
      <c r="EW3930" s="985"/>
      <c r="EX3930" s="387"/>
      <c r="EY3930" s="939"/>
      <c r="EZ3930" s="886"/>
    </row>
    <row r="3931" spans="152:156">
      <c r="EV3931" s="985"/>
      <c r="EW3931" s="985"/>
      <c r="EX3931" s="387"/>
      <c r="EY3931" s="939"/>
      <c r="EZ3931" s="886"/>
    </row>
    <row r="3932" spans="152:156">
      <c r="EV3932" s="985"/>
      <c r="EW3932" s="985"/>
      <c r="EX3932" s="387"/>
      <c r="EY3932" s="939"/>
      <c r="EZ3932" s="886"/>
    </row>
    <row r="3933" spans="152:156">
      <c r="EV3933" s="985"/>
      <c r="EW3933" s="985"/>
      <c r="EX3933" s="387"/>
      <c r="EY3933" s="939"/>
      <c r="EZ3933" s="886"/>
    </row>
    <row r="3934" spans="152:156">
      <c r="EV3934" s="985"/>
      <c r="EW3934" s="985"/>
      <c r="EX3934" s="387"/>
      <c r="EY3934" s="939"/>
      <c r="EZ3934" s="886"/>
    </row>
    <row r="3935" spans="152:156">
      <c r="EV3935" s="985"/>
      <c r="EW3935" s="985"/>
      <c r="EX3935" s="387"/>
      <c r="EY3935" s="939"/>
      <c r="EZ3935" s="886"/>
    </row>
    <row r="3936" spans="152:156">
      <c r="EV3936" s="985"/>
      <c r="EW3936" s="985"/>
      <c r="EX3936" s="387"/>
      <c r="EY3936" s="939"/>
      <c r="EZ3936" s="886"/>
    </row>
    <row r="3937" spans="152:156">
      <c r="EV3937" s="985"/>
      <c r="EW3937" s="985"/>
      <c r="EX3937" s="387"/>
      <c r="EY3937" s="939"/>
      <c r="EZ3937" s="886"/>
    </row>
    <row r="3938" spans="152:156">
      <c r="EV3938" s="985"/>
      <c r="EW3938" s="985"/>
      <c r="EX3938" s="387"/>
      <c r="EY3938" s="939"/>
      <c r="EZ3938" s="886"/>
    </row>
    <row r="3939" spans="152:156">
      <c r="EV3939" s="985"/>
      <c r="EW3939" s="985"/>
      <c r="EX3939" s="387"/>
      <c r="EY3939" s="939"/>
      <c r="EZ3939" s="886"/>
    </row>
    <row r="3940" spans="152:156">
      <c r="EV3940" s="985"/>
      <c r="EW3940" s="985"/>
      <c r="EX3940" s="387"/>
      <c r="EY3940" s="939"/>
      <c r="EZ3940" s="886"/>
    </row>
    <row r="3941" spans="152:156">
      <c r="EV3941" s="985"/>
      <c r="EW3941" s="985"/>
      <c r="EX3941" s="387"/>
      <c r="EY3941" s="939"/>
      <c r="EZ3941" s="886"/>
    </row>
    <row r="3942" spans="152:156">
      <c r="EV3942" s="985"/>
      <c r="EW3942" s="985"/>
      <c r="EX3942" s="387"/>
      <c r="EY3942" s="939"/>
      <c r="EZ3942" s="886"/>
    </row>
    <row r="3943" spans="152:156">
      <c r="EV3943" s="985"/>
      <c r="EW3943" s="985"/>
      <c r="EX3943" s="387"/>
      <c r="EY3943" s="939"/>
      <c r="EZ3943" s="886"/>
    </row>
    <row r="3944" spans="152:156">
      <c r="EV3944" s="985"/>
      <c r="EW3944" s="985"/>
      <c r="EX3944" s="387"/>
      <c r="EY3944" s="939"/>
      <c r="EZ3944" s="886"/>
    </row>
    <row r="3945" spans="152:156">
      <c r="EV3945" s="985"/>
      <c r="EW3945" s="985"/>
      <c r="EX3945" s="387"/>
      <c r="EY3945" s="939"/>
      <c r="EZ3945" s="886"/>
    </row>
    <row r="3946" spans="152:156">
      <c r="EV3946" s="985"/>
      <c r="EW3946" s="985"/>
      <c r="EX3946" s="387"/>
      <c r="EY3946" s="939"/>
      <c r="EZ3946" s="886"/>
    </row>
    <row r="3947" spans="152:156">
      <c r="EV3947" s="985"/>
      <c r="EW3947" s="985"/>
      <c r="EX3947" s="387"/>
      <c r="EY3947" s="939"/>
      <c r="EZ3947" s="886"/>
    </row>
    <row r="3948" spans="152:156">
      <c r="EV3948" s="985"/>
      <c r="EW3948" s="985"/>
      <c r="EX3948" s="387"/>
      <c r="EY3948" s="939"/>
      <c r="EZ3948" s="886"/>
    </row>
    <row r="3949" spans="152:156">
      <c r="EV3949" s="985"/>
      <c r="EW3949" s="985"/>
      <c r="EX3949" s="387"/>
      <c r="EY3949" s="939"/>
      <c r="EZ3949" s="886"/>
    </row>
    <row r="3950" spans="152:156">
      <c r="EV3950" s="985"/>
      <c r="EW3950" s="985"/>
      <c r="EX3950" s="387"/>
      <c r="EY3950" s="939"/>
      <c r="EZ3950" s="886"/>
    </row>
    <row r="3951" spans="152:156">
      <c r="EV3951" s="985"/>
      <c r="EW3951" s="985"/>
      <c r="EX3951" s="387"/>
      <c r="EY3951" s="939"/>
      <c r="EZ3951" s="886"/>
    </row>
    <row r="3952" spans="152:156">
      <c r="EV3952" s="985"/>
      <c r="EW3952" s="985"/>
      <c r="EX3952" s="387"/>
      <c r="EY3952" s="939"/>
      <c r="EZ3952" s="886"/>
    </row>
    <row r="3953" spans="152:156">
      <c r="EV3953" s="985"/>
      <c r="EW3953" s="985"/>
      <c r="EX3953" s="387"/>
      <c r="EY3953" s="939"/>
      <c r="EZ3953" s="886"/>
    </row>
    <row r="3954" spans="152:156">
      <c r="EV3954" s="985"/>
      <c r="EW3954" s="985"/>
      <c r="EX3954" s="387"/>
      <c r="EY3954" s="939"/>
      <c r="EZ3954" s="886"/>
    </row>
    <row r="3955" spans="152:156">
      <c r="EV3955" s="985"/>
      <c r="EW3955" s="985"/>
      <c r="EX3955" s="387"/>
      <c r="EY3955" s="939"/>
      <c r="EZ3955" s="886"/>
    </row>
    <row r="3956" spans="152:156">
      <c r="EV3956" s="985"/>
      <c r="EW3956" s="985"/>
      <c r="EX3956" s="387"/>
      <c r="EY3956" s="939"/>
      <c r="EZ3956" s="886"/>
    </row>
    <row r="3957" spans="152:156">
      <c r="EV3957" s="985"/>
      <c r="EW3957" s="985"/>
      <c r="EX3957" s="387"/>
      <c r="EY3957" s="939"/>
      <c r="EZ3957" s="886"/>
    </row>
    <row r="3958" spans="152:156">
      <c r="EV3958" s="985"/>
      <c r="EW3958" s="985"/>
      <c r="EX3958" s="387"/>
      <c r="EY3958" s="939"/>
      <c r="EZ3958" s="886"/>
    </row>
    <row r="3959" spans="152:156">
      <c r="EV3959" s="985"/>
      <c r="EW3959" s="985"/>
      <c r="EX3959" s="387"/>
      <c r="EY3959" s="939"/>
      <c r="EZ3959" s="886"/>
    </row>
    <row r="3960" spans="152:156">
      <c r="EV3960" s="985"/>
      <c r="EW3960" s="985"/>
      <c r="EX3960" s="387"/>
      <c r="EY3960" s="939"/>
      <c r="EZ3960" s="886"/>
    </row>
    <row r="3961" spans="152:156">
      <c r="EV3961" s="985"/>
      <c r="EW3961" s="985"/>
      <c r="EX3961" s="387"/>
      <c r="EY3961" s="939"/>
      <c r="EZ3961" s="886"/>
    </row>
    <row r="3962" spans="152:156">
      <c r="EV3962" s="985"/>
      <c r="EW3962" s="985"/>
      <c r="EX3962" s="387"/>
      <c r="EY3962" s="939"/>
      <c r="EZ3962" s="886"/>
    </row>
    <row r="3963" spans="152:156">
      <c r="EV3963" s="985"/>
      <c r="EW3963" s="985"/>
      <c r="EX3963" s="387"/>
      <c r="EY3963" s="939"/>
      <c r="EZ3963" s="886"/>
    </row>
    <row r="3964" spans="152:156">
      <c r="EV3964" s="985"/>
      <c r="EW3964" s="985"/>
      <c r="EX3964" s="387"/>
      <c r="EY3964" s="939"/>
      <c r="EZ3964" s="886"/>
    </row>
    <row r="3965" spans="152:156">
      <c r="EV3965" s="985"/>
      <c r="EW3965" s="985"/>
      <c r="EX3965" s="387"/>
      <c r="EY3965" s="939"/>
      <c r="EZ3965" s="886"/>
    </row>
    <row r="3966" spans="152:156">
      <c r="EV3966" s="985"/>
      <c r="EW3966" s="985"/>
      <c r="EX3966" s="387"/>
      <c r="EY3966" s="939"/>
      <c r="EZ3966" s="886"/>
    </row>
    <row r="3967" spans="152:156">
      <c r="EV3967" s="985"/>
      <c r="EW3967" s="985"/>
      <c r="EX3967" s="387"/>
      <c r="EY3967" s="939"/>
      <c r="EZ3967" s="886"/>
    </row>
    <row r="3968" spans="152:156">
      <c r="EV3968" s="985"/>
      <c r="EW3968" s="985"/>
      <c r="EX3968" s="387"/>
      <c r="EY3968" s="939"/>
      <c r="EZ3968" s="886"/>
    </row>
    <row r="3969" spans="152:156">
      <c r="EV3969" s="985"/>
      <c r="EW3969" s="985"/>
      <c r="EX3969" s="387"/>
      <c r="EY3969" s="939"/>
      <c r="EZ3969" s="886"/>
    </row>
    <row r="3970" spans="152:156">
      <c r="EV3970" s="985"/>
      <c r="EW3970" s="985"/>
      <c r="EX3970" s="387"/>
      <c r="EY3970" s="939"/>
      <c r="EZ3970" s="886"/>
    </row>
    <row r="3971" spans="152:156">
      <c r="EV3971" s="985"/>
      <c r="EW3971" s="985"/>
      <c r="EX3971" s="387"/>
      <c r="EY3971" s="939"/>
      <c r="EZ3971" s="886"/>
    </row>
    <row r="3972" spans="152:156">
      <c r="EV3972" s="985"/>
      <c r="EW3972" s="985"/>
      <c r="EX3972" s="387"/>
      <c r="EY3972" s="939"/>
      <c r="EZ3972" s="886"/>
    </row>
    <row r="3973" spans="152:156">
      <c r="EV3973" s="985"/>
      <c r="EW3973" s="985"/>
      <c r="EX3973" s="387"/>
      <c r="EY3973" s="939"/>
      <c r="EZ3973" s="886"/>
    </row>
    <row r="3974" spans="152:156">
      <c r="EV3974" s="985"/>
      <c r="EW3974" s="985"/>
      <c r="EX3974" s="387"/>
      <c r="EY3974" s="939"/>
      <c r="EZ3974" s="886"/>
    </row>
    <row r="3975" spans="152:156">
      <c r="EV3975" s="985"/>
      <c r="EW3975" s="985"/>
      <c r="EX3975" s="387"/>
      <c r="EY3975" s="939"/>
      <c r="EZ3975" s="886"/>
    </row>
    <row r="3976" spans="152:156">
      <c r="EV3976" s="985"/>
      <c r="EW3976" s="985"/>
      <c r="EX3976" s="387"/>
      <c r="EY3976" s="939"/>
      <c r="EZ3976" s="886"/>
    </row>
    <row r="3977" spans="152:156">
      <c r="EV3977" s="985"/>
      <c r="EW3977" s="985"/>
      <c r="EX3977" s="387"/>
      <c r="EY3977" s="939"/>
      <c r="EZ3977" s="886"/>
    </row>
    <row r="3978" spans="152:156">
      <c r="EV3978" s="985"/>
      <c r="EW3978" s="985"/>
      <c r="EX3978" s="387"/>
      <c r="EY3978" s="939"/>
      <c r="EZ3978" s="886"/>
    </row>
    <row r="3979" spans="152:156">
      <c r="EV3979" s="985"/>
      <c r="EW3979" s="985"/>
      <c r="EX3979" s="387"/>
      <c r="EY3979" s="939"/>
      <c r="EZ3979" s="886"/>
    </row>
    <row r="3980" spans="152:156">
      <c r="EV3980" s="985"/>
      <c r="EW3980" s="985"/>
      <c r="EX3980" s="387"/>
      <c r="EY3980" s="939"/>
      <c r="EZ3980" s="886"/>
    </row>
    <row r="3981" spans="152:156">
      <c r="EV3981" s="985"/>
      <c r="EW3981" s="985"/>
      <c r="EX3981" s="387"/>
      <c r="EY3981" s="939"/>
      <c r="EZ3981" s="886"/>
    </row>
    <row r="3982" spans="152:156">
      <c r="EV3982" s="985"/>
      <c r="EW3982" s="985"/>
      <c r="EX3982" s="387"/>
      <c r="EY3982" s="939"/>
      <c r="EZ3982" s="886"/>
    </row>
    <row r="3983" spans="152:156">
      <c r="EV3983" s="985"/>
      <c r="EW3983" s="985"/>
      <c r="EX3983" s="387"/>
      <c r="EY3983" s="939"/>
      <c r="EZ3983" s="886"/>
    </row>
    <row r="3984" spans="152:156">
      <c r="EV3984" s="985"/>
      <c r="EW3984" s="985"/>
      <c r="EX3984" s="387"/>
      <c r="EY3984" s="939"/>
      <c r="EZ3984" s="886"/>
    </row>
    <row r="3985" spans="152:156">
      <c r="EV3985" s="985"/>
      <c r="EW3985" s="985"/>
      <c r="EX3985" s="387"/>
      <c r="EY3985" s="939"/>
      <c r="EZ3985" s="886"/>
    </row>
    <row r="3986" spans="152:156">
      <c r="EV3986" s="985"/>
      <c r="EW3986" s="985"/>
      <c r="EX3986" s="387"/>
      <c r="EY3986" s="939"/>
      <c r="EZ3986" s="886"/>
    </row>
    <row r="3987" spans="152:156">
      <c r="EV3987" s="985"/>
      <c r="EW3987" s="985"/>
      <c r="EX3987" s="387"/>
      <c r="EY3987" s="939"/>
      <c r="EZ3987" s="886"/>
    </row>
    <row r="3988" spans="152:156">
      <c r="EV3988" s="985"/>
      <c r="EW3988" s="985"/>
      <c r="EX3988" s="387"/>
      <c r="EY3988" s="939"/>
      <c r="EZ3988" s="886"/>
    </row>
    <row r="3989" spans="152:156">
      <c r="EV3989" s="985"/>
      <c r="EW3989" s="985"/>
      <c r="EX3989" s="387"/>
      <c r="EY3989" s="939"/>
      <c r="EZ3989" s="886"/>
    </row>
    <row r="3990" spans="152:156">
      <c r="EV3990" s="985"/>
      <c r="EW3990" s="985"/>
      <c r="EX3990" s="387"/>
      <c r="EY3990" s="939"/>
      <c r="EZ3990" s="886"/>
    </row>
    <row r="3991" spans="152:156">
      <c r="EV3991" s="985"/>
      <c r="EW3991" s="985"/>
      <c r="EX3991" s="387"/>
      <c r="EY3991" s="939"/>
      <c r="EZ3991" s="886"/>
    </row>
    <row r="3992" spans="152:156">
      <c r="EV3992" s="985"/>
      <c r="EW3992" s="985"/>
      <c r="EX3992" s="387"/>
      <c r="EY3992" s="939"/>
      <c r="EZ3992" s="886"/>
    </row>
    <row r="3993" spans="152:156">
      <c r="EV3993" s="985"/>
      <c r="EW3993" s="985"/>
      <c r="EX3993" s="387"/>
      <c r="EY3993" s="939"/>
      <c r="EZ3993" s="886"/>
    </row>
    <row r="3994" spans="152:156">
      <c r="EV3994" s="985"/>
      <c r="EW3994" s="985"/>
      <c r="EX3994" s="387"/>
      <c r="EY3994" s="939"/>
      <c r="EZ3994" s="886"/>
    </row>
    <row r="3995" spans="152:156">
      <c r="EV3995" s="985"/>
      <c r="EW3995" s="985"/>
      <c r="EX3995" s="387"/>
      <c r="EY3995" s="939"/>
      <c r="EZ3995" s="886"/>
    </row>
    <row r="3996" spans="152:156">
      <c r="EV3996" s="985"/>
      <c r="EW3996" s="985"/>
      <c r="EX3996" s="387"/>
      <c r="EY3996" s="939"/>
      <c r="EZ3996" s="886"/>
    </row>
    <row r="3997" spans="152:156">
      <c r="EV3997" s="985"/>
      <c r="EW3997" s="985"/>
      <c r="EX3997" s="387"/>
      <c r="EY3997" s="939"/>
      <c r="EZ3997" s="886"/>
    </row>
    <row r="3998" spans="152:156">
      <c r="EV3998" s="985"/>
      <c r="EW3998" s="985"/>
      <c r="EX3998" s="387"/>
      <c r="EY3998" s="939"/>
      <c r="EZ3998" s="886"/>
    </row>
    <row r="3999" spans="152:156">
      <c r="EV3999" s="985"/>
      <c r="EW3999" s="985"/>
      <c r="EX3999" s="387"/>
      <c r="EY3999" s="939"/>
      <c r="EZ3999" s="886"/>
    </row>
    <row r="4000" spans="152:156">
      <c r="EV4000" s="985"/>
      <c r="EW4000" s="985"/>
      <c r="EX4000" s="387"/>
      <c r="EY4000" s="939"/>
      <c r="EZ4000" s="886"/>
    </row>
    <row r="4001" spans="152:156">
      <c r="EV4001" s="985"/>
      <c r="EW4001" s="985"/>
      <c r="EX4001" s="387"/>
      <c r="EY4001" s="939"/>
      <c r="EZ4001" s="886"/>
    </row>
    <row r="4002" spans="152:156">
      <c r="EV4002" s="985"/>
      <c r="EW4002" s="985"/>
      <c r="EX4002" s="387"/>
      <c r="EY4002" s="939"/>
      <c r="EZ4002" s="886"/>
    </row>
    <row r="4003" spans="152:156">
      <c r="EV4003" s="985"/>
      <c r="EW4003" s="985"/>
      <c r="EX4003" s="387"/>
      <c r="EY4003" s="939"/>
      <c r="EZ4003" s="886"/>
    </row>
    <row r="4004" spans="152:156">
      <c r="EV4004" s="985"/>
      <c r="EW4004" s="985"/>
      <c r="EX4004" s="387"/>
      <c r="EY4004" s="939"/>
      <c r="EZ4004" s="886"/>
    </row>
    <row r="4005" spans="152:156">
      <c r="EV4005" s="985"/>
      <c r="EW4005" s="985"/>
      <c r="EX4005" s="387"/>
      <c r="EY4005" s="939"/>
      <c r="EZ4005" s="886"/>
    </row>
    <row r="4006" spans="152:156">
      <c r="EV4006" s="985"/>
      <c r="EW4006" s="985"/>
      <c r="EX4006" s="387"/>
      <c r="EY4006" s="939"/>
      <c r="EZ4006" s="886"/>
    </row>
    <row r="4007" spans="152:156">
      <c r="EV4007" s="985"/>
      <c r="EW4007" s="985"/>
      <c r="EX4007" s="387"/>
      <c r="EY4007" s="939"/>
      <c r="EZ4007" s="886"/>
    </row>
    <row r="4008" spans="152:156">
      <c r="EV4008" s="985"/>
      <c r="EW4008" s="985"/>
      <c r="EX4008" s="387"/>
      <c r="EY4008" s="939"/>
      <c r="EZ4008" s="886"/>
    </row>
    <row r="4009" spans="152:156">
      <c r="EV4009" s="985"/>
      <c r="EW4009" s="985"/>
      <c r="EX4009" s="387"/>
      <c r="EY4009" s="939"/>
      <c r="EZ4009" s="886"/>
    </row>
    <row r="4010" spans="152:156">
      <c r="EV4010" s="985"/>
      <c r="EW4010" s="985"/>
      <c r="EX4010" s="387"/>
      <c r="EY4010" s="939"/>
      <c r="EZ4010" s="886"/>
    </row>
    <row r="4011" spans="152:156">
      <c r="EV4011" s="985"/>
      <c r="EW4011" s="985"/>
      <c r="EX4011" s="387"/>
      <c r="EY4011" s="939"/>
      <c r="EZ4011" s="886"/>
    </row>
    <row r="4012" spans="152:156">
      <c r="EV4012" s="985"/>
      <c r="EW4012" s="985"/>
      <c r="EX4012" s="387"/>
      <c r="EY4012" s="939"/>
      <c r="EZ4012" s="886"/>
    </row>
    <row r="4013" spans="152:156">
      <c r="EV4013" s="985"/>
      <c r="EW4013" s="985"/>
      <c r="EX4013" s="387"/>
      <c r="EY4013" s="939"/>
      <c r="EZ4013" s="886"/>
    </row>
    <row r="4014" spans="152:156">
      <c r="EV4014" s="985"/>
      <c r="EW4014" s="985"/>
      <c r="EX4014" s="387"/>
      <c r="EY4014" s="939"/>
      <c r="EZ4014" s="886"/>
    </row>
    <row r="4015" spans="152:156">
      <c r="EV4015" s="985"/>
      <c r="EW4015" s="985"/>
      <c r="EX4015" s="387"/>
      <c r="EY4015" s="939"/>
      <c r="EZ4015" s="886"/>
    </row>
    <row r="4016" spans="152:156">
      <c r="EV4016" s="985"/>
      <c r="EW4016" s="985"/>
      <c r="EX4016" s="387"/>
      <c r="EY4016" s="939"/>
      <c r="EZ4016" s="886"/>
    </row>
    <row r="4017" spans="152:156">
      <c r="EV4017" s="985"/>
      <c r="EW4017" s="985"/>
      <c r="EX4017" s="387"/>
      <c r="EY4017" s="939"/>
      <c r="EZ4017" s="886"/>
    </row>
    <row r="4018" spans="152:156">
      <c r="EV4018" s="985"/>
      <c r="EW4018" s="985"/>
      <c r="EX4018" s="387"/>
      <c r="EY4018" s="939"/>
      <c r="EZ4018" s="886"/>
    </row>
    <row r="4019" spans="152:156">
      <c r="EV4019" s="985"/>
      <c r="EW4019" s="985"/>
      <c r="EX4019" s="387"/>
      <c r="EY4019" s="939"/>
      <c r="EZ4019" s="886"/>
    </row>
    <row r="4020" spans="152:156">
      <c r="EV4020" s="985"/>
      <c r="EW4020" s="985"/>
      <c r="EX4020" s="387"/>
      <c r="EY4020" s="939"/>
      <c r="EZ4020" s="886"/>
    </row>
    <row r="4021" spans="152:156">
      <c r="EV4021" s="985"/>
      <c r="EW4021" s="985"/>
      <c r="EX4021" s="387"/>
      <c r="EY4021" s="939"/>
      <c r="EZ4021" s="886"/>
    </row>
    <row r="4022" spans="152:156">
      <c r="EV4022" s="985"/>
      <c r="EW4022" s="985"/>
      <c r="EX4022" s="387"/>
      <c r="EY4022" s="939"/>
      <c r="EZ4022" s="886"/>
    </row>
    <row r="4023" spans="152:156">
      <c r="EV4023" s="985"/>
      <c r="EW4023" s="985"/>
      <c r="EX4023" s="387"/>
      <c r="EY4023" s="939"/>
      <c r="EZ4023" s="886"/>
    </row>
    <row r="4024" spans="152:156">
      <c r="EV4024" s="985"/>
      <c r="EW4024" s="985"/>
      <c r="EX4024" s="387"/>
      <c r="EY4024" s="939"/>
      <c r="EZ4024" s="886"/>
    </row>
    <row r="4025" spans="152:156">
      <c r="EV4025" s="985"/>
      <c r="EW4025" s="985"/>
      <c r="EX4025" s="387"/>
      <c r="EY4025" s="939"/>
      <c r="EZ4025" s="886"/>
    </row>
    <row r="4026" spans="152:156">
      <c r="EV4026" s="985"/>
      <c r="EW4026" s="985"/>
      <c r="EX4026" s="387"/>
      <c r="EY4026" s="939"/>
      <c r="EZ4026" s="886"/>
    </row>
    <row r="4027" spans="152:156">
      <c r="EV4027" s="985"/>
      <c r="EW4027" s="985"/>
      <c r="EX4027" s="387"/>
      <c r="EY4027" s="939"/>
      <c r="EZ4027" s="886"/>
    </row>
    <row r="4028" spans="152:156">
      <c r="EV4028" s="985"/>
      <c r="EW4028" s="985"/>
      <c r="EX4028" s="387"/>
      <c r="EY4028" s="939"/>
      <c r="EZ4028" s="886"/>
    </row>
    <row r="4029" spans="152:156">
      <c r="EV4029" s="985"/>
      <c r="EW4029" s="985"/>
      <c r="EX4029" s="387"/>
      <c r="EY4029" s="939"/>
      <c r="EZ4029" s="886"/>
    </row>
    <row r="4030" spans="152:156">
      <c r="EV4030" s="985"/>
      <c r="EW4030" s="985"/>
      <c r="EX4030" s="387"/>
      <c r="EY4030" s="939"/>
      <c r="EZ4030" s="886"/>
    </row>
    <row r="4031" spans="152:156">
      <c r="EV4031" s="985"/>
      <c r="EW4031" s="985"/>
      <c r="EX4031" s="387"/>
      <c r="EY4031" s="939"/>
      <c r="EZ4031" s="886"/>
    </row>
    <row r="4032" spans="152:156">
      <c r="EV4032" s="985"/>
      <c r="EW4032" s="985"/>
      <c r="EX4032" s="387"/>
      <c r="EY4032" s="939"/>
      <c r="EZ4032" s="886"/>
    </row>
    <row r="4033" spans="152:156">
      <c r="EV4033" s="985"/>
      <c r="EW4033" s="985"/>
      <c r="EX4033" s="387"/>
      <c r="EY4033" s="939"/>
      <c r="EZ4033" s="886"/>
    </row>
    <row r="4034" spans="152:156">
      <c r="EV4034" s="985"/>
      <c r="EW4034" s="985"/>
      <c r="EX4034" s="387"/>
      <c r="EY4034" s="939"/>
      <c r="EZ4034" s="886"/>
    </row>
    <row r="4035" spans="152:156">
      <c r="EV4035" s="985"/>
      <c r="EW4035" s="985"/>
      <c r="EX4035" s="387"/>
      <c r="EY4035" s="939"/>
      <c r="EZ4035" s="886"/>
    </row>
    <row r="4036" spans="152:156">
      <c r="EV4036" s="985"/>
      <c r="EW4036" s="985"/>
      <c r="EX4036" s="387"/>
      <c r="EY4036" s="939"/>
      <c r="EZ4036" s="886"/>
    </row>
    <row r="4037" spans="152:156">
      <c r="EV4037" s="985"/>
      <c r="EW4037" s="985"/>
      <c r="EX4037" s="387"/>
      <c r="EY4037" s="939"/>
      <c r="EZ4037" s="886"/>
    </row>
    <row r="4038" spans="152:156">
      <c r="EV4038" s="985"/>
      <c r="EW4038" s="985"/>
      <c r="EX4038" s="387"/>
      <c r="EY4038" s="939"/>
      <c r="EZ4038" s="886"/>
    </row>
    <row r="4039" spans="152:156">
      <c r="EV4039" s="985"/>
      <c r="EW4039" s="985"/>
      <c r="EX4039" s="387"/>
      <c r="EY4039" s="939"/>
      <c r="EZ4039" s="886"/>
    </row>
    <row r="4040" spans="152:156">
      <c r="EV4040" s="985"/>
      <c r="EW4040" s="985"/>
      <c r="EX4040" s="387"/>
      <c r="EY4040" s="939"/>
      <c r="EZ4040" s="886"/>
    </row>
    <row r="4041" spans="152:156">
      <c r="EV4041" s="985"/>
      <c r="EW4041" s="985"/>
      <c r="EX4041" s="387"/>
      <c r="EY4041" s="939"/>
      <c r="EZ4041" s="886"/>
    </row>
    <row r="4042" spans="152:156">
      <c r="EV4042" s="985"/>
      <c r="EW4042" s="985"/>
      <c r="EX4042" s="387"/>
      <c r="EY4042" s="939"/>
      <c r="EZ4042" s="886"/>
    </row>
    <row r="4043" spans="152:156">
      <c r="EV4043" s="985"/>
      <c r="EW4043" s="985"/>
      <c r="EX4043" s="387"/>
      <c r="EY4043" s="939"/>
      <c r="EZ4043" s="886"/>
    </row>
    <row r="4044" spans="152:156">
      <c r="EV4044" s="985"/>
      <c r="EW4044" s="985"/>
      <c r="EX4044" s="387"/>
      <c r="EY4044" s="939"/>
      <c r="EZ4044" s="886"/>
    </row>
    <row r="4045" spans="152:156">
      <c r="EV4045" s="985"/>
      <c r="EW4045" s="985"/>
      <c r="EX4045" s="387"/>
      <c r="EY4045" s="939"/>
      <c r="EZ4045" s="886"/>
    </row>
    <row r="4046" spans="152:156">
      <c r="EV4046" s="985"/>
      <c r="EW4046" s="985"/>
      <c r="EX4046" s="387"/>
      <c r="EY4046" s="939"/>
      <c r="EZ4046" s="886"/>
    </row>
    <row r="4047" spans="152:156">
      <c r="EV4047" s="985"/>
      <c r="EW4047" s="985"/>
      <c r="EX4047" s="387"/>
      <c r="EY4047" s="939"/>
      <c r="EZ4047" s="886"/>
    </row>
    <row r="4048" spans="152:156">
      <c r="EV4048" s="985"/>
      <c r="EW4048" s="985"/>
      <c r="EX4048" s="387"/>
      <c r="EY4048" s="939"/>
      <c r="EZ4048" s="886"/>
    </row>
    <row r="4049" spans="152:156">
      <c r="EV4049" s="985"/>
      <c r="EW4049" s="985"/>
      <c r="EX4049" s="387"/>
      <c r="EY4049" s="939"/>
      <c r="EZ4049" s="886"/>
    </row>
    <row r="4050" spans="152:156">
      <c r="EV4050" s="985"/>
      <c r="EW4050" s="985"/>
      <c r="EX4050" s="387"/>
      <c r="EY4050" s="939"/>
      <c r="EZ4050" s="886"/>
    </row>
    <row r="4051" spans="152:156">
      <c r="EV4051" s="985"/>
      <c r="EW4051" s="985"/>
      <c r="EX4051" s="387"/>
      <c r="EY4051" s="939"/>
      <c r="EZ4051" s="886"/>
    </row>
    <row r="4052" spans="152:156">
      <c r="EV4052" s="985"/>
      <c r="EW4052" s="985"/>
      <c r="EX4052" s="387"/>
      <c r="EY4052" s="939"/>
      <c r="EZ4052" s="886"/>
    </row>
    <row r="4053" spans="152:156">
      <c r="EV4053" s="985"/>
      <c r="EW4053" s="985"/>
      <c r="EX4053" s="387"/>
      <c r="EY4053" s="939"/>
      <c r="EZ4053" s="886"/>
    </row>
    <row r="4054" spans="152:156">
      <c r="EV4054" s="985"/>
      <c r="EW4054" s="985"/>
      <c r="EX4054" s="387"/>
      <c r="EY4054" s="939"/>
      <c r="EZ4054" s="886"/>
    </row>
    <row r="4055" spans="152:156">
      <c r="EV4055" s="985"/>
      <c r="EW4055" s="985"/>
      <c r="EX4055" s="387"/>
      <c r="EY4055" s="939"/>
      <c r="EZ4055" s="886"/>
    </row>
    <row r="4056" spans="152:156">
      <c r="EV4056" s="985"/>
      <c r="EW4056" s="985"/>
      <c r="EX4056" s="387"/>
      <c r="EY4056" s="939"/>
      <c r="EZ4056" s="886"/>
    </row>
    <row r="4057" spans="152:156">
      <c r="EV4057" s="985"/>
      <c r="EW4057" s="985"/>
      <c r="EX4057" s="387"/>
      <c r="EY4057" s="939"/>
      <c r="EZ4057" s="886"/>
    </row>
    <row r="4058" spans="152:156">
      <c r="EV4058" s="985"/>
      <c r="EW4058" s="985"/>
      <c r="EX4058" s="387"/>
      <c r="EY4058" s="939"/>
      <c r="EZ4058" s="886"/>
    </row>
    <row r="4059" spans="152:156">
      <c r="EV4059" s="985"/>
      <c r="EW4059" s="985"/>
      <c r="EX4059" s="387"/>
      <c r="EY4059" s="939"/>
      <c r="EZ4059" s="886"/>
    </row>
    <row r="4060" spans="152:156">
      <c r="EV4060" s="985"/>
      <c r="EW4060" s="985"/>
      <c r="EX4060" s="387"/>
      <c r="EY4060" s="939"/>
      <c r="EZ4060" s="886"/>
    </row>
    <row r="4061" spans="152:156">
      <c r="EV4061" s="985"/>
      <c r="EW4061" s="985"/>
      <c r="EX4061" s="387"/>
      <c r="EY4061" s="939"/>
      <c r="EZ4061" s="886"/>
    </row>
    <row r="4062" spans="152:156">
      <c r="EV4062" s="985"/>
      <c r="EW4062" s="985"/>
      <c r="EX4062" s="387"/>
      <c r="EY4062" s="939"/>
      <c r="EZ4062" s="886"/>
    </row>
    <row r="4063" spans="152:156">
      <c r="EV4063" s="985"/>
      <c r="EW4063" s="985"/>
      <c r="EX4063" s="387"/>
      <c r="EY4063" s="939"/>
      <c r="EZ4063" s="886"/>
    </row>
    <row r="4064" spans="152:156">
      <c r="EV4064" s="985"/>
      <c r="EW4064" s="985"/>
      <c r="EX4064" s="387"/>
      <c r="EY4064" s="939"/>
      <c r="EZ4064" s="886"/>
    </row>
    <row r="4065" spans="152:156">
      <c r="EV4065" s="985"/>
      <c r="EW4065" s="985"/>
      <c r="EX4065" s="387"/>
      <c r="EY4065" s="939"/>
      <c r="EZ4065" s="886"/>
    </row>
    <row r="4066" spans="152:156">
      <c r="EV4066" s="985"/>
      <c r="EW4066" s="985"/>
      <c r="EX4066" s="387"/>
      <c r="EY4066" s="939"/>
      <c r="EZ4066" s="886"/>
    </row>
    <row r="4067" spans="152:156">
      <c r="EV4067" s="985"/>
      <c r="EW4067" s="985"/>
      <c r="EX4067" s="387"/>
      <c r="EY4067" s="939"/>
      <c r="EZ4067" s="886"/>
    </row>
    <row r="4068" spans="152:156">
      <c r="EV4068" s="985"/>
      <c r="EW4068" s="985"/>
      <c r="EX4068" s="387"/>
      <c r="EY4068" s="939"/>
      <c r="EZ4068" s="886"/>
    </row>
    <row r="4069" spans="152:156">
      <c r="EV4069" s="985"/>
      <c r="EW4069" s="985"/>
      <c r="EX4069" s="387"/>
      <c r="EY4069" s="939"/>
      <c r="EZ4069" s="886"/>
    </row>
    <row r="4070" spans="152:156">
      <c r="EV4070" s="985"/>
      <c r="EW4070" s="985"/>
      <c r="EX4070" s="387"/>
      <c r="EY4070" s="939"/>
      <c r="EZ4070" s="886"/>
    </row>
    <row r="4071" spans="152:156">
      <c r="EV4071" s="985"/>
      <c r="EW4071" s="985"/>
      <c r="EX4071" s="387"/>
      <c r="EY4071" s="939"/>
      <c r="EZ4071" s="886"/>
    </row>
    <row r="4072" spans="152:156">
      <c r="EV4072" s="985"/>
      <c r="EW4072" s="985"/>
      <c r="EX4072" s="387"/>
      <c r="EY4072" s="939"/>
      <c r="EZ4072" s="886"/>
    </row>
    <row r="4073" spans="152:156">
      <c r="EV4073" s="985"/>
      <c r="EW4073" s="985"/>
      <c r="EX4073" s="387"/>
      <c r="EY4073" s="939"/>
      <c r="EZ4073" s="886"/>
    </row>
    <row r="4074" spans="152:156">
      <c r="EV4074" s="985"/>
      <c r="EW4074" s="985"/>
      <c r="EX4074" s="387"/>
      <c r="EY4074" s="939"/>
      <c r="EZ4074" s="886"/>
    </row>
    <row r="4075" spans="152:156">
      <c r="EV4075" s="985"/>
      <c r="EW4075" s="985"/>
      <c r="EX4075" s="387"/>
      <c r="EY4075" s="939"/>
      <c r="EZ4075" s="886"/>
    </row>
    <row r="4076" spans="152:156">
      <c r="EV4076" s="985"/>
      <c r="EW4076" s="985"/>
      <c r="EX4076" s="387"/>
      <c r="EY4076" s="939"/>
      <c r="EZ4076" s="886"/>
    </row>
    <row r="4077" spans="152:156">
      <c r="EV4077" s="985"/>
      <c r="EW4077" s="985"/>
      <c r="EX4077" s="387"/>
      <c r="EY4077" s="939"/>
      <c r="EZ4077" s="886"/>
    </row>
    <row r="4078" spans="152:156">
      <c r="EV4078" s="985"/>
      <c r="EW4078" s="985"/>
      <c r="EX4078" s="387"/>
      <c r="EY4078" s="939"/>
      <c r="EZ4078" s="886"/>
    </row>
    <row r="4079" spans="152:156">
      <c r="EV4079" s="985"/>
      <c r="EW4079" s="985"/>
      <c r="EX4079" s="387"/>
      <c r="EY4079" s="939"/>
      <c r="EZ4079" s="886"/>
    </row>
    <row r="4080" spans="152:156">
      <c r="EV4080" s="985"/>
      <c r="EW4080" s="985"/>
      <c r="EX4080" s="387"/>
      <c r="EY4080" s="939"/>
      <c r="EZ4080" s="886"/>
    </row>
    <row r="4081" spans="152:156">
      <c r="EV4081" s="985"/>
      <c r="EW4081" s="985"/>
      <c r="EX4081" s="387"/>
      <c r="EY4081" s="939"/>
      <c r="EZ4081" s="886"/>
    </row>
    <row r="4082" spans="152:156">
      <c r="EV4082" s="985"/>
      <c r="EW4082" s="985"/>
      <c r="EX4082" s="387"/>
      <c r="EY4082" s="939"/>
      <c r="EZ4082" s="886"/>
    </row>
    <row r="4083" spans="152:156">
      <c r="EV4083" s="985"/>
      <c r="EW4083" s="985"/>
      <c r="EX4083" s="387"/>
      <c r="EY4083" s="939"/>
      <c r="EZ4083" s="886"/>
    </row>
    <row r="4084" spans="152:156">
      <c r="EV4084" s="985"/>
      <c r="EW4084" s="985"/>
      <c r="EX4084" s="387"/>
      <c r="EY4084" s="939"/>
      <c r="EZ4084" s="886"/>
    </row>
    <row r="4085" spans="152:156">
      <c r="EV4085" s="985"/>
      <c r="EW4085" s="985"/>
      <c r="EX4085" s="387"/>
      <c r="EY4085" s="939"/>
      <c r="EZ4085" s="886"/>
    </row>
    <row r="4086" spans="152:156">
      <c r="EV4086" s="985"/>
      <c r="EW4086" s="985"/>
      <c r="EX4086" s="387"/>
      <c r="EY4086" s="939"/>
      <c r="EZ4086" s="886"/>
    </row>
    <row r="4087" spans="152:156">
      <c r="EV4087" s="985"/>
      <c r="EW4087" s="985"/>
      <c r="EX4087" s="387"/>
      <c r="EY4087" s="939"/>
      <c r="EZ4087" s="886"/>
    </row>
    <row r="4088" spans="152:156">
      <c r="EV4088" s="985"/>
      <c r="EW4088" s="985"/>
      <c r="EX4088" s="387"/>
      <c r="EY4088" s="939"/>
      <c r="EZ4088" s="886"/>
    </row>
    <row r="4089" spans="152:156">
      <c r="EV4089" s="985"/>
      <c r="EW4089" s="985"/>
      <c r="EX4089" s="387"/>
      <c r="EY4089" s="939"/>
      <c r="EZ4089" s="886"/>
    </row>
    <row r="4090" spans="152:156">
      <c r="EV4090" s="985"/>
      <c r="EW4090" s="985"/>
      <c r="EX4090" s="387"/>
      <c r="EY4090" s="939"/>
      <c r="EZ4090" s="886"/>
    </row>
    <row r="4091" spans="152:156">
      <c r="EV4091" s="985"/>
      <c r="EW4091" s="985"/>
      <c r="EX4091" s="387"/>
      <c r="EY4091" s="939"/>
      <c r="EZ4091" s="886"/>
    </row>
    <row r="4092" spans="152:156">
      <c r="EV4092" s="985"/>
      <c r="EW4092" s="985"/>
      <c r="EX4092" s="387"/>
      <c r="EY4092" s="939"/>
      <c r="EZ4092" s="886"/>
    </row>
    <row r="4093" spans="152:156">
      <c r="EV4093" s="985"/>
      <c r="EW4093" s="985"/>
      <c r="EX4093" s="387"/>
      <c r="EY4093" s="939"/>
      <c r="EZ4093" s="886"/>
    </row>
    <row r="4094" spans="152:156">
      <c r="EV4094" s="985"/>
      <c r="EW4094" s="985"/>
      <c r="EX4094" s="387"/>
      <c r="EY4094" s="939"/>
      <c r="EZ4094" s="886"/>
    </row>
    <row r="4095" spans="152:156">
      <c r="EV4095" s="985"/>
      <c r="EW4095" s="985"/>
      <c r="EX4095" s="387"/>
      <c r="EY4095" s="939"/>
      <c r="EZ4095" s="886"/>
    </row>
    <row r="4096" spans="152:156">
      <c r="EV4096" s="985"/>
      <c r="EW4096" s="985"/>
      <c r="EX4096" s="387"/>
      <c r="EY4096" s="939"/>
      <c r="EZ4096" s="886"/>
    </row>
    <row r="4097" spans="152:156">
      <c r="EV4097" s="985"/>
      <c r="EW4097" s="985"/>
      <c r="EX4097" s="387"/>
      <c r="EY4097" s="939"/>
      <c r="EZ4097" s="886"/>
    </row>
    <row r="4098" spans="152:156">
      <c r="EV4098" s="985"/>
      <c r="EW4098" s="985"/>
      <c r="EX4098" s="387"/>
      <c r="EY4098" s="939"/>
      <c r="EZ4098" s="886"/>
    </row>
    <row r="4099" spans="152:156">
      <c r="EV4099" s="985"/>
      <c r="EW4099" s="985"/>
      <c r="EX4099" s="387"/>
      <c r="EY4099" s="939"/>
      <c r="EZ4099" s="886"/>
    </row>
    <row r="4100" spans="152:156">
      <c r="EV4100" s="985"/>
      <c r="EW4100" s="985"/>
      <c r="EX4100" s="387"/>
      <c r="EY4100" s="939"/>
      <c r="EZ4100" s="886"/>
    </row>
    <row r="4101" spans="152:156">
      <c r="EV4101" s="985"/>
      <c r="EW4101" s="985"/>
      <c r="EX4101" s="387"/>
      <c r="EY4101" s="939"/>
      <c r="EZ4101" s="886"/>
    </row>
    <row r="4102" spans="152:156">
      <c r="EV4102" s="985"/>
      <c r="EW4102" s="985"/>
      <c r="EX4102" s="387"/>
      <c r="EY4102" s="939"/>
      <c r="EZ4102" s="886"/>
    </row>
    <row r="4103" spans="152:156">
      <c r="EV4103" s="985"/>
      <c r="EW4103" s="985"/>
      <c r="EX4103" s="387"/>
      <c r="EY4103" s="939"/>
      <c r="EZ4103" s="886"/>
    </row>
    <row r="4104" spans="152:156">
      <c r="EV4104" s="985"/>
      <c r="EW4104" s="985"/>
      <c r="EX4104" s="387"/>
      <c r="EY4104" s="939"/>
      <c r="EZ4104" s="886"/>
    </row>
    <row r="4105" spans="152:156">
      <c r="EV4105" s="985"/>
      <c r="EW4105" s="985"/>
      <c r="EX4105" s="387"/>
      <c r="EY4105" s="939"/>
      <c r="EZ4105" s="886"/>
    </row>
    <row r="4106" spans="152:156">
      <c r="EV4106" s="985"/>
      <c r="EW4106" s="985"/>
      <c r="EX4106" s="387"/>
      <c r="EY4106" s="939"/>
      <c r="EZ4106" s="886"/>
    </row>
    <row r="4107" spans="152:156">
      <c r="EV4107" s="985"/>
      <c r="EW4107" s="985"/>
      <c r="EX4107" s="387"/>
      <c r="EY4107" s="939"/>
      <c r="EZ4107" s="886"/>
    </row>
    <row r="4108" spans="152:156">
      <c r="EV4108" s="985"/>
      <c r="EW4108" s="985"/>
      <c r="EX4108" s="387"/>
      <c r="EY4108" s="939"/>
      <c r="EZ4108" s="886"/>
    </row>
    <row r="4109" spans="152:156">
      <c r="EV4109" s="985"/>
      <c r="EW4109" s="985"/>
      <c r="EX4109" s="387"/>
      <c r="EY4109" s="939"/>
      <c r="EZ4109" s="886"/>
    </row>
    <row r="4110" spans="152:156">
      <c r="EV4110" s="985"/>
      <c r="EW4110" s="985"/>
      <c r="EX4110" s="387"/>
      <c r="EY4110" s="939"/>
      <c r="EZ4110" s="886"/>
    </row>
    <row r="4111" spans="152:156">
      <c r="EV4111" s="985"/>
      <c r="EW4111" s="985"/>
      <c r="EX4111" s="387"/>
      <c r="EY4111" s="939"/>
      <c r="EZ4111" s="886"/>
    </row>
    <row r="4112" spans="152:156">
      <c r="EV4112" s="985"/>
      <c r="EW4112" s="985"/>
      <c r="EX4112" s="387"/>
      <c r="EY4112" s="939"/>
      <c r="EZ4112" s="886"/>
    </row>
    <row r="4113" spans="152:156">
      <c r="EV4113" s="985"/>
      <c r="EW4113" s="985"/>
      <c r="EX4113" s="387"/>
      <c r="EY4113" s="939"/>
      <c r="EZ4113" s="886"/>
    </row>
    <row r="4114" spans="152:156">
      <c r="EV4114" s="985"/>
      <c r="EW4114" s="985"/>
      <c r="EX4114" s="387"/>
      <c r="EY4114" s="939"/>
      <c r="EZ4114" s="886"/>
    </row>
    <row r="4115" spans="152:156">
      <c r="EV4115" s="985"/>
      <c r="EW4115" s="985"/>
      <c r="EX4115" s="387"/>
      <c r="EY4115" s="939"/>
      <c r="EZ4115" s="886"/>
    </row>
    <row r="4116" spans="152:156">
      <c r="EV4116" s="985"/>
      <c r="EW4116" s="985"/>
      <c r="EX4116" s="387"/>
      <c r="EY4116" s="939"/>
      <c r="EZ4116" s="886"/>
    </row>
    <row r="4117" spans="152:156">
      <c r="EV4117" s="985"/>
      <c r="EW4117" s="985"/>
      <c r="EX4117" s="387"/>
      <c r="EY4117" s="939"/>
      <c r="EZ4117" s="886"/>
    </row>
    <row r="4118" spans="152:156">
      <c r="EV4118" s="985"/>
      <c r="EW4118" s="985"/>
      <c r="EX4118" s="387"/>
      <c r="EY4118" s="939"/>
      <c r="EZ4118" s="886"/>
    </row>
    <row r="4119" spans="152:156">
      <c r="EV4119" s="985"/>
      <c r="EW4119" s="985"/>
      <c r="EX4119" s="387"/>
      <c r="EY4119" s="939"/>
      <c r="EZ4119" s="886"/>
    </row>
    <row r="4120" spans="152:156">
      <c r="EV4120" s="985"/>
      <c r="EW4120" s="985"/>
      <c r="EX4120" s="387"/>
      <c r="EY4120" s="939"/>
      <c r="EZ4120" s="886"/>
    </row>
    <row r="4121" spans="152:156">
      <c r="EV4121" s="985"/>
      <c r="EW4121" s="985"/>
      <c r="EX4121" s="387"/>
      <c r="EY4121" s="939"/>
      <c r="EZ4121" s="886"/>
    </row>
    <row r="4122" spans="152:156">
      <c r="EV4122" s="985"/>
      <c r="EW4122" s="985"/>
      <c r="EX4122" s="387"/>
      <c r="EY4122" s="939"/>
      <c r="EZ4122" s="886"/>
    </row>
    <row r="4123" spans="152:156">
      <c r="EV4123" s="985"/>
      <c r="EW4123" s="985"/>
      <c r="EX4123" s="387"/>
      <c r="EY4123" s="939"/>
      <c r="EZ4123" s="886"/>
    </row>
    <row r="4124" spans="152:156">
      <c r="EV4124" s="985"/>
      <c r="EW4124" s="985"/>
      <c r="EX4124" s="387"/>
      <c r="EY4124" s="939"/>
      <c r="EZ4124" s="886"/>
    </row>
    <row r="4125" spans="152:156">
      <c r="EV4125" s="985"/>
      <c r="EW4125" s="985"/>
      <c r="EX4125" s="387"/>
      <c r="EY4125" s="939"/>
      <c r="EZ4125" s="886"/>
    </row>
    <row r="4126" spans="152:156">
      <c r="EV4126" s="985"/>
      <c r="EW4126" s="985"/>
      <c r="EX4126" s="387"/>
      <c r="EY4126" s="939"/>
      <c r="EZ4126" s="886"/>
    </row>
    <row r="4127" spans="152:156">
      <c r="EV4127" s="985"/>
      <c r="EW4127" s="985"/>
      <c r="EX4127" s="387"/>
      <c r="EY4127" s="939"/>
      <c r="EZ4127" s="886"/>
    </row>
    <row r="4128" spans="152:156">
      <c r="EV4128" s="985"/>
      <c r="EW4128" s="985"/>
      <c r="EX4128" s="387"/>
      <c r="EY4128" s="939"/>
      <c r="EZ4128" s="886"/>
    </row>
    <row r="4129" spans="152:156">
      <c r="EV4129" s="985"/>
      <c r="EW4129" s="985"/>
      <c r="EX4129" s="387"/>
      <c r="EY4129" s="939"/>
      <c r="EZ4129" s="886"/>
    </row>
    <row r="4130" spans="152:156">
      <c r="EV4130" s="985"/>
      <c r="EW4130" s="985"/>
      <c r="EX4130" s="387"/>
      <c r="EY4130" s="939"/>
      <c r="EZ4130" s="886"/>
    </row>
    <row r="4131" spans="152:156">
      <c r="EV4131" s="985"/>
      <c r="EW4131" s="985"/>
      <c r="EX4131" s="387"/>
      <c r="EY4131" s="939"/>
      <c r="EZ4131" s="886"/>
    </row>
    <row r="4132" spans="152:156">
      <c r="EV4132" s="985"/>
      <c r="EW4132" s="985"/>
      <c r="EX4132" s="387"/>
      <c r="EY4132" s="939"/>
      <c r="EZ4132" s="886"/>
    </row>
    <row r="4133" spans="152:156">
      <c r="EV4133" s="985"/>
      <c r="EW4133" s="985"/>
      <c r="EX4133" s="387"/>
      <c r="EY4133" s="939"/>
      <c r="EZ4133" s="886"/>
    </row>
    <row r="4134" spans="152:156">
      <c r="EV4134" s="985"/>
      <c r="EW4134" s="985"/>
      <c r="EX4134" s="387"/>
      <c r="EY4134" s="939"/>
      <c r="EZ4134" s="886"/>
    </row>
    <row r="4135" spans="152:156">
      <c r="EV4135" s="985"/>
      <c r="EW4135" s="985"/>
      <c r="EX4135" s="387"/>
      <c r="EY4135" s="939"/>
      <c r="EZ4135" s="886"/>
    </row>
    <row r="4136" spans="152:156">
      <c r="EV4136" s="985"/>
      <c r="EW4136" s="985"/>
      <c r="EX4136" s="387"/>
      <c r="EY4136" s="939"/>
      <c r="EZ4136" s="886"/>
    </row>
    <row r="4137" spans="152:156">
      <c r="EV4137" s="985"/>
      <c r="EW4137" s="985"/>
      <c r="EX4137" s="387"/>
      <c r="EY4137" s="939"/>
      <c r="EZ4137" s="886"/>
    </row>
    <row r="4138" spans="152:156">
      <c r="EV4138" s="985"/>
      <c r="EW4138" s="985"/>
      <c r="EX4138" s="387"/>
      <c r="EY4138" s="939"/>
      <c r="EZ4138" s="886"/>
    </row>
    <row r="4139" spans="152:156">
      <c r="EV4139" s="985"/>
      <c r="EW4139" s="985"/>
      <c r="EX4139" s="387"/>
      <c r="EY4139" s="939"/>
      <c r="EZ4139" s="886"/>
    </row>
    <row r="4140" spans="152:156">
      <c r="EV4140" s="985"/>
      <c r="EW4140" s="985"/>
      <c r="EX4140" s="387"/>
      <c r="EY4140" s="939"/>
      <c r="EZ4140" s="886"/>
    </row>
    <row r="4141" spans="152:156">
      <c r="EV4141" s="985"/>
      <c r="EW4141" s="985"/>
      <c r="EX4141" s="387"/>
      <c r="EY4141" s="939"/>
      <c r="EZ4141" s="886"/>
    </row>
    <row r="4142" spans="152:156">
      <c r="EV4142" s="985"/>
      <c r="EW4142" s="985"/>
      <c r="EX4142" s="387"/>
      <c r="EY4142" s="939"/>
      <c r="EZ4142" s="886"/>
    </row>
    <row r="4143" spans="152:156">
      <c r="EV4143" s="985"/>
      <c r="EW4143" s="985"/>
      <c r="EX4143" s="387"/>
      <c r="EY4143" s="939"/>
      <c r="EZ4143" s="886"/>
    </row>
    <row r="4144" spans="152:156">
      <c r="EV4144" s="985"/>
      <c r="EW4144" s="985"/>
      <c r="EX4144" s="387"/>
      <c r="EY4144" s="939"/>
      <c r="EZ4144" s="886"/>
    </row>
    <row r="4145" spans="152:156">
      <c r="EV4145" s="985"/>
      <c r="EW4145" s="985"/>
      <c r="EX4145" s="387"/>
      <c r="EY4145" s="939"/>
      <c r="EZ4145" s="886"/>
    </row>
    <row r="4146" spans="152:156">
      <c r="EV4146" s="985"/>
      <c r="EW4146" s="985"/>
      <c r="EX4146" s="387"/>
      <c r="EY4146" s="939"/>
      <c r="EZ4146" s="886"/>
    </row>
    <row r="4147" spans="152:156">
      <c r="EV4147" s="985"/>
      <c r="EW4147" s="985"/>
      <c r="EX4147" s="387"/>
      <c r="EY4147" s="939"/>
      <c r="EZ4147" s="886"/>
    </row>
    <row r="4148" spans="152:156">
      <c r="EV4148" s="985"/>
      <c r="EW4148" s="985"/>
      <c r="EX4148" s="387"/>
      <c r="EY4148" s="939"/>
      <c r="EZ4148" s="886"/>
    </row>
    <row r="4149" spans="152:156">
      <c r="EV4149" s="985"/>
      <c r="EW4149" s="985"/>
      <c r="EX4149" s="387"/>
      <c r="EY4149" s="939"/>
      <c r="EZ4149" s="886"/>
    </row>
    <row r="4150" spans="152:156">
      <c r="EV4150" s="985"/>
      <c r="EW4150" s="985"/>
      <c r="EX4150" s="387"/>
      <c r="EY4150" s="939"/>
      <c r="EZ4150" s="886"/>
    </row>
    <row r="4151" spans="152:156">
      <c r="EV4151" s="985"/>
      <c r="EW4151" s="985"/>
      <c r="EX4151" s="387"/>
      <c r="EY4151" s="939"/>
      <c r="EZ4151" s="886"/>
    </row>
    <row r="4152" spans="152:156">
      <c r="EV4152" s="985"/>
      <c r="EW4152" s="985"/>
      <c r="EX4152" s="387"/>
      <c r="EY4152" s="939"/>
      <c r="EZ4152" s="886"/>
    </row>
    <row r="4153" spans="152:156">
      <c r="EV4153" s="985"/>
      <c r="EW4153" s="985"/>
      <c r="EX4153" s="387"/>
      <c r="EY4153" s="939"/>
      <c r="EZ4153" s="886"/>
    </row>
    <row r="4154" spans="152:156">
      <c r="EV4154" s="985"/>
      <c r="EW4154" s="985"/>
      <c r="EX4154" s="387"/>
      <c r="EY4154" s="939"/>
      <c r="EZ4154" s="886"/>
    </row>
    <row r="4155" spans="152:156">
      <c r="EV4155" s="985"/>
      <c r="EW4155" s="985"/>
      <c r="EX4155" s="387"/>
      <c r="EY4155" s="939"/>
      <c r="EZ4155" s="886"/>
    </row>
    <row r="4156" spans="152:156">
      <c r="EV4156" s="985"/>
      <c r="EW4156" s="985"/>
      <c r="EX4156" s="387"/>
      <c r="EY4156" s="939"/>
      <c r="EZ4156" s="886"/>
    </row>
    <row r="4157" spans="152:156">
      <c r="EV4157" s="985"/>
      <c r="EW4157" s="985"/>
      <c r="EX4157" s="387"/>
      <c r="EY4157" s="939"/>
      <c r="EZ4157" s="886"/>
    </row>
    <row r="4158" spans="152:156">
      <c r="EV4158" s="985"/>
      <c r="EW4158" s="985"/>
      <c r="EX4158" s="387"/>
      <c r="EY4158" s="939"/>
      <c r="EZ4158" s="886"/>
    </row>
    <row r="4159" spans="152:156">
      <c r="EV4159" s="985"/>
      <c r="EW4159" s="985"/>
      <c r="EX4159" s="387"/>
      <c r="EY4159" s="939"/>
      <c r="EZ4159" s="886"/>
    </row>
    <row r="4160" spans="152:156">
      <c r="EV4160" s="985"/>
      <c r="EW4160" s="985"/>
      <c r="EX4160" s="387"/>
      <c r="EY4160" s="939"/>
      <c r="EZ4160" s="886"/>
    </row>
    <row r="4161" spans="152:156">
      <c r="EV4161" s="985"/>
      <c r="EW4161" s="985"/>
      <c r="EX4161" s="387"/>
      <c r="EY4161" s="939"/>
      <c r="EZ4161" s="886"/>
    </row>
    <row r="4162" spans="152:156">
      <c r="EV4162" s="985"/>
      <c r="EW4162" s="985"/>
      <c r="EX4162" s="387"/>
      <c r="EY4162" s="939"/>
      <c r="EZ4162" s="886"/>
    </row>
    <row r="4163" spans="152:156">
      <c r="EV4163" s="985"/>
      <c r="EW4163" s="985"/>
      <c r="EX4163" s="387"/>
      <c r="EY4163" s="939"/>
      <c r="EZ4163" s="886"/>
    </row>
    <row r="4164" spans="152:156">
      <c r="EV4164" s="985"/>
      <c r="EW4164" s="985"/>
      <c r="EX4164" s="387"/>
      <c r="EY4164" s="939"/>
      <c r="EZ4164" s="886"/>
    </row>
    <row r="4165" spans="152:156">
      <c r="EV4165" s="985"/>
      <c r="EW4165" s="985"/>
      <c r="EX4165" s="387"/>
      <c r="EY4165" s="939"/>
      <c r="EZ4165" s="886"/>
    </row>
    <row r="4166" spans="152:156">
      <c r="EV4166" s="985"/>
      <c r="EW4166" s="985"/>
      <c r="EX4166" s="387"/>
      <c r="EY4166" s="939"/>
      <c r="EZ4166" s="886"/>
    </row>
    <row r="4167" spans="152:156">
      <c r="EV4167" s="985"/>
      <c r="EW4167" s="985"/>
      <c r="EX4167" s="387"/>
      <c r="EY4167" s="939"/>
      <c r="EZ4167" s="886"/>
    </row>
    <row r="4168" spans="152:156">
      <c r="EV4168" s="985"/>
      <c r="EW4168" s="985"/>
      <c r="EX4168" s="387"/>
      <c r="EY4168" s="939"/>
      <c r="EZ4168" s="886"/>
    </row>
    <row r="4169" spans="152:156">
      <c r="EV4169" s="985"/>
      <c r="EW4169" s="985"/>
      <c r="EX4169" s="387"/>
      <c r="EY4169" s="939"/>
      <c r="EZ4169" s="886"/>
    </row>
    <row r="4170" spans="152:156">
      <c r="EV4170" s="985"/>
      <c r="EW4170" s="985"/>
      <c r="EX4170" s="387"/>
      <c r="EY4170" s="939"/>
      <c r="EZ4170" s="886"/>
    </row>
    <row r="4171" spans="152:156">
      <c r="EV4171" s="985"/>
      <c r="EW4171" s="985"/>
      <c r="EX4171" s="387"/>
      <c r="EY4171" s="939"/>
      <c r="EZ4171" s="886"/>
    </row>
    <row r="4172" spans="152:156">
      <c r="EV4172" s="985"/>
      <c r="EW4172" s="985"/>
      <c r="EX4172" s="387"/>
      <c r="EY4172" s="939"/>
      <c r="EZ4172" s="886"/>
    </row>
    <row r="4173" spans="152:156">
      <c r="EV4173" s="985"/>
      <c r="EW4173" s="985"/>
      <c r="EX4173" s="387"/>
      <c r="EY4173" s="939"/>
      <c r="EZ4173" s="886"/>
    </row>
    <row r="4174" spans="152:156">
      <c r="EV4174" s="985"/>
      <c r="EW4174" s="985"/>
      <c r="EX4174" s="387"/>
      <c r="EY4174" s="939"/>
      <c r="EZ4174" s="886"/>
    </row>
    <row r="4175" spans="152:156">
      <c r="EV4175" s="985"/>
      <c r="EW4175" s="985"/>
      <c r="EX4175" s="387"/>
      <c r="EY4175" s="939"/>
      <c r="EZ4175" s="886"/>
    </row>
    <row r="4176" spans="152:156">
      <c r="EV4176" s="985"/>
      <c r="EW4176" s="985"/>
      <c r="EX4176" s="387"/>
      <c r="EY4176" s="939"/>
      <c r="EZ4176" s="886"/>
    </row>
    <row r="4177" spans="152:156">
      <c r="EV4177" s="985"/>
      <c r="EW4177" s="985"/>
      <c r="EX4177" s="387"/>
      <c r="EY4177" s="939"/>
      <c r="EZ4177" s="886"/>
    </row>
    <row r="4178" spans="152:156">
      <c r="EV4178" s="985"/>
      <c r="EW4178" s="985"/>
      <c r="EX4178" s="387"/>
      <c r="EY4178" s="939"/>
      <c r="EZ4178" s="886"/>
    </row>
    <row r="4179" spans="152:156">
      <c r="EV4179" s="985"/>
      <c r="EW4179" s="985"/>
      <c r="EX4179" s="387"/>
      <c r="EY4179" s="939"/>
      <c r="EZ4179" s="886"/>
    </row>
    <row r="4180" spans="152:156">
      <c r="EV4180" s="985"/>
      <c r="EW4180" s="985"/>
      <c r="EX4180" s="387"/>
      <c r="EY4180" s="939"/>
      <c r="EZ4180" s="886"/>
    </row>
    <row r="4181" spans="152:156">
      <c r="EV4181" s="985"/>
      <c r="EW4181" s="985"/>
      <c r="EX4181" s="387"/>
      <c r="EY4181" s="939"/>
      <c r="EZ4181" s="886"/>
    </row>
    <row r="4182" spans="152:156">
      <c r="EV4182" s="985"/>
      <c r="EW4182" s="985"/>
      <c r="EX4182" s="387"/>
      <c r="EY4182" s="939"/>
      <c r="EZ4182" s="886"/>
    </row>
    <row r="4183" spans="152:156">
      <c r="EV4183" s="985"/>
      <c r="EW4183" s="985"/>
      <c r="EX4183" s="387"/>
      <c r="EY4183" s="939"/>
      <c r="EZ4183" s="886"/>
    </row>
    <row r="4184" spans="152:156">
      <c r="EV4184" s="985"/>
      <c r="EW4184" s="985"/>
      <c r="EX4184" s="387"/>
      <c r="EY4184" s="939"/>
      <c r="EZ4184" s="886"/>
    </row>
    <row r="4185" spans="152:156">
      <c r="EV4185" s="985"/>
      <c r="EW4185" s="985"/>
      <c r="EX4185" s="387"/>
      <c r="EY4185" s="939"/>
      <c r="EZ4185" s="886"/>
    </row>
    <row r="4186" spans="152:156">
      <c r="EV4186" s="985"/>
      <c r="EW4186" s="985"/>
      <c r="EX4186" s="387"/>
      <c r="EY4186" s="939"/>
      <c r="EZ4186" s="886"/>
    </row>
    <row r="4187" spans="152:156">
      <c r="EV4187" s="985"/>
      <c r="EW4187" s="985"/>
      <c r="EX4187" s="387"/>
      <c r="EY4187" s="939"/>
      <c r="EZ4187" s="886"/>
    </row>
    <row r="4188" spans="152:156">
      <c r="EV4188" s="985"/>
      <c r="EW4188" s="985"/>
      <c r="EX4188" s="387"/>
      <c r="EY4188" s="939"/>
      <c r="EZ4188" s="886"/>
    </row>
    <row r="4189" spans="152:156">
      <c r="EV4189" s="985"/>
      <c r="EW4189" s="985"/>
      <c r="EX4189" s="387"/>
      <c r="EY4189" s="939"/>
      <c r="EZ4189" s="886"/>
    </row>
    <row r="4190" spans="152:156">
      <c r="EV4190" s="985"/>
      <c r="EW4190" s="985"/>
      <c r="EX4190" s="387"/>
      <c r="EY4190" s="939"/>
      <c r="EZ4190" s="886"/>
    </row>
    <row r="4191" spans="152:156">
      <c r="EV4191" s="985"/>
      <c r="EW4191" s="985"/>
      <c r="EX4191" s="387"/>
      <c r="EY4191" s="939"/>
      <c r="EZ4191" s="886"/>
    </row>
    <row r="4192" spans="152:156">
      <c r="EV4192" s="985"/>
      <c r="EW4192" s="985"/>
      <c r="EX4192" s="387"/>
      <c r="EY4192" s="939"/>
      <c r="EZ4192" s="886"/>
    </row>
    <row r="4193" spans="152:156">
      <c r="EV4193" s="985"/>
      <c r="EW4193" s="985"/>
      <c r="EX4193" s="387"/>
      <c r="EY4193" s="939"/>
      <c r="EZ4193" s="886"/>
    </row>
    <row r="4194" spans="152:156">
      <c r="EV4194" s="985"/>
      <c r="EW4194" s="985"/>
      <c r="EX4194" s="387"/>
      <c r="EY4194" s="939"/>
      <c r="EZ4194" s="886"/>
    </row>
    <row r="4195" spans="152:156">
      <c r="EV4195" s="985"/>
      <c r="EW4195" s="985"/>
      <c r="EX4195" s="387"/>
      <c r="EY4195" s="939"/>
      <c r="EZ4195" s="886"/>
    </row>
    <row r="4196" spans="152:156">
      <c r="EV4196" s="985"/>
      <c r="EW4196" s="985"/>
      <c r="EX4196" s="387"/>
      <c r="EY4196" s="939"/>
      <c r="EZ4196" s="886"/>
    </row>
    <row r="4197" spans="152:156">
      <c r="EV4197" s="985"/>
      <c r="EW4197" s="985"/>
      <c r="EX4197" s="387"/>
      <c r="EY4197" s="939"/>
      <c r="EZ4197" s="886"/>
    </row>
    <row r="4198" spans="152:156">
      <c r="EV4198" s="985"/>
      <c r="EW4198" s="985"/>
      <c r="EX4198" s="387"/>
      <c r="EY4198" s="939"/>
      <c r="EZ4198" s="886"/>
    </row>
    <row r="4199" spans="152:156">
      <c r="EV4199" s="985"/>
      <c r="EW4199" s="985"/>
      <c r="EX4199" s="387"/>
      <c r="EY4199" s="939"/>
      <c r="EZ4199" s="886"/>
    </row>
    <row r="4200" spans="152:156">
      <c r="EV4200" s="985"/>
      <c r="EW4200" s="985"/>
      <c r="EX4200" s="387"/>
      <c r="EY4200" s="939"/>
      <c r="EZ4200" s="886"/>
    </row>
    <row r="4201" spans="152:156">
      <c r="EV4201" s="985"/>
      <c r="EW4201" s="985"/>
      <c r="EX4201" s="387"/>
      <c r="EY4201" s="939"/>
      <c r="EZ4201" s="886"/>
    </row>
    <row r="4202" spans="152:156">
      <c r="EV4202" s="985"/>
      <c r="EW4202" s="985"/>
      <c r="EX4202" s="387"/>
      <c r="EY4202" s="939"/>
      <c r="EZ4202" s="886"/>
    </row>
    <row r="4203" spans="152:156">
      <c r="EV4203" s="985"/>
      <c r="EW4203" s="985"/>
      <c r="EX4203" s="387"/>
      <c r="EY4203" s="939"/>
      <c r="EZ4203" s="886"/>
    </row>
    <row r="4204" spans="152:156">
      <c r="EV4204" s="985"/>
      <c r="EW4204" s="985"/>
      <c r="EX4204" s="387"/>
      <c r="EY4204" s="939"/>
      <c r="EZ4204" s="886"/>
    </row>
    <row r="4205" spans="152:156">
      <c r="EV4205" s="985"/>
      <c r="EW4205" s="985"/>
      <c r="EX4205" s="387"/>
      <c r="EY4205" s="939"/>
      <c r="EZ4205" s="886"/>
    </row>
    <row r="4206" spans="152:156">
      <c r="EV4206" s="985"/>
      <c r="EW4206" s="985"/>
      <c r="EX4206" s="387"/>
      <c r="EY4206" s="939"/>
      <c r="EZ4206" s="886"/>
    </row>
    <row r="4207" spans="152:156">
      <c r="EV4207" s="985"/>
      <c r="EW4207" s="985"/>
      <c r="EX4207" s="387"/>
      <c r="EY4207" s="939"/>
      <c r="EZ4207" s="886"/>
    </row>
    <row r="4208" spans="152:156">
      <c r="EV4208" s="985"/>
      <c r="EW4208" s="985"/>
      <c r="EX4208" s="387"/>
      <c r="EY4208" s="939"/>
      <c r="EZ4208" s="886"/>
    </row>
    <row r="4209" spans="152:156">
      <c r="EV4209" s="985"/>
      <c r="EW4209" s="985"/>
      <c r="EX4209" s="387"/>
      <c r="EY4209" s="939"/>
      <c r="EZ4209" s="886"/>
    </row>
    <row r="4210" spans="152:156">
      <c r="EV4210" s="985"/>
      <c r="EW4210" s="985"/>
      <c r="EX4210" s="387"/>
      <c r="EY4210" s="939"/>
      <c r="EZ4210" s="886"/>
    </row>
    <row r="4211" spans="152:156">
      <c r="EV4211" s="985"/>
      <c r="EW4211" s="985"/>
      <c r="EX4211" s="387"/>
      <c r="EY4211" s="939"/>
      <c r="EZ4211" s="886"/>
    </row>
    <row r="4212" spans="152:156">
      <c r="EV4212" s="985"/>
      <c r="EW4212" s="985"/>
      <c r="EX4212" s="387"/>
      <c r="EY4212" s="939"/>
      <c r="EZ4212" s="886"/>
    </row>
    <row r="4213" spans="152:156">
      <c r="EV4213" s="985"/>
      <c r="EW4213" s="985"/>
      <c r="EX4213" s="387"/>
      <c r="EY4213" s="939"/>
      <c r="EZ4213" s="886"/>
    </row>
    <row r="4214" spans="152:156">
      <c r="EV4214" s="985"/>
      <c r="EW4214" s="985"/>
      <c r="EX4214" s="387"/>
      <c r="EY4214" s="939"/>
      <c r="EZ4214" s="886"/>
    </row>
    <row r="4215" spans="152:156">
      <c r="EV4215" s="985"/>
      <c r="EW4215" s="985"/>
      <c r="EX4215" s="387"/>
      <c r="EY4215" s="939"/>
      <c r="EZ4215" s="886"/>
    </row>
    <row r="4216" spans="152:156">
      <c r="EV4216" s="985"/>
      <c r="EW4216" s="985"/>
      <c r="EX4216" s="387"/>
      <c r="EY4216" s="939"/>
      <c r="EZ4216" s="886"/>
    </row>
    <row r="4217" spans="152:156">
      <c r="EV4217" s="985"/>
      <c r="EW4217" s="985"/>
      <c r="EX4217" s="387"/>
      <c r="EY4217" s="939"/>
      <c r="EZ4217" s="886"/>
    </row>
    <row r="4218" spans="152:156">
      <c r="EV4218" s="985"/>
      <c r="EW4218" s="985"/>
      <c r="EX4218" s="387"/>
      <c r="EY4218" s="939"/>
      <c r="EZ4218" s="886"/>
    </row>
    <row r="4219" spans="152:156">
      <c r="EV4219" s="985"/>
      <c r="EW4219" s="985"/>
      <c r="EX4219" s="387"/>
      <c r="EY4219" s="939"/>
      <c r="EZ4219" s="886"/>
    </row>
    <row r="4220" spans="152:156">
      <c r="EV4220" s="985"/>
      <c r="EW4220" s="985"/>
      <c r="EX4220" s="387"/>
      <c r="EY4220" s="939"/>
      <c r="EZ4220" s="886"/>
    </row>
    <row r="4221" spans="152:156">
      <c r="EV4221" s="985"/>
      <c r="EW4221" s="985"/>
      <c r="EX4221" s="387"/>
      <c r="EY4221" s="939"/>
      <c r="EZ4221" s="886"/>
    </row>
    <row r="4222" spans="152:156">
      <c r="EV4222" s="985"/>
      <c r="EW4222" s="985"/>
      <c r="EX4222" s="387"/>
      <c r="EY4222" s="939"/>
      <c r="EZ4222" s="886"/>
    </row>
    <row r="4223" spans="152:156">
      <c r="EV4223" s="985"/>
      <c r="EW4223" s="985"/>
      <c r="EX4223" s="387"/>
      <c r="EY4223" s="939"/>
      <c r="EZ4223" s="886"/>
    </row>
    <row r="4224" spans="152:156">
      <c r="EV4224" s="985"/>
      <c r="EW4224" s="985"/>
      <c r="EX4224" s="387"/>
      <c r="EY4224" s="939"/>
      <c r="EZ4224" s="886"/>
    </row>
    <row r="4225" spans="152:156">
      <c r="EV4225" s="985"/>
      <c r="EW4225" s="985"/>
      <c r="EX4225" s="387"/>
      <c r="EY4225" s="939"/>
      <c r="EZ4225" s="886"/>
    </row>
    <row r="4226" spans="152:156">
      <c r="EV4226" s="985"/>
      <c r="EW4226" s="985"/>
      <c r="EX4226" s="387"/>
      <c r="EY4226" s="939"/>
      <c r="EZ4226" s="886"/>
    </row>
    <row r="4227" spans="152:156">
      <c r="EV4227" s="985"/>
      <c r="EW4227" s="985"/>
      <c r="EX4227" s="387"/>
      <c r="EY4227" s="939"/>
      <c r="EZ4227" s="886"/>
    </row>
    <row r="4228" spans="152:156">
      <c r="EV4228" s="985"/>
      <c r="EW4228" s="985"/>
      <c r="EX4228" s="387"/>
      <c r="EY4228" s="939"/>
      <c r="EZ4228" s="886"/>
    </row>
    <row r="4229" spans="152:156">
      <c r="EV4229" s="985"/>
      <c r="EW4229" s="985"/>
      <c r="EX4229" s="387"/>
      <c r="EY4229" s="939"/>
      <c r="EZ4229" s="886"/>
    </row>
    <row r="4230" spans="152:156">
      <c r="EV4230" s="985"/>
      <c r="EW4230" s="985"/>
      <c r="EX4230" s="387"/>
      <c r="EY4230" s="939"/>
      <c r="EZ4230" s="886"/>
    </row>
    <row r="4231" spans="152:156">
      <c r="EV4231" s="985"/>
      <c r="EW4231" s="985"/>
      <c r="EX4231" s="387"/>
      <c r="EY4231" s="939"/>
      <c r="EZ4231" s="886"/>
    </row>
    <row r="4232" spans="152:156">
      <c r="EV4232" s="985"/>
      <c r="EW4232" s="985"/>
      <c r="EX4232" s="387"/>
      <c r="EY4232" s="939"/>
      <c r="EZ4232" s="886"/>
    </row>
    <row r="4233" spans="152:156">
      <c r="EV4233" s="985"/>
      <c r="EW4233" s="985"/>
      <c r="EX4233" s="387"/>
      <c r="EY4233" s="939"/>
      <c r="EZ4233" s="886"/>
    </row>
    <row r="4234" spans="152:156">
      <c r="EV4234" s="985"/>
      <c r="EW4234" s="985"/>
      <c r="EX4234" s="387"/>
      <c r="EY4234" s="939"/>
      <c r="EZ4234" s="886"/>
    </row>
    <row r="4235" spans="152:156">
      <c r="EV4235" s="985"/>
      <c r="EW4235" s="985"/>
      <c r="EX4235" s="387"/>
      <c r="EY4235" s="939"/>
      <c r="EZ4235" s="886"/>
    </row>
    <row r="4236" spans="152:156">
      <c r="EV4236" s="985"/>
      <c r="EW4236" s="985"/>
      <c r="EX4236" s="387"/>
      <c r="EY4236" s="939"/>
      <c r="EZ4236" s="886"/>
    </row>
    <row r="4237" spans="152:156">
      <c r="EV4237" s="985"/>
      <c r="EW4237" s="985"/>
      <c r="EX4237" s="387"/>
      <c r="EY4237" s="939"/>
      <c r="EZ4237" s="886"/>
    </row>
    <row r="4238" spans="152:156">
      <c r="EV4238" s="985"/>
      <c r="EW4238" s="985"/>
      <c r="EX4238" s="387"/>
      <c r="EY4238" s="939"/>
      <c r="EZ4238" s="886"/>
    </row>
    <row r="4239" spans="152:156">
      <c r="EV4239" s="985"/>
      <c r="EW4239" s="985"/>
      <c r="EX4239" s="387"/>
      <c r="EY4239" s="939"/>
      <c r="EZ4239" s="886"/>
    </row>
    <row r="4240" spans="152:156">
      <c r="EV4240" s="985"/>
      <c r="EW4240" s="985"/>
      <c r="EX4240" s="387"/>
      <c r="EY4240" s="939"/>
      <c r="EZ4240" s="886"/>
    </row>
    <row r="4241" spans="152:156">
      <c r="EV4241" s="985"/>
      <c r="EW4241" s="985"/>
      <c r="EX4241" s="387"/>
      <c r="EY4241" s="939"/>
      <c r="EZ4241" s="886"/>
    </row>
    <row r="4242" spans="152:156">
      <c r="EV4242" s="985"/>
      <c r="EW4242" s="985"/>
      <c r="EX4242" s="387"/>
      <c r="EY4242" s="939"/>
      <c r="EZ4242" s="886"/>
    </row>
    <row r="4243" spans="152:156">
      <c r="EV4243" s="985"/>
      <c r="EW4243" s="985"/>
      <c r="EX4243" s="387"/>
      <c r="EY4243" s="939"/>
      <c r="EZ4243" s="886"/>
    </row>
    <row r="4244" spans="152:156">
      <c r="EV4244" s="985"/>
      <c r="EW4244" s="985"/>
      <c r="EX4244" s="387"/>
      <c r="EY4244" s="939"/>
      <c r="EZ4244" s="886"/>
    </row>
    <row r="4245" spans="152:156">
      <c r="EV4245" s="985"/>
      <c r="EW4245" s="985"/>
      <c r="EX4245" s="387"/>
      <c r="EY4245" s="939"/>
      <c r="EZ4245" s="886"/>
    </row>
    <row r="4246" spans="152:156">
      <c r="EV4246" s="985"/>
      <c r="EW4246" s="985"/>
      <c r="EX4246" s="387"/>
      <c r="EY4246" s="939"/>
      <c r="EZ4246" s="886"/>
    </row>
    <row r="4247" spans="152:156">
      <c r="EV4247" s="985"/>
      <c r="EW4247" s="985"/>
      <c r="EX4247" s="387"/>
      <c r="EY4247" s="939"/>
      <c r="EZ4247" s="886"/>
    </row>
    <row r="4248" spans="152:156">
      <c r="EV4248" s="985"/>
      <c r="EW4248" s="985"/>
      <c r="EX4248" s="387"/>
      <c r="EY4248" s="939"/>
      <c r="EZ4248" s="886"/>
    </row>
    <row r="4249" spans="152:156">
      <c r="EV4249" s="985"/>
      <c r="EW4249" s="985"/>
      <c r="EX4249" s="387"/>
      <c r="EY4249" s="939"/>
      <c r="EZ4249" s="886"/>
    </row>
    <row r="4250" spans="152:156">
      <c r="EV4250" s="985"/>
      <c r="EW4250" s="985"/>
      <c r="EX4250" s="387"/>
      <c r="EY4250" s="939"/>
      <c r="EZ4250" s="886"/>
    </row>
    <row r="4251" spans="152:156">
      <c r="EV4251" s="985"/>
      <c r="EW4251" s="985"/>
      <c r="EX4251" s="387"/>
      <c r="EY4251" s="939"/>
      <c r="EZ4251" s="886"/>
    </row>
    <row r="4252" spans="152:156">
      <c r="EV4252" s="985"/>
      <c r="EW4252" s="985"/>
      <c r="EX4252" s="387"/>
      <c r="EY4252" s="939"/>
      <c r="EZ4252" s="886"/>
    </row>
    <row r="4253" spans="152:156">
      <c r="EV4253" s="985"/>
      <c r="EW4253" s="985"/>
      <c r="EX4253" s="387"/>
      <c r="EY4253" s="939"/>
      <c r="EZ4253" s="886"/>
    </row>
    <row r="4254" spans="152:156">
      <c r="EV4254" s="985"/>
      <c r="EW4254" s="985"/>
      <c r="EX4254" s="387"/>
      <c r="EY4254" s="939"/>
      <c r="EZ4254" s="886"/>
    </row>
    <row r="4255" spans="152:156">
      <c r="EV4255" s="985"/>
      <c r="EW4255" s="985"/>
      <c r="EX4255" s="387"/>
      <c r="EY4255" s="939"/>
      <c r="EZ4255" s="886"/>
    </row>
    <row r="4256" spans="152:156">
      <c r="EV4256" s="985"/>
      <c r="EW4256" s="985"/>
      <c r="EX4256" s="387"/>
      <c r="EY4256" s="939"/>
      <c r="EZ4256" s="886"/>
    </row>
    <row r="4257" spans="152:156">
      <c r="EV4257" s="985"/>
      <c r="EW4257" s="985"/>
      <c r="EX4257" s="387"/>
      <c r="EY4257" s="939"/>
      <c r="EZ4257" s="886"/>
    </row>
    <row r="4258" spans="152:156">
      <c r="EV4258" s="985"/>
      <c r="EW4258" s="985"/>
      <c r="EX4258" s="387"/>
      <c r="EY4258" s="939"/>
      <c r="EZ4258" s="886"/>
    </row>
    <row r="4259" spans="152:156">
      <c r="EV4259" s="985"/>
      <c r="EW4259" s="985"/>
      <c r="EX4259" s="387"/>
      <c r="EY4259" s="939"/>
      <c r="EZ4259" s="886"/>
    </row>
    <row r="4260" spans="152:156">
      <c r="EV4260" s="985"/>
      <c r="EW4260" s="985"/>
      <c r="EX4260" s="387"/>
      <c r="EY4260" s="939"/>
      <c r="EZ4260" s="886"/>
    </row>
    <row r="4261" spans="152:156">
      <c r="EV4261" s="985"/>
      <c r="EW4261" s="985"/>
      <c r="EX4261" s="387"/>
      <c r="EY4261" s="939"/>
      <c r="EZ4261" s="886"/>
    </row>
    <row r="4262" spans="152:156">
      <c r="EV4262" s="985"/>
      <c r="EW4262" s="985"/>
      <c r="EX4262" s="387"/>
      <c r="EY4262" s="939"/>
      <c r="EZ4262" s="886"/>
    </row>
    <row r="4263" spans="152:156">
      <c r="EV4263" s="985"/>
      <c r="EW4263" s="985"/>
      <c r="EX4263" s="387"/>
      <c r="EY4263" s="939"/>
      <c r="EZ4263" s="886"/>
    </row>
    <row r="4264" spans="152:156">
      <c r="EV4264" s="985"/>
      <c r="EW4264" s="985"/>
      <c r="EX4264" s="387"/>
      <c r="EY4264" s="939"/>
      <c r="EZ4264" s="886"/>
    </row>
    <row r="4265" spans="152:156">
      <c r="EV4265" s="985"/>
      <c r="EW4265" s="985"/>
      <c r="EX4265" s="387"/>
      <c r="EY4265" s="939"/>
      <c r="EZ4265" s="886"/>
    </row>
    <row r="4266" spans="152:156">
      <c r="EV4266" s="985"/>
      <c r="EW4266" s="985"/>
      <c r="EX4266" s="387"/>
      <c r="EY4266" s="939"/>
      <c r="EZ4266" s="886"/>
    </row>
    <row r="4267" spans="152:156">
      <c r="EV4267" s="985"/>
      <c r="EW4267" s="985"/>
      <c r="EX4267" s="387"/>
      <c r="EY4267" s="939"/>
      <c r="EZ4267" s="886"/>
    </row>
    <row r="4268" spans="152:156">
      <c r="EV4268" s="985"/>
      <c r="EW4268" s="985"/>
      <c r="EX4268" s="387"/>
      <c r="EY4268" s="939"/>
      <c r="EZ4268" s="886"/>
    </row>
    <row r="4269" spans="152:156">
      <c r="EV4269" s="985"/>
      <c r="EW4269" s="985"/>
      <c r="EX4269" s="387"/>
      <c r="EY4269" s="939"/>
      <c r="EZ4269" s="886"/>
    </row>
    <row r="4270" spans="152:156">
      <c r="EV4270" s="985"/>
      <c r="EW4270" s="985"/>
      <c r="EX4270" s="387"/>
      <c r="EY4270" s="939"/>
      <c r="EZ4270" s="886"/>
    </row>
    <row r="4271" spans="152:156">
      <c r="EV4271" s="985"/>
      <c r="EW4271" s="985"/>
      <c r="EX4271" s="387"/>
      <c r="EY4271" s="939"/>
      <c r="EZ4271" s="886"/>
    </row>
    <row r="4272" spans="152:156">
      <c r="EV4272" s="985"/>
      <c r="EW4272" s="985"/>
      <c r="EX4272" s="387"/>
      <c r="EY4272" s="939"/>
      <c r="EZ4272" s="886"/>
    </row>
    <row r="4273" spans="152:156">
      <c r="EV4273" s="985"/>
      <c r="EW4273" s="985"/>
      <c r="EX4273" s="387"/>
      <c r="EY4273" s="939"/>
      <c r="EZ4273" s="886"/>
    </row>
    <row r="4274" spans="152:156">
      <c r="EV4274" s="985"/>
      <c r="EW4274" s="985"/>
      <c r="EX4274" s="387"/>
      <c r="EY4274" s="939"/>
      <c r="EZ4274" s="886"/>
    </row>
    <row r="4275" spans="152:156">
      <c r="EV4275" s="985"/>
      <c r="EW4275" s="985"/>
      <c r="EX4275" s="387"/>
      <c r="EY4275" s="939"/>
      <c r="EZ4275" s="886"/>
    </row>
    <row r="4276" spans="152:156">
      <c r="EV4276" s="985"/>
      <c r="EW4276" s="985"/>
      <c r="EX4276" s="387"/>
      <c r="EY4276" s="939"/>
      <c r="EZ4276" s="886"/>
    </row>
    <row r="4277" spans="152:156">
      <c r="EV4277" s="985"/>
      <c r="EW4277" s="985"/>
      <c r="EX4277" s="387"/>
      <c r="EY4277" s="939"/>
      <c r="EZ4277" s="886"/>
    </row>
    <row r="4278" spans="152:156">
      <c r="EV4278" s="985"/>
      <c r="EW4278" s="985"/>
      <c r="EX4278" s="387"/>
      <c r="EY4278" s="939"/>
      <c r="EZ4278" s="886"/>
    </row>
    <row r="4279" spans="152:156">
      <c r="EV4279" s="985"/>
      <c r="EW4279" s="985"/>
      <c r="EX4279" s="387"/>
      <c r="EY4279" s="939"/>
      <c r="EZ4279" s="886"/>
    </row>
    <row r="4280" spans="152:156">
      <c r="EV4280" s="985"/>
      <c r="EW4280" s="985"/>
      <c r="EX4280" s="387"/>
      <c r="EY4280" s="939"/>
      <c r="EZ4280" s="886"/>
    </row>
    <row r="4281" spans="152:156">
      <c r="EV4281" s="985"/>
      <c r="EW4281" s="985"/>
      <c r="EX4281" s="387"/>
      <c r="EY4281" s="939"/>
      <c r="EZ4281" s="886"/>
    </row>
    <row r="4282" spans="152:156">
      <c r="EV4282" s="985"/>
      <c r="EW4282" s="985"/>
      <c r="EX4282" s="387"/>
      <c r="EY4282" s="939"/>
      <c r="EZ4282" s="886"/>
    </row>
    <row r="4283" spans="152:156">
      <c r="EV4283" s="985"/>
      <c r="EW4283" s="985"/>
      <c r="EX4283" s="387"/>
      <c r="EY4283" s="939"/>
      <c r="EZ4283" s="886"/>
    </row>
    <row r="4284" spans="152:156">
      <c r="EV4284" s="985"/>
      <c r="EW4284" s="985"/>
      <c r="EX4284" s="387"/>
      <c r="EY4284" s="939"/>
      <c r="EZ4284" s="886"/>
    </row>
    <row r="4285" spans="152:156">
      <c r="EV4285" s="985"/>
      <c r="EW4285" s="985"/>
      <c r="EX4285" s="387"/>
      <c r="EY4285" s="939"/>
      <c r="EZ4285" s="886"/>
    </row>
    <row r="4286" spans="152:156">
      <c r="EV4286" s="985"/>
      <c r="EW4286" s="985"/>
      <c r="EX4286" s="387"/>
      <c r="EY4286" s="939"/>
      <c r="EZ4286" s="886"/>
    </row>
    <row r="4287" spans="152:156">
      <c r="EV4287" s="985"/>
      <c r="EW4287" s="985"/>
      <c r="EX4287" s="387"/>
      <c r="EY4287" s="939"/>
      <c r="EZ4287" s="886"/>
    </row>
    <row r="4288" spans="152:156">
      <c r="EV4288" s="985"/>
      <c r="EW4288" s="985"/>
      <c r="EX4288" s="387"/>
      <c r="EY4288" s="939"/>
      <c r="EZ4288" s="886"/>
    </row>
    <row r="4289" spans="152:156">
      <c r="EV4289" s="985"/>
      <c r="EW4289" s="985"/>
      <c r="EX4289" s="387"/>
      <c r="EY4289" s="939"/>
      <c r="EZ4289" s="886"/>
    </row>
    <row r="4290" spans="152:156">
      <c r="EV4290" s="985"/>
      <c r="EW4290" s="985"/>
      <c r="EX4290" s="387"/>
      <c r="EY4290" s="939"/>
      <c r="EZ4290" s="886"/>
    </row>
    <row r="4291" spans="152:156">
      <c r="EV4291" s="985"/>
      <c r="EW4291" s="985"/>
      <c r="EX4291" s="387"/>
      <c r="EY4291" s="939"/>
      <c r="EZ4291" s="886"/>
    </row>
    <row r="4292" spans="152:156">
      <c r="EV4292" s="985"/>
      <c r="EW4292" s="985"/>
      <c r="EX4292" s="387"/>
      <c r="EY4292" s="939"/>
      <c r="EZ4292" s="886"/>
    </row>
    <row r="4293" spans="152:156">
      <c r="EV4293" s="985"/>
      <c r="EW4293" s="985"/>
      <c r="EX4293" s="387"/>
      <c r="EY4293" s="939"/>
      <c r="EZ4293" s="886"/>
    </row>
    <row r="4294" spans="152:156">
      <c r="EV4294" s="985"/>
      <c r="EW4294" s="985"/>
      <c r="EX4294" s="387"/>
      <c r="EY4294" s="939"/>
      <c r="EZ4294" s="886"/>
    </row>
    <row r="4295" spans="152:156">
      <c r="EV4295" s="985"/>
      <c r="EW4295" s="985"/>
      <c r="EX4295" s="387"/>
      <c r="EY4295" s="939"/>
      <c r="EZ4295" s="886"/>
    </row>
    <row r="4296" spans="152:156">
      <c r="EV4296" s="985"/>
      <c r="EW4296" s="985"/>
      <c r="EX4296" s="387"/>
      <c r="EY4296" s="939"/>
      <c r="EZ4296" s="886"/>
    </row>
    <row r="4297" spans="152:156">
      <c r="EV4297" s="985"/>
      <c r="EW4297" s="985"/>
      <c r="EX4297" s="387"/>
      <c r="EY4297" s="939"/>
      <c r="EZ4297" s="886"/>
    </row>
    <row r="4298" spans="152:156">
      <c r="EV4298" s="985"/>
      <c r="EW4298" s="985"/>
      <c r="EX4298" s="387"/>
      <c r="EY4298" s="939"/>
      <c r="EZ4298" s="886"/>
    </row>
    <row r="4299" spans="152:156">
      <c r="EV4299" s="985"/>
      <c r="EW4299" s="985"/>
      <c r="EX4299" s="387"/>
      <c r="EY4299" s="939"/>
      <c r="EZ4299" s="886"/>
    </row>
    <row r="4300" spans="152:156">
      <c r="EV4300" s="985"/>
      <c r="EW4300" s="985"/>
      <c r="EX4300" s="387"/>
      <c r="EY4300" s="939"/>
      <c r="EZ4300" s="886"/>
    </row>
    <row r="4301" spans="152:156">
      <c r="EV4301" s="985"/>
      <c r="EW4301" s="985"/>
      <c r="EX4301" s="387"/>
      <c r="EY4301" s="939"/>
      <c r="EZ4301" s="886"/>
    </row>
    <row r="4302" spans="152:156">
      <c r="EV4302" s="985"/>
      <c r="EW4302" s="985"/>
      <c r="EX4302" s="387"/>
      <c r="EY4302" s="939"/>
      <c r="EZ4302" s="886"/>
    </row>
    <row r="4303" spans="152:156">
      <c r="EV4303" s="985"/>
      <c r="EW4303" s="985"/>
      <c r="EX4303" s="387"/>
      <c r="EY4303" s="939"/>
      <c r="EZ4303" s="886"/>
    </row>
    <row r="4304" spans="152:156">
      <c r="EV4304" s="985"/>
      <c r="EW4304" s="985"/>
      <c r="EX4304" s="387"/>
      <c r="EY4304" s="939"/>
      <c r="EZ4304" s="886"/>
    </row>
    <row r="4305" spans="152:156">
      <c r="EV4305" s="985"/>
      <c r="EW4305" s="985"/>
      <c r="EX4305" s="387"/>
      <c r="EY4305" s="939"/>
      <c r="EZ4305" s="886"/>
    </row>
    <row r="4306" spans="152:156">
      <c r="EV4306" s="985"/>
      <c r="EW4306" s="985"/>
      <c r="EX4306" s="387"/>
      <c r="EY4306" s="939"/>
      <c r="EZ4306" s="886"/>
    </row>
    <row r="4307" spans="152:156">
      <c r="EV4307" s="985"/>
      <c r="EW4307" s="985"/>
      <c r="EX4307" s="387"/>
      <c r="EY4307" s="939"/>
      <c r="EZ4307" s="886"/>
    </row>
    <row r="4308" spans="152:156">
      <c r="EV4308" s="985"/>
      <c r="EW4308" s="985"/>
      <c r="EX4308" s="387"/>
      <c r="EY4308" s="939"/>
      <c r="EZ4308" s="886"/>
    </row>
    <row r="4309" spans="152:156">
      <c r="EV4309" s="985"/>
      <c r="EW4309" s="985"/>
      <c r="EX4309" s="387"/>
      <c r="EY4309" s="939"/>
      <c r="EZ4309" s="886"/>
    </row>
    <row r="4310" spans="152:156">
      <c r="EV4310" s="985"/>
      <c r="EW4310" s="985"/>
      <c r="EX4310" s="387"/>
      <c r="EY4310" s="939"/>
      <c r="EZ4310" s="886"/>
    </row>
    <row r="4311" spans="152:156">
      <c r="EV4311" s="985"/>
      <c r="EW4311" s="985"/>
      <c r="EX4311" s="387"/>
      <c r="EY4311" s="939"/>
      <c r="EZ4311" s="886"/>
    </row>
    <row r="4312" spans="152:156">
      <c r="EV4312" s="985"/>
      <c r="EW4312" s="985"/>
      <c r="EX4312" s="387"/>
      <c r="EY4312" s="939"/>
      <c r="EZ4312" s="886"/>
    </row>
    <row r="4313" spans="152:156">
      <c r="EV4313" s="985"/>
      <c r="EW4313" s="985"/>
      <c r="EX4313" s="387"/>
      <c r="EY4313" s="939"/>
      <c r="EZ4313" s="886"/>
    </row>
    <row r="4314" spans="152:156">
      <c r="EV4314" s="985"/>
      <c r="EW4314" s="985"/>
      <c r="EX4314" s="387"/>
      <c r="EY4314" s="939"/>
      <c r="EZ4314" s="886"/>
    </row>
    <row r="4315" spans="152:156">
      <c r="EV4315" s="985"/>
      <c r="EW4315" s="985"/>
      <c r="EX4315" s="387"/>
      <c r="EY4315" s="939"/>
      <c r="EZ4315" s="886"/>
    </row>
    <row r="4316" spans="152:156">
      <c r="EV4316" s="985"/>
      <c r="EW4316" s="985"/>
      <c r="EX4316" s="387"/>
      <c r="EY4316" s="939"/>
      <c r="EZ4316" s="886"/>
    </row>
    <row r="4317" spans="152:156">
      <c r="EV4317" s="985"/>
      <c r="EW4317" s="985"/>
      <c r="EX4317" s="387"/>
      <c r="EY4317" s="939"/>
      <c r="EZ4317" s="886"/>
    </row>
    <row r="4318" spans="152:156">
      <c r="EV4318" s="985"/>
      <c r="EW4318" s="985"/>
      <c r="EX4318" s="387"/>
      <c r="EY4318" s="939"/>
      <c r="EZ4318" s="886"/>
    </row>
    <row r="4319" spans="152:156">
      <c r="EV4319" s="985"/>
      <c r="EW4319" s="985"/>
      <c r="EX4319" s="387"/>
      <c r="EY4319" s="939"/>
      <c r="EZ4319" s="886"/>
    </row>
    <row r="4320" spans="152:156">
      <c r="EV4320" s="985"/>
      <c r="EW4320" s="985"/>
      <c r="EX4320" s="387"/>
      <c r="EY4320" s="939"/>
      <c r="EZ4320" s="886"/>
    </row>
    <row r="4321" spans="152:156">
      <c r="EV4321" s="985"/>
      <c r="EW4321" s="985"/>
      <c r="EX4321" s="387"/>
      <c r="EY4321" s="939"/>
      <c r="EZ4321" s="886"/>
    </row>
    <row r="4322" spans="152:156">
      <c r="EV4322" s="985"/>
      <c r="EW4322" s="985"/>
      <c r="EX4322" s="387"/>
      <c r="EY4322" s="939"/>
      <c r="EZ4322" s="886"/>
    </row>
    <row r="4323" spans="152:156">
      <c r="EV4323" s="985"/>
      <c r="EW4323" s="985"/>
      <c r="EX4323" s="387"/>
      <c r="EY4323" s="939"/>
      <c r="EZ4323" s="886"/>
    </row>
    <row r="4324" spans="152:156">
      <c r="EV4324" s="985"/>
      <c r="EW4324" s="985"/>
      <c r="EX4324" s="387"/>
      <c r="EY4324" s="939"/>
      <c r="EZ4324" s="886"/>
    </row>
    <row r="4325" spans="152:156">
      <c r="EV4325" s="985"/>
      <c r="EW4325" s="985"/>
      <c r="EX4325" s="387"/>
      <c r="EY4325" s="939"/>
      <c r="EZ4325" s="886"/>
    </row>
    <row r="4326" spans="152:156">
      <c r="EV4326" s="985"/>
      <c r="EW4326" s="985"/>
      <c r="EX4326" s="387"/>
      <c r="EY4326" s="939"/>
      <c r="EZ4326" s="886"/>
    </row>
    <row r="4327" spans="152:156">
      <c r="EV4327" s="985"/>
      <c r="EW4327" s="985"/>
      <c r="EX4327" s="387"/>
      <c r="EY4327" s="939"/>
      <c r="EZ4327" s="886"/>
    </row>
    <row r="4328" spans="152:156">
      <c r="EV4328" s="985"/>
      <c r="EW4328" s="985"/>
      <c r="EX4328" s="387"/>
      <c r="EY4328" s="939"/>
      <c r="EZ4328" s="886"/>
    </row>
    <row r="4329" spans="152:156">
      <c r="EV4329" s="985"/>
      <c r="EW4329" s="985"/>
      <c r="EX4329" s="387"/>
      <c r="EY4329" s="939"/>
      <c r="EZ4329" s="886"/>
    </row>
    <row r="4330" spans="152:156">
      <c r="EV4330" s="985"/>
      <c r="EW4330" s="985"/>
      <c r="EX4330" s="387"/>
      <c r="EY4330" s="939"/>
      <c r="EZ4330" s="886"/>
    </row>
    <row r="4331" spans="152:156">
      <c r="EV4331" s="985"/>
      <c r="EW4331" s="985"/>
      <c r="EX4331" s="387"/>
      <c r="EY4331" s="939"/>
      <c r="EZ4331" s="886"/>
    </row>
    <row r="4332" spans="152:156">
      <c r="EV4332" s="985"/>
      <c r="EW4332" s="985"/>
      <c r="EX4332" s="387"/>
      <c r="EY4332" s="939"/>
      <c r="EZ4332" s="886"/>
    </row>
    <row r="4333" spans="152:156">
      <c r="EV4333" s="985"/>
      <c r="EW4333" s="985"/>
      <c r="EX4333" s="387"/>
      <c r="EY4333" s="939"/>
      <c r="EZ4333" s="886"/>
    </row>
    <row r="4334" spans="152:156">
      <c r="EV4334" s="985"/>
      <c r="EW4334" s="985"/>
      <c r="EX4334" s="387"/>
      <c r="EY4334" s="939"/>
      <c r="EZ4334" s="886"/>
    </row>
    <row r="4335" spans="152:156">
      <c r="EV4335" s="985"/>
      <c r="EW4335" s="985"/>
      <c r="EX4335" s="387"/>
      <c r="EY4335" s="939"/>
      <c r="EZ4335" s="886"/>
    </row>
    <row r="4336" spans="152:156">
      <c r="EV4336" s="985"/>
      <c r="EW4336" s="985"/>
      <c r="EX4336" s="387"/>
      <c r="EY4336" s="939"/>
      <c r="EZ4336" s="886"/>
    </row>
    <row r="4337" spans="152:156">
      <c r="EV4337" s="985"/>
      <c r="EW4337" s="985"/>
      <c r="EX4337" s="387"/>
      <c r="EY4337" s="939"/>
      <c r="EZ4337" s="886"/>
    </row>
    <row r="4338" spans="152:156">
      <c r="EV4338" s="985"/>
      <c r="EW4338" s="985"/>
      <c r="EX4338" s="387"/>
      <c r="EY4338" s="939"/>
      <c r="EZ4338" s="886"/>
    </row>
    <row r="4339" spans="152:156">
      <c r="EV4339" s="985"/>
      <c r="EW4339" s="985"/>
      <c r="EX4339" s="387"/>
      <c r="EY4339" s="939"/>
      <c r="EZ4339" s="886"/>
    </row>
    <row r="4340" spans="152:156">
      <c r="EV4340" s="985"/>
      <c r="EW4340" s="985"/>
      <c r="EX4340" s="387"/>
      <c r="EY4340" s="939"/>
      <c r="EZ4340" s="886"/>
    </row>
    <row r="4341" spans="152:156">
      <c r="EV4341" s="985"/>
      <c r="EW4341" s="985"/>
      <c r="EX4341" s="387"/>
      <c r="EY4341" s="939"/>
      <c r="EZ4341" s="886"/>
    </row>
    <row r="4342" spans="152:156">
      <c r="EV4342" s="985"/>
      <c r="EW4342" s="985"/>
      <c r="EX4342" s="387"/>
      <c r="EY4342" s="939"/>
      <c r="EZ4342" s="886"/>
    </row>
    <row r="4343" spans="152:156">
      <c r="EV4343" s="985"/>
      <c r="EW4343" s="985"/>
      <c r="EX4343" s="387"/>
      <c r="EY4343" s="939"/>
      <c r="EZ4343" s="886"/>
    </row>
    <row r="4344" spans="152:156">
      <c r="EV4344" s="985"/>
      <c r="EW4344" s="985"/>
      <c r="EX4344" s="387"/>
      <c r="EY4344" s="939"/>
      <c r="EZ4344" s="886"/>
    </row>
    <row r="4345" spans="152:156">
      <c r="EV4345" s="985"/>
      <c r="EW4345" s="985"/>
      <c r="EX4345" s="387"/>
      <c r="EY4345" s="939"/>
      <c r="EZ4345" s="886"/>
    </row>
    <row r="4346" spans="152:156">
      <c r="EV4346" s="985"/>
      <c r="EW4346" s="985"/>
      <c r="EX4346" s="387"/>
      <c r="EY4346" s="939"/>
      <c r="EZ4346" s="886"/>
    </row>
    <row r="4347" spans="152:156">
      <c r="EV4347" s="985"/>
      <c r="EW4347" s="985"/>
      <c r="EX4347" s="387"/>
      <c r="EY4347" s="939"/>
      <c r="EZ4347" s="886"/>
    </row>
    <row r="4348" spans="152:156">
      <c r="EV4348" s="985"/>
      <c r="EW4348" s="985"/>
      <c r="EX4348" s="387"/>
      <c r="EY4348" s="939"/>
      <c r="EZ4348" s="886"/>
    </row>
    <row r="4349" spans="152:156">
      <c r="EV4349" s="985"/>
      <c r="EW4349" s="985"/>
      <c r="EX4349" s="387"/>
      <c r="EY4349" s="939"/>
      <c r="EZ4349" s="886"/>
    </row>
    <row r="4350" spans="152:156">
      <c r="EV4350" s="985"/>
      <c r="EW4350" s="985"/>
      <c r="EX4350" s="387"/>
      <c r="EY4350" s="939"/>
      <c r="EZ4350" s="886"/>
    </row>
    <row r="4351" spans="152:156">
      <c r="EV4351" s="985"/>
      <c r="EW4351" s="985"/>
      <c r="EX4351" s="387"/>
      <c r="EY4351" s="939"/>
      <c r="EZ4351" s="886"/>
    </row>
    <row r="4352" spans="152:156">
      <c r="EV4352" s="985"/>
      <c r="EW4352" s="985"/>
      <c r="EX4352" s="387"/>
      <c r="EY4352" s="939"/>
      <c r="EZ4352" s="886"/>
    </row>
    <row r="4353" spans="152:156">
      <c r="EV4353" s="985"/>
      <c r="EW4353" s="985"/>
      <c r="EX4353" s="387"/>
      <c r="EY4353" s="939"/>
      <c r="EZ4353" s="886"/>
    </row>
    <row r="4354" spans="152:156">
      <c r="EV4354" s="985"/>
      <c r="EW4354" s="985"/>
      <c r="EX4354" s="387"/>
      <c r="EY4354" s="939"/>
      <c r="EZ4354" s="886"/>
    </row>
    <row r="4355" spans="152:156">
      <c r="EV4355" s="985"/>
      <c r="EW4355" s="985"/>
      <c r="EX4355" s="387"/>
      <c r="EY4355" s="939"/>
      <c r="EZ4355" s="886"/>
    </row>
    <row r="4356" spans="152:156">
      <c r="EV4356" s="985"/>
      <c r="EW4356" s="985"/>
      <c r="EX4356" s="387"/>
      <c r="EY4356" s="939"/>
      <c r="EZ4356" s="886"/>
    </row>
    <row r="4357" spans="152:156">
      <c r="EV4357" s="985"/>
      <c r="EW4357" s="985"/>
      <c r="EX4357" s="387"/>
      <c r="EY4357" s="939"/>
      <c r="EZ4357" s="886"/>
    </row>
    <row r="4358" spans="152:156">
      <c r="EV4358" s="985"/>
      <c r="EW4358" s="985"/>
      <c r="EX4358" s="387"/>
      <c r="EY4358" s="939"/>
      <c r="EZ4358" s="886"/>
    </row>
    <row r="4359" spans="152:156">
      <c r="EV4359" s="985"/>
      <c r="EW4359" s="985"/>
      <c r="EX4359" s="387"/>
      <c r="EY4359" s="939"/>
      <c r="EZ4359" s="886"/>
    </row>
    <row r="4360" spans="152:156">
      <c r="EV4360" s="985"/>
      <c r="EW4360" s="985"/>
      <c r="EX4360" s="387"/>
      <c r="EY4360" s="939"/>
      <c r="EZ4360" s="886"/>
    </row>
    <row r="4361" spans="152:156">
      <c r="EV4361" s="985"/>
      <c r="EW4361" s="985"/>
      <c r="EX4361" s="387"/>
      <c r="EY4361" s="939"/>
      <c r="EZ4361" s="886"/>
    </row>
    <row r="4362" spans="152:156">
      <c r="EV4362" s="985"/>
      <c r="EW4362" s="985"/>
      <c r="EX4362" s="387"/>
      <c r="EY4362" s="939"/>
      <c r="EZ4362" s="886"/>
    </row>
    <row r="4363" spans="152:156">
      <c r="EV4363" s="985"/>
      <c r="EW4363" s="985"/>
      <c r="EX4363" s="387"/>
      <c r="EY4363" s="939"/>
      <c r="EZ4363" s="886"/>
    </row>
    <row r="4364" spans="152:156">
      <c r="EV4364" s="985"/>
      <c r="EW4364" s="985"/>
      <c r="EX4364" s="387"/>
      <c r="EY4364" s="939"/>
      <c r="EZ4364" s="886"/>
    </row>
    <row r="4365" spans="152:156">
      <c r="EV4365" s="985"/>
      <c r="EW4365" s="985"/>
      <c r="EX4365" s="387"/>
      <c r="EY4365" s="939"/>
      <c r="EZ4365" s="886"/>
    </row>
    <row r="4366" spans="152:156">
      <c r="EV4366" s="985"/>
      <c r="EW4366" s="985"/>
      <c r="EX4366" s="387"/>
      <c r="EY4366" s="939"/>
      <c r="EZ4366" s="886"/>
    </row>
    <row r="4367" spans="152:156">
      <c r="EV4367" s="985"/>
      <c r="EW4367" s="985"/>
      <c r="EX4367" s="387"/>
      <c r="EY4367" s="939"/>
      <c r="EZ4367" s="886"/>
    </row>
    <row r="4368" spans="152:156">
      <c r="EV4368" s="985"/>
      <c r="EW4368" s="985"/>
      <c r="EX4368" s="387"/>
      <c r="EY4368" s="939"/>
      <c r="EZ4368" s="886"/>
    </row>
    <row r="4369" spans="152:156">
      <c r="EV4369" s="985"/>
      <c r="EW4369" s="985"/>
      <c r="EX4369" s="387"/>
      <c r="EY4369" s="939"/>
      <c r="EZ4369" s="886"/>
    </row>
    <row r="4370" spans="152:156">
      <c r="EV4370" s="985"/>
      <c r="EW4370" s="985"/>
      <c r="EX4370" s="387"/>
      <c r="EY4370" s="939"/>
      <c r="EZ4370" s="886"/>
    </row>
    <row r="4371" spans="152:156">
      <c r="EV4371" s="985"/>
      <c r="EW4371" s="985"/>
      <c r="EX4371" s="387"/>
      <c r="EY4371" s="939"/>
      <c r="EZ4371" s="886"/>
    </row>
    <row r="4372" spans="152:156">
      <c r="EV4372" s="985"/>
      <c r="EW4372" s="985"/>
      <c r="EX4372" s="387"/>
      <c r="EY4372" s="939"/>
      <c r="EZ4372" s="886"/>
    </row>
    <row r="4373" spans="152:156">
      <c r="EV4373" s="985"/>
      <c r="EW4373" s="985"/>
      <c r="EX4373" s="387"/>
      <c r="EY4373" s="939"/>
      <c r="EZ4373" s="886"/>
    </row>
    <row r="4374" spans="152:156">
      <c r="EV4374" s="985"/>
      <c r="EW4374" s="985"/>
      <c r="EX4374" s="387"/>
      <c r="EY4374" s="939"/>
      <c r="EZ4374" s="886"/>
    </row>
    <row r="4375" spans="152:156">
      <c r="EV4375" s="985"/>
      <c r="EW4375" s="985"/>
      <c r="EX4375" s="387"/>
      <c r="EY4375" s="939"/>
      <c r="EZ4375" s="886"/>
    </row>
    <row r="4376" spans="152:156">
      <c r="EV4376" s="985"/>
      <c r="EW4376" s="985"/>
      <c r="EX4376" s="387"/>
      <c r="EY4376" s="939"/>
      <c r="EZ4376" s="886"/>
    </row>
    <row r="4377" spans="152:156">
      <c r="EV4377" s="985"/>
      <c r="EW4377" s="985"/>
      <c r="EX4377" s="387"/>
      <c r="EY4377" s="939"/>
      <c r="EZ4377" s="886"/>
    </row>
    <row r="4378" spans="152:156">
      <c r="EV4378" s="985"/>
      <c r="EW4378" s="985"/>
      <c r="EX4378" s="387"/>
      <c r="EY4378" s="939"/>
      <c r="EZ4378" s="886"/>
    </row>
    <row r="4379" spans="152:156">
      <c r="EV4379" s="985"/>
      <c r="EW4379" s="985"/>
      <c r="EX4379" s="387"/>
      <c r="EY4379" s="939"/>
      <c r="EZ4379" s="886"/>
    </row>
    <row r="4380" spans="152:156">
      <c r="EV4380" s="985"/>
      <c r="EW4380" s="985"/>
      <c r="EX4380" s="387"/>
      <c r="EY4380" s="939"/>
      <c r="EZ4380" s="886"/>
    </row>
    <row r="4381" spans="152:156">
      <c r="EV4381" s="985"/>
      <c r="EW4381" s="985"/>
      <c r="EX4381" s="387"/>
      <c r="EY4381" s="939"/>
      <c r="EZ4381" s="886"/>
    </row>
    <row r="4382" spans="152:156">
      <c r="EV4382" s="985"/>
      <c r="EW4382" s="985"/>
      <c r="EX4382" s="387"/>
      <c r="EY4382" s="939"/>
      <c r="EZ4382" s="886"/>
    </row>
    <row r="4383" spans="152:156">
      <c r="EV4383" s="985"/>
      <c r="EW4383" s="985"/>
      <c r="EX4383" s="387"/>
      <c r="EY4383" s="939"/>
      <c r="EZ4383" s="886"/>
    </row>
    <row r="4384" spans="152:156">
      <c r="EV4384" s="985"/>
      <c r="EW4384" s="985"/>
      <c r="EX4384" s="387"/>
      <c r="EY4384" s="939"/>
      <c r="EZ4384" s="886"/>
    </row>
    <row r="4385" spans="152:156">
      <c r="EV4385" s="985"/>
      <c r="EW4385" s="985"/>
      <c r="EX4385" s="387"/>
      <c r="EY4385" s="939"/>
      <c r="EZ4385" s="886"/>
    </row>
    <row r="4386" spans="152:156">
      <c r="EV4386" s="985"/>
      <c r="EW4386" s="985"/>
      <c r="EX4386" s="387"/>
      <c r="EY4386" s="939"/>
      <c r="EZ4386" s="886"/>
    </row>
    <row r="4387" spans="152:156">
      <c r="EV4387" s="985"/>
      <c r="EW4387" s="985"/>
      <c r="EX4387" s="387"/>
      <c r="EY4387" s="939"/>
      <c r="EZ4387" s="886"/>
    </row>
    <row r="4388" spans="152:156">
      <c r="EV4388" s="985"/>
      <c r="EW4388" s="985"/>
      <c r="EX4388" s="387"/>
      <c r="EY4388" s="939"/>
      <c r="EZ4388" s="886"/>
    </row>
    <row r="4389" spans="152:156">
      <c r="EV4389" s="985"/>
      <c r="EW4389" s="985"/>
      <c r="EX4389" s="387"/>
      <c r="EY4389" s="939"/>
      <c r="EZ4389" s="886"/>
    </row>
    <row r="4390" spans="152:156">
      <c r="EV4390" s="985"/>
      <c r="EW4390" s="985"/>
      <c r="EX4390" s="387"/>
      <c r="EY4390" s="939"/>
      <c r="EZ4390" s="886"/>
    </row>
    <row r="4391" spans="152:156">
      <c r="EV4391" s="985"/>
      <c r="EW4391" s="985"/>
      <c r="EX4391" s="387"/>
      <c r="EY4391" s="939"/>
      <c r="EZ4391" s="886"/>
    </row>
    <row r="4392" spans="152:156">
      <c r="EV4392" s="985"/>
      <c r="EW4392" s="985"/>
      <c r="EX4392" s="387"/>
      <c r="EY4392" s="939"/>
      <c r="EZ4392" s="886"/>
    </row>
    <row r="4393" spans="152:156">
      <c r="EV4393" s="985"/>
      <c r="EW4393" s="985"/>
      <c r="EX4393" s="387"/>
      <c r="EY4393" s="939"/>
      <c r="EZ4393" s="886"/>
    </row>
    <row r="4394" spans="152:156">
      <c r="EV4394" s="985"/>
      <c r="EW4394" s="985"/>
      <c r="EX4394" s="387"/>
      <c r="EY4394" s="939"/>
      <c r="EZ4394" s="886"/>
    </row>
    <row r="4395" spans="152:156">
      <c r="EV4395" s="985"/>
      <c r="EW4395" s="985"/>
      <c r="EX4395" s="387"/>
      <c r="EY4395" s="939"/>
      <c r="EZ4395" s="886"/>
    </row>
    <row r="4396" spans="152:156">
      <c r="EV4396" s="985"/>
      <c r="EW4396" s="985"/>
      <c r="EX4396" s="387"/>
      <c r="EY4396" s="939"/>
      <c r="EZ4396" s="886"/>
    </row>
    <row r="4397" spans="152:156">
      <c r="EV4397" s="985"/>
      <c r="EW4397" s="985"/>
      <c r="EX4397" s="387"/>
      <c r="EY4397" s="939"/>
      <c r="EZ4397" s="886"/>
    </row>
    <row r="4398" spans="152:156">
      <c r="EV4398" s="985"/>
      <c r="EW4398" s="985"/>
      <c r="EX4398" s="387"/>
      <c r="EY4398" s="939"/>
      <c r="EZ4398" s="886"/>
    </row>
    <row r="4399" spans="152:156">
      <c r="EV4399" s="985"/>
      <c r="EW4399" s="985"/>
      <c r="EX4399" s="387"/>
      <c r="EY4399" s="939"/>
      <c r="EZ4399" s="886"/>
    </row>
    <row r="4400" spans="152:156">
      <c r="EV4400" s="985"/>
      <c r="EW4400" s="985"/>
      <c r="EX4400" s="387"/>
      <c r="EY4400" s="939"/>
      <c r="EZ4400" s="886"/>
    </row>
    <row r="4401" spans="152:156">
      <c r="EV4401" s="985"/>
      <c r="EW4401" s="985"/>
      <c r="EX4401" s="387"/>
      <c r="EY4401" s="939"/>
      <c r="EZ4401" s="886"/>
    </row>
    <row r="4402" spans="152:156">
      <c r="EV4402" s="985"/>
      <c r="EW4402" s="985"/>
      <c r="EX4402" s="387"/>
      <c r="EY4402" s="939"/>
      <c r="EZ4402" s="886"/>
    </row>
    <row r="4403" spans="152:156">
      <c r="EV4403" s="985"/>
      <c r="EW4403" s="985"/>
      <c r="EX4403" s="387"/>
      <c r="EY4403" s="939"/>
      <c r="EZ4403" s="886"/>
    </row>
    <row r="4404" spans="152:156">
      <c r="EV4404" s="985"/>
      <c r="EW4404" s="985"/>
      <c r="EX4404" s="387"/>
      <c r="EY4404" s="939"/>
      <c r="EZ4404" s="886"/>
    </row>
    <row r="4405" spans="152:156">
      <c r="EV4405" s="985"/>
      <c r="EW4405" s="985"/>
      <c r="EX4405" s="387"/>
      <c r="EY4405" s="939"/>
      <c r="EZ4405" s="886"/>
    </row>
    <row r="4406" spans="152:156">
      <c r="EV4406" s="985"/>
      <c r="EW4406" s="985"/>
      <c r="EX4406" s="387"/>
      <c r="EY4406" s="939"/>
      <c r="EZ4406" s="886"/>
    </row>
    <row r="4407" spans="152:156">
      <c r="EV4407" s="985"/>
      <c r="EW4407" s="985"/>
      <c r="EX4407" s="387"/>
      <c r="EY4407" s="939"/>
      <c r="EZ4407" s="886"/>
    </row>
    <row r="4408" spans="152:156">
      <c r="EV4408" s="985"/>
      <c r="EW4408" s="985"/>
      <c r="EX4408" s="387"/>
      <c r="EY4408" s="939"/>
      <c r="EZ4408" s="886"/>
    </row>
    <row r="4409" spans="152:156">
      <c r="EV4409" s="985"/>
      <c r="EW4409" s="985"/>
      <c r="EX4409" s="387"/>
      <c r="EY4409" s="939"/>
      <c r="EZ4409" s="886"/>
    </row>
    <row r="4410" spans="152:156">
      <c r="EV4410" s="985"/>
      <c r="EW4410" s="985"/>
      <c r="EX4410" s="387"/>
      <c r="EY4410" s="939"/>
      <c r="EZ4410" s="886"/>
    </row>
    <row r="4411" spans="152:156">
      <c r="EV4411" s="985"/>
      <c r="EW4411" s="985"/>
      <c r="EX4411" s="387"/>
      <c r="EY4411" s="939"/>
      <c r="EZ4411" s="886"/>
    </row>
    <row r="4412" spans="152:156">
      <c r="EV4412" s="985"/>
      <c r="EW4412" s="985"/>
      <c r="EX4412" s="387"/>
      <c r="EY4412" s="939"/>
      <c r="EZ4412" s="886"/>
    </row>
    <row r="4413" spans="152:156">
      <c r="EV4413" s="985"/>
      <c r="EW4413" s="985"/>
      <c r="EX4413" s="387"/>
      <c r="EY4413" s="939"/>
      <c r="EZ4413" s="886"/>
    </row>
    <row r="4414" spans="152:156">
      <c r="EV4414" s="985"/>
      <c r="EW4414" s="985"/>
      <c r="EX4414" s="387"/>
      <c r="EY4414" s="939"/>
      <c r="EZ4414" s="886"/>
    </row>
    <row r="4415" spans="152:156">
      <c r="EV4415" s="985"/>
      <c r="EW4415" s="985"/>
      <c r="EX4415" s="387"/>
      <c r="EY4415" s="939"/>
      <c r="EZ4415" s="886"/>
    </row>
    <row r="4416" spans="152:156">
      <c r="EV4416" s="985"/>
      <c r="EW4416" s="985"/>
      <c r="EX4416" s="387"/>
      <c r="EY4416" s="939"/>
      <c r="EZ4416" s="886"/>
    </row>
    <row r="4417" spans="152:156">
      <c r="EV4417" s="985"/>
      <c r="EW4417" s="985"/>
      <c r="EX4417" s="387"/>
      <c r="EY4417" s="939"/>
      <c r="EZ4417" s="886"/>
    </row>
    <row r="4418" spans="152:156">
      <c r="EV4418" s="985"/>
      <c r="EW4418" s="985"/>
      <c r="EX4418" s="387"/>
      <c r="EY4418" s="939"/>
      <c r="EZ4418" s="886"/>
    </row>
    <row r="4419" spans="152:156">
      <c r="EV4419" s="985"/>
      <c r="EW4419" s="985"/>
      <c r="EX4419" s="387"/>
      <c r="EY4419" s="939"/>
      <c r="EZ4419" s="886"/>
    </row>
    <row r="4420" spans="152:156">
      <c r="EV4420" s="985"/>
      <c r="EW4420" s="985"/>
      <c r="EX4420" s="387"/>
      <c r="EY4420" s="939"/>
      <c r="EZ4420" s="886"/>
    </row>
    <row r="4421" spans="152:156">
      <c r="EV4421" s="985"/>
      <c r="EW4421" s="985"/>
      <c r="EX4421" s="387"/>
      <c r="EY4421" s="939"/>
      <c r="EZ4421" s="886"/>
    </row>
    <row r="4422" spans="152:156">
      <c r="EV4422" s="985"/>
      <c r="EW4422" s="985"/>
      <c r="EX4422" s="387"/>
      <c r="EY4422" s="939"/>
      <c r="EZ4422" s="886"/>
    </row>
    <row r="4423" spans="152:156">
      <c r="EV4423" s="985"/>
      <c r="EW4423" s="985"/>
      <c r="EX4423" s="387"/>
      <c r="EY4423" s="939"/>
      <c r="EZ4423" s="886"/>
    </row>
    <row r="4424" spans="152:156">
      <c r="EV4424" s="985"/>
      <c r="EW4424" s="985"/>
      <c r="EX4424" s="387"/>
      <c r="EY4424" s="939"/>
      <c r="EZ4424" s="886"/>
    </row>
    <row r="4425" spans="152:156">
      <c r="EV4425" s="985"/>
      <c r="EW4425" s="985"/>
      <c r="EX4425" s="387"/>
      <c r="EY4425" s="939"/>
      <c r="EZ4425" s="886"/>
    </row>
    <row r="4426" spans="152:156">
      <c r="EV4426" s="985"/>
      <c r="EW4426" s="985"/>
      <c r="EX4426" s="387"/>
      <c r="EY4426" s="939"/>
      <c r="EZ4426" s="886"/>
    </row>
    <row r="4427" spans="152:156">
      <c r="EV4427" s="985"/>
      <c r="EW4427" s="985"/>
      <c r="EX4427" s="387"/>
      <c r="EY4427" s="939"/>
      <c r="EZ4427" s="886"/>
    </row>
    <row r="4428" spans="152:156">
      <c r="EV4428" s="985"/>
      <c r="EW4428" s="985"/>
      <c r="EX4428" s="387"/>
      <c r="EY4428" s="939"/>
      <c r="EZ4428" s="886"/>
    </row>
    <row r="4429" spans="152:156">
      <c r="EV4429" s="985"/>
      <c r="EW4429" s="985"/>
      <c r="EX4429" s="387"/>
      <c r="EY4429" s="939"/>
      <c r="EZ4429" s="886"/>
    </row>
    <row r="4430" spans="152:156">
      <c r="EV4430" s="985"/>
      <c r="EW4430" s="985"/>
      <c r="EX4430" s="387"/>
      <c r="EY4430" s="939"/>
      <c r="EZ4430" s="886"/>
    </row>
    <row r="4431" spans="152:156">
      <c r="EV4431" s="985"/>
      <c r="EW4431" s="985"/>
      <c r="EX4431" s="387"/>
      <c r="EY4431" s="939"/>
      <c r="EZ4431" s="886"/>
    </row>
    <row r="4432" spans="152:156">
      <c r="EV4432" s="985"/>
      <c r="EW4432" s="985"/>
      <c r="EX4432" s="387"/>
      <c r="EY4432" s="939"/>
      <c r="EZ4432" s="886"/>
    </row>
    <row r="4433" spans="152:156">
      <c r="EV4433" s="985"/>
      <c r="EW4433" s="985"/>
      <c r="EX4433" s="387"/>
      <c r="EY4433" s="939"/>
      <c r="EZ4433" s="886"/>
    </row>
    <row r="4434" spans="152:156">
      <c r="EV4434" s="985"/>
      <c r="EW4434" s="985"/>
      <c r="EX4434" s="387"/>
      <c r="EY4434" s="939"/>
      <c r="EZ4434" s="886"/>
    </row>
    <row r="4435" spans="152:156">
      <c r="EV4435" s="985"/>
      <c r="EW4435" s="985"/>
      <c r="EX4435" s="387"/>
      <c r="EY4435" s="939"/>
      <c r="EZ4435" s="886"/>
    </row>
    <row r="4436" spans="152:156">
      <c r="EV4436" s="985"/>
      <c r="EW4436" s="985"/>
      <c r="EX4436" s="387"/>
      <c r="EY4436" s="939"/>
      <c r="EZ4436" s="886"/>
    </row>
    <row r="4437" spans="152:156">
      <c r="EV4437" s="985"/>
      <c r="EW4437" s="985"/>
      <c r="EX4437" s="387"/>
      <c r="EY4437" s="939"/>
      <c r="EZ4437" s="886"/>
    </row>
    <row r="4438" spans="152:156">
      <c r="EV4438" s="985"/>
      <c r="EW4438" s="985"/>
      <c r="EX4438" s="387"/>
      <c r="EY4438" s="939"/>
      <c r="EZ4438" s="886"/>
    </row>
    <row r="4439" spans="152:156">
      <c r="EV4439" s="985"/>
      <c r="EW4439" s="985"/>
      <c r="EX4439" s="387"/>
      <c r="EY4439" s="939"/>
      <c r="EZ4439" s="886"/>
    </row>
    <row r="4440" spans="152:156">
      <c r="EV4440" s="985"/>
      <c r="EW4440" s="985"/>
      <c r="EX4440" s="387"/>
      <c r="EY4440" s="939"/>
      <c r="EZ4440" s="886"/>
    </row>
    <row r="4441" spans="152:156">
      <c r="EV4441" s="985"/>
      <c r="EW4441" s="985"/>
      <c r="EX4441" s="387"/>
      <c r="EY4441" s="939"/>
      <c r="EZ4441" s="886"/>
    </row>
    <row r="4442" spans="152:156">
      <c r="EV4442" s="985"/>
      <c r="EW4442" s="985"/>
      <c r="EX4442" s="387"/>
      <c r="EY4442" s="939"/>
      <c r="EZ4442" s="886"/>
    </row>
    <row r="4443" spans="152:156">
      <c r="EV4443" s="985"/>
      <c r="EW4443" s="985"/>
      <c r="EX4443" s="387"/>
      <c r="EY4443" s="939"/>
      <c r="EZ4443" s="886"/>
    </row>
    <row r="4444" spans="152:156">
      <c r="EV4444" s="985"/>
      <c r="EW4444" s="985"/>
      <c r="EX4444" s="387"/>
      <c r="EY4444" s="939"/>
      <c r="EZ4444" s="886"/>
    </row>
    <row r="4445" spans="152:156">
      <c r="EV4445" s="985"/>
      <c r="EW4445" s="985"/>
      <c r="EX4445" s="387"/>
      <c r="EY4445" s="939"/>
      <c r="EZ4445" s="886"/>
    </row>
    <row r="4446" spans="152:156">
      <c r="EV4446" s="985"/>
      <c r="EW4446" s="985"/>
      <c r="EX4446" s="387"/>
      <c r="EY4446" s="939"/>
      <c r="EZ4446" s="886"/>
    </row>
    <row r="4447" spans="152:156">
      <c r="EV4447" s="985"/>
      <c r="EW4447" s="985"/>
      <c r="EX4447" s="387"/>
      <c r="EY4447" s="939"/>
      <c r="EZ4447" s="886"/>
    </row>
    <row r="4448" spans="152:156">
      <c r="EV4448" s="985"/>
      <c r="EW4448" s="985"/>
      <c r="EX4448" s="387"/>
      <c r="EY4448" s="939"/>
      <c r="EZ4448" s="886"/>
    </row>
    <row r="4449" spans="152:156">
      <c r="EV4449" s="985"/>
      <c r="EW4449" s="985"/>
      <c r="EX4449" s="387"/>
      <c r="EY4449" s="939"/>
      <c r="EZ4449" s="886"/>
    </row>
    <row r="4450" spans="152:156">
      <c r="EV4450" s="985"/>
      <c r="EW4450" s="985"/>
      <c r="EX4450" s="387"/>
      <c r="EY4450" s="939"/>
      <c r="EZ4450" s="886"/>
    </row>
    <row r="4451" spans="152:156">
      <c r="EV4451" s="985"/>
      <c r="EW4451" s="985"/>
      <c r="EX4451" s="387"/>
      <c r="EY4451" s="939"/>
      <c r="EZ4451" s="886"/>
    </row>
    <row r="4452" spans="152:156">
      <c r="EV4452" s="985"/>
      <c r="EW4452" s="985"/>
      <c r="EX4452" s="387"/>
      <c r="EY4452" s="939"/>
      <c r="EZ4452" s="886"/>
    </row>
    <row r="4453" spans="152:156">
      <c r="EV4453" s="985"/>
      <c r="EW4453" s="985"/>
      <c r="EX4453" s="387"/>
      <c r="EY4453" s="939"/>
      <c r="EZ4453" s="886"/>
    </row>
    <row r="4454" spans="152:156">
      <c r="EV4454" s="985"/>
      <c r="EW4454" s="985"/>
      <c r="EX4454" s="387"/>
      <c r="EY4454" s="939"/>
      <c r="EZ4454" s="886"/>
    </row>
    <row r="4455" spans="152:156">
      <c r="EV4455" s="985"/>
      <c r="EW4455" s="985"/>
      <c r="EX4455" s="387"/>
      <c r="EY4455" s="939"/>
      <c r="EZ4455" s="886"/>
    </row>
    <row r="4456" spans="152:156">
      <c r="EV4456" s="985"/>
      <c r="EW4456" s="985"/>
      <c r="EX4456" s="387"/>
      <c r="EY4456" s="939"/>
      <c r="EZ4456" s="886"/>
    </row>
    <row r="4457" spans="152:156">
      <c r="EV4457" s="985"/>
      <c r="EW4457" s="985"/>
      <c r="EX4457" s="387"/>
      <c r="EY4457" s="939"/>
      <c r="EZ4457" s="886"/>
    </row>
    <row r="4458" spans="152:156">
      <c r="EV4458" s="985"/>
      <c r="EW4458" s="985"/>
      <c r="EX4458" s="387"/>
      <c r="EY4458" s="939"/>
      <c r="EZ4458" s="886"/>
    </row>
    <row r="4459" spans="152:156">
      <c r="EV4459" s="985"/>
      <c r="EW4459" s="985"/>
      <c r="EX4459" s="387"/>
      <c r="EY4459" s="939"/>
      <c r="EZ4459" s="886"/>
    </row>
    <row r="4460" spans="152:156">
      <c r="EV4460" s="985"/>
      <c r="EW4460" s="985"/>
      <c r="EX4460" s="387"/>
      <c r="EY4460" s="939"/>
      <c r="EZ4460" s="886"/>
    </row>
    <row r="4461" spans="152:156">
      <c r="EV4461" s="985"/>
      <c r="EW4461" s="985"/>
      <c r="EX4461" s="387"/>
      <c r="EY4461" s="939"/>
      <c r="EZ4461" s="886"/>
    </row>
    <row r="4462" spans="152:156">
      <c r="EV4462" s="985"/>
      <c r="EW4462" s="985"/>
      <c r="EX4462" s="387"/>
      <c r="EY4462" s="939"/>
      <c r="EZ4462" s="886"/>
    </row>
    <row r="4463" spans="152:156">
      <c r="EV4463" s="985"/>
      <c r="EW4463" s="985"/>
      <c r="EX4463" s="387"/>
      <c r="EY4463" s="939"/>
      <c r="EZ4463" s="886"/>
    </row>
    <row r="4464" spans="152:156">
      <c r="EV4464" s="985"/>
      <c r="EW4464" s="985"/>
      <c r="EX4464" s="387"/>
      <c r="EY4464" s="939"/>
      <c r="EZ4464" s="886"/>
    </row>
    <row r="4465" spans="152:156">
      <c r="EV4465" s="985"/>
      <c r="EW4465" s="985"/>
      <c r="EX4465" s="387"/>
      <c r="EY4465" s="939"/>
      <c r="EZ4465" s="886"/>
    </row>
    <row r="4466" spans="152:156">
      <c r="EV4466" s="985"/>
      <c r="EW4466" s="985"/>
      <c r="EX4466" s="387"/>
      <c r="EY4466" s="939"/>
      <c r="EZ4466" s="886"/>
    </row>
    <row r="4467" spans="152:156">
      <c r="EV4467" s="985"/>
      <c r="EW4467" s="985"/>
      <c r="EX4467" s="387"/>
      <c r="EY4467" s="939"/>
      <c r="EZ4467" s="886"/>
    </row>
    <row r="4468" spans="152:156">
      <c r="EV4468" s="985"/>
      <c r="EW4468" s="985"/>
      <c r="EX4468" s="387"/>
      <c r="EY4468" s="939"/>
      <c r="EZ4468" s="886"/>
    </row>
    <row r="4469" spans="152:156">
      <c r="EV4469" s="985"/>
      <c r="EW4469" s="985"/>
      <c r="EX4469" s="387"/>
      <c r="EY4469" s="939"/>
      <c r="EZ4469" s="886"/>
    </row>
    <row r="4470" spans="152:156">
      <c r="EV4470" s="985"/>
      <c r="EW4470" s="985"/>
      <c r="EX4470" s="387"/>
      <c r="EY4470" s="939"/>
      <c r="EZ4470" s="886"/>
    </row>
    <row r="4471" spans="152:156">
      <c r="EV4471" s="985"/>
      <c r="EW4471" s="985"/>
      <c r="EX4471" s="387"/>
      <c r="EY4471" s="939"/>
      <c r="EZ4471" s="886"/>
    </row>
    <row r="4472" spans="152:156">
      <c r="EV4472" s="985"/>
      <c r="EW4472" s="985"/>
      <c r="EX4472" s="387"/>
      <c r="EY4472" s="939"/>
      <c r="EZ4472" s="886"/>
    </row>
    <row r="4473" spans="152:156">
      <c r="EV4473" s="985"/>
      <c r="EW4473" s="985"/>
      <c r="EX4473" s="387"/>
      <c r="EY4473" s="939"/>
      <c r="EZ4473" s="886"/>
    </row>
    <row r="4474" spans="152:156">
      <c r="EV4474" s="985"/>
      <c r="EW4474" s="985"/>
      <c r="EX4474" s="387"/>
      <c r="EY4474" s="939"/>
      <c r="EZ4474" s="886"/>
    </row>
    <row r="4475" spans="152:156">
      <c r="EV4475" s="985"/>
      <c r="EW4475" s="985"/>
      <c r="EX4475" s="387"/>
      <c r="EY4475" s="939"/>
      <c r="EZ4475" s="886"/>
    </row>
    <row r="4476" spans="152:156">
      <c r="EV4476" s="985"/>
      <c r="EW4476" s="985"/>
      <c r="EX4476" s="387"/>
      <c r="EY4476" s="939"/>
      <c r="EZ4476" s="886"/>
    </row>
    <row r="4477" spans="152:156">
      <c r="EV4477" s="985"/>
      <c r="EW4477" s="985"/>
      <c r="EX4477" s="387"/>
      <c r="EY4477" s="939"/>
      <c r="EZ4477" s="886"/>
    </row>
    <row r="4478" spans="152:156">
      <c r="EV4478" s="985"/>
      <c r="EW4478" s="985"/>
      <c r="EX4478" s="387"/>
      <c r="EY4478" s="939"/>
      <c r="EZ4478" s="886"/>
    </row>
    <row r="4479" spans="152:156">
      <c r="EV4479" s="985"/>
      <c r="EW4479" s="985"/>
      <c r="EX4479" s="387"/>
      <c r="EY4479" s="939"/>
      <c r="EZ4479" s="886"/>
    </row>
    <row r="4480" spans="152:156">
      <c r="EV4480" s="985"/>
      <c r="EW4480" s="985"/>
      <c r="EX4480" s="387"/>
      <c r="EY4480" s="939"/>
      <c r="EZ4480" s="886"/>
    </row>
    <row r="4481" spans="152:156">
      <c r="EV4481" s="985"/>
      <c r="EW4481" s="985"/>
      <c r="EX4481" s="387"/>
      <c r="EY4481" s="939"/>
      <c r="EZ4481" s="886"/>
    </row>
    <row r="4482" spans="152:156">
      <c r="EV4482" s="985"/>
      <c r="EW4482" s="985"/>
      <c r="EX4482" s="387"/>
      <c r="EY4482" s="939"/>
      <c r="EZ4482" s="886"/>
    </row>
    <row r="4483" spans="152:156">
      <c r="EV4483" s="985"/>
      <c r="EW4483" s="985"/>
      <c r="EX4483" s="387"/>
      <c r="EY4483" s="939"/>
      <c r="EZ4483" s="886"/>
    </row>
    <row r="4484" spans="152:156">
      <c r="EV4484" s="985"/>
      <c r="EW4484" s="985"/>
      <c r="EX4484" s="387"/>
      <c r="EY4484" s="939"/>
      <c r="EZ4484" s="886"/>
    </row>
    <row r="4485" spans="152:156">
      <c r="EV4485" s="985"/>
      <c r="EW4485" s="985"/>
      <c r="EX4485" s="387"/>
      <c r="EY4485" s="939"/>
      <c r="EZ4485" s="886"/>
    </row>
    <row r="4486" spans="152:156">
      <c r="EV4486" s="985"/>
      <c r="EW4486" s="985"/>
      <c r="EX4486" s="387"/>
      <c r="EY4486" s="939"/>
      <c r="EZ4486" s="886"/>
    </row>
    <row r="4487" spans="152:156">
      <c r="EV4487" s="985"/>
      <c r="EW4487" s="985"/>
      <c r="EX4487" s="387"/>
      <c r="EY4487" s="939"/>
      <c r="EZ4487" s="886"/>
    </row>
    <row r="4488" spans="152:156">
      <c r="EV4488" s="985"/>
      <c r="EW4488" s="985"/>
      <c r="EX4488" s="387"/>
      <c r="EY4488" s="939"/>
      <c r="EZ4488" s="886"/>
    </row>
    <row r="4489" spans="152:156">
      <c r="EV4489" s="985"/>
      <c r="EW4489" s="985"/>
      <c r="EX4489" s="387"/>
      <c r="EY4489" s="939"/>
      <c r="EZ4489" s="886"/>
    </row>
    <row r="4490" spans="152:156">
      <c r="EV4490" s="985"/>
      <c r="EW4490" s="985"/>
      <c r="EX4490" s="387"/>
      <c r="EY4490" s="939"/>
      <c r="EZ4490" s="886"/>
    </row>
    <row r="4491" spans="152:156">
      <c r="EV4491" s="985"/>
      <c r="EW4491" s="985"/>
      <c r="EX4491" s="387"/>
      <c r="EY4491" s="939"/>
      <c r="EZ4491" s="886"/>
    </row>
    <row r="4492" spans="152:156">
      <c r="EV4492" s="985"/>
      <c r="EW4492" s="985"/>
      <c r="EX4492" s="387"/>
      <c r="EY4492" s="939"/>
      <c r="EZ4492" s="886"/>
    </row>
    <row r="4493" spans="152:156">
      <c r="EV4493" s="985"/>
      <c r="EW4493" s="985"/>
      <c r="EX4493" s="387"/>
      <c r="EY4493" s="939"/>
      <c r="EZ4493" s="886"/>
    </row>
    <row r="4494" spans="152:156">
      <c r="EV4494" s="985"/>
      <c r="EW4494" s="985"/>
      <c r="EX4494" s="387"/>
      <c r="EY4494" s="939"/>
      <c r="EZ4494" s="886"/>
    </row>
    <row r="4495" spans="152:156">
      <c r="EV4495" s="985"/>
      <c r="EW4495" s="985"/>
      <c r="EX4495" s="387"/>
      <c r="EY4495" s="939"/>
      <c r="EZ4495" s="886"/>
    </row>
    <row r="4496" spans="152:156">
      <c r="EV4496" s="985"/>
      <c r="EW4496" s="985"/>
      <c r="EX4496" s="387"/>
      <c r="EY4496" s="939"/>
      <c r="EZ4496" s="886"/>
    </row>
    <row r="4497" spans="152:156">
      <c r="EV4497" s="985"/>
      <c r="EW4497" s="985"/>
      <c r="EX4497" s="387"/>
      <c r="EY4497" s="939"/>
      <c r="EZ4497" s="886"/>
    </row>
    <row r="4498" spans="152:156">
      <c r="EV4498" s="985"/>
      <c r="EW4498" s="985"/>
      <c r="EX4498" s="387"/>
      <c r="EY4498" s="939"/>
      <c r="EZ4498" s="886"/>
    </row>
    <row r="4499" spans="152:156">
      <c r="EV4499" s="985"/>
      <c r="EW4499" s="985"/>
      <c r="EX4499" s="387"/>
      <c r="EY4499" s="939"/>
      <c r="EZ4499" s="886"/>
    </row>
    <row r="4500" spans="152:156">
      <c r="EV4500" s="985"/>
      <c r="EW4500" s="985"/>
      <c r="EX4500" s="387"/>
      <c r="EY4500" s="939"/>
      <c r="EZ4500" s="886"/>
    </row>
    <row r="4501" spans="152:156">
      <c r="EV4501" s="985"/>
      <c r="EW4501" s="985"/>
      <c r="EX4501" s="387"/>
      <c r="EY4501" s="939"/>
      <c r="EZ4501" s="886"/>
    </row>
    <row r="4502" spans="152:156">
      <c r="EV4502" s="985"/>
      <c r="EW4502" s="985"/>
      <c r="EX4502" s="387"/>
      <c r="EY4502" s="939"/>
      <c r="EZ4502" s="886"/>
    </row>
    <row r="4503" spans="152:156">
      <c r="EV4503" s="985"/>
      <c r="EW4503" s="985"/>
      <c r="EX4503" s="387"/>
      <c r="EY4503" s="939"/>
      <c r="EZ4503" s="886"/>
    </row>
    <row r="4504" spans="152:156">
      <c r="EV4504" s="985"/>
      <c r="EW4504" s="985"/>
      <c r="EX4504" s="387"/>
      <c r="EY4504" s="939"/>
      <c r="EZ4504" s="886"/>
    </row>
    <row r="4505" spans="152:156">
      <c r="EV4505" s="985"/>
      <c r="EW4505" s="985"/>
      <c r="EX4505" s="387"/>
      <c r="EY4505" s="939"/>
      <c r="EZ4505" s="886"/>
    </row>
    <row r="4506" spans="152:156">
      <c r="EV4506" s="985"/>
      <c r="EW4506" s="985"/>
      <c r="EX4506" s="387"/>
      <c r="EY4506" s="939"/>
      <c r="EZ4506" s="886"/>
    </row>
    <row r="4507" spans="152:156">
      <c r="EV4507" s="985"/>
      <c r="EW4507" s="985"/>
      <c r="EX4507" s="387"/>
      <c r="EY4507" s="939"/>
      <c r="EZ4507" s="886"/>
    </row>
    <row r="4508" spans="152:156">
      <c r="EV4508" s="985"/>
      <c r="EW4508" s="985"/>
      <c r="EX4508" s="387"/>
      <c r="EY4508" s="939"/>
      <c r="EZ4508" s="886"/>
    </row>
    <row r="4509" spans="152:156">
      <c r="EV4509" s="985"/>
      <c r="EW4509" s="985"/>
      <c r="EX4509" s="387"/>
      <c r="EY4509" s="939"/>
      <c r="EZ4509" s="886"/>
    </row>
    <row r="4510" spans="152:156">
      <c r="EV4510" s="985"/>
      <c r="EW4510" s="985"/>
      <c r="EX4510" s="387"/>
      <c r="EY4510" s="939"/>
      <c r="EZ4510" s="886"/>
    </row>
    <row r="4511" spans="152:156">
      <c r="EV4511" s="985"/>
      <c r="EW4511" s="985"/>
      <c r="EX4511" s="387"/>
      <c r="EY4511" s="939"/>
      <c r="EZ4511" s="886"/>
    </row>
    <row r="4512" spans="152:156">
      <c r="EV4512" s="985"/>
      <c r="EW4512" s="985"/>
      <c r="EX4512" s="387"/>
      <c r="EY4512" s="939"/>
      <c r="EZ4512" s="886"/>
    </row>
    <row r="4513" spans="152:156">
      <c r="EV4513" s="985"/>
      <c r="EW4513" s="985"/>
      <c r="EX4513" s="387"/>
      <c r="EY4513" s="939"/>
      <c r="EZ4513" s="886"/>
    </row>
    <row r="4514" spans="152:156">
      <c r="EV4514" s="985"/>
      <c r="EW4514" s="985"/>
      <c r="EX4514" s="387"/>
      <c r="EY4514" s="939"/>
      <c r="EZ4514" s="886"/>
    </row>
    <row r="4515" spans="152:156">
      <c r="EV4515" s="985"/>
      <c r="EW4515" s="985"/>
      <c r="EX4515" s="387"/>
      <c r="EY4515" s="939"/>
      <c r="EZ4515" s="886"/>
    </row>
    <row r="4516" spans="152:156">
      <c r="EV4516" s="985"/>
      <c r="EW4516" s="985"/>
      <c r="EX4516" s="387"/>
      <c r="EY4516" s="939"/>
      <c r="EZ4516" s="886"/>
    </row>
    <row r="4517" spans="152:156">
      <c r="EV4517" s="985"/>
      <c r="EW4517" s="985"/>
      <c r="EX4517" s="387"/>
      <c r="EY4517" s="939"/>
      <c r="EZ4517" s="886"/>
    </row>
    <row r="4518" spans="152:156">
      <c r="EV4518" s="985"/>
      <c r="EW4518" s="985"/>
      <c r="EX4518" s="387"/>
      <c r="EY4518" s="939"/>
      <c r="EZ4518" s="886"/>
    </row>
    <row r="4519" spans="152:156">
      <c r="EV4519" s="985"/>
      <c r="EW4519" s="985"/>
      <c r="EX4519" s="387"/>
      <c r="EY4519" s="939"/>
      <c r="EZ4519" s="886"/>
    </row>
    <row r="4520" spans="152:156">
      <c r="EV4520" s="985"/>
      <c r="EW4520" s="985"/>
      <c r="EX4520" s="387"/>
      <c r="EY4520" s="939"/>
      <c r="EZ4520" s="886"/>
    </row>
    <row r="4521" spans="152:156">
      <c r="EV4521" s="985"/>
      <c r="EW4521" s="985"/>
      <c r="EX4521" s="387"/>
      <c r="EY4521" s="939"/>
      <c r="EZ4521" s="886"/>
    </row>
    <row r="4522" spans="152:156">
      <c r="EV4522" s="985"/>
      <c r="EW4522" s="985"/>
      <c r="EX4522" s="387"/>
      <c r="EY4522" s="939"/>
      <c r="EZ4522" s="886"/>
    </row>
    <row r="4523" spans="152:156">
      <c r="EV4523" s="985"/>
      <c r="EW4523" s="985"/>
      <c r="EX4523" s="387"/>
      <c r="EY4523" s="939"/>
      <c r="EZ4523" s="886"/>
    </row>
    <row r="4524" spans="152:156">
      <c r="EV4524" s="985"/>
      <c r="EW4524" s="985"/>
      <c r="EX4524" s="387"/>
      <c r="EY4524" s="939"/>
      <c r="EZ4524" s="886"/>
    </row>
    <row r="4525" spans="152:156">
      <c r="EV4525" s="985"/>
      <c r="EW4525" s="985"/>
      <c r="EX4525" s="387"/>
      <c r="EY4525" s="939"/>
      <c r="EZ4525" s="886"/>
    </row>
    <row r="4526" spans="152:156">
      <c r="EV4526" s="985"/>
      <c r="EW4526" s="985"/>
      <c r="EX4526" s="387"/>
      <c r="EY4526" s="939"/>
      <c r="EZ4526" s="886"/>
    </row>
    <row r="4527" spans="152:156">
      <c r="EV4527" s="985"/>
      <c r="EW4527" s="985"/>
      <c r="EX4527" s="387"/>
      <c r="EY4527" s="939"/>
      <c r="EZ4527" s="886"/>
    </row>
    <row r="4528" spans="152:156">
      <c r="EV4528" s="985"/>
      <c r="EW4528" s="985"/>
      <c r="EX4528" s="387"/>
      <c r="EY4528" s="939"/>
      <c r="EZ4528" s="886"/>
    </row>
    <row r="4529" spans="152:156">
      <c r="EV4529" s="985"/>
      <c r="EW4529" s="985"/>
      <c r="EX4529" s="387"/>
      <c r="EY4529" s="939"/>
      <c r="EZ4529" s="886"/>
    </row>
    <row r="4530" spans="152:156">
      <c r="EV4530" s="985"/>
      <c r="EW4530" s="985"/>
      <c r="EX4530" s="387"/>
      <c r="EY4530" s="939"/>
      <c r="EZ4530" s="886"/>
    </row>
    <row r="4531" spans="152:156">
      <c r="EV4531" s="985"/>
      <c r="EW4531" s="985"/>
      <c r="EX4531" s="387"/>
      <c r="EY4531" s="939"/>
      <c r="EZ4531" s="886"/>
    </row>
    <row r="4532" spans="152:156">
      <c r="EV4532" s="985"/>
      <c r="EW4532" s="985"/>
      <c r="EX4532" s="387"/>
      <c r="EY4532" s="939"/>
      <c r="EZ4532" s="886"/>
    </row>
    <row r="4533" spans="152:156">
      <c r="EV4533" s="985"/>
      <c r="EW4533" s="985"/>
      <c r="EX4533" s="387"/>
      <c r="EY4533" s="939"/>
      <c r="EZ4533" s="886"/>
    </row>
    <row r="4534" spans="152:156">
      <c r="EV4534" s="985"/>
      <c r="EW4534" s="985"/>
      <c r="EX4534" s="387"/>
      <c r="EY4534" s="939"/>
      <c r="EZ4534" s="886"/>
    </row>
    <row r="4535" spans="152:156">
      <c r="EV4535" s="985"/>
      <c r="EW4535" s="985"/>
      <c r="EX4535" s="387"/>
      <c r="EY4535" s="939"/>
      <c r="EZ4535" s="886"/>
    </row>
    <row r="4536" spans="152:156">
      <c r="EV4536" s="985"/>
      <c r="EW4536" s="985"/>
      <c r="EX4536" s="387"/>
      <c r="EY4536" s="939"/>
      <c r="EZ4536" s="886"/>
    </row>
    <row r="4537" spans="152:156">
      <c r="EV4537" s="985"/>
      <c r="EW4537" s="985"/>
      <c r="EX4537" s="387"/>
      <c r="EY4537" s="939"/>
      <c r="EZ4537" s="886"/>
    </row>
    <row r="4538" spans="152:156">
      <c r="EV4538" s="985"/>
      <c r="EW4538" s="985"/>
      <c r="EX4538" s="387"/>
      <c r="EY4538" s="939"/>
      <c r="EZ4538" s="886"/>
    </row>
    <row r="4539" spans="152:156">
      <c r="EV4539" s="985"/>
      <c r="EW4539" s="985"/>
      <c r="EX4539" s="387"/>
      <c r="EY4539" s="939"/>
      <c r="EZ4539" s="886"/>
    </row>
    <row r="4540" spans="152:156">
      <c r="EV4540" s="985"/>
      <c r="EW4540" s="985"/>
      <c r="EX4540" s="387"/>
      <c r="EY4540" s="939"/>
      <c r="EZ4540" s="886"/>
    </row>
    <row r="4541" spans="152:156">
      <c r="EV4541" s="985"/>
      <c r="EW4541" s="985"/>
      <c r="EX4541" s="387"/>
      <c r="EY4541" s="939"/>
      <c r="EZ4541" s="886"/>
    </row>
    <row r="4542" spans="152:156">
      <c r="EV4542" s="985"/>
      <c r="EW4542" s="985"/>
      <c r="EX4542" s="387"/>
      <c r="EY4542" s="939"/>
      <c r="EZ4542" s="886"/>
    </row>
    <row r="4543" spans="152:156">
      <c r="EV4543" s="985"/>
      <c r="EW4543" s="985"/>
      <c r="EX4543" s="387"/>
      <c r="EY4543" s="939"/>
      <c r="EZ4543" s="886"/>
    </row>
    <row r="4544" spans="152:156">
      <c r="EV4544" s="985"/>
      <c r="EW4544" s="985"/>
      <c r="EX4544" s="387"/>
      <c r="EY4544" s="939"/>
      <c r="EZ4544" s="886"/>
    </row>
    <row r="4545" spans="152:156">
      <c r="EV4545" s="985"/>
      <c r="EW4545" s="985"/>
      <c r="EX4545" s="387"/>
      <c r="EY4545" s="939"/>
      <c r="EZ4545" s="886"/>
    </row>
    <row r="4546" spans="152:156">
      <c r="EV4546" s="985"/>
      <c r="EW4546" s="985"/>
      <c r="EX4546" s="387"/>
      <c r="EY4546" s="939"/>
      <c r="EZ4546" s="886"/>
    </row>
    <row r="4547" spans="152:156">
      <c r="EV4547" s="985"/>
      <c r="EW4547" s="985"/>
      <c r="EX4547" s="387"/>
      <c r="EY4547" s="939"/>
      <c r="EZ4547" s="886"/>
    </row>
    <row r="4548" spans="152:156">
      <c r="EV4548" s="985"/>
      <c r="EW4548" s="985"/>
      <c r="EX4548" s="387"/>
      <c r="EY4548" s="939"/>
      <c r="EZ4548" s="886"/>
    </row>
    <row r="4549" spans="152:156">
      <c r="EV4549" s="985"/>
      <c r="EW4549" s="985"/>
      <c r="EX4549" s="387"/>
      <c r="EY4549" s="939"/>
      <c r="EZ4549" s="886"/>
    </row>
    <row r="4550" spans="152:156">
      <c r="EV4550" s="985"/>
      <c r="EW4550" s="985"/>
      <c r="EX4550" s="387"/>
      <c r="EY4550" s="939"/>
      <c r="EZ4550" s="886"/>
    </row>
    <row r="4551" spans="152:156">
      <c r="EV4551" s="985"/>
      <c r="EW4551" s="985"/>
      <c r="EX4551" s="387"/>
      <c r="EY4551" s="939"/>
      <c r="EZ4551" s="886"/>
    </row>
    <row r="4552" spans="152:156">
      <c r="EV4552" s="985"/>
      <c r="EW4552" s="985"/>
      <c r="EX4552" s="387"/>
      <c r="EY4552" s="939"/>
      <c r="EZ4552" s="886"/>
    </row>
    <row r="4553" spans="152:156">
      <c r="EV4553" s="985"/>
      <c r="EW4553" s="985"/>
      <c r="EX4553" s="387"/>
      <c r="EY4553" s="939"/>
      <c r="EZ4553" s="886"/>
    </row>
    <row r="4554" spans="152:156">
      <c r="EV4554" s="985"/>
      <c r="EW4554" s="985"/>
      <c r="EX4554" s="387"/>
      <c r="EY4554" s="939"/>
      <c r="EZ4554" s="886"/>
    </row>
    <row r="4555" spans="152:156">
      <c r="EV4555" s="985"/>
      <c r="EW4555" s="985"/>
      <c r="EX4555" s="387"/>
      <c r="EY4555" s="939"/>
      <c r="EZ4555" s="886"/>
    </row>
    <row r="4556" spans="152:156">
      <c r="EV4556" s="985"/>
      <c r="EW4556" s="985"/>
      <c r="EX4556" s="387"/>
      <c r="EY4556" s="939"/>
      <c r="EZ4556" s="886"/>
    </row>
    <row r="4557" spans="152:156">
      <c r="EV4557" s="985"/>
      <c r="EW4557" s="985"/>
      <c r="EX4557" s="387"/>
      <c r="EY4557" s="939"/>
      <c r="EZ4557" s="886"/>
    </row>
    <row r="4558" spans="152:156">
      <c r="EV4558" s="985"/>
      <c r="EW4558" s="985"/>
      <c r="EX4558" s="387"/>
      <c r="EY4558" s="939"/>
      <c r="EZ4558" s="886"/>
    </row>
    <row r="4559" spans="152:156">
      <c r="EV4559" s="985"/>
      <c r="EW4559" s="985"/>
      <c r="EX4559" s="387"/>
      <c r="EY4559" s="939"/>
      <c r="EZ4559" s="886"/>
    </row>
    <row r="4560" spans="152:156">
      <c r="EV4560" s="985"/>
      <c r="EW4560" s="985"/>
      <c r="EX4560" s="387"/>
      <c r="EY4560" s="939"/>
      <c r="EZ4560" s="886"/>
    </row>
    <row r="4561" spans="152:156">
      <c r="EV4561" s="985"/>
      <c r="EW4561" s="985"/>
      <c r="EX4561" s="387"/>
      <c r="EY4561" s="939"/>
      <c r="EZ4561" s="886"/>
    </row>
    <row r="4562" spans="152:156">
      <c r="EV4562" s="985"/>
      <c r="EW4562" s="985"/>
      <c r="EX4562" s="387"/>
      <c r="EY4562" s="939"/>
      <c r="EZ4562" s="886"/>
    </row>
    <row r="4563" spans="152:156">
      <c r="EV4563" s="985"/>
      <c r="EW4563" s="985"/>
      <c r="EX4563" s="387"/>
      <c r="EY4563" s="939"/>
      <c r="EZ4563" s="886"/>
    </row>
    <row r="4564" spans="152:156">
      <c r="EV4564" s="985"/>
      <c r="EW4564" s="985"/>
      <c r="EX4564" s="387"/>
      <c r="EY4564" s="939"/>
      <c r="EZ4564" s="886"/>
    </row>
    <row r="4565" spans="152:156">
      <c r="EV4565" s="985"/>
      <c r="EW4565" s="985"/>
      <c r="EX4565" s="387"/>
      <c r="EY4565" s="939"/>
      <c r="EZ4565" s="886"/>
    </row>
    <row r="4566" spans="152:156">
      <c r="EV4566" s="985"/>
      <c r="EW4566" s="985"/>
      <c r="EX4566" s="387"/>
      <c r="EY4566" s="939"/>
      <c r="EZ4566" s="886"/>
    </row>
    <row r="4567" spans="152:156">
      <c r="EV4567" s="985"/>
      <c r="EW4567" s="985"/>
      <c r="EX4567" s="387"/>
      <c r="EY4567" s="939"/>
      <c r="EZ4567" s="886"/>
    </row>
    <row r="4568" spans="152:156">
      <c r="EV4568" s="985"/>
      <c r="EW4568" s="985"/>
      <c r="EX4568" s="387"/>
      <c r="EY4568" s="939"/>
      <c r="EZ4568" s="886"/>
    </row>
    <row r="4569" spans="152:156">
      <c r="EV4569" s="985"/>
      <c r="EW4569" s="985"/>
      <c r="EX4569" s="387"/>
      <c r="EY4569" s="939"/>
      <c r="EZ4569" s="886"/>
    </row>
    <row r="4570" spans="152:156">
      <c r="EV4570" s="985"/>
      <c r="EW4570" s="985"/>
      <c r="EX4570" s="387"/>
      <c r="EY4570" s="939"/>
      <c r="EZ4570" s="886"/>
    </row>
    <row r="4571" spans="152:156">
      <c r="EV4571" s="985"/>
      <c r="EW4571" s="985"/>
      <c r="EX4571" s="387"/>
      <c r="EY4571" s="939"/>
      <c r="EZ4571" s="886"/>
    </row>
    <row r="4572" spans="152:156">
      <c r="EV4572" s="985"/>
      <c r="EW4572" s="985"/>
      <c r="EX4572" s="387"/>
      <c r="EY4572" s="939"/>
      <c r="EZ4572" s="886"/>
    </row>
    <row r="4573" spans="152:156">
      <c r="EV4573" s="985"/>
      <c r="EW4573" s="985"/>
      <c r="EX4573" s="387"/>
      <c r="EY4573" s="939"/>
      <c r="EZ4573" s="886"/>
    </row>
    <row r="4574" spans="152:156">
      <c r="EV4574" s="985"/>
      <c r="EW4574" s="985"/>
      <c r="EX4574" s="387"/>
      <c r="EY4574" s="939"/>
      <c r="EZ4574" s="886"/>
    </row>
    <row r="4575" spans="152:156">
      <c r="EV4575" s="985"/>
      <c r="EW4575" s="985"/>
      <c r="EX4575" s="387"/>
      <c r="EY4575" s="939"/>
      <c r="EZ4575" s="886"/>
    </row>
    <row r="4576" spans="152:156">
      <c r="EV4576" s="985"/>
      <c r="EW4576" s="985"/>
      <c r="EX4576" s="387"/>
      <c r="EY4576" s="939"/>
      <c r="EZ4576" s="886"/>
    </row>
    <row r="4577" spans="152:156">
      <c r="EV4577" s="985"/>
      <c r="EW4577" s="985"/>
      <c r="EX4577" s="387"/>
      <c r="EY4577" s="939"/>
      <c r="EZ4577" s="886"/>
    </row>
    <row r="4578" spans="152:156">
      <c r="EV4578" s="985"/>
      <c r="EW4578" s="985"/>
      <c r="EX4578" s="387"/>
      <c r="EY4578" s="939"/>
      <c r="EZ4578" s="886"/>
    </row>
    <row r="4579" spans="152:156">
      <c r="EV4579" s="985"/>
      <c r="EW4579" s="985"/>
      <c r="EX4579" s="387"/>
      <c r="EY4579" s="939"/>
      <c r="EZ4579" s="886"/>
    </row>
    <row r="4580" spans="152:156">
      <c r="EV4580" s="985"/>
      <c r="EW4580" s="985"/>
      <c r="EX4580" s="387"/>
      <c r="EY4580" s="939"/>
      <c r="EZ4580" s="886"/>
    </row>
    <row r="4581" spans="152:156">
      <c r="EV4581" s="985"/>
      <c r="EW4581" s="985"/>
      <c r="EX4581" s="387"/>
      <c r="EY4581" s="939"/>
      <c r="EZ4581" s="886"/>
    </row>
    <row r="4582" spans="152:156">
      <c r="EV4582" s="985"/>
      <c r="EW4582" s="985"/>
      <c r="EX4582" s="387"/>
      <c r="EY4582" s="939"/>
      <c r="EZ4582" s="886"/>
    </row>
    <row r="4583" spans="152:156">
      <c r="EV4583" s="985"/>
      <c r="EW4583" s="985"/>
      <c r="EX4583" s="387"/>
      <c r="EY4583" s="939"/>
      <c r="EZ4583" s="886"/>
    </row>
    <row r="4584" spans="152:156">
      <c r="EV4584" s="985"/>
      <c r="EW4584" s="985"/>
      <c r="EX4584" s="387"/>
      <c r="EY4584" s="939"/>
      <c r="EZ4584" s="886"/>
    </row>
    <row r="4585" spans="152:156">
      <c r="EV4585" s="985"/>
      <c r="EW4585" s="985"/>
      <c r="EX4585" s="387"/>
      <c r="EY4585" s="939"/>
      <c r="EZ4585" s="886"/>
    </row>
    <row r="4586" spans="152:156">
      <c r="EV4586" s="985"/>
      <c r="EW4586" s="985"/>
      <c r="EX4586" s="387"/>
      <c r="EY4586" s="939"/>
      <c r="EZ4586" s="886"/>
    </row>
    <row r="4587" spans="152:156">
      <c r="EV4587" s="985"/>
      <c r="EW4587" s="985"/>
      <c r="EX4587" s="387"/>
      <c r="EY4587" s="939"/>
      <c r="EZ4587" s="886"/>
    </row>
    <row r="4588" spans="152:156">
      <c r="EV4588" s="985"/>
      <c r="EW4588" s="985"/>
      <c r="EX4588" s="387"/>
      <c r="EY4588" s="939"/>
      <c r="EZ4588" s="886"/>
    </row>
    <row r="4589" spans="152:156">
      <c r="EV4589" s="985"/>
      <c r="EW4589" s="985"/>
      <c r="EX4589" s="387"/>
      <c r="EY4589" s="939"/>
      <c r="EZ4589" s="886"/>
    </row>
    <row r="4590" spans="152:156">
      <c r="EV4590" s="985"/>
      <c r="EW4590" s="985"/>
      <c r="EX4590" s="387"/>
      <c r="EY4590" s="939"/>
      <c r="EZ4590" s="886"/>
    </row>
    <row r="4591" spans="152:156">
      <c r="EV4591" s="985"/>
      <c r="EW4591" s="985"/>
      <c r="EX4591" s="387"/>
      <c r="EY4591" s="939"/>
      <c r="EZ4591" s="886"/>
    </row>
    <row r="4592" spans="152:156">
      <c r="EV4592" s="985"/>
      <c r="EW4592" s="985"/>
      <c r="EX4592" s="387"/>
      <c r="EY4592" s="939"/>
      <c r="EZ4592" s="886"/>
    </row>
    <row r="4593" spans="152:156">
      <c r="EV4593" s="985"/>
      <c r="EW4593" s="985"/>
      <c r="EX4593" s="387"/>
      <c r="EY4593" s="939"/>
      <c r="EZ4593" s="886"/>
    </row>
    <row r="4594" spans="152:156">
      <c r="EV4594" s="985"/>
      <c r="EW4594" s="985"/>
      <c r="EX4594" s="387"/>
      <c r="EY4594" s="939"/>
      <c r="EZ4594" s="886"/>
    </row>
    <row r="4595" spans="152:156">
      <c r="EV4595" s="985"/>
      <c r="EW4595" s="985"/>
      <c r="EX4595" s="387"/>
      <c r="EY4595" s="939"/>
      <c r="EZ4595" s="886"/>
    </row>
    <row r="4596" spans="152:156">
      <c r="EV4596" s="985"/>
      <c r="EW4596" s="985"/>
      <c r="EX4596" s="387"/>
      <c r="EY4596" s="939"/>
      <c r="EZ4596" s="886"/>
    </row>
    <row r="4597" spans="152:156">
      <c r="EV4597" s="985"/>
      <c r="EW4597" s="985"/>
      <c r="EX4597" s="387"/>
      <c r="EY4597" s="939"/>
      <c r="EZ4597" s="886"/>
    </row>
    <row r="4598" spans="152:156">
      <c r="EV4598" s="985"/>
      <c r="EW4598" s="985"/>
      <c r="EX4598" s="387"/>
      <c r="EY4598" s="939"/>
      <c r="EZ4598" s="886"/>
    </row>
    <row r="4599" spans="152:156">
      <c r="EV4599" s="985"/>
      <c r="EW4599" s="985"/>
      <c r="EX4599" s="387"/>
      <c r="EY4599" s="939"/>
      <c r="EZ4599" s="886"/>
    </row>
    <row r="4600" spans="152:156">
      <c r="EV4600" s="985"/>
      <c r="EW4600" s="985"/>
      <c r="EX4600" s="387"/>
      <c r="EY4600" s="939"/>
      <c r="EZ4600" s="886"/>
    </row>
    <row r="4601" spans="152:156">
      <c r="EV4601" s="985"/>
      <c r="EW4601" s="985"/>
      <c r="EX4601" s="387"/>
      <c r="EY4601" s="939"/>
      <c r="EZ4601" s="886"/>
    </row>
    <row r="4602" spans="152:156">
      <c r="EV4602" s="985"/>
      <c r="EW4602" s="985"/>
      <c r="EX4602" s="387"/>
      <c r="EY4602" s="939"/>
      <c r="EZ4602" s="886"/>
    </row>
    <row r="4603" spans="152:156">
      <c r="EV4603" s="985"/>
      <c r="EW4603" s="985"/>
      <c r="EX4603" s="387"/>
      <c r="EY4603" s="939"/>
      <c r="EZ4603" s="886"/>
    </row>
    <row r="4604" spans="152:156">
      <c r="EV4604" s="985"/>
      <c r="EW4604" s="985"/>
      <c r="EX4604" s="387"/>
      <c r="EY4604" s="939"/>
      <c r="EZ4604" s="886"/>
    </row>
    <row r="4605" spans="152:156">
      <c r="EV4605" s="985"/>
      <c r="EW4605" s="985"/>
      <c r="EX4605" s="387"/>
      <c r="EY4605" s="939"/>
      <c r="EZ4605" s="886"/>
    </row>
    <row r="4606" spans="152:156">
      <c r="EV4606" s="985"/>
      <c r="EW4606" s="985"/>
      <c r="EX4606" s="387"/>
      <c r="EY4606" s="939"/>
      <c r="EZ4606" s="886"/>
    </row>
    <row r="4607" spans="152:156">
      <c r="EV4607" s="985"/>
      <c r="EW4607" s="985"/>
      <c r="EX4607" s="387"/>
      <c r="EY4607" s="939"/>
      <c r="EZ4607" s="886"/>
    </row>
    <row r="4608" spans="152:156">
      <c r="EV4608" s="985"/>
      <c r="EW4608" s="985"/>
      <c r="EX4608" s="387"/>
      <c r="EY4608" s="939"/>
      <c r="EZ4608" s="886"/>
    </row>
    <row r="4609" spans="152:156">
      <c r="EV4609" s="985"/>
      <c r="EW4609" s="985"/>
      <c r="EX4609" s="387"/>
      <c r="EY4609" s="939"/>
      <c r="EZ4609" s="886"/>
    </row>
    <row r="4610" spans="152:156">
      <c r="EV4610" s="985"/>
      <c r="EW4610" s="985"/>
      <c r="EX4610" s="387"/>
      <c r="EY4610" s="939"/>
      <c r="EZ4610" s="886"/>
    </row>
    <row r="4611" spans="152:156">
      <c r="EV4611" s="985"/>
      <c r="EW4611" s="985"/>
      <c r="EX4611" s="387"/>
      <c r="EY4611" s="939"/>
      <c r="EZ4611" s="886"/>
    </row>
    <row r="4612" spans="152:156">
      <c r="EV4612" s="985"/>
      <c r="EW4612" s="985"/>
      <c r="EX4612" s="387"/>
      <c r="EY4612" s="939"/>
      <c r="EZ4612" s="886"/>
    </row>
    <row r="4613" spans="152:156">
      <c r="EV4613" s="985"/>
      <c r="EW4613" s="985"/>
      <c r="EX4613" s="387"/>
      <c r="EY4613" s="939"/>
      <c r="EZ4613" s="886"/>
    </row>
    <row r="4614" spans="152:156">
      <c r="EV4614" s="985"/>
      <c r="EW4614" s="985"/>
      <c r="EX4614" s="387"/>
      <c r="EY4614" s="939"/>
      <c r="EZ4614" s="886"/>
    </row>
    <row r="4615" spans="152:156">
      <c r="EV4615" s="985"/>
      <c r="EW4615" s="985"/>
      <c r="EX4615" s="387"/>
      <c r="EY4615" s="939"/>
      <c r="EZ4615" s="886"/>
    </row>
    <row r="4616" spans="152:156">
      <c r="EV4616" s="985"/>
      <c r="EW4616" s="985"/>
      <c r="EX4616" s="387"/>
      <c r="EY4616" s="939"/>
      <c r="EZ4616" s="886"/>
    </row>
    <row r="4617" spans="152:156">
      <c r="EV4617" s="985"/>
      <c r="EW4617" s="985"/>
      <c r="EX4617" s="387"/>
      <c r="EY4617" s="939"/>
      <c r="EZ4617" s="886"/>
    </row>
    <row r="4618" spans="152:156">
      <c r="EV4618" s="985"/>
      <c r="EW4618" s="985"/>
      <c r="EX4618" s="387"/>
      <c r="EY4618" s="939"/>
      <c r="EZ4618" s="886"/>
    </row>
    <row r="4619" spans="152:156">
      <c r="EV4619" s="985"/>
      <c r="EW4619" s="985"/>
      <c r="EX4619" s="387"/>
      <c r="EY4619" s="939"/>
      <c r="EZ4619" s="886"/>
    </row>
    <row r="4620" spans="152:156">
      <c r="EV4620" s="985"/>
      <c r="EW4620" s="985"/>
      <c r="EX4620" s="387"/>
      <c r="EY4620" s="939"/>
      <c r="EZ4620" s="886"/>
    </row>
    <row r="4621" spans="152:156">
      <c r="EV4621" s="985"/>
      <c r="EW4621" s="985"/>
      <c r="EX4621" s="387"/>
      <c r="EY4621" s="939"/>
      <c r="EZ4621" s="886"/>
    </row>
    <row r="4622" spans="152:156">
      <c r="EV4622" s="985"/>
      <c r="EW4622" s="985"/>
      <c r="EX4622" s="387"/>
      <c r="EY4622" s="939"/>
      <c r="EZ4622" s="886"/>
    </row>
    <row r="4623" spans="152:156">
      <c r="EV4623" s="985"/>
      <c r="EW4623" s="985"/>
      <c r="EX4623" s="387"/>
      <c r="EY4623" s="939"/>
      <c r="EZ4623" s="886"/>
    </row>
    <row r="4624" spans="152:156">
      <c r="EV4624" s="985"/>
      <c r="EW4624" s="985"/>
      <c r="EX4624" s="387"/>
      <c r="EY4624" s="939"/>
      <c r="EZ4624" s="886"/>
    </row>
    <row r="4625" spans="152:156">
      <c r="EV4625" s="985"/>
      <c r="EW4625" s="985"/>
      <c r="EX4625" s="387"/>
      <c r="EY4625" s="939"/>
      <c r="EZ4625" s="886"/>
    </row>
    <row r="4626" spans="152:156">
      <c r="EV4626" s="985"/>
      <c r="EW4626" s="985"/>
      <c r="EX4626" s="387"/>
      <c r="EY4626" s="939"/>
      <c r="EZ4626" s="886"/>
    </row>
    <row r="4627" spans="152:156">
      <c r="EV4627" s="985"/>
      <c r="EW4627" s="985"/>
      <c r="EX4627" s="387"/>
      <c r="EY4627" s="939"/>
      <c r="EZ4627" s="886"/>
    </row>
    <row r="4628" spans="152:156">
      <c r="EV4628" s="985"/>
      <c r="EW4628" s="985"/>
      <c r="EX4628" s="387"/>
      <c r="EY4628" s="939"/>
      <c r="EZ4628" s="886"/>
    </row>
    <row r="4629" spans="152:156">
      <c r="EV4629" s="985"/>
      <c r="EW4629" s="985"/>
      <c r="EX4629" s="387"/>
      <c r="EY4629" s="939"/>
      <c r="EZ4629" s="886"/>
    </row>
    <row r="4630" spans="152:156">
      <c r="EV4630" s="985"/>
      <c r="EW4630" s="985"/>
      <c r="EX4630" s="387"/>
      <c r="EY4630" s="939"/>
      <c r="EZ4630" s="886"/>
    </row>
    <row r="4631" spans="152:156">
      <c r="EV4631" s="985"/>
      <c r="EW4631" s="985"/>
      <c r="EX4631" s="387"/>
      <c r="EY4631" s="939"/>
      <c r="EZ4631" s="886"/>
    </row>
    <row r="4632" spans="152:156">
      <c r="EV4632" s="985"/>
      <c r="EW4632" s="985"/>
      <c r="EX4632" s="387"/>
      <c r="EY4632" s="939"/>
      <c r="EZ4632" s="886"/>
    </row>
    <row r="4633" spans="152:156">
      <c r="EV4633" s="985"/>
      <c r="EW4633" s="985"/>
      <c r="EX4633" s="387"/>
      <c r="EY4633" s="939"/>
      <c r="EZ4633" s="886"/>
    </row>
    <row r="4634" spans="152:156">
      <c r="EV4634" s="985"/>
      <c r="EW4634" s="985"/>
      <c r="EX4634" s="387"/>
      <c r="EY4634" s="939"/>
      <c r="EZ4634" s="886"/>
    </row>
    <row r="4635" spans="152:156">
      <c r="EV4635" s="985"/>
      <c r="EW4635" s="985"/>
      <c r="EX4635" s="387"/>
      <c r="EY4635" s="939"/>
      <c r="EZ4635" s="886"/>
    </row>
    <row r="4636" spans="152:156">
      <c r="EV4636" s="985"/>
      <c r="EW4636" s="985"/>
      <c r="EX4636" s="387"/>
      <c r="EY4636" s="939"/>
      <c r="EZ4636" s="886"/>
    </row>
    <row r="4637" spans="152:156">
      <c r="EV4637" s="985"/>
      <c r="EW4637" s="985"/>
      <c r="EX4637" s="387"/>
      <c r="EY4637" s="939"/>
      <c r="EZ4637" s="886"/>
    </row>
    <row r="4638" spans="152:156">
      <c r="EV4638" s="985"/>
      <c r="EW4638" s="985"/>
      <c r="EX4638" s="387"/>
      <c r="EY4638" s="939"/>
      <c r="EZ4638" s="886"/>
    </row>
    <row r="4639" spans="152:156">
      <c r="EV4639" s="985"/>
      <c r="EW4639" s="985"/>
      <c r="EX4639" s="387"/>
      <c r="EY4639" s="939"/>
      <c r="EZ4639" s="886"/>
    </row>
    <row r="4640" spans="152:156">
      <c r="EV4640" s="985"/>
      <c r="EW4640" s="985"/>
      <c r="EX4640" s="387"/>
      <c r="EY4640" s="939"/>
      <c r="EZ4640" s="886"/>
    </row>
    <row r="4641" spans="152:156">
      <c r="EV4641" s="985"/>
      <c r="EW4641" s="985"/>
      <c r="EX4641" s="387"/>
      <c r="EY4641" s="939"/>
      <c r="EZ4641" s="886"/>
    </row>
    <row r="4642" spans="152:156">
      <c r="EV4642" s="985"/>
      <c r="EW4642" s="985"/>
      <c r="EX4642" s="387"/>
      <c r="EY4642" s="939"/>
      <c r="EZ4642" s="886"/>
    </row>
    <row r="4643" spans="152:156">
      <c r="EV4643" s="985"/>
      <c r="EW4643" s="985"/>
      <c r="EX4643" s="387"/>
      <c r="EY4643" s="939"/>
      <c r="EZ4643" s="886"/>
    </row>
    <row r="4644" spans="152:156">
      <c r="EV4644" s="985"/>
      <c r="EW4644" s="985"/>
      <c r="EX4644" s="387"/>
      <c r="EY4644" s="939"/>
      <c r="EZ4644" s="886"/>
    </row>
    <row r="4645" spans="152:156">
      <c r="EV4645" s="985"/>
      <c r="EW4645" s="985"/>
      <c r="EX4645" s="387"/>
      <c r="EY4645" s="939"/>
      <c r="EZ4645" s="886"/>
    </row>
    <row r="4646" spans="152:156">
      <c r="EV4646" s="985"/>
      <c r="EW4646" s="985"/>
      <c r="EX4646" s="387"/>
      <c r="EY4646" s="939"/>
      <c r="EZ4646" s="886"/>
    </row>
    <row r="4647" spans="152:156">
      <c r="EV4647" s="985"/>
      <c r="EW4647" s="985"/>
      <c r="EX4647" s="387"/>
      <c r="EY4647" s="939"/>
      <c r="EZ4647" s="886"/>
    </row>
    <row r="4648" spans="152:156">
      <c r="EV4648" s="985"/>
      <c r="EW4648" s="985"/>
      <c r="EX4648" s="387"/>
      <c r="EY4648" s="939"/>
      <c r="EZ4648" s="886"/>
    </row>
    <row r="4649" spans="152:156">
      <c r="EV4649" s="985"/>
      <c r="EW4649" s="985"/>
      <c r="EX4649" s="387"/>
      <c r="EY4649" s="939"/>
      <c r="EZ4649" s="886"/>
    </row>
    <row r="4650" spans="152:156">
      <c r="EV4650" s="985"/>
      <c r="EW4650" s="985"/>
      <c r="EX4650" s="387"/>
      <c r="EY4650" s="939"/>
      <c r="EZ4650" s="886"/>
    </row>
    <row r="4651" spans="152:156">
      <c r="EV4651" s="985"/>
      <c r="EW4651" s="985"/>
      <c r="EX4651" s="387"/>
      <c r="EY4651" s="939"/>
      <c r="EZ4651" s="886"/>
    </row>
    <row r="4652" spans="152:156">
      <c r="EV4652" s="985"/>
      <c r="EW4652" s="985"/>
      <c r="EX4652" s="387"/>
      <c r="EY4652" s="939"/>
      <c r="EZ4652" s="886"/>
    </row>
    <row r="4653" spans="152:156">
      <c r="EV4653" s="985"/>
      <c r="EW4653" s="985"/>
      <c r="EX4653" s="387"/>
      <c r="EY4653" s="939"/>
      <c r="EZ4653" s="886"/>
    </row>
    <row r="4654" spans="152:156">
      <c r="EV4654" s="985"/>
      <c r="EW4654" s="985"/>
      <c r="EX4654" s="387"/>
      <c r="EY4654" s="939"/>
      <c r="EZ4654" s="886"/>
    </row>
    <row r="4655" spans="152:156">
      <c r="EV4655" s="985"/>
      <c r="EW4655" s="985"/>
      <c r="EX4655" s="387"/>
      <c r="EY4655" s="939"/>
      <c r="EZ4655" s="886"/>
    </row>
    <row r="4656" spans="152:156">
      <c r="EV4656" s="985"/>
      <c r="EW4656" s="985"/>
      <c r="EX4656" s="387"/>
      <c r="EY4656" s="939"/>
      <c r="EZ4656" s="886"/>
    </row>
    <row r="4657" spans="152:156">
      <c r="EV4657" s="985"/>
      <c r="EW4657" s="985"/>
      <c r="EX4657" s="387"/>
      <c r="EY4657" s="939"/>
      <c r="EZ4657" s="886"/>
    </row>
    <row r="4658" spans="152:156">
      <c r="EV4658" s="985"/>
      <c r="EW4658" s="985"/>
      <c r="EX4658" s="387"/>
      <c r="EY4658" s="939"/>
      <c r="EZ4658" s="886"/>
    </row>
    <row r="4659" spans="152:156">
      <c r="EV4659" s="985"/>
      <c r="EW4659" s="985"/>
      <c r="EX4659" s="387"/>
      <c r="EY4659" s="939"/>
      <c r="EZ4659" s="886"/>
    </row>
    <row r="4660" spans="152:156">
      <c r="EV4660" s="985"/>
      <c r="EW4660" s="985"/>
      <c r="EX4660" s="387"/>
      <c r="EY4660" s="939"/>
      <c r="EZ4660" s="886"/>
    </row>
    <row r="4661" spans="152:156">
      <c r="EV4661" s="985"/>
      <c r="EW4661" s="985"/>
      <c r="EX4661" s="387"/>
      <c r="EY4661" s="939"/>
      <c r="EZ4661" s="886"/>
    </row>
    <row r="4662" spans="152:156">
      <c r="EV4662" s="985"/>
      <c r="EW4662" s="985"/>
      <c r="EX4662" s="387"/>
      <c r="EY4662" s="939"/>
      <c r="EZ4662" s="886"/>
    </row>
    <row r="4663" spans="152:156">
      <c r="EV4663" s="985"/>
      <c r="EW4663" s="985"/>
      <c r="EX4663" s="387"/>
      <c r="EY4663" s="939"/>
      <c r="EZ4663" s="886"/>
    </row>
    <row r="4664" spans="152:156">
      <c r="EV4664" s="985"/>
      <c r="EW4664" s="985"/>
      <c r="EX4664" s="387"/>
      <c r="EY4664" s="939"/>
      <c r="EZ4664" s="886"/>
    </row>
    <row r="4665" spans="152:156">
      <c r="EV4665" s="985"/>
      <c r="EW4665" s="985"/>
      <c r="EX4665" s="387"/>
      <c r="EY4665" s="939"/>
      <c r="EZ4665" s="886"/>
    </row>
    <row r="4666" spans="152:156">
      <c r="EV4666" s="985"/>
      <c r="EW4666" s="985"/>
      <c r="EX4666" s="387"/>
      <c r="EY4666" s="939"/>
      <c r="EZ4666" s="886"/>
    </row>
    <row r="4667" spans="152:156">
      <c r="EV4667" s="985"/>
      <c r="EW4667" s="985"/>
      <c r="EX4667" s="387"/>
      <c r="EY4667" s="939"/>
      <c r="EZ4667" s="886"/>
    </row>
    <row r="4668" spans="152:156">
      <c r="EV4668" s="985"/>
      <c r="EW4668" s="985"/>
      <c r="EX4668" s="387"/>
      <c r="EY4668" s="939"/>
      <c r="EZ4668" s="886"/>
    </row>
    <row r="4669" spans="152:156">
      <c r="EV4669" s="985"/>
      <c r="EW4669" s="985"/>
      <c r="EX4669" s="387"/>
      <c r="EY4669" s="939"/>
      <c r="EZ4669" s="886"/>
    </row>
    <row r="4670" spans="152:156">
      <c r="EV4670" s="985"/>
      <c r="EW4670" s="985"/>
      <c r="EX4670" s="387"/>
      <c r="EY4670" s="939"/>
      <c r="EZ4670" s="886"/>
    </row>
    <row r="4671" spans="152:156">
      <c r="EV4671" s="985"/>
      <c r="EW4671" s="985"/>
      <c r="EX4671" s="387"/>
      <c r="EY4671" s="939"/>
      <c r="EZ4671" s="886"/>
    </row>
    <row r="4672" spans="152:156">
      <c r="EV4672" s="985"/>
      <c r="EW4672" s="985"/>
      <c r="EX4672" s="387"/>
      <c r="EY4672" s="939"/>
      <c r="EZ4672" s="886"/>
    </row>
    <row r="4673" spans="152:156">
      <c r="EV4673" s="985"/>
      <c r="EW4673" s="985"/>
      <c r="EX4673" s="387"/>
      <c r="EY4673" s="939"/>
      <c r="EZ4673" s="886"/>
    </row>
    <row r="4674" spans="152:156">
      <c r="EV4674" s="985"/>
      <c r="EW4674" s="985"/>
      <c r="EX4674" s="387"/>
      <c r="EY4674" s="939"/>
      <c r="EZ4674" s="886"/>
    </row>
    <row r="4675" spans="152:156">
      <c r="EV4675" s="985"/>
      <c r="EW4675" s="985"/>
      <c r="EX4675" s="387"/>
      <c r="EY4675" s="939"/>
      <c r="EZ4675" s="886"/>
    </row>
    <row r="4676" spans="152:156">
      <c r="EV4676" s="985"/>
      <c r="EW4676" s="985"/>
      <c r="EX4676" s="387"/>
      <c r="EY4676" s="939"/>
      <c r="EZ4676" s="886"/>
    </row>
    <row r="4677" spans="152:156">
      <c r="EV4677" s="985"/>
      <c r="EW4677" s="985"/>
      <c r="EX4677" s="387"/>
      <c r="EY4677" s="939"/>
      <c r="EZ4677" s="886"/>
    </row>
    <row r="4678" spans="152:156">
      <c r="EV4678" s="985"/>
      <c r="EW4678" s="985"/>
      <c r="EX4678" s="387"/>
      <c r="EY4678" s="939"/>
      <c r="EZ4678" s="886"/>
    </row>
    <row r="4679" spans="152:156">
      <c r="EV4679" s="985"/>
      <c r="EW4679" s="985"/>
      <c r="EX4679" s="387"/>
      <c r="EY4679" s="939"/>
      <c r="EZ4679" s="886"/>
    </row>
    <row r="4680" spans="152:156">
      <c r="EV4680" s="985"/>
      <c r="EW4680" s="985"/>
      <c r="EX4680" s="387"/>
      <c r="EY4680" s="939"/>
      <c r="EZ4680" s="886"/>
    </row>
    <row r="4681" spans="152:156">
      <c r="EV4681" s="985"/>
      <c r="EW4681" s="985"/>
      <c r="EX4681" s="387"/>
      <c r="EY4681" s="939"/>
      <c r="EZ4681" s="886"/>
    </row>
    <row r="4682" spans="152:156">
      <c r="EV4682" s="985"/>
      <c r="EW4682" s="985"/>
      <c r="EX4682" s="387"/>
      <c r="EY4682" s="939"/>
      <c r="EZ4682" s="886"/>
    </row>
    <row r="4683" spans="152:156">
      <c r="EV4683" s="985"/>
      <c r="EW4683" s="985"/>
      <c r="EX4683" s="387"/>
      <c r="EY4683" s="939"/>
      <c r="EZ4683" s="886"/>
    </row>
    <row r="4684" spans="152:156">
      <c r="EV4684" s="985"/>
      <c r="EW4684" s="985"/>
      <c r="EX4684" s="387"/>
      <c r="EY4684" s="939"/>
      <c r="EZ4684" s="886"/>
    </row>
    <row r="4685" spans="152:156">
      <c r="EV4685" s="985"/>
      <c r="EW4685" s="985"/>
      <c r="EX4685" s="387"/>
      <c r="EY4685" s="939"/>
      <c r="EZ4685" s="886"/>
    </row>
    <row r="4686" spans="152:156">
      <c r="EV4686" s="985"/>
      <c r="EW4686" s="985"/>
      <c r="EX4686" s="387"/>
      <c r="EY4686" s="939"/>
      <c r="EZ4686" s="886"/>
    </row>
    <row r="4687" spans="152:156">
      <c r="EV4687" s="985"/>
      <c r="EW4687" s="985"/>
      <c r="EX4687" s="387"/>
      <c r="EY4687" s="939"/>
      <c r="EZ4687" s="886"/>
    </row>
    <row r="4688" spans="152:156">
      <c r="EV4688" s="985"/>
      <c r="EW4688" s="985"/>
      <c r="EX4688" s="387"/>
      <c r="EY4688" s="939"/>
      <c r="EZ4688" s="886"/>
    </row>
    <row r="4689" spans="152:156">
      <c r="EV4689" s="985"/>
      <c r="EW4689" s="985"/>
      <c r="EX4689" s="387"/>
      <c r="EY4689" s="939"/>
      <c r="EZ4689" s="886"/>
    </row>
    <row r="4690" spans="152:156">
      <c r="EV4690" s="985"/>
      <c r="EW4690" s="985"/>
      <c r="EX4690" s="387"/>
      <c r="EY4690" s="939"/>
      <c r="EZ4690" s="886"/>
    </row>
    <row r="4691" spans="152:156">
      <c r="EV4691" s="985"/>
      <c r="EW4691" s="985"/>
      <c r="EX4691" s="387"/>
      <c r="EY4691" s="939"/>
      <c r="EZ4691" s="886"/>
    </row>
    <row r="4692" spans="152:156">
      <c r="EV4692" s="985"/>
      <c r="EW4692" s="985"/>
      <c r="EX4692" s="387"/>
      <c r="EY4692" s="939"/>
      <c r="EZ4692" s="886"/>
    </row>
    <row r="4693" spans="152:156">
      <c r="EV4693" s="985"/>
      <c r="EW4693" s="985"/>
      <c r="EX4693" s="387"/>
      <c r="EY4693" s="939"/>
      <c r="EZ4693" s="886"/>
    </row>
    <row r="4694" spans="152:156">
      <c r="EV4694" s="985"/>
      <c r="EW4694" s="985"/>
      <c r="EX4694" s="387"/>
      <c r="EY4694" s="939"/>
      <c r="EZ4694" s="886"/>
    </row>
    <row r="4695" spans="152:156">
      <c r="EV4695" s="985"/>
      <c r="EW4695" s="985"/>
      <c r="EX4695" s="387"/>
      <c r="EY4695" s="939"/>
      <c r="EZ4695" s="886"/>
    </row>
    <row r="4696" spans="152:156">
      <c r="EV4696" s="985"/>
      <c r="EW4696" s="985"/>
      <c r="EX4696" s="387"/>
      <c r="EY4696" s="939"/>
      <c r="EZ4696" s="886"/>
    </row>
    <row r="4697" spans="152:156">
      <c r="EV4697" s="985"/>
      <c r="EW4697" s="985"/>
      <c r="EX4697" s="387"/>
      <c r="EY4697" s="939"/>
      <c r="EZ4697" s="886"/>
    </row>
    <row r="4698" spans="152:156">
      <c r="EV4698" s="985"/>
      <c r="EW4698" s="985"/>
      <c r="EX4698" s="387"/>
      <c r="EY4698" s="939"/>
      <c r="EZ4698" s="886"/>
    </row>
    <row r="4699" spans="152:156">
      <c r="EV4699" s="985"/>
      <c r="EW4699" s="985"/>
      <c r="EX4699" s="387"/>
      <c r="EY4699" s="939"/>
      <c r="EZ4699" s="886"/>
    </row>
    <row r="4700" spans="152:156">
      <c r="EV4700" s="985"/>
      <c r="EW4700" s="985"/>
      <c r="EX4700" s="387"/>
      <c r="EY4700" s="939"/>
      <c r="EZ4700" s="886"/>
    </row>
    <row r="4701" spans="152:156">
      <c r="EV4701" s="985"/>
      <c r="EW4701" s="985"/>
      <c r="EX4701" s="387"/>
      <c r="EY4701" s="939"/>
      <c r="EZ4701" s="886"/>
    </row>
    <row r="4702" spans="152:156">
      <c r="EV4702" s="985"/>
      <c r="EW4702" s="985"/>
      <c r="EX4702" s="387"/>
      <c r="EY4702" s="939"/>
      <c r="EZ4702" s="886"/>
    </row>
    <row r="4703" spans="152:156">
      <c r="EV4703" s="985"/>
      <c r="EW4703" s="985"/>
      <c r="EX4703" s="387"/>
      <c r="EY4703" s="939"/>
      <c r="EZ4703" s="886"/>
    </row>
    <row r="4704" spans="152:156">
      <c r="EV4704" s="985"/>
      <c r="EW4704" s="985"/>
      <c r="EX4704" s="387"/>
      <c r="EY4704" s="939"/>
      <c r="EZ4704" s="886"/>
    </row>
    <row r="4705" spans="152:156">
      <c r="EV4705" s="985"/>
      <c r="EW4705" s="985"/>
      <c r="EX4705" s="387"/>
      <c r="EY4705" s="939"/>
      <c r="EZ4705" s="886"/>
    </row>
    <row r="4706" spans="152:156">
      <c r="EV4706" s="985"/>
      <c r="EW4706" s="985"/>
      <c r="EX4706" s="387"/>
      <c r="EY4706" s="939"/>
      <c r="EZ4706" s="886"/>
    </row>
    <row r="4707" spans="152:156">
      <c r="EV4707" s="985"/>
      <c r="EW4707" s="985"/>
      <c r="EX4707" s="387"/>
      <c r="EY4707" s="939"/>
      <c r="EZ4707" s="886"/>
    </row>
    <row r="4708" spans="152:156">
      <c r="EV4708" s="985"/>
      <c r="EW4708" s="985"/>
      <c r="EX4708" s="387"/>
      <c r="EY4708" s="939"/>
      <c r="EZ4708" s="886"/>
    </row>
    <row r="4709" spans="152:156">
      <c r="EV4709" s="985"/>
      <c r="EW4709" s="985"/>
      <c r="EX4709" s="387"/>
      <c r="EY4709" s="939"/>
      <c r="EZ4709" s="886"/>
    </row>
    <row r="4710" spans="152:156">
      <c r="EV4710" s="985"/>
      <c r="EW4710" s="985"/>
      <c r="EX4710" s="387"/>
      <c r="EY4710" s="939"/>
      <c r="EZ4710" s="886"/>
    </row>
    <row r="4711" spans="152:156">
      <c r="EV4711" s="985"/>
      <c r="EW4711" s="985"/>
      <c r="EX4711" s="387"/>
      <c r="EY4711" s="939"/>
      <c r="EZ4711" s="886"/>
    </row>
    <row r="4712" spans="152:156">
      <c r="EV4712" s="985"/>
      <c r="EW4712" s="985"/>
      <c r="EX4712" s="387"/>
      <c r="EY4712" s="939"/>
      <c r="EZ4712" s="886"/>
    </row>
    <row r="4713" spans="152:156">
      <c r="EV4713" s="985"/>
      <c r="EW4713" s="985"/>
      <c r="EX4713" s="387"/>
      <c r="EY4713" s="939"/>
      <c r="EZ4713" s="886"/>
    </row>
    <row r="4714" spans="152:156">
      <c r="EV4714" s="985"/>
      <c r="EW4714" s="985"/>
      <c r="EX4714" s="387"/>
      <c r="EY4714" s="939"/>
      <c r="EZ4714" s="886"/>
    </row>
    <row r="4715" spans="152:156">
      <c r="EV4715" s="985"/>
      <c r="EW4715" s="985"/>
      <c r="EX4715" s="387"/>
      <c r="EY4715" s="939"/>
      <c r="EZ4715" s="886"/>
    </row>
    <row r="4716" spans="152:156">
      <c r="EV4716" s="985"/>
      <c r="EW4716" s="985"/>
      <c r="EX4716" s="387"/>
      <c r="EY4716" s="939"/>
      <c r="EZ4716" s="886"/>
    </row>
    <row r="4717" spans="152:156">
      <c r="EV4717" s="985"/>
      <c r="EW4717" s="985"/>
      <c r="EX4717" s="387"/>
      <c r="EY4717" s="939"/>
      <c r="EZ4717" s="886"/>
    </row>
    <row r="4718" spans="152:156">
      <c r="EV4718" s="985"/>
      <c r="EW4718" s="985"/>
      <c r="EX4718" s="387"/>
      <c r="EY4718" s="939"/>
      <c r="EZ4718" s="886"/>
    </row>
    <row r="4719" spans="152:156">
      <c r="EV4719" s="985"/>
      <c r="EW4719" s="985"/>
      <c r="EX4719" s="387"/>
      <c r="EY4719" s="939"/>
      <c r="EZ4719" s="886"/>
    </row>
    <row r="4720" spans="152:156">
      <c r="EV4720" s="985"/>
      <c r="EW4720" s="985"/>
      <c r="EX4720" s="387"/>
      <c r="EY4720" s="939"/>
      <c r="EZ4720" s="886"/>
    </row>
    <row r="4721" spans="152:156">
      <c r="EV4721" s="985"/>
      <c r="EW4721" s="985"/>
      <c r="EX4721" s="387"/>
      <c r="EY4721" s="939"/>
      <c r="EZ4721" s="886"/>
    </row>
    <row r="4722" spans="152:156">
      <c r="EV4722" s="985"/>
      <c r="EW4722" s="985"/>
      <c r="EX4722" s="387"/>
      <c r="EY4722" s="939"/>
      <c r="EZ4722" s="886"/>
    </row>
    <row r="4723" spans="152:156">
      <c r="EV4723" s="985"/>
      <c r="EW4723" s="985"/>
      <c r="EX4723" s="387"/>
      <c r="EY4723" s="939"/>
      <c r="EZ4723" s="886"/>
    </row>
    <row r="4724" spans="152:156">
      <c r="EV4724" s="989"/>
      <c r="EW4724" s="989"/>
      <c r="EX4724" s="387"/>
      <c r="EY4724" s="939"/>
      <c r="EZ4724" s="886"/>
    </row>
    <row r="4725" spans="152:156">
      <c r="EV4725" s="989"/>
      <c r="EW4725" s="985"/>
      <c r="EX4725" s="387"/>
      <c r="EY4725" s="939"/>
      <c r="EZ4725" s="886"/>
    </row>
    <row r="4726" spans="152:156">
      <c r="EV4726" s="989"/>
      <c r="EW4726" s="989"/>
      <c r="EX4726" s="387"/>
      <c r="EY4726" s="939"/>
      <c r="EZ4726" s="886"/>
    </row>
    <row r="4727" spans="152:156">
      <c r="EV4727" s="989"/>
      <c r="EW4727" s="989"/>
      <c r="EX4727" s="387"/>
      <c r="EY4727" s="939"/>
      <c r="EZ4727" s="886"/>
    </row>
    <row r="4728" spans="152:156">
      <c r="EV4728" s="989"/>
      <c r="EW4728" s="989"/>
      <c r="EX4728" s="387"/>
      <c r="EY4728" s="939"/>
      <c r="EZ4728" s="886"/>
    </row>
    <row r="4729" spans="152:156">
      <c r="EV4729" s="989"/>
      <c r="EW4729" s="989"/>
      <c r="EX4729" s="387"/>
      <c r="EY4729" s="939"/>
      <c r="EZ4729" s="886"/>
    </row>
    <row r="4730" spans="152:156">
      <c r="EV4730" s="989"/>
      <c r="EW4730" s="989"/>
      <c r="EX4730" s="387"/>
      <c r="EY4730" s="939"/>
      <c r="EZ4730" s="886"/>
    </row>
    <row r="4731" spans="152:156">
      <c r="EV4731" s="989"/>
      <c r="EW4731" s="989"/>
      <c r="EX4731" s="387"/>
      <c r="EY4731" s="939"/>
      <c r="EZ4731" s="886"/>
    </row>
    <row r="4732" spans="152:156">
      <c r="EV4732" s="989"/>
      <c r="EW4732" s="989"/>
      <c r="EX4732" s="387"/>
      <c r="EY4732" s="939"/>
      <c r="EZ4732" s="886"/>
    </row>
    <row r="4733" spans="152:156">
      <c r="EV4733" s="989"/>
      <c r="EW4733" s="989"/>
      <c r="EX4733" s="387"/>
      <c r="EY4733" s="939"/>
      <c r="EZ4733" s="886"/>
    </row>
    <row r="4734" spans="152:156">
      <c r="EV4734" s="989"/>
      <c r="EW4734" s="989"/>
      <c r="EX4734" s="387"/>
      <c r="EY4734" s="939"/>
      <c r="EZ4734" s="886"/>
    </row>
    <row r="4735" spans="152:156">
      <c r="EV4735" s="989"/>
      <c r="EW4735" s="989"/>
      <c r="EX4735" s="387"/>
      <c r="EY4735" s="939"/>
      <c r="EZ4735" s="886"/>
    </row>
    <row r="4736" spans="152:156">
      <c r="EV4736" s="989"/>
      <c r="EW4736" s="989"/>
      <c r="EX4736" s="387"/>
      <c r="EY4736" s="939"/>
      <c r="EZ4736" s="886"/>
    </row>
    <row r="4737" spans="152:156">
      <c r="EV4737" s="989"/>
      <c r="EW4737" s="989"/>
      <c r="EX4737" s="387"/>
      <c r="EY4737" s="939"/>
      <c r="EZ4737" s="886"/>
    </row>
    <row r="4738" spans="152:156">
      <c r="EV4738" s="989"/>
      <c r="EW4738" s="989"/>
      <c r="EX4738" s="387"/>
      <c r="EY4738" s="939"/>
      <c r="EZ4738" s="886"/>
    </row>
    <row r="4739" spans="152:156">
      <c r="EV4739" s="989"/>
      <c r="EW4739" s="989"/>
      <c r="EX4739" s="387"/>
      <c r="EY4739" s="939"/>
      <c r="EZ4739" s="886"/>
    </row>
    <row r="4740" spans="152:156">
      <c r="EV4740" s="989"/>
      <c r="EW4740" s="989"/>
      <c r="EX4740" s="387"/>
      <c r="EY4740" s="939"/>
      <c r="EZ4740" s="886"/>
    </row>
    <row r="4741" spans="152:156">
      <c r="EV4741" s="989"/>
      <c r="EW4741" s="989"/>
      <c r="EX4741" s="387"/>
      <c r="EY4741" s="939"/>
      <c r="EZ4741" s="886"/>
    </row>
    <row r="4742" spans="152:156">
      <c r="EV4742" s="989"/>
      <c r="EW4742" s="989"/>
      <c r="EX4742" s="387"/>
      <c r="EY4742" s="939"/>
      <c r="EZ4742" s="886"/>
    </row>
    <row r="4743" spans="152:156">
      <c r="EV4743" s="989"/>
      <c r="EW4743" s="989"/>
      <c r="EX4743" s="387"/>
      <c r="EY4743" s="939"/>
      <c r="EZ4743" s="886"/>
    </row>
    <row r="4744" spans="152:156">
      <c r="EV4744" s="989"/>
      <c r="EW4744" s="989"/>
      <c r="EX4744" s="387"/>
      <c r="EY4744" s="939"/>
      <c r="EZ4744" s="886"/>
    </row>
    <row r="4745" spans="152:156">
      <c r="EV4745" s="989"/>
      <c r="EW4745" s="989"/>
      <c r="EX4745" s="387"/>
      <c r="EY4745" s="939"/>
      <c r="EZ4745" s="886"/>
    </row>
    <row r="4746" spans="152:156">
      <c r="EV4746" s="989"/>
      <c r="EW4746" s="989"/>
      <c r="EX4746" s="387"/>
      <c r="EY4746" s="939"/>
      <c r="EZ4746" s="886"/>
    </row>
    <row r="4747" spans="152:156">
      <c r="EV4747" s="989"/>
      <c r="EW4747" s="989"/>
      <c r="EX4747" s="387"/>
      <c r="EY4747" s="939"/>
      <c r="EZ4747" s="886"/>
    </row>
    <row r="4748" spans="152:156">
      <c r="EV4748" s="989"/>
      <c r="EW4748" s="989"/>
      <c r="EX4748" s="387"/>
      <c r="EY4748" s="939"/>
      <c r="EZ4748" s="886"/>
    </row>
    <row r="4749" spans="152:156">
      <c r="EV4749" s="989"/>
      <c r="EW4749" s="989"/>
      <c r="EX4749" s="387"/>
      <c r="EY4749" s="939"/>
      <c r="EZ4749" s="886"/>
    </row>
    <row r="4750" spans="152:156">
      <c r="EV4750" s="990"/>
      <c r="EW4750" s="990"/>
      <c r="EX4750" s="387"/>
      <c r="EY4750" s="939"/>
      <c r="EZ4750" s="886"/>
    </row>
    <row r="4751" spans="152:156">
      <c r="EV4751" s="990"/>
      <c r="EW4751" s="990"/>
      <c r="EX4751" s="387"/>
      <c r="EY4751" s="939"/>
      <c r="EZ4751" s="886"/>
    </row>
    <row r="4752" spans="152:156">
      <c r="EV4752" s="990"/>
      <c r="EW4752" s="990"/>
      <c r="EX4752" s="387"/>
      <c r="EY4752" s="939"/>
      <c r="EZ4752" s="886"/>
    </row>
    <row r="4753" spans="152:156">
      <c r="EV4753" s="990"/>
      <c r="EW4753" s="990"/>
      <c r="EX4753" s="387"/>
      <c r="EY4753" s="939"/>
      <c r="EZ4753" s="886"/>
    </row>
    <row r="4754" spans="152:156">
      <c r="EV4754" s="990"/>
      <c r="EW4754" s="990"/>
      <c r="EX4754" s="387"/>
      <c r="EY4754" s="939"/>
      <c r="EZ4754" s="886"/>
    </row>
    <row r="4755" spans="152:156">
      <c r="EV4755" s="990"/>
      <c r="EW4755" s="990"/>
      <c r="EX4755" s="387"/>
      <c r="EY4755" s="939"/>
      <c r="EZ4755" s="886"/>
    </row>
    <row r="4756" spans="152:156">
      <c r="EV4756" s="991"/>
      <c r="EW4756" s="991"/>
      <c r="EX4756" s="387"/>
      <c r="EY4756" s="939"/>
      <c r="EZ4756" s="886"/>
    </row>
    <row r="4757" spans="152:156">
      <c r="EV4757" s="991"/>
      <c r="EW4757" s="991"/>
      <c r="EX4757" s="387"/>
      <c r="EY4757" s="939"/>
      <c r="EZ4757" s="886"/>
    </row>
    <row r="4758" spans="152:156">
      <c r="EV4758" s="991"/>
      <c r="EW4758" s="991"/>
      <c r="EX4758" s="387"/>
      <c r="EY4758" s="939"/>
      <c r="EZ4758" s="886"/>
    </row>
    <row r="4759" spans="152:156">
      <c r="EV4759" s="991"/>
      <c r="EW4759" s="991"/>
      <c r="EX4759" s="387"/>
      <c r="EY4759" s="939"/>
      <c r="EZ4759" s="886"/>
    </row>
    <row r="4760" spans="152:156">
      <c r="EV4760" s="991"/>
      <c r="EW4760" s="991"/>
      <c r="EX4760" s="387"/>
      <c r="EY4760" s="939"/>
      <c r="EZ4760" s="886"/>
    </row>
    <row r="4761" spans="152:156">
      <c r="EV4761" s="991"/>
      <c r="EW4761" s="991"/>
      <c r="EX4761" s="387"/>
      <c r="EY4761" s="939"/>
      <c r="EZ4761" s="886"/>
    </row>
    <row r="4762" spans="152:156">
      <c r="EV4762" s="991"/>
      <c r="EW4762" s="991"/>
      <c r="EX4762" s="387"/>
      <c r="EY4762" s="939"/>
      <c r="EZ4762" s="886"/>
    </row>
    <row r="4763" spans="152:156">
      <c r="EV4763" s="991"/>
      <c r="EW4763" s="991"/>
      <c r="EX4763" s="387"/>
      <c r="EY4763" s="939"/>
      <c r="EZ4763" s="886"/>
    </row>
    <row r="4764" spans="152:156">
      <c r="EV4764" s="991"/>
      <c r="EW4764" s="991"/>
      <c r="EX4764" s="387"/>
      <c r="EY4764" s="939"/>
      <c r="EZ4764" s="886"/>
    </row>
    <row r="4765" spans="152:156">
      <c r="EV4765" s="991"/>
      <c r="EW4765" s="991"/>
      <c r="EX4765" s="387"/>
      <c r="EY4765" s="939"/>
      <c r="EZ4765" s="886"/>
    </row>
    <row r="4766" spans="152:156">
      <c r="EV4766" s="991"/>
      <c r="EW4766" s="991"/>
      <c r="EX4766" s="387"/>
      <c r="EY4766" s="939"/>
      <c r="EZ4766" s="886"/>
    </row>
    <row r="4767" spans="152:156">
      <c r="EV4767" s="991"/>
      <c r="EW4767" s="991"/>
      <c r="EX4767" s="387"/>
      <c r="EY4767" s="939"/>
      <c r="EZ4767" s="886"/>
    </row>
    <row r="4768" spans="152:156">
      <c r="EV4768" s="991"/>
      <c r="EW4768" s="991"/>
      <c r="EX4768" s="387"/>
      <c r="EY4768" s="939"/>
      <c r="EZ4768" s="886"/>
    </row>
    <row r="4769" spans="152:156">
      <c r="EV4769" s="991"/>
      <c r="EW4769" s="991"/>
      <c r="EX4769" s="387"/>
      <c r="EY4769" s="939"/>
      <c r="EZ4769" s="886"/>
    </row>
    <row r="4770" spans="152:156">
      <c r="EV4770" s="991"/>
      <c r="EW4770" s="991"/>
      <c r="EX4770" s="387"/>
      <c r="EY4770" s="939"/>
      <c r="EZ4770" s="886"/>
    </row>
    <row r="4771" spans="152:156">
      <c r="EV4771" s="991"/>
      <c r="EW4771" s="991"/>
      <c r="EX4771" s="387"/>
      <c r="EY4771" s="939"/>
      <c r="EZ4771" s="886"/>
    </row>
    <row r="4772" spans="152:156">
      <c r="EV4772" s="991"/>
      <c r="EW4772" s="991"/>
      <c r="EX4772" s="387"/>
      <c r="EY4772" s="939"/>
      <c r="EZ4772" s="886"/>
    </row>
    <row r="4773" spans="152:156">
      <c r="EV4773" s="991"/>
      <c r="EW4773" s="991"/>
      <c r="EX4773" s="387"/>
      <c r="EY4773" s="939"/>
      <c r="EZ4773" s="886"/>
    </row>
    <row r="4774" spans="152:156">
      <c r="EV4774" s="991"/>
      <c r="EW4774" s="991"/>
      <c r="EX4774" s="387"/>
      <c r="EY4774" s="939"/>
      <c r="EZ4774" s="886"/>
    </row>
    <row r="4775" spans="152:156">
      <c r="EV4775" s="991"/>
      <c r="EW4775" s="991"/>
      <c r="EX4775" s="387"/>
      <c r="EY4775" s="939"/>
      <c r="EZ4775" s="886"/>
    </row>
    <row r="4776" spans="152:156">
      <c r="EV4776" s="991"/>
      <c r="EW4776" s="991"/>
      <c r="EX4776" s="387"/>
      <c r="EY4776" s="939"/>
      <c r="EZ4776" s="886"/>
    </row>
    <row r="4777" spans="152:156">
      <c r="EV4777" s="991"/>
      <c r="EW4777" s="991"/>
      <c r="EX4777" s="387"/>
      <c r="EY4777" s="939"/>
      <c r="EZ4777" s="886"/>
    </row>
    <row r="4778" spans="152:156">
      <c r="EV4778" s="991"/>
      <c r="EW4778" s="991"/>
      <c r="EX4778" s="387"/>
      <c r="EY4778" s="939"/>
      <c r="EZ4778" s="886"/>
    </row>
    <row r="4779" spans="152:156">
      <c r="EV4779" s="991"/>
      <c r="EW4779" s="991"/>
      <c r="EX4779" s="387"/>
      <c r="EY4779" s="939"/>
      <c r="EZ4779" s="886"/>
    </row>
    <row r="4780" spans="152:156">
      <c r="EV4780" s="991"/>
      <c r="EW4780" s="991"/>
      <c r="EX4780" s="387"/>
      <c r="EY4780" s="939"/>
      <c r="EZ4780" s="886"/>
    </row>
    <row r="4781" spans="152:156">
      <c r="EV4781" s="991"/>
      <c r="EW4781" s="991"/>
      <c r="EX4781" s="387"/>
      <c r="EY4781" s="939"/>
      <c r="EZ4781" s="886"/>
    </row>
    <row r="4782" spans="152:156">
      <c r="EV4782" s="991"/>
      <c r="EW4782" s="991"/>
      <c r="EX4782" s="387"/>
      <c r="EY4782" s="939"/>
      <c r="EZ4782" s="886"/>
    </row>
    <row r="4783" spans="152:156">
      <c r="EV4783" s="991"/>
      <c r="EW4783" s="991"/>
      <c r="EX4783" s="387"/>
      <c r="EY4783" s="939"/>
      <c r="EZ4783" s="886"/>
    </row>
    <row r="4784" spans="152:156">
      <c r="EV4784" s="992"/>
      <c r="EW4784" s="235"/>
      <c r="EX4784" s="387"/>
      <c r="EY4784" s="939"/>
      <c r="EZ4784" s="886"/>
    </row>
    <row r="4785" spans="152:156">
      <c r="EV4785" s="993"/>
      <c r="EW4785" s="994"/>
      <c r="EX4785" s="387"/>
      <c r="EY4785" s="939"/>
      <c r="EZ4785" s="886"/>
    </row>
    <row r="4786" spans="152:156">
      <c r="EV4786" s="992"/>
      <c r="EW4786" s="989"/>
      <c r="EX4786" s="387"/>
      <c r="EY4786" s="939"/>
      <c r="EZ4786" s="886"/>
    </row>
    <row r="4787" spans="152:156">
      <c r="EV4787" s="992"/>
      <c r="EW4787" s="989"/>
      <c r="EX4787" s="387"/>
      <c r="EY4787" s="939"/>
      <c r="EZ4787" s="886"/>
    </row>
    <row r="4788" spans="152:156">
      <c r="EV4788" s="992"/>
      <c r="EW4788" s="989"/>
      <c r="EX4788" s="387"/>
      <c r="EY4788" s="939"/>
      <c r="EZ4788" s="886"/>
    </row>
    <row r="4789" spans="152:156">
      <c r="EV4789" s="992"/>
      <c r="EW4789" s="989"/>
      <c r="EX4789" s="387"/>
      <c r="EY4789" s="939"/>
      <c r="EZ4789" s="886"/>
    </row>
    <row r="4790" spans="152:156">
      <c r="EV4790" s="992"/>
      <c r="EW4790" s="989"/>
      <c r="EX4790" s="387"/>
      <c r="EY4790" s="939"/>
      <c r="EZ4790" s="886"/>
    </row>
    <row r="4791" spans="152:156">
      <c r="EV4791" s="992"/>
      <c r="EW4791" s="989"/>
      <c r="EX4791" s="387"/>
      <c r="EY4791" s="939"/>
      <c r="EZ4791" s="886"/>
    </row>
    <row r="4792" spans="152:156">
      <c r="EV4792" s="992"/>
      <c r="EW4792" s="989"/>
      <c r="EX4792" s="387"/>
      <c r="EY4792" s="939"/>
      <c r="EZ4792" s="886"/>
    </row>
    <row r="4793" spans="152:156">
      <c r="EV4793" s="992"/>
      <c r="EW4793" s="989"/>
      <c r="EX4793" s="387"/>
      <c r="EY4793" s="939"/>
      <c r="EZ4793" s="886"/>
    </row>
    <row r="4794" spans="152:156">
      <c r="EV4794" s="992"/>
      <c r="EW4794" s="989"/>
      <c r="EX4794" s="387"/>
      <c r="EY4794" s="939"/>
      <c r="EZ4794" s="886"/>
    </row>
    <row r="4795" spans="152:156">
      <c r="EV4795" s="992"/>
      <c r="EW4795" s="989"/>
      <c r="EX4795" s="387"/>
      <c r="EY4795" s="939"/>
      <c r="EZ4795" s="886"/>
    </row>
    <row r="4796" spans="152:156">
      <c r="EV4796" s="992"/>
      <c r="EW4796" s="989"/>
      <c r="EX4796" s="387"/>
      <c r="EY4796" s="939"/>
      <c r="EZ4796" s="886"/>
    </row>
    <row r="4797" spans="152:156">
      <c r="EV4797" s="992"/>
      <c r="EW4797" s="989"/>
      <c r="EX4797" s="387"/>
      <c r="EY4797" s="939"/>
      <c r="EZ4797" s="886"/>
    </row>
    <row r="4798" spans="152:156">
      <c r="EV4798" s="992"/>
      <c r="EW4798" s="989"/>
      <c r="EX4798" s="387"/>
      <c r="EY4798" s="939"/>
      <c r="EZ4798" s="886"/>
    </row>
    <row r="4799" spans="152:156">
      <c r="EV4799" s="992"/>
      <c r="EW4799" s="989"/>
      <c r="EX4799" s="387"/>
      <c r="EY4799" s="939"/>
      <c r="EZ4799" s="886"/>
    </row>
    <row r="4800" spans="152:156">
      <c r="EV4800" s="992"/>
      <c r="EW4800" s="989"/>
      <c r="EX4800" s="387"/>
      <c r="EY4800" s="939"/>
      <c r="EZ4800" s="886"/>
    </row>
  </sheetData>
  <sheetProtection password="D2A1" sheet="1"/>
  <mergeCells count="41">
    <mergeCell ref="O471:O479"/>
    <mergeCell ref="S50:W50"/>
    <mergeCell ref="Q26:V27"/>
    <mergeCell ref="Q43:T43"/>
    <mergeCell ref="Q44:T44"/>
    <mergeCell ref="Q45:T45"/>
    <mergeCell ref="Q40:W41"/>
    <mergeCell ref="Q42:W42"/>
    <mergeCell ref="Q46:T46"/>
    <mergeCell ref="V52:Z52"/>
    <mergeCell ref="Q38:W39"/>
    <mergeCell ref="Q47:T47"/>
    <mergeCell ref="Q48:T48"/>
    <mergeCell ref="Q49:T49"/>
    <mergeCell ref="Q24:W25"/>
    <mergeCell ref="Q10:W10"/>
    <mergeCell ref="Q12:V13"/>
    <mergeCell ref="T30:W30"/>
    <mergeCell ref="Q28:V29"/>
    <mergeCell ref="F50:H50"/>
    <mergeCell ref="I50:K50"/>
    <mergeCell ref="J17:K21"/>
    <mergeCell ref="I22:K24"/>
    <mergeCell ref="G17:I17"/>
    <mergeCell ref="G34:K41"/>
    <mergeCell ref="L2:M2"/>
    <mergeCell ref="Y2:Z2"/>
    <mergeCell ref="Q4:U4"/>
    <mergeCell ref="A1:B1"/>
    <mergeCell ref="A2:B2"/>
    <mergeCell ref="F2:K2"/>
    <mergeCell ref="Q3:W3"/>
    <mergeCell ref="L1:Z1"/>
    <mergeCell ref="Q5:U5"/>
    <mergeCell ref="AM1:BB1"/>
    <mergeCell ref="AC1:AI1"/>
    <mergeCell ref="U2:X2"/>
    <mergeCell ref="Q9:S9"/>
    <mergeCell ref="Q7:S7"/>
    <mergeCell ref="Q6:S6"/>
    <mergeCell ref="Q8:S8"/>
  </mergeCells>
  <phoneticPr fontId="7" type="noConversion"/>
  <dataValidations count="6">
    <dataValidation type="list" allowBlank="1" showInputMessage="1" showErrorMessage="1" sqref="AH2" xr:uid="{00000000-0002-0000-0400-000000000000}">
      <formula1>$AF$91:$AF$105</formula1>
    </dataValidation>
    <dataValidation type="whole" allowBlank="1" showInputMessage="1" showErrorMessage="1" error="A teáor kedvezmény legfeljebb 50% lehet!" sqref="DZ54" xr:uid="{00000000-0002-0000-0400-000001000000}">
      <formula1>0</formula1>
      <formula2>50</formula2>
    </dataValidation>
    <dataValidation type="whole" errorStyle="warning" operator="lessThanOrEqual" allowBlank="1" showInputMessage="1" showErrorMessage="1" error="Hé! Ez nem lehet nagyobb, mint amit a Darabszám oszlopban (A0 oszlopban) megadott!" sqref="L4:M4 L10:M10 L13:M16" xr:uid="{00000000-0002-0000-0400-000002000000}">
      <formula1>B4</formula1>
    </dataValidation>
    <dataValidation type="whole" errorStyle="warning" operator="lessThanOrEqual" allowBlank="1" showInputMessage="1" showErrorMessage="1" error="Hé! Ez nem lehet nagyobb, mint amit a Darabszám oszlopban (A0 oszlopban)  megadott!" sqref="L6:M6" xr:uid="{00000000-0002-0000-0400-000003000000}">
      <formula1>B6</formula1>
    </dataValidation>
    <dataValidation type="whole" errorStyle="warning" operator="lessThanOrEqual" allowBlank="1" showInputMessage="1" showErrorMessage="1" error="Hé! Ez nem lehet nagyobb, mint ami a Darabszám oszlopban (A0 oszlopban) megadott!" sqref="L7:M7" xr:uid="{00000000-0002-0000-0400-000004000000}">
      <formula1>B7</formula1>
    </dataValidation>
    <dataValidation type="whole" errorStyle="warning" allowBlank="1" showInputMessage="1" showErrorMessage="1" error="A járművek darabszáma összesen nem lehet nagyobb, mint amit az A0 oszlopban megadott!" sqref="T9" xr:uid="{00000000-0002-0000-0400-000005000000}">
      <formula1>0</formula1>
      <formula2>1000</formula2>
    </dataValidation>
  </dataValidations>
  <pageMargins left="0.39370078740157483" right="0.39370078740157483" top="0.39370078740157483" bottom="0.39370078740157483" header="0.51181102362204722" footer="0.51181102362204722"/>
  <pageSetup paperSize="9"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Munka2">
    <tabColor indexed="13"/>
  </sheetPr>
  <dimension ref="A1:Q760"/>
  <sheetViews>
    <sheetView topLeftCell="B41" zoomScale="87" zoomScaleNormal="87" workbookViewId="0">
      <selection activeCell="O112" sqref="O112"/>
    </sheetView>
  </sheetViews>
  <sheetFormatPr defaultRowHeight="12.75"/>
  <cols>
    <col min="1" max="1" width="0" hidden="1" customWidth="1"/>
    <col min="2" max="2" width="84.140625" customWidth="1"/>
    <col min="3" max="3" width="40.140625" style="75" customWidth="1"/>
    <col min="4" max="4" width="15.140625" style="78" customWidth="1"/>
    <col min="5" max="5" width="22.5703125" style="75" hidden="1" customWidth="1"/>
    <col min="6" max="6" width="17.140625" style="75" hidden="1" customWidth="1"/>
    <col min="7" max="7" width="9.140625" style="75" hidden="1" customWidth="1"/>
    <col min="8" max="8" width="9.140625" hidden="1" customWidth="1"/>
    <col min="9" max="9" width="27.85546875" hidden="1" customWidth="1"/>
    <col min="10" max="10" width="9.140625" hidden="1" customWidth="1"/>
    <col min="11" max="11" width="18.42578125" hidden="1" customWidth="1"/>
    <col min="12" max="12" width="18.5703125" hidden="1" customWidth="1"/>
    <col min="13" max="13" width="3.140625" customWidth="1"/>
    <col min="14" max="14" width="18.5703125" customWidth="1"/>
    <col min="16" max="16" width="18.28515625" hidden="1" customWidth="1"/>
    <col min="17" max="17" width="19.28515625" hidden="1" customWidth="1"/>
    <col min="18" max="18" width="12.85546875" customWidth="1"/>
  </cols>
  <sheetData>
    <row r="1" spans="1:14" ht="13.5" hidden="1" thickBot="1">
      <c r="A1" s="79"/>
      <c r="B1" s="80"/>
      <c r="C1" s="81"/>
      <c r="D1" s="82"/>
      <c r="E1" s="81"/>
      <c r="F1" s="81"/>
      <c r="G1" s="74"/>
      <c r="I1" s="76"/>
      <c r="J1" s="76"/>
      <c r="K1" s="76"/>
      <c r="L1" s="76"/>
    </row>
    <row r="2" spans="1:14" ht="14.25" thickTop="1" thickBot="1">
      <c r="A2" s="79"/>
      <c r="B2" s="236" t="s">
        <v>3151</v>
      </c>
      <c r="C2" s="237"/>
      <c r="D2" s="238"/>
      <c r="E2" s="83"/>
      <c r="F2" s="84"/>
      <c r="I2" s="76"/>
      <c r="J2" s="76"/>
      <c r="K2" s="76"/>
      <c r="L2" s="77"/>
    </row>
    <row r="3" spans="1:14" s="234" customFormat="1" ht="7.5" customHeight="1" thickTop="1" thickBot="1">
      <c r="A3" s="228"/>
      <c r="B3" s="229"/>
      <c r="C3" s="227"/>
      <c r="D3" s="230"/>
      <c r="E3" s="231"/>
      <c r="F3" s="232"/>
      <c r="G3" s="233"/>
      <c r="L3" s="235"/>
    </row>
    <row r="4" spans="1:14" s="234" customFormat="1" ht="14.25" customHeight="1" thickTop="1">
      <c r="A4" s="228"/>
      <c r="B4" s="254" t="s">
        <v>4291</v>
      </c>
      <c r="C4" s="425"/>
      <c r="D4" s="426"/>
      <c r="E4" s="231"/>
      <c r="F4" s="232"/>
      <c r="G4" s="233"/>
      <c r="L4" s="235"/>
      <c r="N4" s="1333" t="s">
        <v>3308</v>
      </c>
    </row>
    <row r="5" spans="1:14" s="234" customFormat="1" ht="14.25" hidden="1" customHeight="1">
      <c r="A5" s="228"/>
      <c r="B5" s="873" t="s">
        <v>2238</v>
      </c>
      <c r="C5" s="874" t="b">
        <v>0</v>
      </c>
      <c r="D5" s="434"/>
      <c r="E5" s="231"/>
      <c r="F5" s="232"/>
      <c r="G5" s="233"/>
      <c r="L5" s="235"/>
      <c r="N5" s="1334" t="s">
        <v>1714</v>
      </c>
    </row>
    <row r="6" spans="1:14" s="234" customFormat="1" ht="6" customHeight="1">
      <c r="A6" s="228"/>
      <c r="B6" s="870"/>
      <c r="C6" s="871"/>
      <c r="D6" s="872"/>
      <c r="E6" s="231"/>
      <c r="F6" s="232"/>
      <c r="G6" s="233"/>
      <c r="L6" s="235"/>
      <c r="N6" s="1335"/>
    </row>
    <row r="7" spans="1:14" s="234" customFormat="1" ht="69.75" customHeight="1" thickBot="1">
      <c r="A7" s="228"/>
      <c r="B7" s="2164" t="s">
        <v>5402</v>
      </c>
      <c r="C7" s="427" t="b">
        <v>0</v>
      </c>
      <c r="D7" s="2813">
        <f>IF(C7=TRUE,20,1)</f>
        <v>1</v>
      </c>
      <c r="E7" s="231"/>
      <c r="F7" s="232"/>
      <c r="G7" s="233"/>
      <c r="L7" s="235"/>
      <c r="N7" s="2491">
        <f>NDK!AI53</f>
        <v>0</v>
      </c>
    </row>
    <row r="8" spans="1:14" s="234" customFormat="1" ht="5.25" customHeight="1" thickTop="1">
      <c r="A8" s="228"/>
      <c r="B8" s="428"/>
      <c r="C8" s="429"/>
      <c r="D8" s="430"/>
      <c r="E8" s="231"/>
      <c r="F8" s="232"/>
      <c r="G8" s="233"/>
      <c r="L8" s="235"/>
    </row>
    <row r="9" spans="1:14" s="234" customFormat="1" ht="15" customHeight="1" thickBot="1">
      <c r="A9" s="228"/>
      <c r="B9" s="433" t="s">
        <v>5401</v>
      </c>
      <c r="C9" s="431">
        <f>IF($C$5=FALSE,$D$7,1)</f>
        <v>1</v>
      </c>
      <c r="D9" s="432"/>
      <c r="E9" s="231"/>
      <c r="F9" s="232"/>
      <c r="G9" s="233"/>
      <c r="L9" s="235"/>
    </row>
    <row r="10" spans="1:14" s="234" customFormat="1" ht="12.75" hidden="1" customHeight="1" thickTop="1">
      <c r="A10" s="228"/>
      <c r="B10" s="231"/>
      <c r="C10" s="424" t="b">
        <v>1</v>
      </c>
      <c r="D10" s="424" t="b">
        <v>1</v>
      </c>
      <c r="E10" s="231"/>
      <c r="F10" s="232"/>
      <c r="G10" s="233"/>
      <c r="L10" s="235"/>
    </row>
    <row r="11" spans="1:14" s="234" customFormat="1" ht="12.75" hidden="1" customHeight="1">
      <c r="A11" s="228"/>
      <c r="B11" s="231"/>
      <c r="C11" s="424" t="b">
        <v>0</v>
      </c>
      <c r="D11" s="424" t="b">
        <v>0</v>
      </c>
      <c r="E11" s="231"/>
      <c r="F11" s="232"/>
      <c r="G11" s="233"/>
      <c r="L11" s="235"/>
    </row>
    <row r="12" spans="1:14" s="234" customFormat="1" ht="16.5" hidden="1" customHeight="1">
      <c r="A12" s="228"/>
      <c r="B12" s="231"/>
      <c r="C12" s="231"/>
      <c r="D12" s="424"/>
      <c r="E12" s="231"/>
      <c r="F12" s="232"/>
      <c r="G12" s="233"/>
      <c r="L12" s="235"/>
    </row>
    <row r="13" spans="1:14" s="234" customFormat="1" ht="8.25" customHeight="1" thickTop="1" thickBot="1">
      <c r="A13" s="228"/>
      <c r="B13" s="231"/>
      <c r="C13" s="231"/>
      <c r="D13" s="424"/>
      <c r="E13" s="231"/>
      <c r="F13" s="232"/>
      <c r="G13" s="233"/>
      <c r="L13" s="235"/>
    </row>
    <row r="14" spans="1:14" ht="14.25" thickTop="1" thickBot="1">
      <c r="A14" s="80"/>
      <c r="B14" s="443" t="s">
        <v>1146</v>
      </c>
      <c r="C14" s="444"/>
      <c r="D14" s="445"/>
      <c r="E14" s="83"/>
      <c r="F14" s="84"/>
      <c r="G14" s="60"/>
      <c r="N14" s="1629" t="s">
        <v>528</v>
      </c>
    </row>
    <row r="15" spans="1:14" hidden="1">
      <c r="A15" s="80"/>
      <c r="B15" s="446" t="s">
        <v>3202</v>
      </c>
      <c r="C15" s="1188">
        <v>0</v>
      </c>
      <c r="D15" s="447"/>
      <c r="E15" s="83"/>
      <c r="F15" s="84"/>
      <c r="G15" s="60"/>
    </row>
    <row r="16" spans="1:14" ht="14.25" hidden="1" customHeight="1" thickBot="1">
      <c r="A16" s="80"/>
      <c r="B16" s="450" t="str">
        <f>IF(C15&gt;0,B67,B66)</f>
        <v xml:space="preserve"> </v>
      </c>
      <c r="C16" s="1189">
        <v>0</v>
      </c>
      <c r="D16" s="448"/>
      <c r="E16" s="83"/>
      <c r="F16" s="84"/>
      <c r="G16" s="60"/>
    </row>
    <row r="17" spans="1:14" ht="13.5" thickTop="1">
      <c r="A17" s="80"/>
      <c r="B17" s="848" t="s">
        <v>4939</v>
      </c>
      <c r="C17" s="844"/>
      <c r="D17" s="845"/>
      <c r="E17" s="83"/>
      <c r="F17" s="84"/>
      <c r="G17" s="60"/>
      <c r="I17" s="1148"/>
      <c r="J17" s="270" t="b">
        <v>1</v>
      </c>
      <c r="N17" s="1630" t="s">
        <v>1714</v>
      </c>
    </row>
    <row r="18" spans="1:14" ht="13.5" thickBot="1">
      <c r="A18" s="80"/>
      <c r="B18" s="849" t="s">
        <v>5491</v>
      </c>
      <c r="C18" s="846" t="b">
        <v>0</v>
      </c>
      <c r="D18" s="850"/>
      <c r="E18" s="83"/>
      <c r="F18" s="84"/>
      <c r="G18" s="60"/>
      <c r="I18" s="1149" t="s">
        <v>430</v>
      </c>
      <c r="J18" s="270" t="b">
        <v>0</v>
      </c>
      <c r="N18" s="2490">
        <f>NDK!AU53</f>
        <v>0</v>
      </c>
    </row>
    <row r="19" spans="1:14" ht="13.5" hidden="1" thickTop="1">
      <c r="A19" s="80"/>
      <c r="B19" s="446" t="s">
        <v>5490</v>
      </c>
      <c r="C19" s="846" t="b">
        <v>0</v>
      </c>
      <c r="D19" s="850"/>
      <c r="E19" s="83"/>
      <c r="F19" s="84"/>
      <c r="G19" s="60"/>
      <c r="I19" s="1149"/>
      <c r="J19" s="270" t="s">
        <v>430</v>
      </c>
      <c r="K19" s="270" t="s">
        <v>2699</v>
      </c>
    </row>
    <row r="20" spans="1:14" ht="13.5" thickTop="1">
      <c r="A20" s="80"/>
      <c r="B20" s="446" t="s">
        <v>5501</v>
      </c>
      <c r="C20" s="846" t="b">
        <v>0</v>
      </c>
      <c r="D20" s="850"/>
      <c r="E20" s="83"/>
      <c r="F20" s="84"/>
      <c r="G20" s="60"/>
      <c r="I20" s="1149" t="s">
        <v>4325</v>
      </c>
    </row>
    <row r="21" spans="1:14">
      <c r="A21" s="80"/>
      <c r="B21" s="446" t="s">
        <v>5502</v>
      </c>
      <c r="C21" s="846" t="b">
        <v>0</v>
      </c>
      <c r="D21" s="850"/>
      <c r="E21" s="83"/>
      <c r="F21" s="84"/>
      <c r="G21" s="60"/>
      <c r="I21" s="1149"/>
    </row>
    <row r="22" spans="1:14" ht="15" customHeight="1" thickBot="1">
      <c r="A22" s="80"/>
      <c r="B22" s="849" t="s">
        <v>5499</v>
      </c>
      <c r="C22" s="846" t="b">
        <v>0</v>
      </c>
      <c r="D22" s="1128"/>
      <c r="E22" s="83"/>
      <c r="F22" s="84"/>
      <c r="G22" s="60"/>
      <c r="I22" s="1149" t="s">
        <v>4326</v>
      </c>
      <c r="J22" t="b">
        <v>0</v>
      </c>
    </row>
    <row r="23" spans="1:14" ht="24.75" hidden="1" customHeight="1" thickBot="1">
      <c r="A23" s="80"/>
      <c r="B23" s="2786" t="s">
        <v>5495</v>
      </c>
      <c r="C23" s="846" t="b">
        <v>0</v>
      </c>
      <c r="D23" s="1128"/>
      <c r="E23" s="83"/>
      <c r="F23" s="84"/>
      <c r="G23" s="60"/>
      <c r="I23" s="1149" t="b">
        <f>OR(C18,C19,C20)</f>
        <v>0</v>
      </c>
    </row>
    <row r="24" spans="1:14" ht="13.5" hidden="1" thickBot="1">
      <c r="A24" s="80"/>
      <c r="B24" s="1625" t="s">
        <v>2698</v>
      </c>
      <c r="C24" s="847" t="b">
        <v>0</v>
      </c>
      <c r="D24" s="1129"/>
      <c r="E24" s="83"/>
      <c r="F24" s="84"/>
      <c r="G24" s="60"/>
      <c r="I24" s="1150">
        <f>IF(I23=J17,0,1)</f>
        <v>1</v>
      </c>
    </row>
    <row r="25" spans="1:14" ht="12.75" hidden="1" customHeight="1" thickTop="1">
      <c r="A25" s="80"/>
      <c r="B25" s="1131"/>
      <c r="C25" s="1132"/>
      <c r="D25" s="1098"/>
      <c r="E25" s="83"/>
      <c r="F25" s="84"/>
      <c r="G25" s="60"/>
    </row>
    <row r="26" spans="1:14" ht="15" hidden="1" customHeight="1">
      <c r="A26" s="80"/>
      <c r="B26" s="91"/>
      <c r="C26" s="92"/>
      <c r="D26" s="373"/>
      <c r="E26" s="83"/>
      <c r="F26" s="84"/>
      <c r="G26" s="60"/>
    </row>
    <row r="27" spans="1:14" ht="12.75" hidden="1" customHeight="1">
      <c r="A27" s="85"/>
      <c r="B27" s="1847" t="s">
        <v>1330</v>
      </c>
      <c r="C27" s="86" t="b">
        <v>0</v>
      </c>
      <c r="D27" s="1130">
        <f>IF(C27=J17,2,1)</f>
        <v>1</v>
      </c>
      <c r="E27" s="83"/>
      <c r="F27" s="84"/>
      <c r="G27" s="60"/>
    </row>
    <row r="28" spans="1:14" ht="14.25" hidden="1" thickTop="1" thickBot="1">
      <c r="A28" s="85"/>
      <c r="B28" s="3378" t="s">
        <v>2705</v>
      </c>
      <c r="C28" s="3379">
        <v>1</v>
      </c>
      <c r="D28" s="3380" t="s">
        <v>5512</v>
      </c>
      <c r="E28" s="83"/>
      <c r="F28" s="84"/>
      <c r="G28" s="60"/>
    </row>
    <row r="29" spans="1:14">
      <c r="A29" s="85"/>
      <c r="B29" s="3384" t="s">
        <v>5533</v>
      </c>
      <c r="C29" s="3385"/>
      <c r="D29" s="3386"/>
      <c r="E29" s="83"/>
      <c r="F29" s="84"/>
      <c r="G29" s="60"/>
    </row>
    <row r="30" spans="1:14" ht="18" customHeight="1">
      <c r="A30" s="85"/>
      <c r="B30" s="3400" t="s">
        <v>5517</v>
      </c>
      <c r="C30" s="846" t="b">
        <v>0</v>
      </c>
      <c r="D30" s="3387">
        <f>IF($C30=$F$30,2,1)</f>
        <v>1</v>
      </c>
      <c r="E30" s="83"/>
      <c r="F30" s="84" t="b">
        <v>1</v>
      </c>
      <c r="G30" s="60"/>
    </row>
    <row r="31" spans="1:14" ht="17.25" customHeight="1">
      <c r="A31" s="85"/>
      <c r="B31" s="3400" t="s">
        <v>523</v>
      </c>
      <c r="C31" s="846" t="b">
        <v>0</v>
      </c>
      <c r="D31" s="3387">
        <f>IF($C31=$F$30,2,1)</f>
        <v>1</v>
      </c>
      <c r="E31" s="83"/>
      <c r="F31" s="84" t="b">
        <v>0</v>
      </c>
      <c r="G31" s="60"/>
    </row>
    <row r="32" spans="1:14" ht="16.5" customHeight="1">
      <c r="A32" s="85"/>
      <c r="B32" s="3400" t="s">
        <v>389</v>
      </c>
      <c r="C32" s="846" t="b">
        <v>0</v>
      </c>
      <c r="D32" s="3387">
        <f>IF($C32=$F$30,2,1)</f>
        <v>1</v>
      </c>
      <c r="E32" s="83"/>
      <c r="F32" s="84"/>
      <c r="G32" s="60"/>
    </row>
    <row r="33" spans="1:10" ht="18" customHeight="1" thickBot="1">
      <c r="A33" s="85"/>
      <c r="B33" s="3401" t="s">
        <v>5518</v>
      </c>
      <c r="C33" s="846" t="b">
        <v>0</v>
      </c>
      <c r="D33" s="3387">
        <f>IF($C33=$F$30,2,1)</f>
        <v>1</v>
      </c>
      <c r="E33" s="83"/>
      <c r="F33" s="84"/>
      <c r="G33" s="60"/>
    </row>
    <row r="34" spans="1:10" ht="17.25" customHeight="1">
      <c r="A34" s="80"/>
      <c r="B34" s="3381" t="s">
        <v>4998</v>
      </c>
      <c r="C34" s="3382" t="b">
        <v>1</v>
      </c>
      <c r="D34" s="3383"/>
      <c r="E34" s="83"/>
      <c r="F34" s="83"/>
      <c r="G34" s="60"/>
    </row>
    <row r="35" spans="1:10" ht="17.25" customHeight="1">
      <c r="A35" s="80"/>
      <c r="B35" s="2247" t="s">
        <v>4999</v>
      </c>
      <c r="C35" s="846" t="b">
        <v>1</v>
      </c>
      <c r="D35" s="2248"/>
      <c r="E35" s="83"/>
      <c r="F35" s="83"/>
      <c r="G35" s="60"/>
    </row>
    <row r="36" spans="1:10" ht="16.5" customHeight="1">
      <c r="A36" s="80"/>
      <c r="B36" s="2247" t="s">
        <v>5000</v>
      </c>
      <c r="C36" s="846" t="b">
        <v>1</v>
      </c>
      <c r="D36" s="2249"/>
      <c r="E36" s="83"/>
      <c r="F36" s="83"/>
      <c r="G36" s="60"/>
      <c r="I36" s="2588" t="s">
        <v>5125</v>
      </c>
    </row>
    <row r="37" spans="1:10">
      <c r="A37" s="80"/>
      <c r="B37" s="91" t="s">
        <v>3412</v>
      </c>
      <c r="C37" s="92"/>
      <c r="D37" s="373"/>
      <c r="E37" s="83"/>
      <c r="F37" s="83"/>
      <c r="G37" s="60"/>
    </row>
    <row r="38" spans="1:10" ht="19.5" customHeight="1">
      <c r="A38" s="80"/>
      <c r="B38" s="87" t="s">
        <v>3413</v>
      </c>
      <c r="C38" s="1096" t="s">
        <v>5527</v>
      </c>
      <c r="D38" s="374"/>
      <c r="E38" s="83"/>
      <c r="F38" s="83"/>
      <c r="G38" s="60"/>
    </row>
    <row r="39" spans="1:10" ht="26.25" customHeight="1">
      <c r="A39" s="80"/>
      <c r="B39" s="88" t="s">
        <v>5126</v>
      </c>
      <c r="C39" s="2589" t="b">
        <v>0</v>
      </c>
      <c r="D39" s="374"/>
      <c r="E39" s="83"/>
      <c r="F39" s="83"/>
      <c r="G39" s="60"/>
    </row>
    <row r="40" spans="1:10">
      <c r="A40" s="80"/>
      <c r="B40" s="1136" t="s">
        <v>2702</v>
      </c>
      <c r="C40" s="1184">
        <f>IF(C39=J17,0,IF($C$38=$I$43,J43,IF($C$38=$I$44,J44,IF(C38=I45,J45,IF(C38=I46,J46,J47)))))</f>
        <v>-0.05</v>
      </c>
      <c r="D40" s="374"/>
      <c r="E40" s="83"/>
      <c r="F40" s="84"/>
      <c r="G40" s="60"/>
    </row>
    <row r="41" spans="1:10" ht="4.5" customHeight="1" thickBot="1">
      <c r="A41" s="80"/>
      <c r="B41" s="94"/>
      <c r="C41" s="95"/>
      <c r="D41" s="372"/>
      <c r="E41" s="83"/>
      <c r="F41" s="83"/>
      <c r="G41" s="60"/>
    </row>
    <row r="42" spans="1:10" ht="16.5" customHeight="1" thickTop="1">
      <c r="A42" s="80"/>
      <c r="B42" s="2474" t="s">
        <v>2697</v>
      </c>
      <c r="C42" s="2475"/>
      <c r="D42" s="2476"/>
      <c r="E42" s="83"/>
      <c r="F42" s="1151" t="s">
        <v>4357</v>
      </c>
      <c r="G42" s="1152"/>
    </row>
    <row r="43" spans="1:10" ht="19.5" hidden="1" customHeight="1">
      <c r="A43" s="80"/>
      <c r="B43" s="3352" t="s">
        <v>4358</v>
      </c>
      <c r="C43" s="3353"/>
      <c r="D43" s="3354" t="str">
        <f>IF(GROUPAMA!S53=GROUPAMA!Q62,KÉRDÉSEK!F43,KÉRDÉSEK!G43)</f>
        <v xml:space="preserve"> </v>
      </c>
      <c r="E43" s="83"/>
      <c r="F43" s="1153" t="s">
        <v>4358</v>
      </c>
      <c r="G43" s="1154" t="s">
        <v>430</v>
      </c>
      <c r="H43" s="646" t="s">
        <v>4364</v>
      </c>
      <c r="I43" s="3396" t="s">
        <v>5527</v>
      </c>
      <c r="J43" s="3397">
        <v>-0.05</v>
      </c>
    </row>
    <row r="44" spans="1:10" ht="18.75" hidden="1" customHeight="1">
      <c r="A44" s="80"/>
      <c r="B44" s="3352" t="s">
        <v>4360</v>
      </c>
      <c r="C44" s="3353"/>
      <c r="D44" s="3354" t="str">
        <f>IF(GROUPAMA!S55=GROUPAMA!Q62,KÉRDÉSEK!F45,KÉRDÉSEK!G45)</f>
        <v xml:space="preserve"> </v>
      </c>
      <c r="E44" s="83"/>
      <c r="F44" s="1153" t="s">
        <v>4359</v>
      </c>
      <c r="G44" s="1154" t="s">
        <v>430</v>
      </c>
      <c r="I44" s="3396" t="s">
        <v>5528</v>
      </c>
      <c r="J44" s="3397">
        <v>0</v>
      </c>
    </row>
    <row r="45" spans="1:10" ht="18" hidden="1" customHeight="1">
      <c r="A45" s="80"/>
      <c r="B45" s="3352"/>
      <c r="C45" s="3353"/>
      <c r="D45" s="3354"/>
      <c r="E45" s="83"/>
      <c r="F45" s="1153" t="s">
        <v>4360</v>
      </c>
      <c r="G45" s="1154" t="s">
        <v>430</v>
      </c>
      <c r="I45" s="3396" t="s">
        <v>5529</v>
      </c>
      <c r="J45" s="3397">
        <v>0.15</v>
      </c>
    </row>
    <row r="46" spans="1:10" ht="15.75" customHeight="1">
      <c r="A46" s="80"/>
      <c r="B46" s="93" t="s">
        <v>5496</v>
      </c>
      <c r="C46" s="86" t="b">
        <v>0</v>
      </c>
      <c r="D46" s="3355"/>
      <c r="E46" s="83"/>
      <c r="F46" s="1153" t="s">
        <v>4361</v>
      </c>
      <c r="G46" s="1154" t="s">
        <v>430</v>
      </c>
      <c r="I46" s="3398" t="s">
        <v>5530</v>
      </c>
      <c r="J46" s="3397">
        <v>0.3</v>
      </c>
    </row>
    <row r="47" spans="1:10" ht="16.5" customHeight="1" thickBot="1">
      <c r="A47" s="80"/>
      <c r="B47" s="88" t="s">
        <v>2694</v>
      </c>
      <c r="C47" s="86" t="b">
        <v>0</v>
      </c>
      <c r="D47" s="374" t="str">
        <f>IF(C47=J17,F46,G43)</f>
        <v xml:space="preserve"> </v>
      </c>
      <c r="E47" s="83"/>
      <c r="F47" s="1155" t="s">
        <v>4365</v>
      </c>
      <c r="G47" s="1156"/>
      <c r="I47" s="3399" t="s">
        <v>5531</v>
      </c>
      <c r="J47" s="3397">
        <v>0.5</v>
      </c>
    </row>
    <row r="48" spans="1:10" ht="5.25" customHeight="1" thickTop="1">
      <c r="A48" s="80"/>
      <c r="B48" s="88"/>
      <c r="C48" s="820"/>
      <c r="D48" s="374"/>
      <c r="E48" s="83"/>
      <c r="F48" s="83"/>
      <c r="G48" s="60"/>
    </row>
    <row r="49" spans="1:7" ht="18.75" hidden="1" customHeight="1">
      <c r="A49" s="80"/>
      <c r="B49" s="93" t="s">
        <v>2696</v>
      </c>
      <c r="C49" s="86" t="b">
        <v>0</v>
      </c>
      <c r="D49" s="374" t="str">
        <f>IF(C49=J17,F46,G43)</f>
        <v xml:space="preserve"> </v>
      </c>
      <c r="E49" s="83"/>
      <c r="F49" s="83"/>
      <c r="G49" s="60"/>
    </row>
    <row r="50" spans="1:7" ht="15" customHeight="1">
      <c r="A50" s="80"/>
      <c r="B50" s="1097" t="s">
        <v>4355</v>
      </c>
      <c r="C50" s="1184" t="str">
        <f>IF(GROUPAMA!P62=GROUPAMA!Q62,GROUPAMA!N52,KÉRDÉSEK!F47)</f>
        <v>Tev 2</v>
      </c>
      <c r="D50" s="374"/>
      <c r="E50" s="83"/>
      <c r="F50" s="83"/>
      <c r="G50" s="60"/>
    </row>
    <row r="51" spans="1:7" ht="16.5" hidden="1" customHeight="1" thickBot="1">
      <c r="A51" s="80"/>
      <c r="B51" s="1624" t="s">
        <v>4356</v>
      </c>
      <c r="C51" s="1099" t="s">
        <v>4357</v>
      </c>
      <c r="D51" s="1100"/>
      <c r="E51" s="83"/>
      <c r="F51" s="83"/>
      <c r="G51" s="60"/>
    </row>
    <row r="52" spans="1:7" ht="6.75" customHeight="1">
      <c r="A52" s="80"/>
      <c r="B52" s="97"/>
      <c r="C52" s="98"/>
      <c r="D52" s="375"/>
      <c r="E52" s="83"/>
      <c r="F52" s="83"/>
      <c r="G52"/>
    </row>
    <row r="53" spans="1:7" ht="13.5" customHeight="1">
      <c r="A53" s="80"/>
      <c r="B53" s="1135" t="s">
        <v>3409</v>
      </c>
      <c r="C53" s="1190" t="s">
        <v>4202</v>
      </c>
      <c r="D53" s="1133">
        <f>IF($C$53=$E$53,-0.05,0)</f>
        <v>0</v>
      </c>
      <c r="E53" s="83" t="s">
        <v>4201</v>
      </c>
      <c r="F53" s="83" t="s">
        <v>4205</v>
      </c>
      <c r="G53"/>
    </row>
    <row r="54" spans="1:7" ht="17.25" hidden="1" customHeight="1">
      <c r="A54" s="80"/>
      <c r="B54" s="1626" t="s">
        <v>3410</v>
      </c>
      <c r="C54" s="1191" t="s">
        <v>4202</v>
      </c>
      <c r="D54" s="1134">
        <f>IF($C$54=$E$53,0.94,1)</f>
        <v>1</v>
      </c>
      <c r="E54" s="83" t="s">
        <v>4202</v>
      </c>
      <c r="F54" s="83" t="s">
        <v>3198</v>
      </c>
      <c r="G54"/>
    </row>
    <row r="55" spans="1:7" ht="15" customHeight="1">
      <c r="A55" s="80"/>
      <c r="B55" s="1185" t="s">
        <v>4209</v>
      </c>
      <c r="C55" s="1192" t="s">
        <v>4205</v>
      </c>
      <c r="D55" s="1186">
        <f>IF(C55=F53,-0.1,0)</f>
        <v>-0.1</v>
      </c>
      <c r="E55" s="83"/>
      <c r="F55" s="83"/>
      <c r="G55"/>
    </row>
    <row r="56" spans="1:7" hidden="1">
      <c r="A56" s="80"/>
      <c r="B56" s="1137"/>
      <c r="C56" s="86"/>
      <c r="D56" s="1138"/>
      <c r="E56" s="83"/>
      <c r="F56" s="83"/>
      <c r="G56" s="60"/>
    </row>
    <row r="57" spans="1:7" hidden="1">
      <c r="A57" s="80"/>
      <c r="B57" s="1137"/>
      <c r="C57" s="86"/>
      <c r="D57" s="1138"/>
      <c r="E57" s="83"/>
      <c r="F57" s="83"/>
      <c r="G57" s="60"/>
    </row>
    <row r="58" spans="1:7" hidden="1">
      <c r="A58" s="80"/>
      <c r="B58" s="1137"/>
      <c r="C58" s="86"/>
      <c r="D58" s="1138"/>
      <c r="E58" s="83"/>
      <c r="F58" s="83"/>
      <c r="G58" s="60"/>
    </row>
    <row r="59" spans="1:7" ht="4.5" hidden="1" customHeight="1">
      <c r="A59" s="80"/>
      <c r="B59" s="94"/>
      <c r="C59" s="95"/>
      <c r="D59" s="96"/>
      <c r="E59" s="83"/>
      <c r="F59" s="83"/>
      <c r="G59" s="60"/>
    </row>
    <row r="60" spans="1:7" hidden="1">
      <c r="A60" s="80"/>
      <c r="B60" s="90"/>
      <c r="C60" s="1139"/>
      <c r="D60" s="1140"/>
      <c r="E60" s="83"/>
      <c r="F60" s="83"/>
      <c r="G60" s="60"/>
    </row>
    <row r="61" spans="1:7" hidden="1">
      <c r="A61" s="80"/>
      <c r="B61" s="90"/>
      <c r="C61" s="232"/>
      <c r="D61" s="1140"/>
      <c r="E61" s="83"/>
      <c r="F61" s="83"/>
      <c r="G61" s="60"/>
    </row>
    <row r="62" spans="1:7" hidden="1">
      <c r="A62" s="80"/>
      <c r="B62" s="90"/>
      <c r="C62" s="1141"/>
      <c r="D62" s="1140"/>
      <c r="E62" s="83"/>
      <c r="F62" s="83"/>
      <c r="G62" s="60"/>
    </row>
    <row r="63" spans="1:7" hidden="1">
      <c r="A63" s="80"/>
      <c r="B63" s="1142"/>
      <c r="C63" s="1143"/>
      <c r="D63" s="1140"/>
      <c r="E63" s="83"/>
      <c r="F63" s="83"/>
      <c r="G63" s="60"/>
    </row>
    <row r="64" spans="1:7" hidden="1">
      <c r="A64" s="80"/>
      <c r="B64" s="1142"/>
      <c r="C64" s="228"/>
      <c r="D64" s="1144"/>
      <c r="E64" s="83"/>
      <c r="F64" s="83"/>
      <c r="G64" s="60"/>
    </row>
    <row r="65" spans="1:7" hidden="1">
      <c r="A65" s="80"/>
      <c r="B65" s="90"/>
      <c r="C65" s="231"/>
      <c r="D65" s="1145"/>
      <c r="E65" s="83"/>
      <c r="F65" s="83"/>
      <c r="G65" s="60"/>
    </row>
    <row r="66" spans="1:7" hidden="1">
      <c r="A66" s="80"/>
      <c r="B66" s="449" t="s">
        <v>430</v>
      </c>
      <c r="C66" s="1143"/>
      <c r="D66" s="1145"/>
      <c r="E66" s="83"/>
      <c r="F66" s="83"/>
      <c r="G66" s="60"/>
    </row>
    <row r="67" spans="1:7" hidden="1">
      <c r="A67" s="80"/>
      <c r="B67" s="1146" t="s">
        <v>3509</v>
      </c>
      <c r="C67" s="232"/>
      <c r="D67" s="1145"/>
      <c r="E67" s="83"/>
      <c r="F67" s="83"/>
      <c r="G67" s="60"/>
    </row>
    <row r="68" spans="1:7" hidden="1">
      <c r="A68" s="80"/>
      <c r="B68" s="1142"/>
      <c r="C68" s="232"/>
      <c r="D68" s="1145"/>
      <c r="E68" s="83"/>
      <c r="F68" s="83"/>
      <c r="G68" s="60"/>
    </row>
    <row r="69" spans="1:7" hidden="1">
      <c r="A69" s="80"/>
      <c r="B69" s="90"/>
      <c r="C69" s="232"/>
      <c r="D69" s="1145"/>
      <c r="E69" s="83"/>
      <c r="F69" s="83"/>
      <c r="G69" s="60"/>
    </row>
    <row r="70" spans="1:7" hidden="1">
      <c r="A70" s="80"/>
      <c r="B70" s="90"/>
      <c r="C70" s="232"/>
      <c r="D70" s="1145"/>
      <c r="E70" s="83"/>
      <c r="F70" s="83"/>
      <c r="G70" s="60"/>
    </row>
    <row r="71" spans="1:7" hidden="1">
      <c r="A71" s="80"/>
      <c r="B71" s="90"/>
      <c r="C71" s="232"/>
      <c r="D71" s="1145"/>
      <c r="E71" s="83"/>
      <c r="F71" s="83"/>
      <c r="G71" s="60"/>
    </row>
    <row r="72" spans="1:7" hidden="1">
      <c r="A72" s="80"/>
      <c r="B72" s="90"/>
      <c r="C72" s="231"/>
      <c r="D72" s="1145"/>
      <c r="E72" s="83"/>
      <c r="F72" s="83"/>
      <c r="G72" s="60"/>
    </row>
    <row r="73" spans="1:7" hidden="1">
      <c r="A73" s="80"/>
      <c r="B73" s="90"/>
      <c r="C73" s="232"/>
      <c r="D73" s="1145"/>
      <c r="E73" s="83"/>
      <c r="F73" s="83"/>
      <c r="G73" s="60"/>
    </row>
    <row r="74" spans="1:7" hidden="1">
      <c r="A74" s="80"/>
      <c r="B74" s="90"/>
      <c r="C74" s="232"/>
      <c r="D74" s="1145"/>
      <c r="E74" s="83"/>
      <c r="F74" s="83"/>
      <c r="G74" s="60"/>
    </row>
    <row r="75" spans="1:7" hidden="1">
      <c r="A75" s="80"/>
      <c r="B75" s="90"/>
      <c r="C75" s="232"/>
      <c r="D75" s="1145"/>
      <c r="E75" s="83"/>
      <c r="F75" s="83"/>
      <c r="G75" s="60"/>
    </row>
    <row r="76" spans="1:7" hidden="1">
      <c r="A76" s="80"/>
      <c r="B76" s="90"/>
      <c r="C76" s="232"/>
      <c r="D76" s="1145"/>
      <c r="E76" s="83"/>
      <c r="F76" s="83"/>
      <c r="G76" s="60"/>
    </row>
    <row r="77" spans="1:7" ht="26.25" hidden="1" customHeight="1">
      <c r="A77" s="80"/>
      <c r="B77" s="1147"/>
      <c r="C77" s="232"/>
      <c r="D77" s="1145"/>
      <c r="E77" s="83"/>
      <c r="F77" s="83"/>
      <c r="G77" s="60"/>
    </row>
    <row r="78" spans="1:7" ht="6.75" customHeight="1">
      <c r="A78" s="80"/>
      <c r="B78" s="94"/>
      <c r="C78" s="95"/>
      <c r="D78" s="1187"/>
      <c r="E78" s="83"/>
      <c r="F78" s="83"/>
      <c r="G78" s="60"/>
    </row>
    <row r="79" spans="1:7" ht="16.5" customHeight="1" thickBot="1">
      <c r="A79" s="80"/>
      <c r="B79" s="99" t="s">
        <v>529</v>
      </c>
      <c r="C79" s="100">
        <f>GROUPAMA!$AF$17</f>
        <v>1.05</v>
      </c>
      <c r="D79" s="101"/>
      <c r="E79" s="83"/>
      <c r="F79" s="83"/>
      <c r="G79" s="60"/>
    </row>
    <row r="80" spans="1:7" ht="5.25" customHeight="1" thickTop="1" thickBot="1">
      <c r="B80" s="60"/>
      <c r="E80" s="60"/>
      <c r="F80" s="60"/>
      <c r="G80" s="60"/>
    </row>
    <row r="81" spans="2:14" ht="13.5" thickTop="1">
      <c r="B81" s="254" t="s">
        <v>1141</v>
      </c>
      <c r="C81" s="1058"/>
      <c r="D81" s="1059"/>
      <c r="E81" s="231"/>
      <c r="F81" s="231"/>
      <c r="G81" s="60"/>
      <c r="I81" s="3356" t="s">
        <v>5537</v>
      </c>
      <c r="J81" s="3404">
        <v>1.3</v>
      </c>
      <c r="N81" s="1333" t="s">
        <v>2713</v>
      </c>
    </row>
    <row r="82" spans="2:14">
      <c r="B82" s="2189" t="s">
        <v>4076</v>
      </c>
      <c r="C82" s="1054" t="s">
        <v>4202</v>
      </c>
      <c r="D82" s="3402" t="str">
        <f>IF(C82=D91,I91,I92)</f>
        <v xml:space="preserve"> </v>
      </c>
      <c r="E82" s="231"/>
      <c r="F82" s="231"/>
      <c r="G82" s="60"/>
      <c r="I82" s="3405">
        <f>IF(C82=D91,J81,J82)</f>
        <v>0</v>
      </c>
      <c r="J82" s="3404">
        <v>0</v>
      </c>
      <c r="N82" s="1507" t="s">
        <v>1714</v>
      </c>
    </row>
    <row r="83" spans="2:14">
      <c r="B83" s="2189" t="s">
        <v>84</v>
      </c>
      <c r="C83" s="1054" t="s">
        <v>4202</v>
      </c>
      <c r="D83" s="3402" t="str">
        <f>IF(C83=D91,I85,I86)</f>
        <v xml:space="preserve"> </v>
      </c>
      <c r="E83" s="231"/>
      <c r="F83" s="231"/>
      <c r="G83" s="60"/>
      <c r="I83" s="270"/>
      <c r="N83" s="2186"/>
    </row>
    <row r="84" spans="2:14" ht="13.5" thickBot="1">
      <c r="B84" s="2189" t="s">
        <v>1142</v>
      </c>
      <c r="C84" s="2190">
        <v>0</v>
      </c>
      <c r="D84" s="2191"/>
      <c r="E84" s="291"/>
      <c r="F84" s="291"/>
      <c r="G84" s="60"/>
      <c r="N84" s="1508" t="e">
        <f>NDK!AZ53</f>
        <v>#N/A</v>
      </c>
    </row>
    <row r="85" spans="2:14" ht="30" customHeight="1" thickTop="1">
      <c r="B85" s="2192" t="s">
        <v>5247</v>
      </c>
      <c r="C85" s="2193" t="s">
        <v>4201</v>
      </c>
      <c r="D85" s="2191"/>
      <c r="E85" s="291"/>
      <c r="F85" s="291"/>
      <c r="G85" s="60"/>
      <c r="I85" s="251" t="s">
        <v>85</v>
      </c>
      <c r="N85" s="1766"/>
    </row>
    <row r="86" spans="2:14" hidden="1">
      <c r="B86" s="2189" t="s">
        <v>504</v>
      </c>
      <c r="C86" s="1054" t="s">
        <v>2809</v>
      </c>
      <c r="D86" s="2194"/>
      <c r="E86" s="292"/>
      <c r="F86" s="292"/>
      <c r="G86" s="60"/>
      <c r="I86" s="251" t="s">
        <v>430</v>
      </c>
    </row>
    <row r="87" spans="2:14">
      <c r="B87" s="2189" t="s">
        <v>5121</v>
      </c>
      <c r="C87" s="1054" t="s">
        <v>4202</v>
      </c>
      <c r="D87" s="2194"/>
      <c r="E87" s="292"/>
      <c r="F87" s="292"/>
      <c r="G87" s="60"/>
      <c r="I87" s="435" t="s">
        <v>87</v>
      </c>
    </row>
    <row r="88" spans="2:14" ht="5.25" customHeight="1">
      <c r="B88" s="428"/>
      <c r="C88" s="2195"/>
      <c r="D88" s="2196"/>
      <c r="E88" s="231"/>
      <c r="F88" s="231"/>
      <c r="G88" s="60"/>
      <c r="I88" s="435"/>
    </row>
    <row r="89" spans="2:14" ht="15.75" customHeight="1" thickBot="1">
      <c r="B89" s="2197" t="s">
        <v>3070</v>
      </c>
      <c r="C89" s="2198" t="e">
        <f>IF($C$87=$D$91,0,NDK!$CN$156)</f>
        <v>#N/A</v>
      </c>
      <c r="D89" s="2830"/>
      <c r="E89" s="231"/>
      <c r="F89" s="231"/>
      <c r="G89" s="60"/>
      <c r="I89" s="435">
        <f>IF(C98=D91,2,1)</f>
        <v>1</v>
      </c>
    </row>
    <row r="90" spans="2:14" ht="5.25" customHeight="1" thickTop="1" thickBot="1">
      <c r="B90" s="60"/>
      <c r="E90" s="60"/>
      <c r="F90" s="60"/>
      <c r="G90" s="60"/>
    </row>
    <row r="91" spans="2:14" hidden="1">
      <c r="B91" s="83" t="s">
        <v>2809</v>
      </c>
      <c r="C91" s="75">
        <v>1</v>
      </c>
      <c r="D91" s="78" t="s">
        <v>4201</v>
      </c>
      <c r="E91" s="60" t="str">
        <f>C86</f>
        <v>nincs</v>
      </c>
      <c r="F91" s="60"/>
      <c r="G91" s="60"/>
      <c r="I91" s="1506" t="s">
        <v>4077</v>
      </c>
    </row>
    <row r="92" spans="2:14" hidden="1">
      <c r="B92" s="83" t="s">
        <v>1147</v>
      </c>
      <c r="C92" s="75">
        <v>2</v>
      </c>
      <c r="D92" s="78" t="s">
        <v>4202</v>
      </c>
      <c r="E92" s="60"/>
      <c r="F92" s="60"/>
      <c r="G92" s="60"/>
      <c r="I92" s="270" t="s">
        <v>430</v>
      </c>
    </row>
    <row r="93" spans="2:14" hidden="1">
      <c r="B93" s="83" t="s">
        <v>1144</v>
      </c>
      <c r="C93" s="75">
        <v>3</v>
      </c>
      <c r="E93" s="60"/>
      <c r="F93" s="60"/>
      <c r="G93" s="60"/>
    </row>
    <row r="94" spans="2:14" hidden="1">
      <c r="B94" s="83" t="s">
        <v>1143</v>
      </c>
      <c r="C94" s="233">
        <v>4</v>
      </c>
      <c r="E94" s="60"/>
      <c r="F94" s="60"/>
      <c r="G94" s="60"/>
    </row>
    <row r="95" spans="2:14" hidden="1">
      <c r="B95" s="83" t="s">
        <v>1145</v>
      </c>
      <c r="C95" s="233">
        <v>5</v>
      </c>
      <c r="E95" s="60"/>
      <c r="F95" s="60"/>
      <c r="G95" s="60"/>
    </row>
    <row r="96" spans="2:14" hidden="1">
      <c r="B96" s="83"/>
      <c r="C96" s="233"/>
      <c r="E96" s="60"/>
      <c r="F96" s="60"/>
      <c r="G96" s="60"/>
    </row>
    <row r="97" spans="2:14" hidden="1">
      <c r="B97" s="83" t="s">
        <v>4857</v>
      </c>
      <c r="C97" s="1767" t="str">
        <f>C85</f>
        <v>IGEN</v>
      </c>
      <c r="E97" s="60"/>
      <c r="F97" s="60"/>
      <c r="G97" s="60"/>
    </row>
    <row r="98" spans="2:14" hidden="1">
      <c r="B98" s="2187" t="s">
        <v>86</v>
      </c>
      <c r="C98" s="2188" t="str">
        <f>C83</f>
        <v>NEM</v>
      </c>
      <c r="E98" s="60"/>
      <c r="F98" s="60"/>
      <c r="G98" s="60"/>
    </row>
    <row r="99" spans="2:14" ht="13.5" hidden="1" thickBot="1">
      <c r="B99" s="83"/>
      <c r="C99" s="233"/>
      <c r="E99" s="60"/>
      <c r="F99" s="60"/>
      <c r="G99" s="60"/>
    </row>
    <row r="100" spans="2:14" ht="13.5" thickTop="1">
      <c r="B100" s="254" t="s">
        <v>3063</v>
      </c>
      <c r="C100" s="303"/>
      <c r="D100" s="3329"/>
      <c r="E100" s="3243" t="s">
        <v>5466</v>
      </c>
      <c r="F100" s="83"/>
      <c r="G100" s="60"/>
      <c r="N100" s="1333" t="s">
        <v>1732</v>
      </c>
    </row>
    <row r="101" spans="2:14" ht="16.5" hidden="1" customHeight="1">
      <c r="B101" s="253" t="s">
        <v>5221</v>
      </c>
      <c r="C101" s="267" t="b">
        <v>0</v>
      </c>
      <c r="D101" s="3242">
        <f>UNION!F16</f>
        <v>1</v>
      </c>
      <c r="E101" s="83"/>
      <c r="F101" s="83"/>
      <c r="G101" s="60"/>
      <c r="N101" s="1507" t="s">
        <v>1714</v>
      </c>
    </row>
    <row r="102" spans="2:14" ht="18.75" customHeight="1" thickBot="1">
      <c r="B102" s="979" t="s">
        <v>3520</v>
      </c>
      <c r="C102" s="980">
        <f>NDK!$B$50</f>
        <v>0</v>
      </c>
      <c r="D102" s="981" t="s">
        <v>673</v>
      </c>
      <c r="E102" s="83"/>
      <c r="F102" s="83" t="s">
        <v>3223</v>
      </c>
      <c r="G102" s="60" t="str">
        <f>C105</f>
        <v>NEM</v>
      </c>
      <c r="I102" t="s">
        <v>3226</v>
      </c>
      <c r="J102" t="str">
        <f>C112</f>
        <v>NEM</v>
      </c>
      <c r="N102" s="1508">
        <f>NDK!BA53</f>
        <v>0</v>
      </c>
    </row>
    <row r="103" spans="2:14" ht="17.25" customHeight="1" thickTop="1">
      <c r="B103" s="975" t="s">
        <v>3521</v>
      </c>
      <c r="C103" s="976" t="s">
        <v>3517</v>
      </c>
      <c r="D103" s="977">
        <f>UNION!$G$28</f>
        <v>1.1000000000000001</v>
      </c>
      <c r="E103" s="83"/>
      <c r="F103" s="84"/>
      <c r="I103" t="s">
        <v>3227</v>
      </c>
      <c r="N103" s="2488"/>
    </row>
    <row r="104" spans="2:14" ht="5.25" customHeight="1" thickBot="1">
      <c r="B104" s="255"/>
      <c r="C104" s="857"/>
      <c r="D104" s="377"/>
      <c r="E104" s="83"/>
      <c r="F104" s="84"/>
      <c r="N104" s="2488"/>
    </row>
    <row r="105" spans="2:14" hidden="1">
      <c r="B105" s="1547" t="s">
        <v>5228</v>
      </c>
      <c r="C105" s="865" t="s">
        <v>4202</v>
      </c>
      <c r="D105" s="856"/>
      <c r="E105" s="83" t="s">
        <v>4334</v>
      </c>
      <c r="F105" s="84" t="s">
        <v>4201</v>
      </c>
    </row>
    <row r="106" spans="2:14" hidden="1">
      <c r="B106" s="1547" t="s">
        <v>4333</v>
      </c>
      <c r="C106" s="865">
        <v>0</v>
      </c>
      <c r="D106" s="858" t="str">
        <f>IF($C$105=$F$105,$C$106,$E$105)</f>
        <v>NINCS</v>
      </c>
      <c r="E106" s="83"/>
      <c r="F106" s="84" t="s">
        <v>4202</v>
      </c>
    </row>
    <row r="107" spans="2:14" ht="4.5" hidden="1" customHeight="1" thickBot="1">
      <c r="B107" s="255"/>
      <c r="C107" s="259"/>
      <c r="D107" s="377"/>
      <c r="E107" s="83"/>
      <c r="F107" s="84"/>
      <c r="N107" s="2489"/>
    </row>
    <row r="108" spans="2:14" ht="13.5" thickTop="1">
      <c r="B108" s="256" t="s">
        <v>3068</v>
      </c>
      <c r="C108" s="260"/>
      <c r="D108" s="376">
        <f>UNION!E77</f>
        <v>1</v>
      </c>
      <c r="E108" s="84"/>
      <c r="F108" s="84"/>
      <c r="G108"/>
      <c r="I108" s="1527" t="s">
        <v>3517</v>
      </c>
      <c r="N108" s="2755" t="s">
        <v>4534</v>
      </c>
    </row>
    <row r="109" spans="2:14" ht="13.5" thickBot="1">
      <c r="B109" s="253" t="s">
        <v>5220</v>
      </c>
      <c r="C109" s="1054" t="s">
        <v>4202</v>
      </c>
      <c r="D109" s="376"/>
      <c r="E109" s="83"/>
      <c r="F109" s="84"/>
      <c r="I109" s="1528" t="s">
        <v>3518</v>
      </c>
      <c r="N109" s="2756">
        <f>UNION!F53</f>
        <v>1</v>
      </c>
    </row>
    <row r="110" spans="2:14" ht="14.25" thickTop="1" thickBot="1">
      <c r="B110" s="253" t="s">
        <v>4532</v>
      </c>
      <c r="C110" s="1054" t="s">
        <v>4202</v>
      </c>
      <c r="D110" s="376"/>
      <c r="E110" s="261"/>
      <c r="F110" s="84"/>
      <c r="G110" s="61"/>
      <c r="I110" s="1530" t="s">
        <v>202</v>
      </c>
      <c r="N110" s="2757" t="s">
        <v>4535</v>
      </c>
    </row>
    <row r="111" spans="2:14" ht="13.5" hidden="1" thickBot="1">
      <c r="B111" s="2795" t="s">
        <v>3228</v>
      </c>
      <c r="C111" s="2796" t="str">
        <f>C112</f>
        <v>NEM</v>
      </c>
      <c r="D111" s="2797"/>
      <c r="E111" s="83"/>
      <c r="F111" s="84"/>
      <c r="I111" s="1530" t="s">
        <v>203</v>
      </c>
      <c r="N111" s="2758"/>
    </row>
    <row r="112" spans="2:14" ht="32.25" customHeight="1" thickTop="1" thickBot="1">
      <c r="B112" s="2944" t="s">
        <v>5267</v>
      </c>
      <c r="C112" s="2209" t="s">
        <v>4202</v>
      </c>
      <c r="D112" s="2210"/>
      <c r="E112" s="83"/>
      <c r="F112" s="84"/>
      <c r="I112" s="2133"/>
      <c r="N112" s="2756">
        <f>UNION!F54</f>
        <v>1</v>
      </c>
    </row>
    <row r="113" spans="2:14" ht="4.5" customHeight="1" thickTop="1" thickBot="1">
      <c r="B113" s="454"/>
      <c r="C113" s="95"/>
      <c r="D113" s="455"/>
      <c r="E113" s="83"/>
      <c r="F113" s="84"/>
      <c r="I113" s="1532" t="s">
        <v>3064</v>
      </c>
      <c r="N113" s="2489"/>
    </row>
    <row r="114" spans="2:14" ht="13.5" customHeight="1" thickTop="1">
      <c r="B114" s="1520" t="s">
        <v>3524</v>
      </c>
      <c r="C114" s="1549" t="s">
        <v>4202</v>
      </c>
      <c r="D114" s="1544">
        <f>UNION!$F$48</f>
        <v>1.2</v>
      </c>
      <c r="E114" s="83"/>
      <c r="F114" s="84"/>
      <c r="N114" s="2755" t="s">
        <v>4536</v>
      </c>
    </row>
    <row r="115" spans="2:14" ht="13.5" thickBot="1">
      <c r="B115" s="2752"/>
      <c r="C115" s="2753"/>
      <c r="D115" s="2754"/>
      <c r="E115" s="84"/>
      <c r="F115" s="84" t="s">
        <v>145</v>
      </c>
      <c r="G115"/>
      <c r="I115" t="str">
        <f>C103</f>
        <v>5-10 DB</v>
      </c>
      <c r="N115" s="2756">
        <f>UNION!F55</f>
        <v>1</v>
      </c>
    </row>
    <row r="116" spans="2:14" ht="4.5" customHeight="1" thickTop="1" thickBot="1">
      <c r="B116" s="262"/>
      <c r="C116" s="263"/>
      <c r="D116" s="264"/>
      <c r="E116" s="83"/>
      <c r="F116" s="84"/>
    </row>
    <row r="117" spans="2:14" ht="15.75" customHeight="1" thickTop="1">
      <c r="B117" s="253" t="s">
        <v>205</v>
      </c>
      <c r="C117" s="866" t="s">
        <v>4205</v>
      </c>
      <c r="D117" s="376">
        <f>IF(I127=B127,0.95,IF(I127=B128,0.98,1))</f>
        <v>0.95</v>
      </c>
      <c r="E117" s="83"/>
      <c r="F117" s="84"/>
      <c r="N117" s="2755" t="s">
        <v>4533</v>
      </c>
    </row>
    <row r="118" spans="2:14" ht="5.25" customHeight="1">
      <c r="B118" s="255"/>
      <c r="C118" s="259"/>
      <c r="D118" s="377"/>
      <c r="E118" s="83"/>
      <c r="F118" s="84"/>
      <c r="N118" s="2778"/>
    </row>
    <row r="119" spans="2:14" ht="12.75" hidden="1" customHeight="1">
      <c r="B119" s="253" t="s">
        <v>207</v>
      </c>
      <c r="C119" s="427" t="b">
        <v>0</v>
      </c>
      <c r="D119" s="376">
        <f>IF(I119=TRUE,H119,1)</f>
        <v>1</v>
      </c>
      <c r="E119" s="83"/>
      <c r="F119" s="84" t="s">
        <v>211</v>
      </c>
      <c r="H119">
        <v>0.97</v>
      </c>
      <c r="I119" t="b">
        <f>C119</f>
        <v>0</v>
      </c>
      <c r="N119" s="2778"/>
    </row>
    <row r="120" spans="2:14" ht="13.5" hidden="1" customHeight="1">
      <c r="B120" s="253" t="s">
        <v>208</v>
      </c>
      <c r="C120" s="427" t="b">
        <v>0</v>
      </c>
      <c r="D120" s="376">
        <f>IF(I120=TRUE,H120,1)</f>
        <v>1</v>
      </c>
      <c r="E120" s="83"/>
      <c r="F120" s="84"/>
      <c r="H120">
        <v>0.97</v>
      </c>
      <c r="I120" t="b">
        <f>C120</f>
        <v>0</v>
      </c>
      <c r="N120" s="2778"/>
    </row>
    <row r="121" spans="2:14" ht="15" hidden="1" customHeight="1">
      <c r="B121" s="253" t="s">
        <v>209</v>
      </c>
      <c r="C121" s="427" t="b">
        <v>0</v>
      </c>
      <c r="D121" s="376">
        <f>IF(I121=TRUE,H121,1)</f>
        <v>1</v>
      </c>
      <c r="E121" s="83"/>
      <c r="F121" s="84" t="s">
        <v>212</v>
      </c>
      <c r="G121" s="75">
        <f>D119*D120*D121*D122</f>
        <v>1</v>
      </c>
      <c r="H121">
        <v>0.97</v>
      </c>
      <c r="I121" t="b">
        <f>C121</f>
        <v>0</v>
      </c>
      <c r="N121" s="2778"/>
    </row>
    <row r="122" spans="2:14" ht="14.25" hidden="1" customHeight="1">
      <c r="B122" s="253" t="s">
        <v>210</v>
      </c>
      <c r="C122" s="427" t="b">
        <v>0</v>
      </c>
      <c r="D122" s="376">
        <f>IF(I122=TRUE,H122,1)</f>
        <v>1</v>
      </c>
      <c r="E122" s="83" t="s">
        <v>213</v>
      </c>
      <c r="F122" s="456">
        <f>IF(G121&lt;0.92,0.92,G121)</f>
        <v>1</v>
      </c>
      <c r="H122">
        <v>0.97</v>
      </c>
      <c r="I122" t="b">
        <f>C122</f>
        <v>0</v>
      </c>
      <c r="N122" s="2778"/>
    </row>
    <row r="123" spans="2:14" ht="4.5" hidden="1" customHeight="1">
      <c r="B123" s="454"/>
      <c r="C123" s="95"/>
      <c r="D123" s="455"/>
      <c r="E123" s="83"/>
      <c r="F123" s="84"/>
      <c r="N123" s="2778"/>
    </row>
    <row r="124" spans="2:14" ht="30" customHeight="1" thickBot="1">
      <c r="B124" s="1546" t="s">
        <v>4539</v>
      </c>
      <c r="C124" s="457">
        <f>UNION!C58</f>
        <v>1.254</v>
      </c>
      <c r="D124" s="265"/>
      <c r="E124" s="83"/>
      <c r="F124" s="84"/>
      <c r="N124" s="2756">
        <f>UNION!F52</f>
        <v>1</v>
      </c>
    </row>
    <row r="125" spans="2:14" ht="5.25" customHeight="1" thickTop="1" thickBot="1">
      <c r="B125" s="83"/>
      <c r="C125" s="84"/>
      <c r="D125" s="266"/>
      <c r="E125" s="83"/>
      <c r="F125" s="83"/>
      <c r="G125" s="60"/>
    </row>
    <row r="126" spans="2:14" hidden="1">
      <c r="B126" s="80" t="s">
        <v>1722</v>
      </c>
      <c r="C126" s="84" t="b">
        <f>C101</f>
        <v>0</v>
      </c>
      <c r="D126" s="266"/>
      <c r="E126" s="84"/>
      <c r="F126" s="84"/>
    </row>
    <row r="127" spans="2:14" hidden="1">
      <c r="B127" s="80" t="s">
        <v>4205</v>
      </c>
      <c r="C127" s="84"/>
      <c r="D127" s="266"/>
      <c r="E127" s="84"/>
      <c r="F127" s="84"/>
      <c r="G127" s="75" t="s">
        <v>206</v>
      </c>
      <c r="I127" t="str">
        <f>C117</f>
        <v>ÉVES</v>
      </c>
    </row>
    <row r="128" spans="2:14" hidden="1">
      <c r="B128" s="80" t="s">
        <v>4206</v>
      </c>
      <c r="C128" s="84"/>
      <c r="D128" s="76"/>
      <c r="E128" s="84"/>
      <c r="F128" s="84"/>
    </row>
    <row r="129" spans="2:14" hidden="1">
      <c r="B129" s="80" t="s">
        <v>4207</v>
      </c>
      <c r="C129" s="84" t="b">
        <v>1</v>
      </c>
      <c r="D129" s="1518"/>
      <c r="E129" s="84"/>
      <c r="F129" s="84"/>
      <c r="G129" s="84"/>
    </row>
    <row r="130" spans="2:14" hidden="1">
      <c r="B130" s="80"/>
      <c r="C130" s="84" t="b">
        <v>0</v>
      </c>
      <c r="D130" s="1519"/>
      <c r="E130" s="84"/>
      <c r="F130" s="84"/>
    </row>
    <row r="131" spans="2:14" hidden="1">
      <c r="B131" s="80" t="s">
        <v>1725</v>
      </c>
      <c r="C131" s="84" t="str">
        <f>C105</f>
        <v>NEM</v>
      </c>
      <c r="D131" s="1519"/>
      <c r="E131" s="84"/>
      <c r="F131" s="84"/>
    </row>
    <row r="132" spans="2:14" hidden="1">
      <c r="B132" s="1521"/>
      <c r="C132" s="1522"/>
      <c r="D132" s="1519"/>
      <c r="E132" s="84"/>
      <c r="F132" s="84"/>
    </row>
    <row r="133" spans="2:14" hidden="1">
      <c r="B133" s="1521"/>
      <c r="C133" s="1522"/>
      <c r="D133" s="1523"/>
      <c r="E133" s="1522"/>
      <c r="F133" s="1522"/>
      <c r="G133" s="1524"/>
    </row>
    <row r="134" spans="2:14" hidden="1">
      <c r="B134" s="1521"/>
      <c r="C134" s="1522"/>
      <c r="D134" s="1523"/>
      <c r="E134" s="1522"/>
      <c r="F134" s="1522"/>
      <c r="G134" s="1524"/>
    </row>
    <row r="135" spans="2:14" hidden="1">
      <c r="B135" s="1521"/>
      <c r="C135" s="1522"/>
      <c r="D135" s="1523"/>
      <c r="E135" s="1522"/>
      <c r="F135" s="1522"/>
      <c r="G135" s="1524"/>
    </row>
    <row r="136" spans="2:14" hidden="1">
      <c r="B136" s="1521"/>
      <c r="C136" s="1522"/>
      <c r="D136" s="1523"/>
      <c r="E136" s="1522"/>
      <c r="F136" s="1522"/>
      <c r="G136" s="1524"/>
    </row>
    <row r="137" spans="2:14" hidden="1">
      <c r="B137" s="1521"/>
      <c r="C137" s="1522"/>
      <c r="D137" s="266"/>
      <c r="E137" s="84"/>
      <c r="F137" s="84"/>
    </row>
    <row r="138" spans="2:14" ht="13.5" hidden="1" thickBot="1">
      <c r="B138" s="80"/>
      <c r="C138" s="84"/>
      <c r="D138" s="266"/>
      <c r="E138" s="84"/>
      <c r="F138" s="84"/>
    </row>
    <row r="139" spans="2:14" ht="13.5" thickTop="1">
      <c r="B139" s="515" t="s">
        <v>2414</v>
      </c>
      <c r="C139" s="516"/>
      <c r="D139" s="517"/>
      <c r="E139" s="84"/>
      <c r="F139" s="84"/>
      <c r="N139" s="1594" t="s">
        <v>2415</v>
      </c>
    </row>
    <row r="140" spans="2:14" hidden="1">
      <c r="B140" s="531" t="s">
        <v>2683</v>
      </c>
      <c r="C140" s="533" t="s">
        <v>2682</v>
      </c>
      <c r="D140" s="532"/>
      <c r="E140" s="84"/>
      <c r="F140" s="84"/>
      <c r="N140" s="2122"/>
    </row>
    <row r="141" spans="2:14" ht="5.25" customHeight="1">
      <c r="B141" s="519"/>
      <c r="C141" s="520"/>
      <c r="D141" s="521"/>
      <c r="E141" s="84"/>
      <c r="F141" s="84"/>
      <c r="N141" s="2123"/>
    </row>
    <row r="142" spans="2:14" ht="13.5" customHeight="1">
      <c r="B142" s="3255" t="s">
        <v>5407</v>
      </c>
      <c r="C142" s="543" t="s">
        <v>4202</v>
      </c>
      <c r="D142" s="3256">
        <f>IF(C142=F145,2,1)</f>
        <v>1</v>
      </c>
      <c r="E142" s="84"/>
      <c r="F142" s="84"/>
      <c r="N142" s="2123"/>
    </row>
    <row r="143" spans="2:14" ht="15" customHeight="1">
      <c r="B143" s="522" t="s">
        <v>4526</v>
      </c>
      <c r="C143" s="543" t="s">
        <v>4202</v>
      </c>
      <c r="D143" s="518"/>
      <c r="E143" s="84"/>
      <c r="F143" s="84"/>
      <c r="I143" s="1713" t="s">
        <v>4527</v>
      </c>
      <c r="N143" s="2123" t="s">
        <v>1714</v>
      </c>
    </row>
    <row r="144" spans="2:14" ht="15" customHeight="1" thickBot="1">
      <c r="B144" s="534" t="s">
        <v>4825</v>
      </c>
      <c r="C144" s="2112">
        <v>1</v>
      </c>
      <c r="D144" s="518"/>
      <c r="E144" s="84"/>
      <c r="F144" s="84"/>
      <c r="I144" s="1713" t="s">
        <v>4828</v>
      </c>
      <c r="N144" s="2124">
        <f>NDK!AC53</f>
        <v>0</v>
      </c>
    </row>
    <row r="145" spans="2:14" ht="15" customHeight="1" thickTop="1">
      <c r="B145" s="2111" t="s">
        <v>5289</v>
      </c>
      <c r="C145" s="2112">
        <v>1</v>
      </c>
      <c r="D145" s="518"/>
      <c r="E145" s="84"/>
      <c r="F145" s="83" t="s">
        <v>4201</v>
      </c>
      <c r="I145" s="1713" t="s">
        <v>4202</v>
      </c>
      <c r="N145" s="234"/>
    </row>
    <row r="146" spans="2:14" ht="15" customHeight="1">
      <c r="B146" s="2111" t="s">
        <v>5290</v>
      </c>
      <c r="C146" s="2112">
        <v>1</v>
      </c>
      <c r="D146" s="518"/>
      <c r="E146" s="84"/>
      <c r="F146" s="83" t="s">
        <v>4202</v>
      </c>
      <c r="I146" s="1713"/>
    </row>
    <row r="147" spans="2:14" ht="15" customHeight="1">
      <c r="B147" s="2111" t="s">
        <v>1718</v>
      </c>
      <c r="C147" s="2112">
        <v>1</v>
      </c>
      <c r="D147" s="518"/>
      <c r="E147" s="84"/>
      <c r="F147" s="84"/>
      <c r="I147" s="1713"/>
    </row>
    <row r="148" spans="2:14" ht="15" customHeight="1">
      <c r="B148" s="1715" t="str">
        <f>IF(J151=I144,I161,I162)</f>
        <v>ÚJ flottára vonatkozó díj vonatkozik 2021-re.</v>
      </c>
      <c r="C148" s="2120" t="str">
        <f>IF(C143=I144,I172,I171)</f>
        <v>Fenti szorzókat nem alkalmazzuk!</v>
      </c>
      <c r="D148" s="1716" t="str">
        <f>IF(J151=I144,C144,I163)</f>
        <v xml:space="preserve"> </v>
      </c>
      <c r="E148" s="84"/>
      <c r="F148" s="84"/>
    </row>
    <row r="149" spans="2:14" ht="187.5" customHeight="1">
      <c r="B149" s="3024" t="s">
        <v>5408</v>
      </c>
      <c r="C149" s="3403" t="s">
        <v>4202</v>
      </c>
      <c r="D149" s="1716"/>
      <c r="E149" s="84"/>
      <c r="F149" s="84"/>
      <c r="N149" s="234"/>
    </row>
    <row r="150" spans="2:14" ht="5.25" customHeight="1">
      <c r="B150" s="519"/>
      <c r="C150" s="520"/>
      <c r="D150" s="521"/>
      <c r="E150" s="84"/>
      <c r="F150" s="84"/>
      <c r="N150" s="234"/>
    </row>
    <row r="151" spans="2:14" hidden="1">
      <c r="B151" s="2113" t="s">
        <v>4209</v>
      </c>
      <c r="C151" s="2114" t="s">
        <v>4205</v>
      </c>
      <c r="D151" s="2115">
        <f>D195</f>
        <v>1</v>
      </c>
      <c r="I151" s="1713" t="s">
        <v>1725</v>
      </c>
      <c r="J151" s="290" t="str">
        <f>C143</f>
        <v>NEM</v>
      </c>
      <c r="N151" s="227" t="s">
        <v>1714</v>
      </c>
    </row>
    <row r="152" spans="2:14" ht="17.25" customHeight="1">
      <c r="B152" s="534" t="s">
        <v>5129</v>
      </c>
      <c r="C152" s="543" t="s">
        <v>4202</v>
      </c>
      <c r="D152" s="540">
        <f>IF(C152=G190,1%,0%)</f>
        <v>0</v>
      </c>
      <c r="G152"/>
      <c r="N152" s="234"/>
    </row>
    <row r="153" spans="2:14" hidden="1">
      <c r="B153" s="522" t="s">
        <v>861</v>
      </c>
      <c r="C153" s="536"/>
      <c r="D153" s="518"/>
      <c r="N153" s="2121"/>
    </row>
    <row r="154" spans="2:14" ht="25.5" hidden="1">
      <c r="B154" s="1246" t="s">
        <v>860</v>
      </c>
      <c r="C154" s="1247" t="s">
        <v>4202</v>
      </c>
      <c r="D154" s="1248">
        <f>IF($C$154=$G$190,$K$189,1)</f>
        <v>1</v>
      </c>
      <c r="N154" s="1595"/>
    </row>
    <row r="155" spans="2:14" ht="25.5" hidden="1">
      <c r="B155" s="1259" t="s">
        <v>862</v>
      </c>
      <c r="C155" s="1247" t="s">
        <v>4202</v>
      </c>
      <c r="D155" s="1248">
        <f>IF($C$155=$G$190,$K$190,1)</f>
        <v>1</v>
      </c>
      <c r="N155" s="1595"/>
    </row>
    <row r="156" spans="2:14" hidden="1">
      <c r="B156" s="1259" t="s">
        <v>857</v>
      </c>
      <c r="C156" s="1247" t="s">
        <v>4201</v>
      </c>
      <c r="D156" s="1248">
        <f>IF($C$156=$G$190,$K$191,1)</f>
        <v>2.2000000000000002</v>
      </c>
      <c r="N156" s="1595"/>
    </row>
    <row r="157" spans="2:14" ht="25.5" hidden="1">
      <c r="B157" s="1259" t="s">
        <v>858</v>
      </c>
      <c r="C157" s="1247" t="s">
        <v>4201</v>
      </c>
      <c r="D157" s="1248">
        <f>IF($C$157=$G$190,$K$192,1)</f>
        <v>2.2000000000000002</v>
      </c>
      <c r="N157" s="1595"/>
    </row>
    <row r="158" spans="2:14" hidden="1">
      <c r="B158" s="1259" t="s">
        <v>863</v>
      </c>
      <c r="C158" s="1247" t="s">
        <v>4201</v>
      </c>
      <c r="D158" s="1248">
        <f>IF($C$158=$G$190,$K$193,1)</f>
        <v>2.2000000000000002</v>
      </c>
      <c r="N158" s="1595"/>
    </row>
    <row r="159" spans="2:14" hidden="1">
      <c r="B159" s="1259" t="s">
        <v>864</v>
      </c>
      <c r="C159" s="1247" t="s">
        <v>4201</v>
      </c>
      <c r="D159" s="1248">
        <f>IF($C$159=$G$190,$K$194,1)</f>
        <v>2.2000000000000002</v>
      </c>
      <c r="N159" s="2661"/>
    </row>
    <row r="160" spans="2:14" ht="4.5" customHeight="1">
      <c r="B160" s="519"/>
      <c r="C160" s="535"/>
      <c r="D160" s="521"/>
      <c r="N160" s="296"/>
    </row>
    <row r="161" spans="2:10" ht="18" customHeight="1">
      <c r="B161" s="537" t="s">
        <v>1188</v>
      </c>
      <c r="C161" s="543" t="s">
        <v>4202</v>
      </c>
      <c r="D161" s="518"/>
      <c r="I161" s="1714" t="s">
        <v>5409</v>
      </c>
    </row>
    <row r="162" spans="2:10" ht="16.5" customHeight="1">
      <c r="B162" s="534" t="s">
        <v>2121</v>
      </c>
      <c r="C162" s="543">
        <v>0</v>
      </c>
      <c r="D162" s="518" t="s">
        <v>673</v>
      </c>
      <c r="I162" s="1714" t="s">
        <v>5404</v>
      </c>
    </row>
    <row r="163" spans="2:10" ht="14.25" customHeight="1">
      <c r="B163" s="619" t="s">
        <v>2404</v>
      </c>
      <c r="C163" s="525">
        <f>NDK!$B$50</f>
        <v>0</v>
      </c>
      <c r="D163" s="1322" t="s">
        <v>673</v>
      </c>
      <c r="I163" s="290" t="s">
        <v>430</v>
      </c>
      <c r="J163" t="s">
        <v>4528</v>
      </c>
    </row>
    <row r="164" spans="2:10" ht="4.5" customHeight="1">
      <c r="B164" s="538"/>
      <c r="C164" s="539"/>
      <c r="D164" s="521"/>
    </row>
    <row r="165" spans="2:10" hidden="1">
      <c r="B165" s="531" t="s">
        <v>4217</v>
      </c>
      <c r="C165" s="533"/>
      <c r="D165" s="532">
        <f>H198</f>
        <v>0.95</v>
      </c>
    </row>
    <row r="166" spans="2:10" ht="15" customHeight="1">
      <c r="B166" s="2447" t="s">
        <v>5237</v>
      </c>
      <c r="C166" s="543" t="s">
        <v>4202</v>
      </c>
      <c r="D166" s="2449">
        <f>IF(C166=D179,1.5,1)</f>
        <v>1</v>
      </c>
    </row>
    <row r="167" spans="2:10" ht="15" customHeight="1">
      <c r="B167" s="2447" t="s">
        <v>5384</v>
      </c>
      <c r="C167" s="543" t="s">
        <v>4202</v>
      </c>
      <c r="D167" s="2449">
        <f>IF(C167=D180,1,1.3)</f>
        <v>1</v>
      </c>
    </row>
    <row r="168" spans="2:10" ht="13.5" hidden="1" customHeight="1">
      <c r="B168" s="2783" t="s">
        <v>4218</v>
      </c>
      <c r="C168" s="2784"/>
      <c r="D168" s="2785"/>
    </row>
    <row r="169" spans="2:10" ht="18.75" hidden="1" customHeight="1">
      <c r="B169" s="541" t="s">
        <v>4219</v>
      </c>
      <c r="C169" s="533" t="s">
        <v>4220</v>
      </c>
      <c r="D169" s="532"/>
    </row>
    <row r="170" spans="2:10" ht="29.25" hidden="1" customHeight="1">
      <c r="B170" s="2453" t="s">
        <v>1187</v>
      </c>
      <c r="C170" s="2454" t="s">
        <v>4202</v>
      </c>
      <c r="D170" s="2455">
        <f>J219</f>
        <v>0</v>
      </c>
      <c r="I170" s="435" t="s">
        <v>4529</v>
      </c>
      <c r="J170" s="435">
        <f>IF(J151=I144,D148,0)</f>
        <v>0</v>
      </c>
    </row>
    <row r="171" spans="2:10" ht="18" hidden="1" customHeight="1" thickBot="1">
      <c r="B171" s="2779" t="s">
        <v>1194</v>
      </c>
      <c r="C171" s="2780" t="s">
        <v>4202</v>
      </c>
      <c r="D171" s="2781">
        <f>$J$218</f>
        <v>0</v>
      </c>
      <c r="I171" t="s">
        <v>4830</v>
      </c>
    </row>
    <row r="172" spans="2:10" ht="13.5" hidden="1" thickTop="1">
      <c r="B172" s="2450" t="s">
        <v>3421</v>
      </c>
      <c r="C172" s="2451" t="s">
        <v>3419</v>
      </c>
      <c r="D172" s="2452"/>
      <c r="I172" t="s">
        <v>4829</v>
      </c>
    </row>
    <row r="173" spans="2:10" ht="4.5" hidden="1" customHeight="1">
      <c r="B173" s="542"/>
      <c r="C173" s="520"/>
      <c r="D173" s="521"/>
    </row>
    <row r="174" spans="2:10" ht="24.75" hidden="1" thickBot="1">
      <c r="B174" s="1598" t="s">
        <v>1192</v>
      </c>
      <c r="C174" s="1599" t="s">
        <v>4201</v>
      </c>
      <c r="D174" s="1600">
        <f>E210</f>
        <v>0.79549999999999998</v>
      </c>
    </row>
    <row r="175" spans="2:10" ht="14.25" hidden="1" thickTop="1" thickBot="1">
      <c r="B175" s="616" t="s">
        <v>3121</v>
      </c>
      <c r="C175" s="617" t="s">
        <v>4201</v>
      </c>
      <c r="D175" s="618">
        <v>0.5</v>
      </c>
    </row>
    <row r="176" spans="2:10" ht="13.5" hidden="1" thickTop="1"/>
    <row r="177" spans="2:12" hidden="1">
      <c r="B177" s="2105" t="s">
        <v>4822</v>
      </c>
      <c r="C177" s="2106">
        <f>IF(C152=G190,0.99,1)</f>
        <v>1</v>
      </c>
    </row>
    <row r="178" spans="2:12" ht="5.25" hidden="1" customHeight="1"/>
    <row r="179" spans="2:12" hidden="1">
      <c r="D179" s="2448" t="s">
        <v>4201</v>
      </c>
    </row>
    <row r="180" spans="2:12" hidden="1">
      <c r="D180" s="2448" t="s">
        <v>4202</v>
      </c>
    </row>
    <row r="181" spans="2:12" hidden="1">
      <c r="B181" s="514" t="s">
        <v>4353</v>
      </c>
    </row>
    <row r="182" spans="2:12" hidden="1">
      <c r="B182" s="282" t="s">
        <v>4354</v>
      </c>
    </row>
    <row r="183" spans="2:12" hidden="1">
      <c r="B183" s="523">
        <f>MAX(D154,D155,D156)</f>
        <v>2.2000000000000002</v>
      </c>
      <c r="C183" s="273" t="s">
        <v>4203</v>
      </c>
      <c r="E183" s="75" t="s">
        <v>3065</v>
      </c>
      <c r="F183" s="75" t="str">
        <f>C140</f>
        <v>Cég</v>
      </c>
    </row>
    <row r="184" spans="2:12" hidden="1">
      <c r="B184" s="282" t="s">
        <v>1180</v>
      </c>
      <c r="C184" t="s">
        <v>2682</v>
      </c>
      <c r="E184" s="75">
        <v>1</v>
      </c>
    </row>
    <row r="185" spans="2:12" hidden="1">
      <c r="B185" s="523"/>
      <c r="C185" t="s">
        <v>2684</v>
      </c>
      <c r="E185" s="75">
        <v>2</v>
      </c>
      <c r="G185" s="513" t="s">
        <v>4205</v>
      </c>
      <c r="H185">
        <v>1</v>
      </c>
    </row>
    <row r="186" spans="2:12" hidden="1">
      <c r="B186" s="282" t="s">
        <v>3153</v>
      </c>
      <c r="C186" t="s">
        <v>2685</v>
      </c>
      <c r="E186" s="75">
        <v>3</v>
      </c>
      <c r="G186" s="513" t="s">
        <v>4206</v>
      </c>
      <c r="H186">
        <v>2</v>
      </c>
    </row>
    <row r="187" spans="2:12" hidden="1">
      <c r="B187" s="523">
        <f>MAX(D154,D155,D158)</f>
        <v>2.2000000000000002</v>
      </c>
      <c r="C187" t="s">
        <v>2686</v>
      </c>
      <c r="E187" s="75">
        <v>4</v>
      </c>
      <c r="G187" s="513" t="s">
        <v>4207</v>
      </c>
      <c r="H187">
        <v>3</v>
      </c>
      <c r="I187" s="1250" t="s">
        <v>865</v>
      </c>
      <c r="J187" s="1251"/>
      <c r="K187" s="1251"/>
    </row>
    <row r="188" spans="2:12" hidden="1">
      <c r="B188" s="1250" t="s">
        <v>1078</v>
      </c>
      <c r="C188" t="s">
        <v>4197</v>
      </c>
      <c r="E188" s="75">
        <v>5</v>
      </c>
      <c r="I188" s="1251" t="s">
        <v>4211</v>
      </c>
      <c r="J188" s="1251"/>
      <c r="K188" s="1251" t="s">
        <v>4212</v>
      </c>
      <c r="L188" t="s">
        <v>4352</v>
      </c>
    </row>
    <row r="189" spans="2:12" hidden="1">
      <c r="B189" s="1252">
        <f>MAX(D154,D155,D166)</f>
        <v>1</v>
      </c>
      <c r="C189" t="s">
        <v>4198</v>
      </c>
      <c r="E189" s="75">
        <v>6</v>
      </c>
      <c r="G189" s="513" t="s">
        <v>4210</v>
      </c>
      <c r="H189" s="282"/>
      <c r="I189" s="1251" t="s">
        <v>4347</v>
      </c>
      <c r="J189" s="1251" t="str">
        <f t="shared" ref="J189:J194" si="0">C154</f>
        <v>NEM</v>
      </c>
      <c r="K189" s="1251">
        <v>2.5</v>
      </c>
    </row>
    <row r="190" spans="2:12" hidden="1">
      <c r="C190" t="s">
        <v>4199</v>
      </c>
      <c r="E190" s="75">
        <v>7</v>
      </c>
      <c r="G190" s="513" t="s">
        <v>4201</v>
      </c>
      <c r="H190" s="282"/>
      <c r="I190" s="1251" t="s">
        <v>4348</v>
      </c>
      <c r="J190" s="1251" t="str">
        <f t="shared" si="0"/>
        <v>NEM</v>
      </c>
      <c r="K190" s="1251">
        <v>2.5</v>
      </c>
    </row>
    <row r="191" spans="2:12" hidden="1">
      <c r="C191" s="75" t="s">
        <v>4200</v>
      </c>
      <c r="D191" s="78">
        <f>IF(F183=C184,E184,IF(F183=C185,E185,IF(F183=C186,E186,IF(F183=C187,E187,IF(F183=C188,E188,IF(F183=C189,E189,IF(F183=C190,E190,0)))))))</f>
        <v>1</v>
      </c>
      <c r="G191" s="513" t="s">
        <v>4202</v>
      </c>
      <c r="H191" s="282"/>
      <c r="I191" s="1251" t="s">
        <v>4349</v>
      </c>
      <c r="J191" s="1251" t="str">
        <f t="shared" si="0"/>
        <v>IGEN</v>
      </c>
      <c r="K191" s="1251">
        <v>2.2000000000000002</v>
      </c>
      <c r="L191">
        <v>1.5</v>
      </c>
    </row>
    <row r="192" spans="2:12" hidden="1">
      <c r="I192" s="1251" t="s">
        <v>4350</v>
      </c>
      <c r="J192" s="1251" t="str">
        <f t="shared" si="0"/>
        <v>IGEN</v>
      </c>
      <c r="K192" s="1251">
        <v>2.2000000000000002</v>
      </c>
      <c r="L192">
        <v>1.5</v>
      </c>
    </row>
    <row r="193" spans="3:14" hidden="1">
      <c r="I193" s="1251" t="s">
        <v>4351</v>
      </c>
      <c r="J193" s="1251" t="str">
        <f t="shared" si="0"/>
        <v>IGEN</v>
      </c>
      <c r="K193" s="1251">
        <v>2.2000000000000002</v>
      </c>
      <c r="L193">
        <v>1.5</v>
      </c>
    </row>
    <row r="194" spans="3:14" hidden="1">
      <c r="C194" s="514" t="s">
        <v>4204</v>
      </c>
      <c r="D194" s="526" t="s">
        <v>3065</v>
      </c>
      <c r="E194" s="513" t="str">
        <f>C151</f>
        <v>ÉVES</v>
      </c>
      <c r="I194" s="1251" t="s">
        <v>859</v>
      </c>
      <c r="J194" s="1251" t="str">
        <f t="shared" si="0"/>
        <v>IGEN</v>
      </c>
      <c r="K194" s="1251">
        <v>2.2000000000000002</v>
      </c>
    </row>
    <row r="195" spans="3:14" hidden="1">
      <c r="C195" s="513" t="s">
        <v>4208</v>
      </c>
      <c r="D195" s="526">
        <f>IF(E194=G185,1,IF(E194=G186,1,1))</f>
        <v>1</v>
      </c>
      <c r="E195" s="513"/>
    </row>
    <row r="196" spans="3:14" hidden="1"/>
    <row r="197" spans="3:14" hidden="1">
      <c r="C197" s="274" t="s">
        <v>4940</v>
      </c>
      <c r="D197" s="275"/>
      <c r="E197" s="274">
        <f>NDK!B50</f>
        <v>0</v>
      </c>
      <c r="F197" s="274"/>
      <c r="G197" s="274"/>
      <c r="H197" s="270"/>
      <c r="I197" s="252" t="s">
        <v>4220</v>
      </c>
      <c r="J197" s="252">
        <v>30</v>
      </c>
      <c r="K197" s="252" t="s">
        <v>3422</v>
      </c>
      <c r="L197" s="252" t="str">
        <f>C169</f>
        <v>Kárhányad 40% alatt</v>
      </c>
      <c r="M197" s="252"/>
    </row>
    <row r="198" spans="3:14" hidden="1">
      <c r="C198" s="274" t="s">
        <v>4213</v>
      </c>
      <c r="D198" s="275" t="s">
        <v>4214</v>
      </c>
      <c r="E198" s="274">
        <v>0.76</v>
      </c>
      <c r="F198" s="274" t="s">
        <v>4216</v>
      </c>
      <c r="G198" s="274"/>
      <c r="H198" s="270">
        <f>IF(AND(E197&gt;=1,E197&lt;=5),E198,IF(E197=D199,E199,IF(E197=D200,E200,IF(E197=D201,E201,IF(E197=D202,E202,IF(E197=D203,E203,IF(E197=D204,E204,IF(E197=D205,E205,E206))))))))</f>
        <v>0.95</v>
      </c>
      <c r="I198" s="252" t="s">
        <v>4221</v>
      </c>
      <c r="J198" s="252">
        <v>10</v>
      </c>
      <c r="K198" s="252"/>
      <c r="L198" s="252"/>
      <c r="M198" s="252"/>
    </row>
    <row r="199" spans="3:14" hidden="1">
      <c r="D199" s="275">
        <v>6</v>
      </c>
      <c r="E199" s="274">
        <v>0.76500000000000001</v>
      </c>
      <c r="I199" s="252" t="s">
        <v>3420</v>
      </c>
      <c r="J199" s="252">
        <v>0</v>
      </c>
      <c r="K199" s="252"/>
      <c r="L199" s="252"/>
      <c r="M199" s="252"/>
    </row>
    <row r="200" spans="3:14" hidden="1">
      <c r="D200" s="275">
        <v>7</v>
      </c>
      <c r="E200" s="274">
        <v>0.77</v>
      </c>
      <c r="I200" s="76" t="s">
        <v>4222</v>
      </c>
      <c r="J200" s="76">
        <v>10</v>
      </c>
      <c r="K200" s="1028" t="s">
        <v>3423</v>
      </c>
      <c r="L200" s="1028" t="str">
        <f>$C$170</f>
        <v>NEM</v>
      </c>
      <c r="M200" s="252"/>
    </row>
    <row r="201" spans="3:14" hidden="1">
      <c r="D201" s="275">
        <v>8</v>
      </c>
      <c r="E201" s="274">
        <v>0.77500000000000002</v>
      </c>
      <c r="I201" s="76" t="s">
        <v>4223</v>
      </c>
      <c r="J201" s="76">
        <v>10</v>
      </c>
      <c r="K201" s="1028" t="s">
        <v>3424</v>
      </c>
      <c r="L201" s="1028" t="str">
        <f>$C$171</f>
        <v>NEM</v>
      </c>
      <c r="M201" s="252"/>
    </row>
    <row r="202" spans="3:14" hidden="1">
      <c r="D202" s="275">
        <v>9</v>
      </c>
      <c r="E202" s="274">
        <v>0.78</v>
      </c>
      <c r="I202" s="252" t="s">
        <v>4224</v>
      </c>
      <c r="J202" s="252">
        <v>30</v>
      </c>
      <c r="K202" s="252"/>
      <c r="L202" s="252"/>
      <c r="M202" s="252"/>
    </row>
    <row r="203" spans="3:14" hidden="1">
      <c r="D203" s="275">
        <v>10</v>
      </c>
      <c r="E203" s="274">
        <v>0.78500000000000003</v>
      </c>
      <c r="I203" s="252"/>
      <c r="J203" s="252"/>
      <c r="K203" s="252"/>
      <c r="L203" s="252"/>
      <c r="M203" s="252"/>
    </row>
    <row r="204" spans="3:14" hidden="1">
      <c r="D204" s="275">
        <v>11</v>
      </c>
      <c r="E204" s="274">
        <v>0.79</v>
      </c>
      <c r="I204" s="252" t="s">
        <v>4225</v>
      </c>
      <c r="J204" s="252" t="s">
        <v>3419</v>
      </c>
      <c r="K204" s="252"/>
      <c r="L204" s="252"/>
      <c r="M204" s="252" t="s">
        <v>3065</v>
      </c>
      <c r="N204" t="str">
        <f>C172</f>
        <v>Egyik sem</v>
      </c>
    </row>
    <row r="205" spans="3:14" hidden="1">
      <c r="D205" s="275">
        <v>12</v>
      </c>
      <c r="E205" s="274">
        <v>0.79500000000000004</v>
      </c>
      <c r="I205" s="252"/>
      <c r="J205" s="252" t="s">
        <v>4226</v>
      </c>
      <c r="K205" s="252"/>
      <c r="L205" s="252"/>
      <c r="M205" s="252"/>
    </row>
    <row r="206" spans="3:14" hidden="1">
      <c r="D206" s="275" t="s">
        <v>4215</v>
      </c>
      <c r="E206" s="274">
        <v>0.95</v>
      </c>
      <c r="I206" s="252"/>
      <c r="J206" s="252" t="s">
        <v>4227</v>
      </c>
      <c r="K206" s="252"/>
      <c r="L206" s="252"/>
      <c r="M206" s="252"/>
    </row>
    <row r="207" spans="3:14" hidden="1">
      <c r="I207" s="252"/>
      <c r="J207" s="252" t="s">
        <v>4228</v>
      </c>
      <c r="K207" s="252"/>
      <c r="L207" s="252"/>
      <c r="M207" s="252"/>
    </row>
    <row r="208" spans="3:14" hidden="1">
      <c r="D208" s="526" t="s">
        <v>3428</v>
      </c>
      <c r="E208" s="513"/>
      <c r="I208" s="252"/>
      <c r="J208" s="252" t="s">
        <v>4229</v>
      </c>
      <c r="K208" s="252"/>
      <c r="L208" s="252"/>
      <c r="M208" s="252"/>
    </row>
    <row r="209" spans="4:13" hidden="1">
      <c r="D209" s="526" t="s">
        <v>3065</v>
      </c>
      <c r="E209" s="513" t="str">
        <f>C174</f>
        <v>IGEN</v>
      </c>
      <c r="I209" s="252"/>
      <c r="J209" s="252" t="s">
        <v>4230</v>
      </c>
      <c r="K209" s="252"/>
      <c r="L209" s="252"/>
      <c r="M209" s="252"/>
    </row>
    <row r="210" spans="4:13" hidden="1">
      <c r="D210" s="526" t="s">
        <v>3429</v>
      </c>
      <c r="E210" s="513">
        <f>IF(E209=G190,0.7955,1)</f>
        <v>0.79549999999999998</v>
      </c>
      <c r="I210" s="252"/>
      <c r="J210" s="252" t="s">
        <v>4231</v>
      </c>
      <c r="K210" s="252"/>
      <c r="L210" s="252"/>
      <c r="M210" s="252"/>
    </row>
    <row r="211" spans="4:13" hidden="1">
      <c r="I211" s="252"/>
      <c r="J211" s="252" t="s">
        <v>4869</v>
      </c>
      <c r="K211" s="252"/>
      <c r="L211" s="252"/>
      <c r="M211" s="252"/>
    </row>
    <row r="212" spans="4:13" hidden="1">
      <c r="D212" s="276" t="s">
        <v>3430</v>
      </c>
      <c r="E212" s="277">
        <v>1.5</v>
      </c>
      <c r="I212" s="252"/>
      <c r="J212" s="252" t="s">
        <v>4870</v>
      </c>
      <c r="K212" s="252"/>
      <c r="L212" s="252"/>
      <c r="M212" s="252"/>
    </row>
    <row r="213" spans="4:13" hidden="1">
      <c r="I213" s="252"/>
      <c r="J213" s="252" t="s">
        <v>4871</v>
      </c>
      <c r="K213" s="252"/>
      <c r="L213" s="252"/>
      <c r="M213" s="252"/>
    </row>
    <row r="214" spans="4:13" hidden="1">
      <c r="I214" s="252"/>
      <c r="J214" s="252" t="s">
        <v>4872</v>
      </c>
      <c r="K214" s="252"/>
      <c r="L214" s="252"/>
      <c r="M214" s="252"/>
    </row>
    <row r="215" spans="4:13" hidden="1">
      <c r="I215" s="252"/>
      <c r="J215" s="252" t="s">
        <v>3418</v>
      </c>
      <c r="K215" s="252"/>
      <c r="L215" s="252"/>
      <c r="M215" s="252"/>
    </row>
    <row r="216" spans="4:13" hidden="1">
      <c r="I216" s="1028" t="s">
        <v>873</v>
      </c>
      <c r="J216" s="1268">
        <f>Wáberer!$N$16</f>
        <v>0</v>
      </c>
      <c r="K216" s="252"/>
      <c r="L216" s="252"/>
      <c r="M216" s="252"/>
    </row>
    <row r="217" spans="4:13" hidden="1">
      <c r="I217" s="252" t="s">
        <v>4219</v>
      </c>
      <c r="J217" s="252">
        <f>IF(L197=I197,30,IF(L197=I198,10,0))</f>
        <v>30</v>
      </c>
      <c r="K217" s="252"/>
      <c r="L217" s="252"/>
      <c r="M217" s="252"/>
    </row>
    <row r="218" spans="4:13" hidden="1">
      <c r="I218" s="1028" t="s">
        <v>3425</v>
      </c>
      <c r="J218" s="1268">
        <f>IF($L$201=$G$190,10%,0)</f>
        <v>0</v>
      </c>
      <c r="K218" s="252"/>
      <c r="L218" s="252"/>
      <c r="M218" s="252"/>
    </row>
    <row r="219" spans="4:13" ht="15.75" hidden="1">
      <c r="I219" s="1028" t="s">
        <v>3426</v>
      </c>
      <c r="J219" s="1268">
        <v>0</v>
      </c>
      <c r="K219" s="2437" t="s">
        <v>5076</v>
      </c>
      <c r="L219" s="252"/>
      <c r="M219" s="252"/>
    </row>
    <row r="220" spans="4:13" hidden="1">
      <c r="I220" s="1250" t="s">
        <v>1073</v>
      </c>
      <c r="J220" s="1269">
        <f>$J$218+$J$219+$J$216</f>
        <v>0</v>
      </c>
      <c r="K220" s="252"/>
      <c r="L220" s="252"/>
      <c r="M220" s="252"/>
    </row>
    <row r="221" spans="4:13" hidden="1">
      <c r="I221" s="252" t="s">
        <v>3427</v>
      </c>
      <c r="J221" s="252">
        <f>IF(J220&gt;0.3,0.3,J220)</f>
        <v>0</v>
      </c>
      <c r="K221" s="282">
        <f>1-J220/100</f>
        <v>1</v>
      </c>
      <c r="L221" s="282" t="s">
        <v>3431</v>
      </c>
      <c r="M221" s="282" t="s">
        <v>3152</v>
      </c>
    </row>
    <row r="222" spans="4:13" hidden="1"/>
    <row r="223" spans="4:13" hidden="1"/>
    <row r="224" spans="4:13" hidden="1"/>
    <row r="225" spans="2:14" hidden="1"/>
    <row r="226" spans="2:14" hidden="1"/>
    <row r="227" spans="2:14" hidden="1"/>
    <row r="228" spans="2:14" ht="6.75" customHeight="1" thickBot="1"/>
    <row r="229" spans="2:14" ht="15.75" customHeight="1" thickTop="1">
      <c r="B229" s="304" t="s">
        <v>1495</v>
      </c>
      <c r="C229" s="305"/>
      <c r="D229" s="3534" t="s">
        <v>3751</v>
      </c>
      <c r="F229" s="75" t="s">
        <v>1570</v>
      </c>
      <c r="G229" s="75" t="str">
        <f>C230</f>
        <v>NEM</v>
      </c>
      <c r="N229" s="1451" t="s">
        <v>1573</v>
      </c>
    </row>
    <row r="230" spans="2:14" ht="15.75" customHeight="1">
      <c r="B230" s="306" t="s">
        <v>3748</v>
      </c>
      <c r="C230" s="578" t="s">
        <v>4202</v>
      </c>
      <c r="D230" s="3535"/>
      <c r="N230" s="1452" t="s">
        <v>1714</v>
      </c>
    </row>
    <row r="231" spans="2:14" ht="26.25" customHeight="1" thickBot="1">
      <c r="B231" s="1852" t="s">
        <v>3753</v>
      </c>
      <c r="C231" s="578" t="s">
        <v>4202</v>
      </c>
      <c r="D231" s="1853" t="s">
        <v>3752</v>
      </c>
      <c r="N231" s="1453">
        <f>NDK!AE53</f>
        <v>0</v>
      </c>
    </row>
    <row r="232" spans="2:14" ht="13.5" thickTop="1">
      <c r="B232" s="1412" t="s">
        <v>3018</v>
      </c>
      <c r="C232" s="602">
        <v>1</v>
      </c>
      <c r="D232" s="1851">
        <f>IF(OR(C230=D253,C231=D253),IF(C232&gt;0,C232,D255),1)</f>
        <v>1</v>
      </c>
    </row>
    <row r="233" spans="2:14" ht="16.5" customHeight="1" thickBot="1">
      <c r="B233" s="2477" t="str">
        <f>IF(AND($C$230=$F$238,$C$231=$F$238),$B$255,$B$256)</f>
        <v xml:space="preserve"> </v>
      </c>
      <c r="C233" s="2478"/>
      <c r="D233" s="2479"/>
    </row>
    <row r="234" spans="2:14" ht="13.5" thickTop="1">
      <c r="B234" s="1863" t="s">
        <v>4209</v>
      </c>
      <c r="C234" s="1864" t="s">
        <v>4205</v>
      </c>
      <c r="D234" s="600">
        <f>IF(C234=F252,0.05,0)</f>
        <v>0.05</v>
      </c>
      <c r="F234" s="75" t="s">
        <v>216</v>
      </c>
      <c r="H234" s="1354" t="str">
        <f>C236</f>
        <v>IGEN</v>
      </c>
      <c r="K234" s="1409"/>
    </row>
    <row r="235" spans="2:14" ht="15" customHeight="1">
      <c r="B235" s="3276" t="s">
        <v>5435</v>
      </c>
      <c r="C235" s="1862" t="s">
        <v>4202</v>
      </c>
      <c r="D235" s="601">
        <f>IF(C235=F238,-95%,0%)</f>
        <v>0</v>
      </c>
      <c r="K235" s="1410"/>
    </row>
    <row r="236" spans="2:14" ht="15" customHeight="1">
      <c r="B236" s="2883" t="s">
        <v>5253</v>
      </c>
      <c r="C236" s="878" t="s">
        <v>4201</v>
      </c>
      <c r="D236" s="879">
        <f>IF(AND(H234=F238,H236&gt;50),0.1,0)</f>
        <v>0</v>
      </c>
      <c r="F236" s="75" t="s">
        <v>3764</v>
      </c>
      <c r="H236">
        <f>NDK!X50</f>
        <v>0</v>
      </c>
      <c r="I236" t="s">
        <v>3759</v>
      </c>
      <c r="J236" s="1354" t="str">
        <f>C238</f>
        <v>IGEN</v>
      </c>
      <c r="K236" s="1410"/>
    </row>
    <row r="237" spans="2:14" ht="14.25" customHeight="1" thickBot="1">
      <c r="B237" s="2883" t="s">
        <v>5262</v>
      </c>
      <c r="C237" s="878" t="s">
        <v>4201</v>
      </c>
      <c r="D237" s="879">
        <f>IF(AND(NDK!$B$50&gt;100,C237=D253),0.1,0)</f>
        <v>0</v>
      </c>
      <c r="F237" s="75" t="s">
        <v>2142</v>
      </c>
      <c r="I237" t="s">
        <v>2142</v>
      </c>
      <c r="J237" t="s">
        <v>2143</v>
      </c>
      <c r="K237" s="1410"/>
    </row>
    <row r="238" spans="2:14" ht="15.75" customHeight="1" thickTop="1">
      <c r="B238" s="1352" t="s">
        <v>2132</v>
      </c>
      <c r="C238" s="1348" t="s">
        <v>4201</v>
      </c>
      <c r="D238" s="1349">
        <f>$J$242</f>
        <v>0.12</v>
      </c>
      <c r="F238" s="75" t="s">
        <v>4201</v>
      </c>
      <c r="G238" s="1355">
        <v>0.02</v>
      </c>
      <c r="H238" t="s">
        <v>2138</v>
      </c>
      <c r="I238" s="1354" t="str">
        <f>C240</f>
        <v>IGEN</v>
      </c>
      <c r="J238" s="1356">
        <f>IF(I238=$F$238,$G238,0)</f>
        <v>0.02</v>
      </c>
      <c r="K238" s="1410"/>
    </row>
    <row r="239" spans="2:14">
      <c r="B239" s="1350" t="s">
        <v>2133</v>
      </c>
      <c r="C239" s="1353"/>
      <c r="D239" s="1351"/>
      <c r="F239" s="75" t="s">
        <v>4202</v>
      </c>
      <c r="G239" s="1355">
        <v>0.02</v>
      </c>
      <c r="H239" t="s">
        <v>2139</v>
      </c>
      <c r="I239" s="1354" t="str">
        <f>C241</f>
        <v>IGEN</v>
      </c>
      <c r="J239" s="1356">
        <f>IF(I239=$F$238,$G239,0)</f>
        <v>0.02</v>
      </c>
      <c r="K239" s="1410"/>
    </row>
    <row r="240" spans="2:14" ht="15" customHeight="1">
      <c r="B240" s="1350" t="s">
        <v>2134</v>
      </c>
      <c r="C240" s="307" t="s">
        <v>4201</v>
      </c>
      <c r="D240" s="1351"/>
      <c r="G240" s="1355">
        <v>0.02</v>
      </c>
      <c r="H240" t="s">
        <v>2140</v>
      </c>
      <c r="I240" s="1354" t="str">
        <f>C242</f>
        <v>IGEN</v>
      </c>
      <c r="J240" s="1356">
        <f>IF(I240=$F$238,$G240,0)</f>
        <v>0.02</v>
      </c>
      <c r="K240" s="1410"/>
    </row>
    <row r="241" spans="2:11" ht="15" customHeight="1">
      <c r="B241" s="1350" t="s">
        <v>2135</v>
      </c>
      <c r="C241" s="307" t="s">
        <v>4201</v>
      </c>
      <c r="D241" s="1351"/>
      <c r="G241" s="1355">
        <v>0.06</v>
      </c>
      <c r="H241" t="s">
        <v>2141</v>
      </c>
      <c r="I241" s="1354" t="str">
        <f>C243</f>
        <v>IGEN</v>
      </c>
      <c r="J241" s="1356">
        <f>IF(I241=$F$238,$G241,0)</f>
        <v>0.06</v>
      </c>
      <c r="K241" s="1410"/>
    </row>
    <row r="242" spans="2:11" ht="15" customHeight="1" thickBot="1">
      <c r="B242" s="1350" t="s">
        <v>2136</v>
      </c>
      <c r="C242" s="307" t="s">
        <v>4201</v>
      </c>
      <c r="D242" s="1351"/>
      <c r="I242" t="s">
        <v>2144</v>
      </c>
      <c r="J242" s="1356">
        <f>IF(J236=F238,SUM(J238:J241),0)</f>
        <v>0.12</v>
      </c>
      <c r="K242" s="1411"/>
    </row>
    <row r="243" spans="2:11" ht="15.75" customHeight="1" thickTop="1" thickBot="1">
      <c r="B243" s="2459" t="s">
        <v>2137</v>
      </c>
      <c r="C243" s="878" t="s">
        <v>4201</v>
      </c>
      <c r="D243" s="2460"/>
      <c r="K243" s="1413"/>
    </row>
    <row r="244" spans="2:11" ht="15" customHeight="1" thickTop="1" thickBot="1">
      <c r="B244" s="2461" t="s">
        <v>774</v>
      </c>
      <c r="C244" s="3119" t="s">
        <v>4201</v>
      </c>
      <c r="D244" s="2750">
        <f>Allianz!F55</f>
        <v>1</v>
      </c>
      <c r="K244" s="1173"/>
    </row>
    <row r="245" spans="2:11" ht="19.5" customHeight="1" thickTop="1" thickBot="1">
      <c r="B245" s="1865" t="s">
        <v>5389</v>
      </c>
      <c r="C245" s="1379" t="s">
        <v>4202</v>
      </c>
      <c r="D245" s="1866">
        <f>IF(C245=F238,60%,0%)</f>
        <v>0</v>
      </c>
      <c r="F245" s="75" t="s">
        <v>3749</v>
      </c>
      <c r="G245" s="298" t="str">
        <f>C231</f>
        <v>NEM</v>
      </c>
      <c r="I245" t="s">
        <v>3755</v>
      </c>
      <c r="J245" t="str">
        <f>C230</f>
        <v>NEM</v>
      </c>
    </row>
    <row r="246" spans="2:11" ht="29.25" customHeight="1" thickTop="1" thickBot="1">
      <c r="B246" s="2551" t="s">
        <v>5414</v>
      </c>
      <c r="C246" s="2552" t="s">
        <v>4202</v>
      </c>
      <c r="D246" s="2557">
        <f>Allianz!AH2</f>
        <v>0.83000000000000007</v>
      </c>
      <c r="G246" s="298"/>
    </row>
    <row r="247" spans="2:11" ht="29.25" customHeight="1" thickTop="1" thickBot="1">
      <c r="B247" s="2551" t="s">
        <v>5419</v>
      </c>
      <c r="C247" s="2552" t="s">
        <v>4202</v>
      </c>
      <c r="D247" s="2882" t="str">
        <f>IF(Allianz!F52=Allianz!E50,Allianz!F50,Allianz!F51)</f>
        <v xml:space="preserve"> </v>
      </c>
      <c r="G247" s="298"/>
    </row>
    <row r="248" spans="2:11" ht="29.25" customHeight="1" thickTop="1" thickBot="1">
      <c r="B248" s="2551" t="s">
        <v>5418</v>
      </c>
      <c r="C248" s="2552" t="s">
        <v>4202</v>
      </c>
      <c r="D248" s="2882">
        <f>Allianz!F45</f>
        <v>1</v>
      </c>
      <c r="G248" s="298"/>
    </row>
    <row r="249" spans="2:11" ht="16.5" customHeight="1" thickTop="1" thickBot="1">
      <c r="B249" s="1345" t="s">
        <v>5203</v>
      </c>
      <c r="C249" s="1346">
        <f>1-D249</f>
        <v>0.83000000000000007</v>
      </c>
      <c r="D249" s="1347">
        <f>D234+D235+D236+D237+D238</f>
        <v>0.16999999999999998</v>
      </c>
      <c r="F249" s="75" t="s">
        <v>3750</v>
      </c>
      <c r="G249" s="75">
        <f>IF(G245=F238,C232,1)</f>
        <v>1</v>
      </c>
      <c r="I249" t="s">
        <v>3756</v>
      </c>
      <c r="J249">
        <f>IF(J245=F238,C232,1)</f>
        <v>1</v>
      </c>
    </row>
    <row r="250" spans="2:11" ht="13.5" hidden="1" thickTop="1">
      <c r="C250" s="298"/>
    </row>
    <row r="251" spans="2:11" hidden="1">
      <c r="B251" s="2555" t="s">
        <v>5108</v>
      </c>
      <c r="C251" s="2556" t="str">
        <f>C246</f>
        <v>NEM</v>
      </c>
    </row>
    <row r="252" spans="2:11" hidden="1">
      <c r="B252" s="2553" t="s">
        <v>5107</v>
      </c>
      <c r="F252" s="75" t="s">
        <v>4205</v>
      </c>
    </row>
    <row r="253" spans="2:11" hidden="1">
      <c r="B253" s="2554" t="str">
        <f>C230</f>
        <v>NEM</v>
      </c>
      <c r="C253" s="603" t="s">
        <v>227</v>
      </c>
      <c r="D253" s="604" t="s">
        <v>4201</v>
      </c>
      <c r="F253" s="75" t="s">
        <v>3198</v>
      </c>
    </row>
    <row r="254" spans="2:11" hidden="1">
      <c r="B254" t="s">
        <v>228</v>
      </c>
      <c r="C254" s="605">
        <f>IF(B253=D253,C232,1)</f>
        <v>1</v>
      </c>
      <c r="D254" s="604" t="s">
        <v>4202</v>
      </c>
    </row>
    <row r="255" spans="2:11" hidden="1">
      <c r="B255" s="530" t="s">
        <v>3757</v>
      </c>
      <c r="D255" s="324" t="s">
        <v>1497</v>
      </c>
    </row>
    <row r="256" spans="2:11" hidden="1">
      <c r="B256" t="s">
        <v>430</v>
      </c>
      <c r="C256" s="75" t="s">
        <v>3758</v>
      </c>
    </row>
    <row r="257" spans="2:16" ht="4.5" customHeight="1" thickTop="1" thickBot="1"/>
    <row r="258" spans="2:16" ht="17.25" customHeight="1" thickTop="1" thickBot="1">
      <c r="B258" s="308" t="s">
        <v>1499</v>
      </c>
      <c r="C258" s="309"/>
      <c r="D258" s="310" t="s">
        <v>1501</v>
      </c>
      <c r="E258" s="2317"/>
      <c r="N258" s="1607" t="s">
        <v>2714</v>
      </c>
      <c r="P258">
        <v>10216987</v>
      </c>
    </row>
    <row r="259" spans="2:16" ht="17.25" customHeight="1" thickTop="1">
      <c r="B259" s="1640" t="s">
        <v>1557</v>
      </c>
      <c r="C259" s="1641" t="s">
        <v>4202</v>
      </c>
      <c r="D259" s="1634"/>
      <c r="E259" s="2282"/>
      <c r="F259" s="75" t="s">
        <v>4201</v>
      </c>
      <c r="I259" s="2335" t="s">
        <v>5053</v>
      </c>
      <c r="N259" s="1608" t="s">
        <v>1714</v>
      </c>
      <c r="P259">
        <v>10314822</v>
      </c>
    </row>
    <row r="260" spans="2:16" ht="17.25" customHeight="1" thickBot="1">
      <c r="B260" s="1605" t="s">
        <v>1558</v>
      </c>
      <c r="C260" s="1642" t="s">
        <v>1555</v>
      </c>
      <c r="D260" s="1634">
        <f>Generali!BG44</f>
        <v>0.16470000000000001</v>
      </c>
      <c r="E260" s="2282"/>
      <c r="F260" s="75" t="s">
        <v>4202</v>
      </c>
      <c r="I260" s="2335" t="s">
        <v>5052</v>
      </c>
      <c r="N260" s="1610" t="e">
        <f>NDK!AM53</f>
        <v>#DIV/0!</v>
      </c>
      <c r="P260">
        <v>10439782</v>
      </c>
    </row>
    <row r="261" spans="2:16" ht="17.25" customHeight="1" thickTop="1" thickBot="1">
      <c r="B261" s="2384" t="str">
        <f>IF(C259=F259,I260,I259)</f>
        <v>NEM Eltérő flotta díjat számol.</v>
      </c>
      <c r="C261" s="311"/>
      <c r="D261" s="1634"/>
      <c r="E261" s="2282"/>
      <c r="F261" s="2408" t="s">
        <v>430</v>
      </c>
      <c r="N261" s="1658"/>
      <c r="P261">
        <v>10474089</v>
      </c>
    </row>
    <row r="262" spans="2:16" ht="19.5" customHeight="1" thickTop="1">
      <c r="B262" s="1640" t="s">
        <v>5282</v>
      </c>
      <c r="C262" s="1643" t="s">
        <v>4202</v>
      </c>
      <c r="D262" s="1644"/>
      <c r="E262" s="2282"/>
      <c r="I262" s="2243" t="s">
        <v>5066</v>
      </c>
      <c r="P262">
        <v>10823048</v>
      </c>
    </row>
    <row r="263" spans="2:16" ht="19.5" customHeight="1">
      <c r="B263" s="1606" t="s">
        <v>1500</v>
      </c>
      <c r="C263" s="323">
        <v>0</v>
      </c>
      <c r="D263" s="313"/>
      <c r="E263" s="2282"/>
      <c r="P263">
        <v>10861296</v>
      </c>
    </row>
    <row r="264" spans="2:16" ht="29.25" customHeight="1" thickBot="1">
      <c r="B264" s="2412" t="str">
        <f>IF(AND(C287=D283,C263&gt;0),B286,IF(AND(C287=D283,C263=0),C288,IF(C287=D284,B289)))</f>
        <v>"B" táblás flotta díjfaktort nem érvényesít.</v>
      </c>
      <c r="C264" s="2407" t="str">
        <f>IF(AND(C259=F259,C262=F259),I262,F261)</f>
        <v xml:space="preserve"> </v>
      </c>
      <c r="D264" s="1645">
        <f>IF(C287=D283,C263,1)</f>
        <v>1</v>
      </c>
      <c r="E264" s="2282"/>
      <c r="P264" s="2718">
        <v>18405084</v>
      </c>
    </row>
    <row r="265" spans="2:16" ht="4.5" customHeight="1" thickTop="1">
      <c r="B265" s="316"/>
      <c r="C265" s="317"/>
      <c r="D265" s="318"/>
      <c r="E265" s="2282"/>
      <c r="P265">
        <v>18428322</v>
      </c>
    </row>
    <row r="266" spans="2:16" ht="16.5" customHeight="1">
      <c r="B266" s="2542" t="s">
        <v>5459</v>
      </c>
      <c r="C266" s="323" t="b">
        <v>0</v>
      </c>
      <c r="D266" s="319">
        <f>IF(D287=D289,1,1)</f>
        <v>1</v>
      </c>
      <c r="E266" s="2282"/>
      <c r="P266">
        <v>18659707</v>
      </c>
    </row>
    <row r="267" spans="2:16" hidden="1">
      <c r="B267" s="314" t="str">
        <f>IF(D287=D283,B287,B290)</f>
        <v>Tűzoltós kedvezményt nem érvényesít.</v>
      </c>
      <c r="C267" s="315"/>
      <c r="D267" s="319"/>
      <c r="E267" s="2282"/>
      <c r="P267">
        <v>30165894</v>
      </c>
    </row>
    <row r="268" spans="2:16" ht="3.75" customHeight="1">
      <c r="B268" s="1036"/>
      <c r="C268" s="1037"/>
      <c r="D268" s="1038"/>
      <c r="E268" s="2282"/>
      <c r="P268">
        <v>30190637</v>
      </c>
    </row>
    <row r="269" spans="2:16" ht="27.75" customHeight="1">
      <c r="B269" s="1601" t="s">
        <v>3746</v>
      </c>
      <c r="C269" s="323" t="b">
        <v>0</v>
      </c>
      <c r="D269" s="319">
        <f>IF(D294=D289,0.3311,1)</f>
        <v>1</v>
      </c>
      <c r="E269" s="2282"/>
      <c r="P269">
        <v>40022497</v>
      </c>
    </row>
    <row r="270" spans="2:16" ht="4.5" customHeight="1">
      <c r="B270" s="2409"/>
      <c r="C270" s="2410"/>
      <c r="D270" s="2411"/>
      <c r="E270" s="2282"/>
      <c r="P270">
        <v>40032573</v>
      </c>
    </row>
    <row r="271" spans="2:16" ht="38.25" customHeight="1">
      <c r="B271" s="1039" t="s">
        <v>5443</v>
      </c>
      <c r="C271" s="1040" t="s">
        <v>4202</v>
      </c>
      <c r="D271" s="319">
        <f>IF($C$271=$D$283,3,1)</f>
        <v>1</v>
      </c>
      <c r="E271" s="2282"/>
      <c r="P271">
        <v>40068697</v>
      </c>
    </row>
    <row r="272" spans="2:16" ht="18.75" customHeight="1">
      <c r="B272" s="1039" t="s">
        <v>5444</v>
      </c>
      <c r="C272" s="1040" t="s">
        <v>4202</v>
      </c>
      <c r="D272" s="319">
        <f>IF($C$272=$D$283,2,1)</f>
        <v>1</v>
      </c>
      <c r="E272" s="2282"/>
    </row>
    <row r="273" spans="2:16" ht="28.5" customHeight="1">
      <c r="B273" s="2480" t="s">
        <v>5067</v>
      </c>
      <c r="C273" s="2484" t="e">
        <f>IF(C298/C297*100&gt;60,D283,D284)</f>
        <v>#DIV/0!</v>
      </c>
      <c r="D273" s="2413">
        <f>C299</f>
        <v>1</v>
      </c>
      <c r="E273" s="2282"/>
      <c r="P273">
        <v>40085708</v>
      </c>
    </row>
    <row r="274" spans="2:16" ht="17.25" customHeight="1">
      <c r="B274" s="2481" t="s">
        <v>4998</v>
      </c>
      <c r="C274" s="323" t="s">
        <v>4201</v>
      </c>
      <c r="D274" s="2482"/>
      <c r="E274" s="2282"/>
      <c r="P274">
        <v>40173178</v>
      </c>
    </row>
    <row r="275" spans="2:16" ht="17.25" customHeight="1">
      <c r="B275" s="2481" t="s">
        <v>4999</v>
      </c>
      <c r="C275" s="323" t="s">
        <v>4201</v>
      </c>
      <c r="D275" s="2482"/>
      <c r="E275" s="2282"/>
      <c r="P275">
        <v>40213111</v>
      </c>
    </row>
    <row r="276" spans="2:16" ht="16.5" customHeight="1">
      <c r="B276" s="2481" t="s">
        <v>5000</v>
      </c>
      <c r="C276" s="323" t="s">
        <v>4202</v>
      </c>
      <c r="D276" s="2483"/>
      <c r="E276" s="2282"/>
      <c r="P276">
        <v>40268929</v>
      </c>
    </row>
    <row r="277" spans="2:16" ht="21.75" customHeight="1">
      <c r="B277" s="1039" t="s">
        <v>5039</v>
      </c>
      <c r="C277" s="1040" t="s">
        <v>4202</v>
      </c>
      <c r="D277" s="319">
        <f>IF($C$277=$D$283,0.9,1)</f>
        <v>1</v>
      </c>
      <c r="E277" s="2282"/>
      <c r="P277">
        <v>40293396</v>
      </c>
    </row>
    <row r="278" spans="2:16" ht="21" customHeight="1">
      <c r="B278" s="312" t="s">
        <v>3657</v>
      </c>
      <c r="C278" s="545" t="s">
        <v>4202</v>
      </c>
      <c r="D278" s="319">
        <f>IF($C$278=$C$283,0.9,IF($C$278=$C$284,0.95,1))</f>
        <v>1</v>
      </c>
      <c r="E278" s="2282"/>
      <c r="P278">
        <v>40321870</v>
      </c>
    </row>
    <row r="279" spans="2:16" ht="19.5" customHeight="1">
      <c r="B279" s="312" t="s">
        <v>4209</v>
      </c>
      <c r="C279" s="544" t="s">
        <v>4205</v>
      </c>
      <c r="D279" s="319">
        <f>IF($C$279=$B$283,0.95,1)</f>
        <v>0.95</v>
      </c>
      <c r="E279" s="2282"/>
      <c r="P279">
        <v>40500099</v>
      </c>
    </row>
    <row r="280" spans="2:16" ht="3.75" customHeight="1">
      <c r="B280" s="316"/>
      <c r="C280" s="95"/>
      <c r="D280" s="318"/>
      <c r="E280" s="2282"/>
      <c r="P280">
        <v>40711933</v>
      </c>
    </row>
    <row r="281" spans="2:16" ht="18.75" customHeight="1" thickBot="1">
      <c r="B281" s="320" t="s">
        <v>5065</v>
      </c>
      <c r="C281" s="321">
        <f>IF(D287=D289,C301,MAX(D271,D272)*D277*D278*D279*D273)</f>
        <v>0.95</v>
      </c>
      <c r="D281" s="322"/>
      <c r="E281" s="2282"/>
      <c r="P281">
        <v>40753355</v>
      </c>
    </row>
    <row r="282" spans="2:16" ht="13.5" hidden="1" thickTop="1">
      <c r="C282" s="276" t="s">
        <v>1506</v>
      </c>
      <c r="E282" s="2282"/>
      <c r="P282">
        <v>40842984</v>
      </c>
    </row>
    <row r="283" spans="2:16" hidden="1">
      <c r="B283" t="s">
        <v>4205</v>
      </c>
      <c r="C283" s="1041" t="s">
        <v>3658</v>
      </c>
      <c r="D283" s="78" t="s">
        <v>4201</v>
      </c>
      <c r="E283" s="2282"/>
      <c r="P283">
        <v>40883013</v>
      </c>
    </row>
    <row r="284" spans="2:16" hidden="1">
      <c r="B284" t="s">
        <v>4206</v>
      </c>
      <c r="C284" s="1041" t="s">
        <v>3659</v>
      </c>
      <c r="D284" s="78" t="s">
        <v>4202</v>
      </c>
      <c r="E284" s="2282"/>
      <c r="P284">
        <v>40973107</v>
      </c>
    </row>
    <row r="285" spans="2:16" hidden="1">
      <c r="B285" t="s">
        <v>4207</v>
      </c>
      <c r="C285" s="1041" t="s">
        <v>4202</v>
      </c>
      <c r="D285" s="300"/>
      <c r="E285" s="2282"/>
      <c r="P285">
        <v>40979067</v>
      </c>
    </row>
    <row r="286" spans="2:16" hidden="1">
      <c r="B286" t="s">
        <v>1508</v>
      </c>
      <c r="C286" s="302" t="s">
        <v>1504</v>
      </c>
      <c r="D286" s="276" t="s">
        <v>4166</v>
      </c>
      <c r="E286" s="2282"/>
      <c r="P286">
        <v>41049902</v>
      </c>
    </row>
    <row r="287" spans="2:16" hidden="1">
      <c r="B287" t="s">
        <v>1503</v>
      </c>
      <c r="C287" s="302" t="str">
        <f>C262</f>
        <v>NEM</v>
      </c>
      <c r="D287" s="301" t="b">
        <f>C266</f>
        <v>0</v>
      </c>
      <c r="E287" s="2282"/>
      <c r="P287">
        <v>41086682</v>
      </c>
    </row>
    <row r="288" spans="2:16" hidden="1">
      <c r="C288" s="75" t="s">
        <v>4167</v>
      </c>
      <c r="E288" s="2282"/>
      <c r="P288">
        <v>41133325</v>
      </c>
    </row>
    <row r="289" spans="2:16" hidden="1">
      <c r="B289" t="s">
        <v>1502</v>
      </c>
      <c r="D289" s="78" t="b">
        <v>1</v>
      </c>
      <c r="E289" s="2282"/>
      <c r="P289">
        <v>41140402</v>
      </c>
    </row>
    <row r="290" spans="2:16" hidden="1">
      <c r="B290" t="s">
        <v>4168</v>
      </c>
      <c r="D290" s="78" t="b">
        <v>0</v>
      </c>
      <c r="E290" s="2282"/>
      <c r="P290">
        <v>41250732</v>
      </c>
    </row>
    <row r="291" spans="2:16" hidden="1">
      <c r="E291" s="2282"/>
      <c r="P291">
        <v>41337878</v>
      </c>
    </row>
    <row r="292" spans="2:16" hidden="1">
      <c r="B292" t="s">
        <v>4169</v>
      </c>
      <c r="C292" s="78">
        <f>D271*D277*D278*D279</f>
        <v>0.95</v>
      </c>
      <c r="D292" s="1042"/>
      <c r="E292" s="2282"/>
      <c r="P292">
        <v>41349516</v>
      </c>
    </row>
    <row r="293" spans="2:16" hidden="1">
      <c r="D293" s="1042"/>
      <c r="E293" s="2282"/>
      <c r="P293">
        <v>42424775</v>
      </c>
    </row>
    <row r="294" spans="2:16" ht="15" hidden="1">
      <c r="C294" s="1602" t="s">
        <v>3747</v>
      </c>
      <c r="D294" s="1603" t="b">
        <f>C269</f>
        <v>0</v>
      </c>
      <c r="E294" s="2282"/>
      <c r="P294" s="2718">
        <v>42508305</v>
      </c>
    </row>
    <row r="295" spans="2:16" hidden="1">
      <c r="C295" s="1602" t="s">
        <v>430</v>
      </c>
      <c r="E295" s="2282"/>
      <c r="P295">
        <v>42558503</v>
      </c>
    </row>
    <row r="296" spans="2:16" hidden="1">
      <c r="B296" t="s">
        <v>3204</v>
      </c>
      <c r="C296" s="1042" t="str">
        <f>C271</f>
        <v>NEM</v>
      </c>
      <c r="E296" s="2282"/>
      <c r="P296">
        <v>42627579</v>
      </c>
    </row>
    <row r="297" spans="2:16" hidden="1">
      <c r="B297" s="2243" t="s">
        <v>5064</v>
      </c>
      <c r="C297" s="1937">
        <f>NDK!B50</f>
        <v>0</v>
      </c>
      <c r="E297" s="2282"/>
      <c r="P297">
        <v>42772688</v>
      </c>
    </row>
    <row r="298" spans="2:16" hidden="1">
      <c r="B298" s="2243" t="s">
        <v>5040</v>
      </c>
      <c r="C298" s="2336">
        <f>NDK!X29</f>
        <v>0</v>
      </c>
      <c r="E298" s="2282"/>
      <c r="P298">
        <v>42792135</v>
      </c>
    </row>
    <row r="299" spans="2:16" hidden="1">
      <c r="B299" s="2243" t="s">
        <v>5041</v>
      </c>
      <c r="C299" s="2336">
        <f>IF(C298&gt;0.6*NDK!X50,9,1)</f>
        <v>1</v>
      </c>
      <c r="E299" s="2282"/>
      <c r="P299">
        <v>42798601</v>
      </c>
    </row>
    <row r="300" spans="2:16" hidden="1">
      <c r="B300" s="2553"/>
      <c r="C300" s="3323"/>
      <c r="D300" s="3324"/>
      <c r="E300" s="2282"/>
      <c r="P300">
        <v>42810984</v>
      </c>
    </row>
    <row r="301" spans="2:16" hidden="1">
      <c r="B301" s="2553" t="s">
        <v>5460</v>
      </c>
      <c r="C301" s="3323">
        <f>IF(AND(D287=D289,C279=B283),0.95,1)</f>
        <v>1</v>
      </c>
      <c r="D301" s="3324"/>
      <c r="E301" s="2282"/>
      <c r="P301">
        <v>42936827</v>
      </c>
    </row>
    <row r="302" spans="2:16" ht="6" customHeight="1" thickTop="1" thickBot="1">
      <c r="E302" s="2282"/>
      <c r="P302">
        <v>42979934</v>
      </c>
    </row>
    <row r="303" spans="2:16" ht="23.25" customHeight="1" thickTop="1">
      <c r="B303" s="392" t="s">
        <v>1708</v>
      </c>
      <c r="C303" s="393"/>
      <c r="D303" s="3532" t="s">
        <v>1707</v>
      </c>
      <c r="E303" s="2282"/>
      <c r="N303" s="1483" t="s">
        <v>2851</v>
      </c>
      <c r="P303">
        <v>42990704</v>
      </c>
    </row>
    <row r="304" spans="2:16" ht="5.25" customHeight="1">
      <c r="B304" s="2486"/>
      <c r="C304" s="2487"/>
      <c r="D304" s="3533"/>
      <c r="E304" s="2282"/>
      <c r="N304" s="1484"/>
      <c r="P304">
        <v>42991634</v>
      </c>
    </row>
    <row r="305" spans="2:16">
      <c r="B305" s="394" t="s">
        <v>1803</v>
      </c>
      <c r="C305" s="401" t="s">
        <v>303</v>
      </c>
      <c r="D305" s="395">
        <f>IF(B327=C328,D328,IF(B327=C329,D329,IF(B327=C330,D330,IF(B327=C331,D331,IF(B327=C332,D332,IF(B327=C333,D333,IF(B327=C334,D334,2)))))))</f>
        <v>0</v>
      </c>
      <c r="E305" s="2282"/>
      <c r="N305" s="1484" t="s">
        <v>1714</v>
      </c>
      <c r="P305">
        <v>43027863</v>
      </c>
    </row>
    <row r="306" spans="2:16" ht="5.25" customHeight="1">
      <c r="B306" s="2471"/>
      <c r="C306" s="2472"/>
      <c r="D306" s="2473"/>
      <c r="E306" s="2282"/>
      <c r="N306" s="1484"/>
      <c r="P306">
        <v>43093845</v>
      </c>
    </row>
    <row r="307" spans="2:16" ht="13.5" thickBot="1">
      <c r="B307" s="396" t="s">
        <v>1802</v>
      </c>
      <c r="C307" s="546" t="s">
        <v>4202</v>
      </c>
      <c r="D307" s="397">
        <f>IF(C307=B330,-0.5,0)</f>
        <v>0</v>
      </c>
      <c r="E307" s="2282"/>
      <c r="N307" s="1485">
        <f>NDK!BB53</f>
        <v>0</v>
      </c>
      <c r="P307">
        <v>43110109</v>
      </c>
    </row>
    <row r="308" spans="2:16" ht="5.25" customHeight="1" thickTop="1">
      <c r="B308" s="2471"/>
      <c r="C308" s="2472"/>
      <c r="D308" s="2473"/>
      <c r="E308" s="2282"/>
      <c r="P308">
        <v>43129688</v>
      </c>
    </row>
    <row r="309" spans="2:16" ht="38.25">
      <c r="B309" s="398" t="s">
        <v>1801</v>
      </c>
      <c r="C309" s="546" t="s">
        <v>4202</v>
      </c>
      <c r="D309" s="399" t="str">
        <f>IF(AND(C307=B331,C309=B330),B337,B338)</f>
        <v xml:space="preserve"> </v>
      </c>
      <c r="E309" s="2282"/>
      <c r="P309">
        <v>43370169</v>
      </c>
    </row>
    <row r="310" spans="2:16" ht="5.25" customHeight="1">
      <c r="B310" s="2468"/>
      <c r="C310" s="2469"/>
      <c r="D310" s="2470"/>
      <c r="E310" s="2282"/>
      <c r="P310">
        <v>43387834</v>
      </c>
    </row>
    <row r="311" spans="2:16">
      <c r="B311" s="400" t="s">
        <v>822</v>
      </c>
      <c r="C311" s="546" t="s">
        <v>4202</v>
      </c>
      <c r="D311" s="399"/>
      <c r="E311" s="2282"/>
      <c r="P311">
        <v>43407228</v>
      </c>
    </row>
    <row r="312" spans="2:16" ht="5.25" customHeight="1">
      <c r="B312" s="2471"/>
      <c r="C312" s="2472"/>
      <c r="D312" s="2473"/>
      <c r="E312" s="2282"/>
      <c r="P312">
        <v>43447230</v>
      </c>
    </row>
    <row r="313" spans="2:16">
      <c r="B313" s="396" t="s">
        <v>820</v>
      </c>
      <c r="C313" s="546" t="s">
        <v>4202</v>
      </c>
      <c r="D313" s="397">
        <f>IF($C$313=$B$330,-0.37,0)</f>
        <v>0</v>
      </c>
      <c r="E313" s="2282"/>
      <c r="P313">
        <v>43450938</v>
      </c>
    </row>
    <row r="314" spans="2:16" ht="4.5" customHeight="1">
      <c r="B314" s="2471"/>
      <c r="C314" s="2472"/>
      <c r="D314" s="2473"/>
      <c r="E314" s="2282"/>
      <c r="P314">
        <v>43491688</v>
      </c>
    </row>
    <row r="315" spans="2:16">
      <c r="B315" s="396" t="s">
        <v>821</v>
      </c>
      <c r="C315" s="546" t="s">
        <v>4202</v>
      </c>
      <c r="D315" s="397">
        <f>C342</f>
        <v>0</v>
      </c>
      <c r="E315" s="2282"/>
      <c r="P315">
        <v>43493967</v>
      </c>
    </row>
    <row r="316" spans="2:16" ht="4.5" customHeight="1">
      <c r="B316" s="2471"/>
      <c r="C316" s="2472"/>
      <c r="D316" s="2473"/>
      <c r="E316" s="2282"/>
      <c r="P316">
        <v>43534441</v>
      </c>
    </row>
    <row r="317" spans="2:16">
      <c r="B317" s="2466" t="s">
        <v>2857</v>
      </c>
      <c r="C317" s="2467"/>
      <c r="D317" s="397">
        <f>-MAX(-$D$313,-$D$315,-$D$307)</f>
        <v>0</v>
      </c>
      <c r="E317" s="2282"/>
      <c r="P317">
        <v>43539657</v>
      </c>
    </row>
    <row r="318" spans="2:16" ht="5.25" customHeight="1">
      <c r="B318" s="2471"/>
      <c r="C318" s="2472"/>
      <c r="D318" s="2473"/>
      <c r="P318">
        <v>43632851</v>
      </c>
    </row>
    <row r="319" spans="2:16" ht="22.5" customHeight="1" thickBot="1">
      <c r="B319" s="2464" t="s">
        <v>4395</v>
      </c>
      <c r="C319" s="2465"/>
      <c r="D319" s="1481">
        <f>C321</f>
        <v>1</v>
      </c>
      <c r="P319">
        <v>43649268</v>
      </c>
    </row>
    <row r="320" spans="2:16" ht="14.25" thickTop="1" thickBot="1">
      <c r="C320" s="74"/>
      <c r="D320" s="382"/>
      <c r="P320">
        <v>43677651</v>
      </c>
    </row>
    <row r="321" spans="2:16" hidden="1">
      <c r="B321" s="1482" t="s">
        <v>2848</v>
      </c>
      <c r="C321" s="1482">
        <f>IF(C307=B330,C323,C322)</f>
        <v>1</v>
      </c>
      <c r="D321" s="382"/>
      <c r="P321">
        <v>43678331</v>
      </c>
    </row>
    <row r="322" spans="2:16" ht="15" hidden="1">
      <c r="B322" s="1482" t="s">
        <v>2849</v>
      </c>
      <c r="C322" s="1482">
        <f>(1+IF($C$313=$B$330,0,$D$305))*(1+$D$317)</f>
        <v>1</v>
      </c>
      <c r="D322" s="382"/>
      <c r="P322" s="2718">
        <v>43743567</v>
      </c>
    </row>
    <row r="323" spans="2:16" hidden="1">
      <c r="B323" s="1482" t="s">
        <v>2850</v>
      </c>
      <c r="C323" s="1482">
        <f>1+D317</f>
        <v>1</v>
      </c>
      <c r="D323" s="382"/>
      <c r="P323">
        <v>43847017</v>
      </c>
    </row>
    <row r="324" spans="2:16" hidden="1">
      <c r="C324" s="74"/>
      <c r="D324" s="382"/>
      <c r="P324">
        <v>43871941</v>
      </c>
    </row>
    <row r="325" spans="2:16" hidden="1">
      <c r="C325" s="74"/>
      <c r="D325" s="382"/>
      <c r="P325">
        <v>43961409</v>
      </c>
    </row>
    <row r="326" spans="2:16" ht="15" hidden="1">
      <c r="B326" s="272" t="s">
        <v>3704</v>
      </c>
      <c r="C326" s="302"/>
      <c r="D326" s="381" t="s">
        <v>304</v>
      </c>
      <c r="P326" s="2718">
        <v>44017311</v>
      </c>
    </row>
    <row r="327" spans="2:16" hidden="1">
      <c r="B327" s="272" t="str">
        <f>C305</f>
        <v>KÁRHÁNYAD &lt;70%</v>
      </c>
      <c r="C327" s="302"/>
      <c r="D327" s="381"/>
      <c r="P327">
        <v>44021279</v>
      </c>
    </row>
    <row r="328" spans="2:16" hidden="1">
      <c r="C328" s="302" t="s">
        <v>303</v>
      </c>
      <c r="D328" s="381">
        <v>0</v>
      </c>
      <c r="P328">
        <v>44065051</v>
      </c>
    </row>
    <row r="329" spans="2:16" hidden="1">
      <c r="B329" s="252"/>
      <c r="C329" s="302" t="s">
        <v>302</v>
      </c>
      <c r="D329" s="381">
        <v>0.1</v>
      </c>
      <c r="P329">
        <v>44066588</v>
      </c>
    </row>
    <row r="330" spans="2:16" hidden="1">
      <c r="B330" s="252" t="s">
        <v>4201</v>
      </c>
      <c r="C330" s="302" t="s">
        <v>301</v>
      </c>
      <c r="D330" s="381">
        <v>0.2</v>
      </c>
      <c r="P330">
        <v>44092203</v>
      </c>
    </row>
    <row r="331" spans="2:16" hidden="1">
      <c r="B331" s="252" t="s">
        <v>4202</v>
      </c>
      <c r="C331" s="302" t="s">
        <v>3705</v>
      </c>
      <c r="D331" s="381">
        <v>0.4</v>
      </c>
      <c r="P331">
        <v>44098178</v>
      </c>
    </row>
    <row r="332" spans="2:16" hidden="1">
      <c r="B332" s="76"/>
      <c r="C332" s="302" t="s">
        <v>3703</v>
      </c>
      <c r="D332" s="381">
        <v>1</v>
      </c>
      <c r="P332">
        <v>44179208</v>
      </c>
    </row>
    <row r="333" spans="2:16" hidden="1">
      <c r="B333" s="76"/>
      <c r="C333" s="302" t="s">
        <v>3702</v>
      </c>
      <c r="D333" s="381">
        <v>1.5</v>
      </c>
      <c r="P333">
        <v>44196971</v>
      </c>
    </row>
    <row r="334" spans="2:16" hidden="1">
      <c r="C334" s="302" t="s">
        <v>3701</v>
      </c>
      <c r="D334" s="381">
        <v>2</v>
      </c>
      <c r="P334">
        <v>44259657</v>
      </c>
    </row>
    <row r="335" spans="2:16" hidden="1">
      <c r="C335" s="302" t="s">
        <v>3700</v>
      </c>
      <c r="D335" s="381">
        <v>2</v>
      </c>
      <c r="P335">
        <v>44278732</v>
      </c>
    </row>
    <row r="336" spans="2:16" hidden="1">
      <c r="B336" s="76"/>
      <c r="P336">
        <v>44289176</v>
      </c>
    </row>
    <row r="337" spans="2:16" hidden="1">
      <c r="B337" s="2335" t="s">
        <v>5437</v>
      </c>
      <c r="C337" s="1020"/>
      <c r="D337" s="1233"/>
      <c r="P337">
        <v>44294629</v>
      </c>
    </row>
    <row r="338" spans="2:16" hidden="1">
      <c r="B338" s="290" t="s">
        <v>430</v>
      </c>
      <c r="C338" s="1020"/>
      <c r="D338" s="1233"/>
      <c r="P338">
        <v>44315533</v>
      </c>
    </row>
    <row r="339" spans="2:16" hidden="1">
      <c r="B339" s="76"/>
      <c r="C339" s="1020"/>
      <c r="D339" s="1233"/>
      <c r="P339">
        <v>44319119</v>
      </c>
    </row>
    <row r="340" spans="2:16" hidden="1">
      <c r="P340">
        <v>44322845</v>
      </c>
    </row>
    <row r="341" spans="2:16" hidden="1">
      <c r="B341" s="388" t="s">
        <v>823</v>
      </c>
      <c r="C341" s="389" t="str">
        <f>C315</f>
        <v>NEM</v>
      </c>
      <c r="P341">
        <v>44325816</v>
      </c>
    </row>
    <row r="342" spans="2:16" hidden="1">
      <c r="B342" t="s">
        <v>4855</v>
      </c>
      <c r="C342" s="75">
        <f>IF(AND(C341=B330,C311=B330),-0.3,0)</f>
        <v>0</v>
      </c>
      <c r="P342">
        <v>44335979</v>
      </c>
    </row>
    <row r="343" spans="2:16" hidden="1">
      <c r="B343" s="252" t="s">
        <v>1390</v>
      </c>
      <c r="C343" s="277">
        <f>IF(AND(C307=B331,C309=B330),0,1)</f>
        <v>1</v>
      </c>
      <c r="P343">
        <v>44356852</v>
      </c>
    </row>
    <row r="344" spans="2:16" ht="13.5" hidden="1" thickBot="1">
      <c r="P344">
        <v>44375096</v>
      </c>
    </row>
    <row r="345" spans="2:16" ht="15.75" thickTop="1">
      <c r="B345" s="469" t="s">
        <v>2390</v>
      </c>
      <c r="C345" s="470"/>
      <c r="D345" s="471"/>
      <c r="N345" s="1344" t="s">
        <v>4293</v>
      </c>
      <c r="P345">
        <v>44425337</v>
      </c>
    </row>
    <row r="346" spans="2:16" ht="18" hidden="1" customHeight="1">
      <c r="B346" s="472" t="s">
        <v>2391</v>
      </c>
      <c r="C346" s="547" t="s">
        <v>4201</v>
      </c>
      <c r="D346" s="473">
        <f>H347</f>
        <v>0</v>
      </c>
      <c r="F346" s="75" t="s">
        <v>4201</v>
      </c>
      <c r="I346" t="s">
        <v>3836</v>
      </c>
      <c r="J346">
        <v>1</v>
      </c>
      <c r="N346" s="1454" t="s">
        <v>1714</v>
      </c>
      <c r="P346" s="2718">
        <v>44429455</v>
      </c>
    </row>
    <row r="347" spans="2:16" ht="18" customHeight="1" thickBot="1">
      <c r="B347" s="472" t="s">
        <v>3068</v>
      </c>
      <c r="C347" s="547" t="s">
        <v>3836</v>
      </c>
      <c r="D347" s="473">
        <f>G350</f>
        <v>1</v>
      </c>
      <c r="F347" s="75" t="s">
        <v>4202</v>
      </c>
      <c r="I347" t="s">
        <v>2392</v>
      </c>
      <c r="J347">
        <v>2</v>
      </c>
      <c r="N347" s="1455">
        <f>NDK!AD53</f>
        <v>0</v>
      </c>
      <c r="P347">
        <v>44476460</v>
      </c>
    </row>
    <row r="348" spans="2:16" ht="17.25" hidden="1" customHeight="1" thickTop="1">
      <c r="B348" s="472" t="s">
        <v>3539</v>
      </c>
      <c r="C348" s="547" t="s">
        <v>4202</v>
      </c>
      <c r="D348" s="473">
        <f>IF(AND(NDK!B50&gt;20,C348=F346),0.65,1)</f>
        <v>1</v>
      </c>
      <c r="I348" t="s">
        <v>2393</v>
      </c>
      <c r="J348">
        <v>1.5</v>
      </c>
      <c r="P348">
        <v>44477272</v>
      </c>
    </row>
    <row r="349" spans="2:16" ht="15" hidden="1" customHeight="1">
      <c r="B349" s="974"/>
      <c r="C349" s="983"/>
      <c r="D349" s="984">
        <f>G357</f>
        <v>0</v>
      </c>
      <c r="F349" s="75" t="s">
        <v>2397</v>
      </c>
      <c r="G349" s="75" t="str">
        <f>C347</f>
        <v>Normál, vagy Tömegközlekedési busz</v>
      </c>
      <c r="I349" t="s">
        <v>2394</v>
      </c>
      <c r="J349">
        <v>1.3</v>
      </c>
      <c r="P349">
        <v>44587060</v>
      </c>
    </row>
    <row r="350" spans="2:16" ht="19.5" hidden="1" customHeight="1">
      <c r="B350" s="472" t="s">
        <v>2403</v>
      </c>
      <c r="C350" s="481">
        <v>10</v>
      </c>
      <c r="D350" s="473">
        <f>D369</f>
        <v>0</v>
      </c>
      <c r="F350" s="75" t="s">
        <v>2398</v>
      </c>
      <c r="G350" s="75">
        <f>IF(G349=I346,J346,IF(G349=I347,J347,IF(G349=I348,J348,IF(G349=I349,J349,IF(G349=I350,J350,IF(G349=I351,J351,J352))))))</f>
        <v>1</v>
      </c>
      <c r="I350" t="s">
        <v>2395</v>
      </c>
      <c r="J350">
        <v>1.5</v>
      </c>
      <c r="P350">
        <v>44627693</v>
      </c>
    </row>
    <row r="351" spans="2:16" hidden="1">
      <c r="B351" s="474" t="s">
        <v>2404</v>
      </c>
      <c r="C351" s="475">
        <f>$C$360</f>
        <v>0</v>
      </c>
      <c r="D351" s="978" t="s">
        <v>673</v>
      </c>
      <c r="I351" t="s">
        <v>3837</v>
      </c>
      <c r="J351">
        <v>2</v>
      </c>
      <c r="P351">
        <v>44670168</v>
      </c>
    </row>
    <row r="352" spans="2:16" ht="18" hidden="1" customHeight="1">
      <c r="B352" s="472" t="s">
        <v>2400</v>
      </c>
      <c r="C352" s="547" t="s">
        <v>4202</v>
      </c>
      <c r="D352" s="473"/>
      <c r="I352" t="s">
        <v>2396</v>
      </c>
      <c r="J352">
        <v>2</v>
      </c>
      <c r="P352">
        <v>44670227</v>
      </c>
    </row>
    <row r="353" spans="2:16" ht="18.75" hidden="1" customHeight="1">
      <c r="B353" s="472" t="s">
        <v>1857</v>
      </c>
      <c r="C353" s="480">
        <v>0</v>
      </c>
      <c r="D353" s="473"/>
      <c r="P353">
        <v>44681892</v>
      </c>
    </row>
    <row r="354" spans="2:16" ht="18.75" hidden="1" customHeight="1">
      <c r="B354" s="472" t="s">
        <v>1396</v>
      </c>
      <c r="C354" s="480" t="s">
        <v>3419</v>
      </c>
      <c r="D354" s="473"/>
      <c r="E354"/>
      <c r="P354">
        <v>44685936</v>
      </c>
    </row>
    <row r="355" spans="2:16" ht="18" hidden="1" customHeight="1">
      <c r="B355" s="472" t="s">
        <v>4209</v>
      </c>
      <c r="C355" s="482" t="s">
        <v>4207</v>
      </c>
      <c r="D355" s="476">
        <f>C366</f>
        <v>0</v>
      </c>
      <c r="F355"/>
      <c r="G355"/>
      <c r="J355" t="s">
        <v>1395</v>
      </c>
      <c r="L355" t="s">
        <v>1400</v>
      </c>
      <c r="P355">
        <v>44687249</v>
      </c>
    </row>
    <row r="356" spans="2:16" ht="17.25" hidden="1" customHeight="1">
      <c r="B356" s="472" t="s">
        <v>2402</v>
      </c>
      <c r="C356" s="982" t="s">
        <v>3838</v>
      </c>
      <c r="D356" s="473">
        <f>C371</f>
        <v>0</v>
      </c>
      <c r="L356" t="str">
        <f>C354</f>
        <v>Egyik sem</v>
      </c>
      <c r="P356">
        <v>44693932</v>
      </c>
    </row>
    <row r="357" spans="2:16" ht="5.25" customHeight="1" thickTop="1">
      <c r="B357" s="477"/>
      <c r="C357" s="478"/>
      <c r="D357" s="479"/>
      <c r="P357">
        <v>44694157</v>
      </c>
    </row>
    <row r="358" spans="2:16" ht="15">
      <c r="B358" s="2148" t="s">
        <v>2401</v>
      </c>
      <c r="C358" s="2149">
        <f>IF(C354=K358,D347,1)</f>
        <v>1</v>
      </c>
      <c r="D358" s="2150"/>
      <c r="F358" s="1524"/>
      <c r="G358" s="1524"/>
      <c r="H358" s="76"/>
      <c r="I358" s="76"/>
      <c r="K358" s="1838" t="s">
        <v>3419</v>
      </c>
      <c r="P358">
        <v>44695015</v>
      </c>
    </row>
    <row r="359" spans="2:16" hidden="1">
      <c r="B359" s="234"/>
      <c r="C359" s="233"/>
      <c r="D359" s="2151"/>
      <c r="F359" s="2153"/>
      <c r="G359" s="2154"/>
      <c r="H359" s="76"/>
      <c r="I359" s="2153"/>
      <c r="K359" s="1838">
        <v>30002993</v>
      </c>
      <c r="P359">
        <v>44698666</v>
      </c>
    </row>
    <row r="360" spans="2:16" hidden="1">
      <c r="B360" s="234"/>
      <c r="C360" s="233"/>
      <c r="D360" s="2151"/>
      <c r="F360" s="2153"/>
      <c r="G360" s="2154"/>
      <c r="H360" s="2153"/>
      <c r="I360" s="2153"/>
      <c r="K360" s="1838">
        <v>30003004</v>
      </c>
      <c r="P360">
        <v>44699884</v>
      </c>
    </row>
    <row r="361" spans="2:16" hidden="1">
      <c r="B361" s="234"/>
      <c r="C361" s="233"/>
      <c r="D361" s="2151"/>
      <c r="F361" s="2153"/>
      <c r="G361" s="2154"/>
      <c r="H361" s="2153"/>
      <c r="I361" s="2153"/>
      <c r="K361" s="1838">
        <v>30003007</v>
      </c>
      <c r="P361">
        <v>44711111</v>
      </c>
    </row>
    <row r="362" spans="2:16" hidden="1">
      <c r="B362" s="234"/>
      <c r="C362" s="233"/>
      <c r="D362" s="2151"/>
      <c r="F362" s="2153"/>
      <c r="G362" s="2154"/>
      <c r="H362" s="2153"/>
      <c r="I362" s="2153"/>
      <c r="K362" s="1838">
        <v>30003010</v>
      </c>
      <c r="P362">
        <v>44711138</v>
      </c>
    </row>
    <row r="363" spans="2:16" hidden="1">
      <c r="B363" s="234"/>
      <c r="C363" s="233"/>
      <c r="D363" s="2151"/>
      <c r="F363" s="2153"/>
      <c r="G363" s="2154"/>
      <c r="H363" s="2153"/>
      <c r="I363" s="2153"/>
      <c r="K363" s="1838">
        <v>30003011</v>
      </c>
      <c r="P363">
        <v>44713160</v>
      </c>
    </row>
    <row r="364" spans="2:16" hidden="1">
      <c r="B364" s="234"/>
      <c r="C364" s="233"/>
      <c r="D364" s="2151"/>
      <c r="F364" s="2153"/>
      <c r="G364" s="2154"/>
      <c r="H364" s="2153"/>
      <c r="I364" s="2153"/>
      <c r="K364" s="1838">
        <v>30003012</v>
      </c>
      <c r="P364">
        <v>44718904</v>
      </c>
    </row>
    <row r="365" spans="2:16" hidden="1">
      <c r="B365" s="234"/>
      <c r="C365" s="233"/>
      <c r="D365" s="2151"/>
      <c r="F365" s="2153"/>
      <c r="G365" s="2154"/>
      <c r="H365" s="2153"/>
      <c r="I365" s="2153"/>
      <c r="K365" s="1838">
        <v>30003018</v>
      </c>
      <c r="P365">
        <v>44721526</v>
      </c>
    </row>
    <row r="366" spans="2:16" hidden="1">
      <c r="B366" s="234"/>
      <c r="C366" s="233"/>
      <c r="D366" s="2151"/>
      <c r="F366" s="2153"/>
      <c r="G366" s="2154"/>
      <c r="H366" s="2153"/>
      <c r="I366" s="2153"/>
      <c r="K366" s="1838">
        <v>30003020</v>
      </c>
      <c r="P366">
        <v>44729167</v>
      </c>
    </row>
    <row r="367" spans="2:16" hidden="1">
      <c r="B367" s="234"/>
      <c r="C367" s="233"/>
      <c r="D367" s="2151"/>
      <c r="F367" s="2153"/>
      <c r="G367" s="2154"/>
      <c r="H367" s="2153"/>
      <c r="I367" s="2153"/>
      <c r="K367" s="1838">
        <v>30003021</v>
      </c>
      <c r="P367">
        <v>44734517</v>
      </c>
    </row>
    <row r="368" spans="2:16" hidden="1">
      <c r="B368" s="234"/>
      <c r="C368" s="233"/>
      <c r="D368" s="2151"/>
      <c r="F368" s="2153"/>
      <c r="G368" s="2154"/>
      <c r="H368" s="2153"/>
      <c r="I368" s="2153"/>
      <c r="K368" s="1838">
        <v>30003022</v>
      </c>
      <c r="P368">
        <v>44778394</v>
      </c>
    </row>
    <row r="369" spans="2:16" hidden="1">
      <c r="B369" s="234"/>
      <c r="C369" s="233"/>
      <c r="D369" s="2151"/>
      <c r="F369" s="2153"/>
      <c r="G369" s="2154"/>
      <c r="H369" s="2153"/>
      <c r="I369" s="2153"/>
      <c r="K369" s="1838">
        <v>30003025</v>
      </c>
      <c r="P369">
        <v>44805734</v>
      </c>
    </row>
    <row r="370" spans="2:16" hidden="1">
      <c r="B370" s="234"/>
      <c r="C370" s="233"/>
      <c r="D370" s="2151"/>
      <c r="F370" s="2153"/>
      <c r="G370" s="2154"/>
      <c r="H370" s="2153"/>
      <c r="I370" s="2153"/>
      <c r="K370" s="1838">
        <v>30003028</v>
      </c>
      <c r="P370">
        <v>44840570</v>
      </c>
    </row>
    <row r="371" spans="2:16" hidden="1">
      <c r="B371" s="234"/>
      <c r="C371" s="233"/>
      <c r="D371" s="2151"/>
      <c r="F371" s="2153"/>
      <c r="G371" s="2154"/>
      <c r="H371" s="2153"/>
      <c r="I371" s="2153"/>
      <c r="K371" s="1838">
        <v>30003032</v>
      </c>
      <c r="P371">
        <v>44845658</v>
      </c>
    </row>
    <row r="372" spans="2:16" hidden="1">
      <c r="B372" s="2144"/>
      <c r="C372" s="233"/>
      <c r="D372" s="2151"/>
      <c r="F372" s="2153"/>
      <c r="G372" s="2154"/>
      <c r="H372" s="2153"/>
      <c r="I372" s="2153"/>
      <c r="K372" s="1838">
        <v>30003033</v>
      </c>
      <c r="P372">
        <v>44873089</v>
      </c>
    </row>
    <row r="373" spans="2:16" hidden="1">
      <c r="B373" s="234"/>
      <c r="C373" s="233"/>
      <c r="D373" s="2151"/>
      <c r="F373" s="2153"/>
      <c r="G373" s="2154"/>
      <c r="H373" s="2153"/>
      <c r="I373" s="2153"/>
      <c r="K373" s="1838">
        <v>30003035</v>
      </c>
      <c r="P373">
        <v>44894093</v>
      </c>
    </row>
    <row r="374" spans="2:16" hidden="1">
      <c r="B374" s="234"/>
      <c r="C374" s="233"/>
      <c r="D374" s="2151"/>
      <c r="F374" s="2153"/>
      <c r="G374" s="2154"/>
      <c r="H374" s="2153"/>
      <c r="I374" s="2153"/>
      <c r="K374" s="1838">
        <v>30003040</v>
      </c>
      <c r="P374">
        <v>44897589</v>
      </c>
    </row>
    <row r="375" spans="2:16" hidden="1">
      <c r="B375" s="234"/>
      <c r="C375" s="233"/>
      <c r="D375" s="2151"/>
      <c r="F375" s="2153"/>
      <c r="G375" s="2154"/>
      <c r="H375" s="2153"/>
      <c r="I375" s="2153"/>
      <c r="K375" s="1838">
        <v>30003153</v>
      </c>
      <c r="P375">
        <v>44898075</v>
      </c>
    </row>
    <row r="376" spans="2:16" ht="15" hidden="1">
      <c r="B376" s="2144"/>
      <c r="C376" s="233"/>
      <c r="D376" s="2151"/>
      <c r="F376" s="2153"/>
      <c r="G376" s="2154"/>
      <c r="H376" s="2153"/>
      <c r="I376" s="2153"/>
      <c r="K376" s="1838">
        <v>30003238</v>
      </c>
      <c r="P376" s="2718">
        <v>44915445</v>
      </c>
    </row>
    <row r="377" spans="2:16" hidden="1">
      <c r="B377" s="234"/>
      <c r="C377" s="233"/>
      <c r="D377" s="2151"/>
      <c r="F377" s="2153"/>
      <c r="G377" s="2154"/>
      <c r="H377" s="2153"/>
      <c r="I377" s="2153"/>
      <c r="K377" s="1838">
        <v>30003290</v>
      </c>
      <c r="P377">
        <v>44924973</v>
      </c>
    </row>
    <row r="378" spans="2:16" ht="15" hidden="1">
      <c r="B378" s="876"/>
      <c r="C378" s="2152"/>
      <c r="D378" s="2151"/>
      <c r="F378" s="2153"/>
      <c r="G378" s="2154"/>
      <c r="H378" s="2153"/>
      <c r="I378" s="2153"/>
      <c r="K378" s="1838">
        <v>30003293</v>
      </c>
      <c r="P378" s="2718">
        <v>44925963</v>
      </c>
    </row>
    <row r="379" spans="2:16" hidden="1">
      <c r="F379" s="2153"/>
      <c r="G379" s="2154"/>
      <c r="H379" s="2153"/>
      <c r="I379" s="2153"/>
      <c r="K379" s="1838">
        <v>30003298</v>
      </c>
      <c r="P379">
        <v>44949060</v>
      </c>
    </row>
    <row r="380" spans="2:16" ht="13.5" thickBot="1">
      <c r="F380" s="2153"/>
      <c r="G380" s="2154"/>
      <c r="H380" s="2153"/>
      <c r="I380" s="2153"/>
      <c r="K380" s="1838">
        <v>30003313</v>
      </c>
      <c r="P380">
        <v>44970383</v>
      </c>
    </row>
    <row r="381" spans="2:16" ht="14.25" hidden="1" thickTop="1" thickBot="1">
      <c r="B381" s="1830" t="s">
        <v>659</v>
      </c>
      <c r="C381" s="1831"/>
      <c r="D381" s="1832"/>
      <c r="F381" s="2153"/>
      <c r="G381" s="2154"/>
      <c r="H381" s="2153"/>
      <c r="I381" s="2153"/>
      <c r="K381" s="1838">
        <v>30003316</v>
      </c>
      <c r="N381" s="1619" t="s">
        <v>1159</v>
      </c>
      <c r="P381">
        <v>44983654</v>
      </c>
    </row>
    <row r="382" spans="2:16" ht="17.25" hidden="1" customHeight="1" thickTop="1">
      <c r="B382" s="1833" t="s">
        <v>1326</v>
      </c>
      <c r="C382" s="1837" t="s">
        <v>4202</v>
      </c>
      <c r="D382" s="1834"/>
      <c r="F382" s="2153"/>
      <c r="G382" s="2154"/>
      <c r="H382" s="2153"/>
      <c r="I382" s="2153"/>
      <c r="K382" s="1838">
        <v>30003465</v>
      </c>
      <c r="N382" s="1826"/>
      <c r="P382">
        <v>44983668</v>
      </c>
    </row>
    <row r="383" spans="2:16" ht="15.75" hidden="1" customHeight="1" thickBot="1">
      <c r="B383" s="1835" t="s">
        <v>5074</v>
      </c>
      <c r="C383" s="1839">
        <v>0</v>
      </c>
      <c r="D383" s="1836"/>
      <c r="F383" s="2153"/>
      <c r="G383" s="2154"/>
      <c r="H383" s="2153"/>
      <c r="I383" s="2153"/>
      <c r="K383" s="1838">
        <v>30003466</v>
      </c>
      <c r="N383" s="1826"/>
      <c r="P383">
        <v>44985463</v>
      </c>
    </row>
    <row r="384" spans="2:16" ht="6" hidden="1" customHeight="1" thickTop="1">
      <c r="B384" s="1827"/>
      <c r="C384" s="1828"/>
      <c r="D384" s="1829"/>
      <c r="F384" s="2153"/>
      <c r="G384" s="2154"/>
      <c r="H384" s="2153"/>
      <c r="I384" s="2153"/>
      <c r="K384" s="1838">
        <v>30003467</v>
      </c>
      <c r="N384" s="1826"/>
      <c r="P384">
        <v>44985495</v>
      </c>
    </row>
    <row r="385" spans="2:16" ht="17.25" hidden="1" customHeight="1">
      <c r="B385" s="809" t="s">
        <v>660</v>
      </c>
      <c r="C385" s="818" t="s">
        <v>4202</v>
      </c>
      <c r="D385" s="810">
        <f>IF(C385=D404,L404,L405)</f>
        <v>1</v>
      </c>
      <c r="F385" s="2153"/>
      <c r="G385" s="2154"/>
      <c r="H385" s="2153"/>
      <c r="I385" s="2153"/>
      <c r="K385" s="1838">
        <v>30003469</v>
      </c>
      <c r="N385" s="1620" t="s">
        <v>1714</v>
      </c>
      <c r="P385">
        <v>44985502</v>
      </c>
    </row>
    <row r="386" spans="2:16" ht="15.75" hidden="1" customHeight="1" thickBot="1">
      <c r="B386" s="811" t="s">
        <v>665</v>
      </c>
      <c r="C386" s="818" t="s">
        <v>4202</v>
      </c>
      <c r="D386" s="810">
        <f>IF(C386=D404,M404,M405)</f>
        <v>1</v>
      </c>
      <c r="F386" s="2153"/>
      <c r="G386" s="2154"/>
      <c r="H386" s="2153"/>
      <c r="I386" s="2153"/>
      <c r="K386" s="1838">
        <v>30003470</v>
      </c>
      <c r="N386" s="1621">
        <f>NDK!I50</f>
        <v>0</v>
      </c>
      <c r="P386">
        <v>44985526</v>
      </c>
    </row>
    <row r="387" spans="2:16" ht="15.75" hidden="1" customHeight="1" thickTop="1">
      <c r="B387" s="811" t="s">
        <v>5071</v>
      </c>
      <c r="C387" s="818" t="s">
        <v>4202</v>
      </c>
      <c r="D387" s="810">
        <f>IF(C387=D404,N404,N405)</f>
        <v>1</v>
      </c>
      <c r="F387" s="2153"/>
      <c r="G387" s="2154"/>
      <c r="H387" s="2153"/>
      <c r="I387" s="2153"/>
      <c r="K387" s="1838">
        <v>30003617</v>
      </c>
      <c r="P387">
        <v>45003860</v>
      </c>
    </row>
    <row r="388" spans="2:16" ht="16.5" hidden="1" customHeight="1">
      <c r="B388" s="811" t="s">
        <v>5072</v>
      </c>
      <c r="C388" s="818" t="s">
        <v>4202</v>
      </c>
      <c r="D388" s="810">
        <f>IF(C388=D404,0.95,1)</f>
        <v>1</v>
      </c>
      <c r="F388" s="2153"/>
      <c r="G388" s="2154"/>
      <c r="H388" s="2153"/>
      <c r="I388" s="2153"/>
      <c r="K388" s="1838"/>
      <c r="P388">
        <v>45040830</v>
      </c>
    </row>
    <row r="389" spans="2:16" ht="16.5" hidden="1" customHeight="1">
      <c r="B389" s="809" t="s">
        <v>1324</v>
      </c>
      <c r="C389" s="818" t="s">
        <v>4201</v>
      </c>
      <c r="D389" s="810">
        <f>IF(C389=D404,O404,O405)</f>
        <v>0.9</v>
      </c>
      <c r="F389" s="2153"/>
      <c r="G389" s="2154"/>
      <c r="H389" s="2153"/>
      <c r="I389" s="2153"/>
      <c r="P389">
        <v>45054492</v>
      </c>
    </row>
    <row r="390" spans="2:16" ht="17.25" hidden="1" customHeight="1">
      <c r="B390" s="809" t="s">
        <v>1325</v>
      </c>
      <c r="C390" s="818" t="s">
        <v>4202</v>
      </c>
      <c r="D390" s="810">
        <v>0</v>
      </c>
      <c r="F390" s="2153"/>
      <c r="G390" s="2154"/>
      <c r="H390" s="2153"/>
      <c r="I390" s="2153"/>
      <c r="P390" s="2718">
        <v>45064457</v>
      </c>
    </row>
    <row r="391" spans="2:16" ht="6.75" hidden="1" customHeight="1">
      <c r="B391" s="812"/>
      <c r="C391" s="813"/>
      <c r="D391" s="814"/>
      <c r="F391" s="2153"/>
      <c r="G391" s="2154"/>
      <c r="H391" s="2153"/>
      <c r="I391" s="2153"/>
      <c r="P391">
        <v>45069462</v>
      </c>
    </row>
    <row r="392" spans="2:16" ht="16.5" hidden="1" customHeight="1">
      <c r="B392" s="809" t="s">
        <v>2376</v>
      </c>
      <c r="C392" s="86" t="s">
        <v>4202</v>
      </c>
      <c r="D392" s="810">
        <f>IF(C392=D404,4,1)</f>
        <v>1</v>
      </c>
      <c r="F392" s="2153"/>
      <c r="G392" s="2154"/>
      <c r="H392" s="2153"/>
      <c r="I392" s="2153"/>
      <c r="P392">
        <v>45069512</v>
      </c>
    </row>
    <row r="393" spans="2:16" ht="16.5" hidden="1" customHeight="1">
      <c r="B393" s="809" t="s">
        <v>666</v>
      </c>
      <c r="C393" s="818" t="s">
        <v>667</v>
      </c>
      <c r="D393" s="810">
        <f>IF(C393=B403,C403,IF(OR(C393=B404,C393=B407),C404,C405))</f>
        <v>1</v>
      </c>
      <c r="F393" s="2153"/>
      <c r="G393" s="2154"/>
      <c r="H393" s="2153"/>
      <c r="I393" s="2153"/>
      <c r="P393">
        <v>45070291</v>
      </c>
    </row>
    <row r="394" spans="2:16" ht="15.75" hidden="1" customHeight="1">
      <c r="B394" s="809" t="s">
        <v>1323</v>
      </c>
      <c r="C394" s="86" t="s">
        <v>4202</v>
      </c>
      <c r="D394" s="810">
        <f>IF(C394=D404,1.5,1)</f>
        <v>1</v>
      </c>
      <c r="F394" s="2153"/>
      <c r="G394" s="2154"/>
      <c r="H394" s="2153"/>
      <c r="I394" s="2153"/>
      <c r="P394" s="2718">
        <v>45071001</v>
      </c>
    </row>
    <row r="395" spans="2:16" ht="6" hidden="1" customHeight="1">
      <c r="B395" s="812"/>
      <c r="C395" s="813"/>
      <c r="D395" s="814"/>
      <c r="F395" s="2153"/>
      <c r="G395" s="2154"/>
      <c r="H395" s="2153"/>
      <c r="I395" s="2153"/>
      <c r="P395">
        <v>45072872</v>
      </c>
    </row>
    <row r="396" spans="2:16" ht="14.25" hidden="1" customHeight="1">
      <c r="B396" s="1229" t="s">
        <v>5073</v>
      </c>
      <c r="C396" s="1184">
        <f>NDK!$B$50</f>
        <v>0</v>
      </c>
      <c r="D396" s="1230" t="s">
        <v>673</v>
      </c>
      <c r="F396" s="2153"/>
      <c r="G396" s="2154"/>
      <c r="H396" s="2153"/>
      <c r="I396" s="2153"/>
      <c r="P396">
        <v>45073034</v>
      </c>
    </row>
    <row r="397" spans="2:16" ht="13.5" hidden="1" customHeight="1">
      <c r="B397" s="815" t="s">
        <v>672</v>
      </c>
      <c r="C397" s="819">
        <f>IF(AND($C$396&gt;=0,$C$396&lt;=50),$D$409,IF(AND($C$396&gt;50,$C$396&lt;201),$D$410,IF(AND($C$396&gt;200,$C$396&lt;301),$D$411,$D$412)))</f>
        <v>0.95</v>
      </c>
      <c r="D397" s="810"/>
      <c r="F397" s="2153"/>
      <c r="G397" s="2154"/>
      <c r="H397" s="2153"/>
      <c r="I397" s="2153"/>
      <c r="P397">
        <v>45076332</v>
      </c>
    </row>
    <row r="398" spans="2:16" ht="6" hidden="1" customHeight="1">
      <c r="B398" s="812"/>
      <c r="C398" s="813" t="s">
        <v>430</v>
      </c>
      <c r="D398" s="814"/>
      <c r="F398" s="2153"/>
      <c r="G398" s="2154"/>
      <c r="H398" s="2153"/>
      <c r="I398" s="2153"/>
      <c r="P398" s="2718">
        <v>45080559</v>
      </c>
    </row>
    <row r="399" spans="2:16" ht="13.5" hidden="1" thickBot="1">
      <c r="B399" s="816" t="s">
        <v>1327</v>
      </c>
      <c r="C399" s="821">
        <f>D385*D386*D387*D388*D389*D390*D393*C397*D392*D394</f>
        <v>0</v>
      </c>
      <c r="D399" s="817"/>
      <c r="F399" s="2153"/>
      <c r="G399" s="2154"/>
      <c r="H399" s="2153"/>
      <c r="I399" s="2153"/>
      <c r="P399">
        <v>45080638</v>
      </c>
    </row>
    <row r="400" spans="2:16" ht="15.75" hidden="1" thickTop="1">
      <c r="F400" s="2153"/>
      <c r="G400" s="2154"/>
      <c r="H400" s="2153"/>
      <c r="I400" s="2153"/>
      <c r="P400" s="2718">
        <v>45084115</v>
      </c>
    </row>
    <row r="401" spans="2:16" hidden="1">
      <c r="F401" s="2153"/>
      <c r="G401" s="2154"/>
      <c r="H401" s="2153"/>
      <c r="I401" s="2153"/>
      <c r="P401">
        <v>45088646</v>
      </c>
    </row>
    <row r="402" spans="2:16" hidden="1">
      <c r="F402" s="2153"/>
      <c r="G402" s="2154"/>
      <c r="H402" s="2153"/>
      <c r="I402" s="2153"/>
      <c r="P402">
        <v>45091208</v>
      </c>
    </row>
    <row r="403" spans="2:16" hidden="1">
      <c r="B403" s="687" t="s">
        <v>667</v>
      </c>
      <c r="C403" s="78">
        <v>1</v>
      </c>
      <c r="F403" s="2153"/>
      <c r="G403" s="2154"/>
      <c r="H403" s="2153"/>
      <c r="I403" s="2153"/>
      <c r="L403" t="s">
        <v>661</v>
      </c>
      <c r="M403" t="s">
        <v>662</v>
      </c>
      <c r="N403" t="s">
        <v>663</v>
      </c>
      <c r="O403" t="s">
        <v>664</v>
      </c>
      <c r="P403">
        <v>45093015</v>
      </c>
    </row>
    <row r="404" spans="2:16" hidden="1">
      <c r="B404" s="687" t="s">
        <v>668</v>
      </c>
      <c r="C404" s="78">
        <v>2</v>
      </c>
      <c r="D404" s="78" t="s">
        <v>4201</v>
      </c>
      <c r="F404" s="2153"/>
      <c r="G404" s="2154"/>
      <c r="H404" s="2153"/>
      <c r="I404" s="2153"/>
      <c r="L404">
        <v>0.9</v>
      </c>
      <c r="M404">
        <v>0.7</v>
      </c>
      <c r="N404">
        <v>0.85</v>
      </c>
      <c r="O404">
        <v>0.9</v>
      </c>
      <c r="P404">
        <v>45095506</v>
      </c>
    </row>
    <row r="405" spans="2:16" hidden="1">
      <c r="B405" s="687" t="s">
        <v>669</v>
      </c>
      <c r="C405" s="78">
        <v>1.3</v>
      </c>
      <c r="D405" s="78" t="s">
        <v>4202</v>
      </c>
      <c r="F405" s="2153"/>
      <c r="G405" s="2154"/>
      <c r="H405" s="2153"/>
      <c r="I405" s="2153"/>
      <c r="L405">
        <v>1</v>
      </c>
      <c r="M405">
        <v>1</v>
      </c>
      <c r="N405">
        <v>1</v>
      </c>
      <c r="O405">
        <v>1</v>
      </c>
      <c r="P405">
        <v>45095608</v>
      </c>
    </row>
    <row r="406" spans="2:16" hidden="1">
      <c r="B406" s="687" t="s">
        <v>670</v>
      </c>
      <c r="C406" s="78">
        <v>1.3</v>
      </c>
      <c r="F406" s="2153"/>
      <c r="G406" s="2154"/>
      <c r="H406" s="2153"/>
      <c r="I406" s="2153"/>
      <c r="P406">
        <v>45100907</v>
      </c>
    </row>
    <row r="407" spans="2:16" hidden="1">
      <c r="B407" s="687" t="s">
        <v>671</v>
      </c>
      <c r="C407" s="78">
        <v>2</v>
      </c>
      <c r="F407" s="2153"/>
      <c r="G407" s="2154"/>
      <c r="H407" s="2153"/>
      <c r="I407" s="2153"/>
      <c r="P407">
        <v>45115846</v>
      </c>
    </row>
    <row r="408" spans="2:16" hidden="1">
      <c r="F408" s="2153"/>
      <c r="G408" s="2154"/>
      <c r="H408" s="2153"/>
      <c r="I408" s="2153"/>
      <c r="P408">
        <v>45258788</v>
      </c>
    </row>
    <row r="409" spans="2:16" hidden="1">
      <c r="B409" s="687" t="s">
        <v>672</v>
      </c>
      <c r="C409" s="75" t="s">
        <v>674</v>
      </c>
      <c r="D409" s="78">
        <v>0.95</v>
      </c>
      <c r="F409" s="2153"/>
      <c r="G409" s="2154"/>
      <c r="H409" s="2153"/>
      <c r="I409" s="2153"/>
      <c r="P409">
        <v>45288357</v>
      </c>
    </row>
    <row r="410" spans="2:16" hidden="1">
      <c r="C410" s="75" t="s">
        <v>675</v>
      </c>
      <c r="D410" s="78">
        <v>1</v>
      </c>
      <c r="F410" s="2153"/>
      <c r="G410" s="2154"/>
      <c r="H410" s="2153"/>
      <c r="I410" s="2153"/>
      <c r="P410">
        <v>45290681</v>
      </c>
    </row>
    <row r="411" spans="2:16" hidden="1">
      <c r="C411" s="75" t="s">
        <v>676</v>
      </c>
      <c r="D411" s="78">
        <v>1.05</v>
      </c>
      <c r="F411" s="2153"/>
      <c r="G411" s="2154"/>
      <c r="H411" s="2153"/>
      <c r="I411" s="2153"/>
      <c r="P411">
        <v>45306568</v>
      </c>
    </row>
    <row r="412" spans="2:16" hidden="1">
      <c r="C412" s="75" t="s">
        <v>677</v>
      </c>
      <c r="D412" s="78">
        <v>2</v>
      </c>
      <c r="F412" s="2153"/>
      <c r="G412" s="2154"/>
      <c r="H412" s="2153"/>
      <c r="I412" s="2153"/>
      <c r="P412">
        <v>45307094</v>
      </c>
    </row>
    <row r="413" spans="2:16" hidden="1">
      <c r="F413" s="2153"/>
      <c r="G413" s="2154"/>
      <c r="H413" s="2153"/>
      <c r="I413" s="2153"/>
      <c r="P413">
        <v>45326201</v>
      </c>
    </row>
    <row r="414" spans="2:16" hidden="1">
      <c r="F414" s="2153"/>
      <c r="G414" s="2154"/>
      <c r="H414" s="2153"/>
      <c r="I414" s="2153"/>
      <c r="P414">
        <v>45345371</v>
      </c>
    </row>
    <row r="415" spans="2:16" hidden="1">
      <c r="B415" t="s">
        <v>4331</v>
      </c>
      <c r="F415" s="2153"/>
      <c r="G415" s="2154"/>
      <c r="H415" s="2153"/>
      <c r="I415" s="2153"/>
      <c r="P415">
        <v>45354281</v>
      </c>
    </row>
    <row r="416" spans="2:16" ht="165" hidden="1" customHeight="1" thickBot="1">
      <c r="B416" s="1" t="s">
        <v>4288</v>
      </c>
      <c r="F416" s="2153"/>
      <c r="G416" s="2154"/>
      <c r="H416" s="2153"/>
      <c r="I416" s="2153"/>
      <c r="P416">
        <v>45370577</v>
      </c>
    </row>
    <row r="417" spans="2:16" ht="14.25" customHeight="1" thickTop="1">
      <c r="B417" s="254" t="s">
        <v>251</v>
      </c>
      <c r="C417" s="1058"/>
      <c r="D417" s="1059"/>
      <c r="F417" s="2153"/>
      <c r="G417" s="2154"/>
      <c r="H417" s="2153"/>
      <c r="I417" s="2153"/>
      <c r="N417" s="1333" t="s">
        <v>250</v>
      </c>
      <c r="P417">
        <v>45371444</v>
      </c>
    </row>
    <row r="418" spans="2:16" ht="18" customHeight="1">
      <c r="B418" s="1611" t="s">
        <v>252</v>
      </c>
      <c r="C418" s="1054" t="s">
        <v>4202</v>
      </c>
      <c r="D418" s="1055"/>
      <c r="F418" s="2153"/>
      <c r="G418" s="2154"/>
      <c r="H418" s="2153"/>
      <c r="I418" s="2153"/>
      <c r="N418" s="1507" t="s">
        <v>1714</v>
      </c>
      <c r="P418">
        <v>45377076</v>
      </c>
    </row>
    <row r="419" spans="2:16" ht="17.25" customHeight="1" thickBot="1">
      <c r="B419" s="1611" t="s">
        <v>1496</v>
      </c>
      <c r="C419" s="1056">
        <v>0</v>
      </c>
      <c r="D419" s="1057"/>
      <c r="F419" s="2153"/>
      <c r="G419" s="2154"/>
      <c r="H419" s="2153"/>
      <c r="I419" s="2153"/>
      <c r="N419" s="2485">
        <f>NDK!AF53</f>
        <v>0</v>
      </c>
      <c r="P419">
        <v>45398322</v>
      </c>
    </row>
    <row r="420" spans="2:16" ht="17.25" hidden="1" customHeight="1" thickTop="1" thickBot="1">
      <c r="B420" s="1060" t="s">
        <v>256</v>
      </c>
      <c r="C420" s="1076" t="s">
        <v>4202</v>
      </c>
      <c r="D420" s="1061"/>
      <c r="F420" s="2153"/>
      <c r="G420" s="2154"/>
      <c r="H420" s="2153"/>
      <c r="I420" s="2153"/>
      <c r="P420" s="2718">
        <v>45399442</v>
      </c>
    </row>
    <row r="421" spans="2:16" ht="17.25" customHeight="1" thickTop="1" thickBot="1">
      <c r="B421" s="2574" t="s">
        <v>5339</v>
      </c>
      <c r="C421" s="2209" t="s">
        <v>4202</v>
      </c>
      <c r="D421" s="2575"/>
      <c r="F421" s="2153"/>
      <c r="G421" s="2154"/>
      <c r="H421" s="2153"/>
      <c r="I421" s="2153"/>
      <c r="P421">
        <v>45441033</v>
      </c>
    </row>
    <row r="422" spans="2:16" ht="13.5" hidden="1" thickTop="1">
      <c r="B422" s="1062" t="s">
        <v>260</v>
      </c>
      <c r="C422" s="1063">
        <f>NDK!$B$44+NDK!$B$45+NDK!$B$46+NDK!$B$47</f>
        <v>0</v>
      </c>
      <c r="D422" s="1059"/>
      <c r="F422" s="2153"/>
      <c r="G422" s="2154"/>
      <c r="H422" s="2153"/>
      <c r="I422" s="2153"/>
      <c r="P422">
        <v>45443222</v>
      </c>
    </row>
    <row r="423" spans="2:16" hidden="1">
      <c r="B423" s="1064" t="s">
        <v>261</v>
      </c>
      <c r="C423" s="1065">
        <f>NDK!$B$31+NDK!$B$32</f>
        <v>0</v>
      </c>
      <c r="D423" s="1055"/>
      <c r="F423" s="2153"/>
      <c r="G423" s="2154"/>
      <c r="H423" s="2153"/>
      <c r="I423" s="2153"/>
      <c r="P423">
        <v>45470561</v>
      </c>
    </row>
    <row r="424" spans="2:16" hidden="1">
      <c r="B424" s="1053" t="s">
        <v>267</v>
      </c>
      <c r="C424" s="866">
        <v>0</v>
      </c>
      <c r="D424" s="1066" t="str">
        <f>IF(C424&lt;C425,D431,D432)</f>
        <v>OK</v>
      </c>
      <c r="F424" s="2153"/>
      <c r="G424" s="2154"/>
      <c r="H424" s="2153"/>
      <c r="I424" s="2153"/>
      <c r="P424">
        <v>45491480</v>
      </c>
    </row>
    <row r="425" spans="2:16" ht="13.5" hidden="1" thickBot="1">
      <c r="B425" s="1067" t="s">
        <v>255</v>
      </c>
      <c r="C425" s="1068">
        <f>NDK!B50</f>
        <v>0</v>
      </c>
      <c r="D425" s="1069" t="s">
        <v>673</v>
      </c>
      <c r="F425" s="2153"/>
      <c r="G425" s="2154"/>
      <c r="H425" s="2153"/>
      <c r="I425" s="2153"/>
      <c r="P425">
        <v>45701641</v>
      </c>
    </row>
    <row r="426" spans="2:16" ht="72" customHeight="1" thickTop="1">
      <c r="B426" s="2581" t="s">
        <v>5439</v>
      </c>
      <c r="C426" s="1077" t="s">
        <v>4202</v>
      </c>
      <c r="D426" s="1070">
        <f>IF(C426=C432,1,4)</f>
        <v>1</v>
      </c>
      <c r="F426" s="2153"/>
      <c r="G426" s="2154"/>
      <c r="H426" s="2153"/>
      <c r="I426" s="2153"/>
      <c r="P426">
        <v>45710741</v>
      </c>
    </row>
    <row r="427" spans="2:16" ht="64.5" customHeight="1">
      <c r="B427" s="3279" t="s">
        <v>5440</v>
      </c>
      <c r="C427" s="1078" t="s">
        <v>4202</v>
      </c>
      <c r="D427" s="1071">
        <f>IF(C427=C432,1,11)</f>
        <v>1</v>
      </c>
      <c r="F427" s="2153"/>
      <c r="G427" s="2154"/>
      <c r="H427" s="2153"/>
      <c r="I427" s="2153"/>
      <c r="P427">
        <v>45728845</v>
      </c>
    </row>
    <row r="428" spans="2:16" ht="4.5" customHeight="1">
      <c r="B428" s="1072"/>
      <c r="C428" s="1073"/>
      <c r="D428" s="1074"/>
      <c r="F428" s="2153"/>
      <c r="G428" s="2154"/>
      <c r="H428" s="2153"/>
      <c r="I428" s="2153"/>
      <c r="P428">
        <v>45737953</v>
      </c>
    </row>
    <row r="429" spans="2:16" ht="13.5" thickBot="1">
      <c r="B429" s="1075" t="s">
        <v>268</v>
      </c>
      <c r="C429" s="1068">
        <f>IF(C418=C431,C419,C436*C442*D426*D427*C439*C443)</f>
        <v>1</v>
      </c>
      <c r="D429" s="1069"/>
      <c r="F429" s="2153"/>
      <c r="G429" s="2154"/>
      <c r="H429" s="2153"/>
      <c r="I429" s="2153"/>
      <c r="P429">
        <v>45741216</v>
      </c>
    </row>
    <row r="430" spans="2:16" ht="13.5" hidden="1" thickTop="1">
      <c r="F430" s="465">
        <v>2336</v>
      </c>
      <c r="G430" s="466" t="s">
        <v>450</v>
      </c>
      <c r="H430" s="465"/>
      <c r="I430" s="465">
        <v>2336</v>
      </c>
      <c r="P430">
        <v>45742474</v>
      </c>
    </row>
    <row r="431" spans="2:16" hidden="1">
      <c r="B431" s="1051" t="s">
        <v>253</v>
      </c>
      <c r="C431" s="78" t="s">
        <v>4201</v>
      </c>
      <c r="D431" s="78" t="s">
        <v>263</v>
      </c>
      <c r="F431" s="465">
        <v>2351</v>
      </c>
      <c r="G431" s="466" t="s">
        <v>458</v>
      </c>
      <c r="H431" s="465"/>
      <c r="I431" s="465">
        <v>2351</v>
      </c>
      <c r="P431">
        <v>45746369</v>
      </c>
    </row>
    <row r="432" spans="2:16" hidden="1">
      <c r="B432" s="442" t="s">
        <v>254</v>
      </c>
      <c r="C432" s="78" t="s">
        <v>4202</v>
      </c>
      <c r="D432" s="78" t="s">
        <v>262</v>
      </c>
      <c r="F432" s="465">
        <v>2360</v>
      </c>
      <c r="G432" s="466" t="s">
        <v>271</v>
      </c>
      <c r="H432" s="465"/>
      <c r="I432" s="465">
        <v>2360</v>
      </c>
      <c r="P432">
        <v>45748009</v>
      </c>
    </row>
    <row r="433" spans="2:16" hidden="1">
      <c r="F433" s="465">
        <v>2363</v>
      </c>
      <c r="G433" s="466" t="s">
        <v>460</v>
      </c>
      <c r="H433" s="465"/>
      <c r="I433" s="465">
        <v>2363</v>
      </c>
      <c r="P433">
        <v>45762155</v>
      </c>
    </row>
    <row r="434" spans="2:16" hidden="1">
      <c r="B434" t="s">
        <v>257</v>
      </c>
      <c r="C434" s="1052">
        <v>1</v>
      </c>
      <c r="F434" s="465">
        <v>2364</v>
      </c>
      <c r="G434" s="466" t="s">
        <v>461</v>
      </c>
      <c r="H434" s="465"/>
      <c r="I434" s="465">
        <v>2364</v>
      </c>
      <c r="P434">
        <v>45765801</v>
      </c>
    </row>
    <row r="435" spans="2:16" hidden="1">
      <c r="B435" t="s">
        <v>258</v>
      </c>
      <c r="C435" s="1052">
        <v>1</v>
      </c>
      <c r="F435" s="465">
        <v>2440</v>
      </c>
      <c r="G435" s="466" t="s">
        <v>3033</v>
      </c>
      <c r="H435" s="465"/>
      <c r="I435" s="465">
        <v>2440</v>
      </c>
      <c r="P435">
        <v>45778100</v>
      </c>
    </row>
    <row r="436" spans="2:16" hidden="1">
      <c r="B436" t="s">
        <v>259</v>
      </c>
      <c r="C436" s="1052">
        <f>IF(C425&lt;25,C434,IF(C425&lt;100,C435,1))</f>
        <v>1</v>
      </c>
      <c r="F436" s="465">
        <v>2461</v>
      </c>
      <c r="G436" s="466" t="s">
        <v>3041</v>
      </c>
      <c r="H436" s="465"/>
      <c r="I436" s="465">
        <v>2461</v>
      </c>
      <c r="P436">
        <v>45807907</v>
      </c>
    </row>
    <row r="437" spans="2:16" hidden="1">
      <c r="B437" t="s">
        <v>264</v>
      </c>
      <c r="P437">
        <v>45848554</v>
      </c>
    </row>
    <row r="438" spans="2:16" ht="15.75" hidden="1">
      <c r="B438" s="875" t="s">
        <v>5117</v>
      </c>
      <c r="C438" s="75" t="str">
        <f>C421</f>
        <v>NEM</v>
      </c>
      <c r="P438">
        <v>45905720</v>
      </c>
    </row>
    <row r="439" spans="2:16" ht="15.75" hidden="1">
      <c r="B439" s="875" t="s">
        <v>5118</v>
      </c>
      <c r="C439" s="75">
        <f>IF(C438=C431,0.5,1)</f>
        <v>1</v>
      </c>
      <c r="P439">
        <v>45913580</v>
      </c>
    </row>
    <row r="440" spans="2:16" ht="15.75" hidden="1">
      <c r="B440" s="875"/>
      <c r="P440">
        <v>45943002</v>
      </c>
    </row>
    <row r="441" spans="2:16" hidden="1">
      <c r="B441" t="s">
        <v>266</v>
      </c>
      <c r="C441" s="75">
        <f>NDK!$AG$66</f>
        <v>1</v>
      </c>
      <c r="P441">
        <v>45947694</v>
      </c>
    </row>
    <row r="442" spans="2:16" hidden="1">
      <c r="B442" t="s">
        <v>265</v>
      </c>
      <c r="C442" s="273">
        <f>IF(C441=0,1,C441)</f>
        <v>1</v>
      </c>
      <c r="P442">
        <v>45955369</v>
      </c>
    </row>
    <row r="443" spans="2:16" ht="15.75" hidden="1">
      <c r="B443" s="1360" t="s">
        <v>5441</v>
      </c>
      <c r="C443" s="75">
        <f>IF(AND(C421=C432,NDK!X50&gt;50),2,1)</f>
        <v>1</v>
      </c>
      <c r="P443">
        <v>45969037</v>
      </c>
    </row>
    <row r="444" spans="2:16" hidden="1">
      <c r="E444" s="60"/>
      <c r="P444">
        <v>45969047</v>
      </c>
    </row>
    <row r="445" spans="2:16" ht="13.5" thickTop="1">
      <c r="E445"/>
      <c r="P445">
        <v>45969054</v>
      </c>
    </row>
    <row r="446" spans="2:16">
      <c r="E446"/>
      <c r="P446">
        <v>45969064</v>
      </c>
    </row>
    <row r="447" spans="2:16">
      <c r="E447"/>
      <c r="P447">
        <v>45969133</v>
      </c>
    </row>
    <row r="448" spans="2:16">
      <c r="E448"/>
      <c r="P448">
        <v>45969161</v>
      </c>
    </row>
    <row r="449" spans="3:16">
      <c r="E449"/>
      <c r="P449">
        <v>46008581</v>
      </c>
    </row>
    <row r="450" spans="3:16">
      <c r="E450"/>
      <c r="P450">
        <v>46064547</v>
      </c>
    </row>
    <row r="451" spans="3:16">
      <c r="C451" s="199"/>
      <c r="E451" s="2498"/>
      <c r="P451">
        <v>46081587</v>
      </c>
    </row>
    <row r="452" spans="3:16">
      <c r="C452"/>
      <c r="E452"/>
      <c r="P452">
        <v>46135010</v>
      </c>
    </row>
    <row r="453" spans="3:16" ht="15">
      <c r="C453"/>
      <c r="E453"/>
      <c r="P453" s="2718">
        <v>46157883</v>
      </c>
    </row>
    <row r="454" spans="3:16">
      <c r="C454"/>
      <c r="E454"/>
      <c r="P454">
        <v>46161255</v>
      </c>
    </row>
    <row r="455" spans="3:16">
      <c r="C455"/>
      <c r="E455"/>
      <c r="P455">
        <v>46166644</v>
      </c>
    </row>
    <row r="456" spans="3:16">
      <c r="C456"/>
      <c r="E456"/>
      <c r="P456">
        <v>46189325</v>
      </c>
    </row>
    <row r="457" spans="3:16">
      <c r="C457"/>
      <c r="E457"/>
      <c r="P457">
        <v>46193880</v>
      </c>
    </row>
    <row r="458" spans="3:16">
      <c r="C458"/>
      <c r="E458"/>
      <c r="P458">
        <v>46200059</v>
      </c>
    </row>
    <row r="459" spans="3:16">
      <c r="C459"/>
      <c r="E459"/>
      <c r="P459">
        <v>46200669</v>
      </c>
    </row>
    <row r="460" spans="3:16">
      <c r="C460"/>
      <c r="E460"/>
      <c r="P460">
        <v>46202791</v>
      </c>
    </row>
    <row r="461" spans="3:16">
      <c r="C461"/>
      <c r="E461"/>
      <c r="P461">
        <v>46205685</v>
      </c>
    </row>
    <row r="462" spans="3:16">
      <c r="C462"/>
      <c r="E462"/>
      <c r="P462">
        <v>46219275</v>
      </c>
    </row>
    <row r="463" spans="3:16">
      <c r="C463"/>
      <c r="E463"/>
      <c r="P463">
        <v>46221389</v>
      </c>
    </row>
    <row r="464" spans="3:16">
      <c r="C464"/>
      <c r="E464"/>
      <c r="P464">
        <v>46231926</v>
      </c>
    </row>
    <row r="465" spans="3:16">
      <c r="C465"/>
      <c r="E465" s="2498"/>
      <c r="P465">
        <v>46242252</v>
      </c>
    </row>
    <row r="466" spans="3:16" ht="15">
      <c r="C466"/>
      <c r="E466"/>
      <c r="P466" s="2718">
        <v>46245189</v>
      </c>
    </row>
    <row r="467" spans="3:16">
      <c r="C467"/>
      <c r="E467"/>
      <c r="P467">
        <v>46246962</v>
      </c>
    </row>
    <row r="468" spans="3:16">
      <c r="C468"/>
      <c r="E468"/>
      <c r="P468">
        <v>46250553</v>
      </c>
    </row>
    <row r="469" spans="3:16">
      <c r="C469"/>
      <c r="E469"/>
      <c r="P469">
        <v>46328596</v>
      </c>
    </row>
    <row r="470" spans="3:16">
      <c r="C470"/>
      <c r="E470"/>
      <c r="P470">
        <v>46352176</v>
      </c>
    </row>
    <row r="471" spans="3:16">
      <c r="C471"/>
      <c r="E471"/>
      <c r="P471">
        <v>46419669</v>
      </c>
    </row>
    <row r="472" spans="3:16">
      <c r="C472"/>
      <c r="E472"/>
      <c r="P472">
        <v>46430095</v>
      </c>
    </row>
    <row r="473" spans="3:16">
      <c r="C473"/>
      <c r="E473" s="2498"/>
      <c r="P473">
        <v>46430122</v>
      </c>
    </row>
    <row r="474" spans="3:16">
      <c r="C474"/>
      <c r="E474"/>
      <c r="P474">
        <v>46439006</v>
      </c>
    </row>
    <row r="475" spans="3:16">
      <c r="C475"/>
      <c r="E475"/>
      <c r="P475">
        <v>46439038</v>
      </c>
    </row>
    <row r="476" spans="3:16">
      <c r="C476"/>
      <c r="E476"/>
      <c r="P476">
        <v>46460329</v>
      </c>
    </row>
    <row r="477" spans="3:16">
      <c r="C477"/>
      <c r="E477"/>
      <c r="P477">
        <v>46471893</v>
      </c>
    </row>
    <row r="478" spans="3:16">
      <c r="C478"/>
      <c r="E478"/>
      <c r="P478">
        <v>46489277</v>
      </c>
    </row>
    <row r="479" spans="3:16">
      <c r="C479"/>
      <c r="E479"/>
      <c r="P479">
        <v>46602759</v>
      </c>
    </row>
    <row r="480" spans="3:16">
      <c r="C480"/>
      <c r="E480"/>
      <c r="P480">
        <v>46665256</v>
      </c>
    </row>
    <row r="481" spans="3:16">
      <c r="C481"/>
      <c r="E481"/>
      <c r="P481">
        <v>46709558</v>
      </c>
    </row>
    <row r="482" spans="3:16">
      <c r="C482"/>
      <c r="E482"/>
      <c r="P482">
        <v>46904054</v>
      </c>
    </row>
    <row r="483" spans="3:16">
      <c r="C483"/>
      <c r="E483"/>
      <c r="P483">
        <v>46904058</v>
      </c>
    </row>
    <row r="484" spans="3:16">
      <c r="C484"/>
      <c r="E484"/>
      <c r="P484">
        <v>46904080</v>
      </c>
    </row>
    <row r="485" spans="3:16">
      <c r="C485"/>
      <c r="E485"/>
      <c r="P485">
        <v>46904085</v>
      </c>
    </row>
    <row r="486" spans="3:16">
      <c r="C486"/>
      <c r="E486"/>
      <c r="P486">
        <v>46904095</v>
      </c>
    </row>
    <row r="487" spans="3:16">
      <c r="C487"/>
      <c r="E487"/>
      <c r="P487">
        <v>46904154</v>
      </c>
    </row>
    <row r="488" spans="3:16">
      <c r="C488"/>
      <c r="E488"/>
      <c r="P488">
        <v>46905284</v>
      </c>
    </row>
    <row r="489" spans="3:16">
      <c r="C489"/>
      <c r="E489"/>
      <c r="P489">
        <v>46905292</v>
      </c>
    </row>
    <row r="490" spans="3:16">
      <c r="C490"/>
      <c r="E490"/>
      <c r="P490">
        <v>50017677</v>
      </c>
    </row>
    <row r="491" spans="3:16">
      <c r="C491"/>
      <c r="E491"/>
      <c r="P491">
        <v>50106212</v>
      </c>
    </row>
    <row r="492" spans="3:16">
      <c r="C492"/>
      <c r="E492"/>
      <c r="P492">
        <v>50324192</v>
      </c>
    </row>
    <row r="493" spans="3:16">
      <c r="C493"/>
      <c r="E493"/>
      <c r="P493" t="s">
        <v>1555</v>
      </c>
    </row>
    <row r="494" spans="3:16" ht="15">
      <c r="C494" s="3180"/>
      <c r="E494"/>
      <c r="P494" t="s">
        <v>5031</v>
      </c>
    </row>
    <row r="495" spans="3:16">
      <c r="C495"/>
      <c r="E495" s="2498"/>
      <c r="P495" t="s">
        <v>5032</v>
      </c>
    </row>
    <row r="496" spans="3:16">
      <c r="C496"/>
      <c r="E496"/>
      <c r="P496" t="s">
        <v>5033</v>
      </c>
    </row>
    <row r="497" spans="3:5">
      <c r="C497"/>
      <c r="E497"/>
    </row>
    <row r="498" spans="3:5">
      <c r="C498"/>
      <c r="E498"/>
    </row>
    <row r="499" spans="3:5">
      <c r="C499"/>
      <c r="E499"/>
    </row>
    <row r="500" spans="3:5">
      <c r="C500"/>
      <c r="E500"/>
    </row>
    <row r="501" spans="3:5">
      <c r="C501"/>
      <c r="E501"/>
    </row>
    <row r="502" spans="3:5">
      <c r="C502"/>
      <c r="E502"/>
    </row>
    <row r="503" spans="3:5">
      <c r="C503"/>
      <c r="E503"/>
    </row>
    <row r="504" spans="3:5">
      <c r="C504"/>
      <c r="E504"/>
    </row>
    <row r="505" spans="3:5">
      <c r="C505"/>
      <c r="E505"/>
    </row>
    <row r="506" spans="3:5">
      <c r="C506"/>
      <c r="E506"/>
    </row>
    <row r="507" spans="3:5">
      <c r="C507"/>
      <c r="E507"/>
    </row>
    <row r="508" spans="3:5">
      <c r="C508"/>
      <c r="E508" s="2498"/>
    </row>
    <row r="509" spans="3:5">
      <c r="C509"/>
      <c r="E509"/>
    </row>
    <row r="510" spans="3:5">
      <c r="C510"/>
      <c r="E510"/>
    </row>
    <row r="511" spans="3:5">
      <c r="C511"/>
      <c r="E511"/>
    </row>
    <row r="512" spans="3:5">
      <c r="C512"/>
      <c r="E512" s="2498"/>
    </row>
    <row r="513" spans="3:5">
      <c r="C513"/>
      <c r="E513"/>
    </row>
    <row r="514" spans="3:5">
      <c r="C514"/>
      <c r="E514"/>
    </row>
    <row r="515" spans="3:5">
      <c r="C515"/>
      <c r="E515"/>
    </row>
    <row r="516" spans="3:5">
      <c r="C516"/>
      <c r="E516"/>
    </row>
    <row r="517" spans="3:5">
      <c r="C517"/>
      <c r="E517"/>
    </row>
    <row r="518" spans="3:5">
      <c r="C518"/>
      <c r="E518"/>
    </row>
    <row r="519" spans="3:5">
      <c r="C519"/>
      <c r="E519"/>
    </row>
    <row r="520" spans="3:5">
      <c r="C520"/>
      <c r="E520"/>
    </row>
    <row r="521" spans="3:5">
      <c r="C521"/>
      <c r="E521"/>
    </row>
    <row r="522" spans="3:5">
      <c r="C522"/>
      <c r="E522"/>
    </row>
    <row r="523" spans="3:5">
      <c r="C523"/>
      <c r="E523"/>
    </row>
    <row r="524" spans="3:5">
      <c r="C524"/>
      <c r="E524"/>
    </row>
    <row r="525" spans="3:5" ht="15">
      <c r="C525" s="3180"/>
      <c r="E525"/>
    </row>
    <row r="526" spans="3:5">
      <c r="C526"/>
      <c r="E526"/>
    </row>
    <row r="527" spans="3:5">
      <c r="C527"/>
      <c r="E527"/>
    </row>
    <row r="528" spans="3:5">
      <c r="C528"/>
      <c r="E528"/>
    </row>
    <row r="529" spans="3:5">
      <c r="C529"/>
      <c r="E529"/>
    </row>
    <row r="530" spans="3:5" ht="15">
      <c r="C530" s="3180"/>
      <c r="E530"/>
    </row>
    <row r="531" spans="3:5">
      <c r="C531"/>
      <c r="E531"/>
    </row>
    <row r="532" spans="3:5">
      <c r="C532"/>
      <c r="E532"/>
    </row>
    <row r="533" spans="3:5">
      <c r="C533"/>
      <c r="E533" s="2498"/>
    </row>
    <row r="534" spans="3:5">
      <c r="C534"/>
      <c r="E534"/>
    </row>
    <row r="535" spans="3:5">
      <c r="C535"/>
      <c r="E535" s="2498"/>
    </row>
    <row r="536" spans="3:5">
      <c r="C536"/>
      <c r="E536"/>
    </row>
    <row r="537" spans="3:5">
      <c r="C537"/>
      <c r="E537"/>
    </row>
    <row r="538" spans="3:5">
      <c r="C538"/>
      <c r="E538"/>
    </row>
    <row r="539" spans="3:5">
      <c r="C539"/>
      <c r="E539"/>
    </row>
    <row r="540" spans="3:5">
      <c r="C540"/>
      <c r="E540"/>
    </row>
    <row r="541" spans="3:5">
      <c r="C541"/>
      <c r="E541"/>
    </row>
    <row r="542" spans="3:5">
      <c r="C542"/>
      <c r="E542"/>
    </row>
    <row r="543" spans="3:5">
      <c r="C543"/>
      <c r="E543"/>
    </row>
    <row r="544" spans="3:5">
      <c r="C544"/>
      <c r="E544" s="2498"/>
    </row>
    <row r="545" spans="3:5">
      <c r="C545"/>
      <c r="E545"/>
    </row>
    <row r="546" spans="3:5">
      <c r="C546"/>
      <c r="E546"/>
    </row>
    <row r="547" spans="3:5">
      <c r="C547"/>
      <c r="E547"/>
    </row>
    <row r="548" spans="3:5">
      <c r="C548"/>
      <c r="E548"/>
    </row>
    <row r="549" spans="3:5">
      <c r="C549"/>
      <c r="E549"/>
    </row>
    <row r="550" spans="3:5">
      <c r="C550"/>
      <c r="E550"/>
    </row>
    <row r="551" spans="3:5">
      <c r="C551"/>
      <c r="E551"/>
    </row>
    <row r="552" spans="3:5">
      <c r="C552"/>
      <c r="E552" s="2498"/>
    </row>
    <row r="553" spans="3:5">
      <c r="C553"/>
      <c r="E553" s="2498"/>
    </row>
    <row r="554" spans="3:5">
      <c r="C554"/>
      <c r="E554" s="2498"/>
    </row>
    <row r="555" spans="3:5">
      <c r="C555"/>
      <c r="E555"/>
    </row>
    <row r="556" spans="3:5">
      <c r="C556"/>
      <c r="E556"/>
    </row>
    <row r="557" spans="3:5">
      <c r="C557"/>
      <c r="E557"/>
    </row>
    <row r="558" spans="3:5">
      <c r="C558"/>
      <c r="E558" s="2498"/>
    </row>
    <row r="559" spans="3:5">
      <c r="C559"/>
      <c r="E559"/>
    </row>
    <row r="560" spans="3:5">
      <c r="C560"/>
      <c r="E560"/>
    </row>
    <row r="561" spans="3:5">
      <c r="C561"/>
      <c r="E561"/>
    </row>
    <row r="562" spans="3:5">
      <c r="C562"/>
      <c r="E562"/>
    </row>
    <row r="563" spans="3:5">
      <c r="C563"/>
      <c r="E563"/>
    </row>
    <row r="564" spans="3:5">
      <c r="C564"/>
      <c r="E564"/>
    </row>
    <row r="565" spans="3:5">
      <c r="C565"/>
      <c r="E565"/>
    </row>
    <row r="566" spans="3:5">
      <c r="C566"/>
      <c r="E566"/>
    </row>
    <row r="567" spans="3:5">
      <c r="C567"/>
      <c r="E567"/>
    </row>
    <row r="568" spans="3:5">
      <c r="C568"/>
      <c r="E568" s="2498"/>
    </row>
    <row r="569" spans="3:5">
      <c r="C569"/>
      <c r="E569"/>
    </row>
    <row r="570" spans="3:5">
      <c r="C570"/>
      <c r="E570"/>
    </row>
    <row r="571" spans="3:5">
      <c r="C571"/>
      <c r="E571"/>
    </row>
    <row r="572" spans="3:5">
      <c r="C572"/>
      <c r="E572"/>
    </row>
    <row r="573" spans="3:5">
      <c r="C573"/>
      <c r="E573"/>
    </row>
    <row r="574" spans="3:5">
      <c r="C574"/>
      <c r="E574"/>
    </row>
    <row r="575" spans="3:5">
      <c r="C575"/>
      <c r="E575"/>
    </row>
    <row r="576" spans="3:5">
      <c r="C576"/>
      <c r="E576"/>
    </row>
    <row r="577" spans="3:5">
      <c r="C577"/>
      <c r="E577"/>
    </row>
    <row r="578" spans="3:5">
      <c r="C578"/>
      <c r="E578"/>
    </row>
    <row r="579" spans="3:5">
      <c r="C579"/>
      <c r="E579"/>
    </row>
    <row r="580" spans="3:5">
      <c r="C580"/>
      <c r="E580"/>
    </row>
    <row r="581" spans="3:5">
      <c r="C581"/>
      <c r="E581"/>
    </row>
    <row r="582" spans="3:5">
      <c r="C582"/>
      <c r="E582"/>
    </row>
    <row r="583" spans="3:5">
      <c r="C583"/>
      <c r="E583"/>
    </row>
    <row r="584" spans="3:5">
      <c r="C584"/>
      <c r="E584"/>
    </row>
    <row r="585" spans="3:5">
      <c r="C585"/>
      <c r="E585"/>
    </row>
    <row r="586" spans="3:5">
      <c r="C586"/>
      <c r="E586"/>
    </row>
    <row r="587" spans="3:5">
      <c r="C587"/>
      <c r="E587"/>
    </row>
    <row r="588" spans="3:5" ht="15">
      <c r="C588" s="3180"/>
      <c r="E588"/>
    </row>
    <row r="589" spans="3:5">
      <c r="C589"/>
      <c r="E589"/>
    </row>
    <row r="590" spans="3:5" ht="15">
      <c r="C590" s="3180"/>
      <c r="E590"/>
    </row>
    <row r="591" spans="3:5">
      <c r="C591"/>
      <c r="E591"/>
    </row>
    <row r="592" spans="3:5">
      <c r="C592"/>
      <c r="E592"/>
    </row>
    <row r="593" spans="3:5">
      <c r="C593"/>
      <c r="E593"/>
    </row>
    <row r="594" spans="3:5">
      <c r="C594"/>
      <c r="E594"/>
    </row>
    <row r="595" spans="3:5">
      <c r="C595"/>
      <c r="E595"/>
    </row>
    <row r="596" spans="3:5">
      <c r="C596"/>
      <c r="E596"/>
    </row>
    <row r="597" spans="3:5">
      <c r="C597"/>
      <c r="E597"/>
    </row>
    <row r="598" spans="3:5">
      <c r="C598"/>
      <c r="E598"/>
    </row>
    <row r="599" spans="3:5">
      <c r="C599"/>
      <c r="E599"/>
    </row>
    <row r="600" spans="3:5">
      <c r="C600"/>
      <c r="E600"/>
    </row>
    <row r="601" spans="3:5">
      <c r="C601"/>
      <c r="E601"/>
    </row>
    <row r="602" spans="3:5">
      <c r="C602"/>
      <c r="E602"/>
    </row>
    <row r="603" spans="3:5" ht="15">
      <c r="C603" s="3180"/>
      <c r="E603"/>
    </row>
    <row r="604" spans="3:5">
      <c r="C604"/>
      <c r="E604"/>
    </row>
    <row r="605" spans="3:5">
      <c r="C605"/>
      <c r="E605"/>
    </row>
    <row r="606" spans="3:5">
      <c r="C606"/>
      <c r="E606"/>
    </row>
    <row r="607" spans="3:5">
      <c r="C607"/>
      <c r="E607"/>
    </row>
    <row r="608" spans="3:5">
      <c r="C608"/>
      <c r="E608"/>
    </row>
    <row r="609" spans="3:5">
      <c r="C609"/>
      <c r="E609"/>
    </row>
    <row r="610" spans="3:5">
      <c r="C610"/>
      <c r="E610"/>
    </row>
    <row r="611" spans="3:5">
      <c r="C611"/>
      <c r="E611"/>
    </row>
    <row r="612" spans="3:5" ht="15">
      <c r="C612" s="3180"/>
      <c r="E612" s="2498"/>
    </row>
    <row r="613" spans="3:5">
      <c r="C613"/>
      <c r="E613"/>
    </row>
    <row r="614" spans="3:5" ht="15">
      <c r="C614" s="3180"/>
      <c r="E614"/>
    </row>
    <row r="615" spans="3:5">
      <c r="C615"/>
      <c r="E615"/>
    </row>
    <row r="616" spans="3:5">
      <c r="C616"/>
      <c r="E616" s="2498"/>
    </row>
    <row r="617" spans="3:5">
      <c r="C617"/>
      <c r="E617"/>
    </row>
    <row r="618" spans="3:5">
      <c r="C618"/>
      <c r="E618"/>
    </row>
    <row r="619" spans="3:5">
      <c r="C619"/>
      <c r="E619"/>
    </row>
    <row r="620" spans="3:5">
      <c r="C620"/>
      <c r="E620"/>
    </row>
    <row r="621" spans="3:5">
      <c r="C621"/>
      <c r="E621"/>
    </row>
    <row r="622" spans="3:5">
      <c r="C622"/>
      <c r="E622"/>
    </row>
    <row r="623" spans="3:5">
      <c r="C623"/>
      <c r="E623"/>
    </row>
    <row r="624" spans="3:5">
      <c r="C624"/>
      <c r="E624"/>
    </row>
    <row r="625" spans="3:5">
      <c r="C625"/>
      <c r="E625"/>
    </row>
    <row r="626" spans="3:5">
      <c r="C626"/>
      <c r="E626"/>
    </row>
    <row r="627" spans="3:5">
      <c r="C627"/>
      <c r="E627" s="2498"/>
    </row>
    <row r="628" spans="3:5">
      <c r="C628"/>
      <c r="E628" s="2498"/>
    </row>
    <row r="629" spans="3:5">
      <c r="C629"/>
      <c r="E629"/>
    </row>
    <row r="630" spans="3:5">
      <c r="C630"/>
      <c r="E630"/>
    </row>
    <row r="631" spans="3:5">
      <c r="C631"/>
      <c r="E631"/>
    </row>
    <row r="632" spans="3:5">
      <c r="C632"/>
      <c r="E632"/>
    </row>
    <row r="633" spans="3:5">
      <c r="C633"/>
    </row>
    <row r="634" spans="3:5">
      <c r="C634"/>
    </row>
    <row r="635" spans="3:5">
      <c r="C635"/>
    </row>
    <row r="636" spans="3:5">
      <c r="C636"/>
    </row>
    <row r="637" spans="3:5">
      <c r="C637"/>
    </row>
    <row r="638" spans="3:5">
      <c r="C638"/>
    </row>
    <row r="639" spans="3:5">
      <c r="C639"/>
    </row>
    <row r="640" spans="3:5">
      <c r="C640"/>
    </row>
    <row r="641" spans="3:3">
      <c r="C641"/>
    </row>
    <row r="642" spans="3:3">
      <c r="C642"/>
    </row>
    <row r="643" spans="3:3">
      <c r="C643"/>
    </row>
    <row r="644" spans="3:3">
      <c r="C644"/>
    </row>
    <row r="645" spans="3:3">
      <c r="C645"/>
    </row>
    <row r="646" spans="3:3">
      <c r="C646"/>
    </row>
    <row r="647" spans="3:3">
      <c r="C647"/>
    </row>
    <row r="648" spans="3:3">
      <c r="C648"/>
    </row>
    <row r="649" spans="3:3">
      <c r="C649"/>
    </row>
    <row r="650" spans="3:3">
      <c r="C650"/>
    </row>
    <row r="651" spans="3:3">
      <c r="C651"/>
    </row>
    <row r="652" spans="3:3">
      <c r="C652"/>
    </row>
    <row r="653" spans="3:3">
      <c r="C653"/>
    </row>
    <row r="654" spans="3:3">
      <c r="C654"/>
    </row>
    <row r="655" spans="3:3">
      <c r="C655"/>
    </row>
    <row r="656" spans="3:3">
      <c r="C656"/>
    </row>
    <row r="657" spans="3:3">
      <c r="C657"/>
    </row>
    <row r="658" spans="3:3">
      <c r="C658"/>
    </row>
    <row r="659" spans="3:3">
      <c r="C659"/>
    </row>
    <row r="660" spans="3:3">
      <c r="C660"/>
    </row>
    <row r="661" spans="3:3">
      <c r="C661"/>
    </row>
    <row r="662" spans="3:3">
      <c r="C662"/>
    </row>
    <row r="663" spans="3:3">
      <c r="C663"/>
    </row>
    <row r="664" spans="3:3">
      <c r="C664"/>
    </row>
    <row r="665" spans="3:3">
      <c r="C665"/>
    </row>
    <row r="666" spans="3:3">
      <c r="C666"/>
    </row>
    <row r="667" spans="3:3">
      <c r="C667"/>
    </row>
    <row r="668" spans="3:3">
      <c r="C668"/>
    </row>
    <row r="669" spans="3:3">
      <c r="C669"/>
    </row>
    <row r="670" spans="3:3">
      <c r="C670"/>
    </row>
    <row r="671" spans="3:3">
      <c r="C671"/>
    </row>
    <row r="672" spans="3:3">
      <c r="C672"/>
    </row>
    <row r="673" spans="3:3">
      <c r="C673"/>
    </row>
    <row r="674" spans="3:3">
      <c r="C674"/>
    </row>
    <row r="675" spans="3:3">
      <c r="C675"/>
    </row>
    <row r="676" spans="3:3">
      <c r="C676"/>
    </row>
    <row r="677" spans="3:3">
      <c r="C677"/>
    </row>
    <row r="678" spans="3:3">
      <c r="C678"/>
    </row>
    <row r="679" spans="3:3">
      <c r="C679"/>
    </row>
    <row r="680" spans="3:3">
      <c r="C680"/>
    </row>
    <row r="681" spans="3:3">
      <c r="C681"/>
    </row>
    <row r="682" spans="3:3">
      <c r="C682"/>
    </row>
    <row r="683" spans="3:3">
      <c r="C683"/>
    </row>
    <row r="684" spans="3:3">
      <c r="C684"/>
    </row>
    <row r="685" spans="3:3">
      <c r="C685"/>
    </row>
    <row r="686" spans="3:3">
      <c r="C686"/>
    </row>
    <row r="687" spans="3:3">
      <c r="C687"/>
    </row>
    <row r="688" spans="3:3">
      <c r="C688"/>
    </row>
    <row r="689" spans="3:3">
      <c r="C689"/>
    </row>
    <row r="690" spans="3:3" ht="15">
      <c r="C690" s="3180"/>
    </row>
    <row r="691" spans="3:3">
      <c r="C691"/>
    </row>
    <row r="692" spans="3:3">
      <c r="C692"/>
    </row>
    <row r="693" spans="3:3">
      <c r="C693"/>
    </row>
    <row r="694" spans="3:3">
      <c r="C694"/>
    </row>
    <row r="695" spans="3:3">
      <c r="C695"/>
    </row>
    <row r="696" spans="3:3">
      <c r="C696"/>
    </row>
    <row r="697" spans="3:3">
      <c r="C697"/>
    </row>
    <row r="698" spans="3:3">
      <c r="C698"/>
    </row>
    <row r="699" spans="3:3">
      <c r="C699"/>
    </row>
    <row r="700" spans="3:3">
      <c r="C700"/>
    </row>
    <row r="701" spans="3:3">
      <c r="C701"/>
    </row>
    <row r="702" spans="3:3">
      <c r="C702"/>
    </row>
    <row r="703" spans="3:3">
      <c r="C703"/>
    </row>
    <row r="704" spans="3:3" ht="15">
      <c r="C704" s="3180"/>
    </row>
    <row r="705" spans="3:3">
      <c r="C705"/>
    </row>
    <row r="706" spans="3:3">
      <c r="C706"/>
    </row>
    <row r="707" spans="3:3">
      <c r="C707"/>
    </row>
    <row r="708" spans="3:3">
      <c r="C708"/>
    </row>
    <row r="709" spans="3:3">
      <c r="C709"/>
    </row>
    <row r="710" spans="3:3">
      <c r="C710"/>
    </row>
    <row r="711" spans="3:3">
      <c r="C711"/>
    </row>
    <row r="712" spans="3:3">
      <c r="C712"/>
    </row>
    <row r="713" spans="3:3" ht="15">
      <c r="C713" s="3180"/>
    </row>
    <row r="714" spans="3:3">
      <c r="C714"/>
    </row>
    <row r="715" spans="3:3">
      <c r="C715"/>
    </row>
    <row r="716" spans="3:3">
      <c r="C716"/>
    </row>
    <row r="717" spans="3:3">
      <c r="C717"/>
    </row>
    <row r="718" spans="3:3">
      <c r="C718"/>
    </row>
    <row r="719" spans="3:3">
      <c r="C719"/>
    </row>
    <row r="720" spans="3:3">
      <c r="C720"/>
    </row>
    <row r="721" spans="3:3">
      <c r="C721"/>
    </row>
    <row r="722" spans="3:3">
      <c r="C722"/>
    </row>
    <row r="723" spans="3:3">
      <c r="C723"/>
    </row>
    <row r="724" spans="3:3">
      <c r="C724"/>
    </row>
    <row r="725" spans="3:3">
      <c r="C725"/>
    </row>
    <row r="726" spans="3:3">
      <c r="C726"/>
    </row>
    <row r="727" spans="3:3">
      <c r="C727"/>
    </row>
    <row r="728" spans="3:3">
      <c r="C728"/>
    </row>
    <row r="729" spans="3:3">
      <c r="C729"/>
    </row>
    <row r="730" spans="3:3">
      <c r="C730"/>
    </row>
    <row r="731" spans="3:3">
      <c r="C731"/>
    </row>
    <row r="732" spans="3:3">
      <c r="C732"/>
    </row>
    <row r="733" spans="3:3">
      <c r="C733"/>
    </row>
    <row r="734" spans="3:3">
      <c r="C734"/>
    </row>
    <row r="735" spans="3:3">
      <c r="C735"/>
    </row>
    <row r="736" spans="3:3">
      <c r="C736"/>
    </row>
    <row r="737" spans="3:3">
      <c r="C737"/>
    </row>
    <row r="738" spans="3:3">
      <c r="C738"/>
    </row>
    <row r="739" spans="3:3">
      <c r="C739"/>
    </row>
    <row r="740" spans="3:3">
      <c r="C740"/>
    </row>
    <row r="741" spans="3:3">
      <c r="C741"/>
    </row>
    <row r="742" spans="3:3">
      <c r="C742"/>
    </row>
    <row r="743" spans="3:3">
      <c r="C743"/>
    </row>
    <row r="744" spans="3:3">
      <c r="C744"/>
    </row>
    <row r="745" spans="3:3">
      <c r="C745"/>
    </row>
    <row r="746" spans="3:3">
      <c r="C746"/>
    </row>
    <row r="747" spans="3:3">
      <c r="C747"/>
    </row>
    <row r="748" spans="3:3">
      <c r="C748"/>
    </row>
    <row r="749" spans="3:3">
      <c r="C749"/>
    </row>
    <row r="750" spans="3:3" ht="15">
      <c r="C750" s="3180"/>
    </row>
    <row r="751" spans="3:3" ht="15">
      <c r="C751" s="3180"/>
    </row>
    <row r="752" spans="3:3">
      <c r="C752"/>
    </row>
    <row r="753" spans="3:3">
      <c r="C753"/>
    </row>
    <row r="754" spans="3:3">
      <c r="C754"/>
    </row>
    <row r="755" spans="3:3">
      <c r="C755"/>
    </row>
    <row r="756" spans="3:3">
      <c r="C756"/>
    </row>
    <row r="757" spans="3:3">
      <c r="C757"/>
    </row>
    <row r="758" spans="3:3">
      <c r="C758"/>
    </row>
    <row r="759" spans="3:3">
      <c r="C759"/>
    </row>
    <row r="760" spans="3:3">
      <c r="C760"/>
    </row>
  </sheetData>
  <sheetProtection algorithmName="SHA-512" hashValue="MIIq+HOQilbHc7F3gmKmkIJ1Gsk3+cZZR85FQ4kz7VwI0QfCiCj2taWrA9netkZUHim0eWO7ApoDLpL5UV/GNQ==" saltValue="KttPTbdQ1HsDjfa9mefeEw==" spinCount="100000" sheet="1" objects="1" scenarios="1"/>
  <mergeCells count="2">
    <mergeCell ref="D303:D304"/>
    <mergeCell ref="D229:D230"/>
  </mergeCells>
  <phoneticPr fontId="7" type="noConversion"/>
  <dataValidations count="41">
    <dataValidation type="list" allowBlank="1" showInputMessage="1" showErrorMessage="1" sqref="C49 C18:C24 C46:C47 C27 C39 C5 C30:C36" xr:uid="{00000000-0002-0000-0500-000000000000}">
      <formula1>$J$17:$J$18</formula1>
    </dataValidation>
    <dataValidation type="list" allowBlank="1" showInputMessage="1" showErrorMessage="1" sqref="C86" xr:uid="{00000000-0002-0000-0500-000001000000}">
      <formula1>$B$91:$B$95</formula1>
    </dataValidation>
    <dataValidation type="list" allowBlank="1" showInputMessage="1" showErrorMessage="1" sqref="C119:C122 C113 C101" xr:uid="{00000000-0002-0000-0500-000002000000}">
      <formula1>$C$129:$C$130</formula1>
    </dataValidation>
    <dataValidation type="list" allowBlank="1" showInputMessage="1" showErrorMessage="1" sqref="C107 C104" xr:uid="{00000000-0002-0000-0500-000003000000}">
      <formula1>$D$129:$D$132</formula1>
    </dataValidation>
    <dataValidation type="list" allowBlank="1" showInputMessage="1" showErrorMessage="1" sqref="C140" xr:uid="{00000000-0002-0000-0500-000004000000}">
      <formula1>$C$184:$C$190</formula1>
    </dataValidation>
    <dataValidation type="list" allowBlank="1" showInputMessage="1" showErrorMessage="1" sqref="C151" xr:uid="{00000000-0002-0000-0500-000005000000}">
      <formula1>$G$185:$G$187</formula1>
    </dataValidation>
    <dataValidation type="list" allowBlank="1" showInputMessage="1" showErrorMessage="1" sqref="C161 C152 C154:C159 C174 C170:C171 C166:C167" xr:uid="{00000000-0002-0000-0500-000006000000}">
      <formula1>$G$190:$G$191</formula1>
    </dataValidation>
    <dataValidation type="list" allowBlank="1" showInputMessage="1" showErrorMessage="1" sqref="C169" xr:uid="{00000000-0002-0000-0500-000007000000}">
      <formula1>$I$197:$I$199</formula1>
    </dataValidation>
    <dataValidation type="list" allowBlank="1" showInputMessage="1" showErrorMessage="1" sqref="C172" xr:uid="{00000000-0002-0000-0500-000008000000}">
      <formula1>$J$204:$J$215</formula1>
    </dataValidation>
    <dataValidation type="list" allowBlank="1" showInputMessage="1" showErrorMessage="1" sqref="C418 C236:C238 C230:C231 C240:C248" xr:uid="{00000000-0002-0000-0500-000009000000}">
      <formula1>$D$253:$D$254</formula1>
    </dataValidation>
    <dataValidation type="list" allowBlank="1" showInputMessage="1" showErrorMessage="1" sqref="C262 C274:C277 C259 C270:C272" xr:uid="{00000000-0002-0000-0500-00000A000000}">
      <formula1>$D$283:$D$284</formula1>
    </dataValidation>
    <dataValidation type="list" allowBlank="1" showInputMessage="1" showErrorMessage="1" sqref="C279" xr:uid="{00000000-0002-0000-0500-00000B000000}">
      <formula1>$B$283:$B$285</formula1>
    </dataValidation>
    <dataValidation type="list" allowBlank="1" showInputMessage="1" showErrorMessage="1" sqref="C305" xr:uid="{00000000-0002-0000-0500-00000C000000}">
      <formula1>$C$328:$C$335</formula1>
    </dataValidation>
    <dataValidation type="list" allowBlank="1" showInputMessage="1" showErrorMessage="1" sqref="C307 C313 C309 C311 C315" xr:uid="{00000000-0002-0000-0500-00000D000000}">
      <formula1>$B$330:$B$331</formula1>
    </dataValidation>
    <dataValidation errorStyle="warning" allowBlank="1" error="Érvénytelen válasz!" sqref="C10:D11" xr:uid="{00000000-0002-0000-0500-00000E000000}"/>
    <dataValidation type="decimal" errorStyle="warning" showInputMessage="1" showErrorMessage="1" error="Kérem, 0-5 között adja meg az értéket." sqref="C15" xr:uid="{00000000-0002-0000-0500-00000F000000}">
      <formula1>0</formula1>
      <formula2>5</formula2>
    </dataValidation>
    <dataValidation type="list" allowBlank="1" showInputMessage="1" showErrorMessage="1" sqref="C117:C118" xr:uid="{00000000-0002-0000-0500-000010000000}">
      <formula1>$B$127:$B$129</formula1>
    </dataValidation>
    <dataValidation type="list" allowBlank="1" showInputMessage="1" showErrorMessage="1" sqref="C346 C352 C348" xr:uid="{00000000-0002-0000-0500-000011000000}">
      <formula1>$F$346:$F$347</formula1>
    </dataValidation>
    <dataValidation type="decimal" errorStyle="warning" allowBlank="1" showErrorMessage="1" error="A szorzó 0,00 és 0,99 közt lehet." sqref="C353" xr:uid="{00000000-0002-0000-0500-000012000000}">
      <formula1>0</formula1>
      <formula2>0.99</formula2>
    </dataValidation>
    <dataValidation type="list" allowBlank="1" showInputMessage="1" showErrorMessage="1" sqref="C355" xr:uid="{00000000-0002-0000-0500-000013000000}">
      <formula1>$B$361:$B$364</formula1>
    </dataValidation>
    <dataValidation type="whole" errorStyle="warning" operator="greaterThanOrEqual" allowBlank="1" showInputMessage="1" showErrorMessage="1" error="Az itt megadott jármű szám nem lehet kevesebb, mint ahány járművet az NDK munkalapon beírt!" sqref="C350:C351 C163" xr:uid="{00000000-0002-0000-0500-000014000000}">
      <formula1>$C$360</formula1>
    </dataValidation>
    <dataValidation type="whole" operator="lessThanOrEqual" allowBlank="1" showInputMessage="1" showErrorMessage="1" sqref="C162" xr:uid="{00000000-0002-0000-0500-000015000000}">
      <formula1>$C$163</formula1>
    </dataValidation>
    <dataValidation type="list" allowBlank="1" showInputMessage="1" showErrorMessage="1" sqref="C234" xr:uid="{00000000-0002-0000-0500-000016000000}">
      <formula1>$F$252:$F$253</formula1>
    </dataValidation>
    <dataValidation type="list" allowBlank="1" showInputMessage="1" showErrorMessage="1" sqref="C392 C382 C394 C385:C390" xr:uid="{00000000-0002-0000-0500-000017000000}">
      <formula1>$D$404:$D$405</formula1>
    </dataValidation>
    <dataValidation type="list" allowBlank="1" showInputMessage="1" showErrorMessage="1" sqref="C393" xr:uid="{00000000-0002-0000-0500-000018000000}">
      <formula1>$B$403:$B$407</formula1>
    </dataValidation>
    <dataValidation type="list" allowBlank="1" showInputMessage="1" showErrorMessage="1" sqref="C105 C114 C109:C110 C112" xr:uid="{00000000-0002-0000-0500-000019000000}">
      <formula1>$F$105:$F$106</formula1>
    </dataValidation>
    <dataValidation type="list" errorStyle="information" allowBlank="1" showInputMessage="1" showErrorMessage="1" error="Kérjük, válasszon helyes értéket!" sqref="C278" xr:uid="{00000000-0002-0000-0500-00001A000000}">
      <formula1>$C$283:$C$285</formula1>
    </dataValidation>
    <dataValidation type="list" allowBlank="1" showInputMessage="1" showErrorMessage="1" sqref="C420:C421 C426:C427" xr:uid="{00000000-0002-0000-0500-00001B000000}">
      <formula1>$C$431:$C$432</formula1>
    </dataValidation>
    <dataValidation type="list" allowBlank="1" showInputMessage="1" showErrorMessage="1" sqref="C51" xr:uid="{00000000-0002-0000-0500-00001C000000}">
      <formula1>$F$42:$F$47</formula1>
    </dataValidation>
    <dataValidation type="list" allowBlank="1" showInputMessage="1" showErrorMessage="1" sqref="C53:C54" xr:uid="{00000000-0002-0000-0500-00001D000000}">
      <formula1>$E$53:$E$54</formula1>
    </dataValidation>
    <dataValidation type="list" allowBlank="1" showInputMessage="1" showErrorMessage="1" sqref="C55" xr:uid="{00000000-0002-0000-0500-00001E000000}">
      <formula1>$F$53:$F$54</formula1>
    </dataValidation>
    <dataValidation type="list" allowBlank="1" showInputMessage="1" showErrorMessage="1" sqref="C87 C85 C82:C83" xr:uid="{00000000-0002-0000-0500-00001F000000}">
      <formula1>$D$91:$D$92</formula1>
    </dataValidation>
    <dataValidation type="list" allowBlank="1" showInputMessage="1" showErrorMessage="1" sqref="C103" xr:uid="{00000000-0002-0000-0500-000020000000}">
      <formula1>$I$108:$I$113</formula1>
    </dataValidation>
    <dataValidation type="list" allowBlank="1" showInputMessage="1" showErrorMessage="1" sqref="C235" xr:uid="{00000000-0002-0000-0500-000021000000}">
      <formula1>$F$238:$F$239</formula1>
    </dataValidation>
    <dataValidation type="list" allowBlank="1" showInputMessage="1" showErrorMessage="1" sqref="C143" xr:uid="{00000000-0002-0000-0500-000022000000}">
      <formula1>$I$143:$I$145</formula1>
    </dataValidation>
    <dataValidation type="list" errorStyle="warning" allowBlank="1" showErrorMessage="1" error="A szorzó 0,00 és 0,99 közt lehet." sqref="C354" xr:uid="{00000000-0002-0000-0500-000023000000}">
      <formula1>$K$358:$K$387</formula1>
    </dataValidation>
    <dataValidation type="list" allowBlank="1" showInputMessage="1" showErrorMessage="1" sqref="C347" xr:uid="{00000000-0002-0000-0500-000024000000}">
      <formula1>$I$346:$I$352</formula1>
    </dataValidation>
    <dataValidation type="list" errorStyle="warning" allowBlank="1" showErrorMessage="1" error="Érvénytelen válasz!" sqref="C7" xr:uid="{00000000-0002-0000-0500-000025000000}">
      <formula1>$D$10:$D$11</formula1>
    </dataValidation>
    <dataValidation type="list" allowBlank="1" showInputMessage="1" showErrorMessage="1" sqref="C266 C269" xr:uid="{00000000-0002-0000-0500-000026000000}">
      <formula1>$D$289:$D$290</formula1>
    </dataValidation>
    <dataValidation type="list" allowBlank="1" showInputMessage="1" showErrorMessage="1" sqref="C149 C142" xr:uid="{00000000-0002-0000-0500-000027000000}">
      <formula1>$F$145:$F$146</formula1>
    </dataValidation>
    <dataValidation type="list" allowBlank="1" showInputMessage="1" showErrorMessage="1" sqref="C38" xr:uid="{00000000-0002-0000-0500-000028000000}">
      <formula1>$I$43:$I$47</formula1>
    </dataValidation>
  </dataValidations>
  <pageMargins left="0.78740157480314965" right="0.78740157480314965" top="0.39370078740157483" bottom="0.39370078740157483" header="0.51181102362204722" footer="0.51181102362204722"/>
  <pageSetup paperSize="9"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3">
    <tabColor indexed="11"/>
  </sheetPr>
  <dimension ref="A1:H68"/>
  <sheetViews>
    <sheetView workbookViewId="0">
      <selection activeCell="I16" sqref="I16"/>
    </sheetView>
  </sheetViews>
  <sheetFormatPr defaultRowHeight="12.75"/>
  <cols>
    <col min="1" max="1" width="20.5703125" customWidth="1"/>
    <col min="2" max="2" width="19.7109375" customWidth="1"/>
    <col min="3" max="3" width="22.5703125" customWidth="1"/>
    <col min="4" max="4" width="21.28515625" customWidth="1"/>
    <col min="5" max="5" width="10.5703125" customWidth="1"/>
    <col min="7" max="7" width="18.28515625" hidden="1" customWidth="1"/>
    <col min="8" max="8" width="9.140625" hidden="1" customWidth="1"/>
  </cols>
  <sheetData>
    <row r="1" spans="1:8" ht="13.5" thickBot="1">
      <c r="A1" s="80"/>
      <c r="B1" s="80"/>
      <c r="C1" s="80" t="s">
        <v>1858</v>
      </c>
      <c r="D1" s="1700" t="s">
        <v>1859</v>
      </c>
      <c r="E1" s="80"/>
    </row>
    <row r="2" spans="1:8" ht="21" customHeight="1">
      <c r="A2" s="352" t="s">
        <v>4750</v>
      </c>
      <c r="B2" s="3541" t="s">
        <v>4756</v>
      </c>
      <c r="C2" s="3541"/>
      <c r="D2" s="3542"/>
      <c r="E2" s="80"/>
      <c r="G2" t="s">
        <v>1859</v>
      </c>
    </row>
    <row r="3" spans="1:8" ht="21.75" customHeight="1" thickBot="1">
      <c r="A3" s="353" t="s">
        <v>4751</v>
      </c>
      <c r="B3" s="3543" t="s">
        <v>4756</v>
      </c>
      <c r="C3" s="3543"/>
      <c r="D3" s="3544"/>
      <c r="E3" s="80"/>
      <c r="G3" t="s">
        <v>1860</v>
      </c>
    </row>
    <row r="4" spans="1:8" ht="13.5" thickBot="1">
      <c r="A4" s="80"/>
      <c r="B4" s="80"/>
      <c r="C4" s="80"/>
      <c r="D4" s="80"/>
      <c r="E4" s="80"/>
    </row>
    <row r="5" spans="1:8" ht="13.5" thickBot="1">
      <c r="A5" s="80"/>
      <c r="B5" s="354" t="s">
        <v>4752</v>
      </c>
      <c r="C5" s="355">
        <f>NDK!B50</f>
        <v>0</v>
      </c>
      <c r="D5" s="80"/>
      <c r="E5" s="80"/>
      <c r="G5" t="s">
        <v>1154</v>
      </c>
      <c r="H5">
        <v>1</v>
      </c>
    </row>
    <row r="6" spans="1:8" ht="13.5" thickBot="1">
      <c r="A6" s="80"/>
      <c r="B6" s="79"/>
      <c r="C6" s="80"/>
      <c r="D6" s="80"/>
      <c r="E6" s="80"/>
      <c r="G6" t="s">
        <v>1153</v>
      </c>
      <c r="H6">
        <v>2</v>
      </c>
    </row>
    <row r="7" spans="1:8" ht="13.5" thickBot="1">
      <c r="A7" s="80"/>
      <c r="B7" s="354" t="s">
        <v>4753</v>
      </c>
      <c r="C7" s="355">
        <f>NDK!$B$52</f>
        <v>1114</v>
      </c>
      <c r="D7" s="609" t="s">
        <v>3199</v>
      </c>
      <c r="E7" s="80"/>
      <c r="G7" t="s">
        <v>1861</v>
      </c>
      <c r="H7">
        <v>3</v>
      </c>
    </row>
    <row r="8" spans="1:8" ht="13.5" thickBot="1">
      <c r="A8" s="80"/>
      <c r="B8" s="354" t="s">
        <v>4754</v>
      </c>
      <c r="C8" s="356">
        <f>NDK!$B$51</f>
        <v>7410</v>
      </c>
      <c r="D8" s="610" t="str">
        <f>NDK!L52</f>
        <v>Budapest</v>
      </c>
      <c r="E8" s="80"/>
      <c r="G8" t="s">
        <v>1156</v>
      </c>
      <c r="H8">
        <v>4</v>
      </c>
    </row>
    <row r="9" spans="1:8" ht="13.5" thickBot="1">
      <c r="A9" s="80"/>
      <c r="B9" s="80"/>
      <c r="C9" s="80"/>
      <c r="D9" s="80"/>
      <c r="E9" s="80"/>
      <c r="G9" t="s">
        <v>3874</v>
      </c>
      <c r="H9">
        <v>5</v>
      </c>
    </row>
    <row r="10" spans="1:8" ht="12.75" customHeight="1">
      <c r="A10" s="80"/>
      <c r="B10" s="3553" t="s">
        <v>5412</v>
      </c>
      <c r="C10" s="3554"/>
      <c r="D10" s="3551"/>
      <c r="E10" s="3552"/>
      <c r="G10" t="s">
        <v>1162</v>
      </c>
      <c r="H10">
        <v>6</v>
      </c>
    </row>
    <row r="11" spans="1:8">
      <c r="A11" s="80"/>
      <c r="B11" s="3555"/>
      <c r="C11" s="3556"/>
      <c r="D11" s="3551"/>
      <c r="E11" s="3552"/>
      <c r="G11" t="s">
        <v>1163</v>
      </c>
      <c r="H11">
        <v>7</v>
      </c>
    </row>
    <row r="12" spans="1:8">
      <c r="A12" s="80"/>
      <c r="B12" s="419" t="s">
        <v>2716</v>
      </c>
      <c r="C12" s="1845" t="str">
        <f>IF(NDK!AH53=0,G22,NDK!AH53)</f>
        <v xml:space="preserve"> </v>
      </c>
      <c r="D12" s="3540"/>
      <c r="E12" s="3540"/>
      <c r="G12" t="s">
        <v>1148</v>
      </c>
      <c r="H12">
        <v>8</v>
      </c>
    </row>
    <row r="13" spans="1:8">
      <c r="A13" s="80"/>
      <c r="B13" s="485" t="str">
        <f>IF($D$1=$G$2,G5,H5)</f>
        <v>Aegon</v>
      </c>
      <c r="C13" s="483">
        <f>NDK!$AI$53</f>
        <v>0</v>
      </c>
      <c r="D13" s="3538" t="s">
        <v>3829</v>
      </c>
      <c r="E13" s="3539"/>
      <c r="G13" t="s">
        <v>1189</v>
      </c>
      <c r="H13">
        <v>9</v>
      </c>
    </row>
    <row r="14" spans="1:8">
      <c r="A14" s="80"/>
      <c r="B14" s="485" t="str">
        <f t="shared" ref="B14:B24" si="0">IF($D$1=$G$2,G6,H6)</f>
        <v>Allianz</v>
      </c>
      <c r="C14" s="483">
        <f>NDK!$AE$53</f>
        <v>0</v>
      </c>
      <c r="D14" s="2126"/>
      <c r="E14" s="2127"/>
      <c r="G14" t="s">
        <v>1159</v>
      </c>
      <c r="H14">
        <v>10</v>
      </c>
    </row>
    <row r="15" spans="1:8">
      <c r="A15" s="80"/>
      <c r="B15" s="485" t="str">
        <f t="shared" si="0"/>
        <v>CIG Pannónia</v>
      </c>
      <c r="C15" s="483">
        <f>NDK!$AD$53</f>
        <v>0</v>
      </c>
      <c r="D15" s="3538" t="s">
        <v>3225</v>
      </c>
      <c r="E15" s="3539"/>
      <c r="G15" t="s">
        <v>250</v>
      </c>
      <c r="H15">
        <v>11</v>
      </c>
    </row>
    <row r="16" spans="1:8">
      <c r="A16" s="80"/>
      <c r="B16" s="485" t="str">
        <f t="shared" si="0"/>
        <v>Generali</v>
      </c>
      <c r="C16" s="483" t="e">
        <f>NDK!$AM$53</f>
        <v>#DIV/0!</v>
      </c>
      <c r="D16" s="3538" t="s">
        <v>3224</v>
      </c>
      <c r="E16" s="3539"/>
      <c r="G16" t="s">
        <v>1392</v>
      </c>
      <c r="H16">
        <v>12</v>
      </c>
    </row>
    <row r="17" spans="1:7">
      <c r="A17" s="80"/>
      <c r="B17" s="485" t="str">
        <f t="shared" si="0"/>
        <v>Groupama</v>
      </c>
      <c r="C17" s="483">
        <f>NDK!$AU$53</f>
        <v>0</v>
      </c>
      <c r="D17" s="3536" t="str">
        <f>IF(KÉRDÉSEK!I23=KÉRDÉSEK!J17,KÉRDÉSEK!I17,KÉRDÉSEK!J19)</f>
        <v xml:space="preserve"> </v>
      </c>
      <c r="E17" s="3537"/>
    </row>
    <row r="18" spans="1:7">
      <c r="A18" s="80"/>
      <c r="B18" s="485" t="str">
        <f t="shared" si="0"/>
        <v>Posta</v>
      </c>
      <c r="C18" s="483">
        <f>NDK!$BB$53</f>
        <v>0</v>
      </c>
      <c r="D18" s="3538" t="s">
        <v>3225</v>
      </c>
      <c r="E18" s="3539"/>
    </row>
    <row r="19" spans="1:7">
      <c r="A19" s="80"/>
      <c r="B19" s="485" t="str">
        <f t="shared" si="0"/>
        <v>Union</v>
      </c>
      <c r="C19" s="483">
        <f>NDK!BA53</f>
        <v>0</v>
      </c>
      <c r="D19" s="3538" t="s">
        <v>3225</v>
      </c>
      <c r="E19" s="3539"/>
    </row>
    <row r="20" spans="1:7">
      <c r="A20" s="80"/>
      <c r="B20" s="485" t="str">
        <f>IF($D$1=$G$2,$G12,$H12)</f>
        <v>Uniqa</v>
      </c>
      <c r="C20" s="483" t="e">
        <f>NDK!$AZ$55</f>
        <v>#N/A</v>
      </c>
      <c r="D20" s="3538" t="s">
        <v>3225</v>
      </c>
      <c r="E20" s="3539"/>
    </row>
    <row r="21" spans="1:7">
      <c r="A21" s="80"/>
      <c r="B21" s="485" t="str">
        <f>IF($D$1=$G$2,$G13,$H13)</f>
        <v>Wáberer</v>
      </c>
      <c r="C21" s="483">
        <f>NDK!AC53</f>
        <v>0</v>
      </c>
      <c r="D21" s="3538" t="s">
        <v>3225</v>
      </c>
      <c r="E21" s="3539"/>
      <c r="G21" s="251" t="s">
        <v>1870</v>
      </c>
    </row>
    <row r="22" spans="1:7" hidden="1">
      <c r="A22" s="80"/>
      <c r="B22" s="485" t="str">
        <f t="shared" si="0"/>
        <v>KÖBE</v>
      </c>
      <c r="C22" s="483">
        <f>NDK!$I$50</f>
        <v>0</v>
      </c>
      <c r="D22" s="2129" t="s">
        <v>5235</v>
      </c>
      <c r="E22" s="2130"/>
      <c r="G22" s="251" t="s">
        <v>430</v>
      </c>
    </row>
    <row r="23" spans="1:7">
      <c r="A23" s="80"/>
      <c r="B23" s="485" t="str">
        <f t="shared" si="0"/>
        <v>SIGNAL</v>
      </c>
      <c r="C23" s="612">
        <f>NDK!$AF$53</f>
        <v>0</v>
      </c>
      <c r="D23" s="2131"/>
      <c r="E23" s="2128"/>
    </row>
    <row r="24" spans="1:7" hidden="1">
      <c r="A24" s="80"/>
      <c r="B24" s="485" t="str">
        <f t="shared" si="0"/>
        <v>Posta bonuszos</v>
      </c>
      <c r="C24" s="612">
        <f>NDK!$BB$53</f>
        <v>0</v>
      </c>
      <c r="D24" s="2132"/>
      <c r="E24" s="2128"/>
    </row>
    <row r="25" spans="1:7">
      <c r="A25" s="80"/>
      <c r="B25" s="611"/>
      <c r="C25" s="612"/>
      <c r="D25" s="2132"/>
      <c r="E25" s="2128"/>
    </row>
    <row r="26" spans="1:7">
      <c r="A26" s="80"/>
      <c r="B26" s="611"/>
      <c r="C26" s="612"/>
      <c r="D26" s="2132"/>
      <c r="E26" s="2128"/>
    </row>
    <row r="27" spans="1:7" ht="13.5" thickBot="1">
      <c r="A27" s="80"/>
      <c r="B27" s="357"/>
      <c r="C27" s="484"/>
      <c r="D27" s="3536"/>
      <c r="E27" s="3537"/>
    </row>
    <row r="28" spans="1:7">
      <c r="A28" s="80"/>
      <c r="B28" s="3072"/>
      <c r="C28" s="3073"/>
      <c r="D28" s="2128"/>
      <c r="E28" s="2128"/>
    </row>
    <row r="29" spans="1:7" ht="41.25" customHeight="1">
      <c r="A29" s="3545" t="s">
        <v>5413</v>
      </c>
      <c r="B29" s="3546"/>
      <c r="C29" s="3546"/>
      <c r="D29" s="3547"/>
      <c r="E29" s="80"/>
    </row>
    <row r="30" spans="1:7" ht="14.25" customHeight="1">
      <c r="A30" s="3074"/>
      <c r="B30" s="3074"/>
      <c r="C30" s="3074"/>
      <c r="D30" s="3074"/>
      <c r="E30" s="80"/>
    </row>
    <row r="31" spans="1:7" ht="3" customHeight="1" thickBot="1">
      <c r="A31" s="468">
        <f>IF(KÉRDÉSEK!C350&lt;KÉRDÉSEK!C351,KÉRDÉSEK!B378,KÉRDÉSEK!C378)</f>
        <v>0</v>
      </c>
      <c r="B31" s="80"/>
      <c r="C31" s="80"/>
      <c r="D31" s="80"/>
      <c r="E31" s="80"/>
    </row>
    <row r="32" spans="1:7" ht="15" customHeight="1">
      <c r="A32" s="3557" t="s">
        <v>21</v>
      </c>
      <c r="B32" s="3558"/>
      <c r="C32" s="3558"/>
      <c r="D32" s="3559"/>
      <c r="E32" s="80"/>
    </row>
    <row r="33" spans="1:5" ht="13.5" thickBot="1">
      <c r="A33" s="3560"/>
      <c r="B33" s="3561"/>
      <c r="C33" s="3561"/>
      <c r="D33" s="3562"/>
      <c r="E33" s="80"/>
    </row>
    <row r="34" spans="1:5" ht="13.5" thickBot="1">
      <c r="A34" s="80"/>
      <c r="B34" s="80"/>
      <c r="C34" s="80"/>
      <c r="D34" s="80"/>
      <c r="E34" s="80"/>
    </row>
    <row r="35" spans="1:5">
      <c r="A35" s="3548" t="s">
        <v>4757</v>
      </c>
      <c r="B35" s="3549"/>
      <c r="C35" s="3549"/>
      <c r="D35" s="3550"/>
      <c r="E35" s="80"/>
    </row>
    <row r="36" spans="1:5">
      <c r="A36" s="404" t="s">
        <v>2451</v>
      </c>
      <c r="B36" s="411">
        <f>NDK!$B4</f>
        <v>0</v>
      </c>
      <c r="C36" s="405" t="s">
        <v>3071</v>
      </c>
      <c r="D36" s="412">
        <f>NDK!$B29</f>
        <v>0</v>
      </c>
      <c r="E36" s="80"/>
    </row>
    <row r="37" spans="1:5">
      <c r="A37" s="406" t="s">
        <v>2709</v>
      </c>
      <c r="B37" s="411">
        <f>NDK!$B5</f>
        <v>0</v>
      </c>
      <c r="C37" s="405" t="s">
        <v>3073</v>
      </c>
      <c r="D37" s="412">
        <f>NDK!$B30</f>
        <v>0</v>
      </c>
      <c r="E37" s="80"/>
    </row>
    <row r="38" spans="1:5">
      <c r="A38" s="404" t="s">
        <v>2452</v>
      </c>
      <c r="B38" s="411">
        <f>NDK!$B6</f>
        <v>0</v>
      </c>
      <c r="C38" s="405" t="s">
        <v>491</v>
      </c>
      <c r="D38" s="412">
        <f>NDK!$B31</f>
        <v>0</v>
      </c>
      <c r="E38" s="80"/>
    </row>
    <row r="39" spans="1:5">
      <c r="A39" s="407" t="s">
        <v>1490</v>
      </c>
      <c r="B39" s="411">
        <f>NDK!$B7</f>
        <v>0</v>
      </c>
      <c r="C39" s="405" t="s">
        <v>492</v>
      </c>
      <c r="D39" s="412">
        <f>NDK!$B32</f>
        <v>0</v>
      </c>
      <c r="E39" s="80"/>
    </row>
    <row r="40" spans="1:5">
      <c r="A40" s="406" t="s">
        <v>1491</v>
      </c>
      <c r="B40" s="411">
        <f>NDK!$B8</f>
        <v>0</v>
      </c>
      <c r="C40" s="405" t="s">
        <v>1179</v>
      </c>
      <c r="D40" s="412">
        <f>NDK!$B33</f>
        <v>0</v>
      </c>
      <c r="E40" s="80"/>
    </row>
    <row r="41" spans="1:5">
      <c r="A41" s="406" t="s">
        <v>3826</v>
      </c>
      <c r="B41" s="411">
        <f>NDK!$B9</f>
        <v>0</v>
      </c>
      <c r="C41" s="405" t="s">
        <v>3074</v>
      </c>
      <c r="D41" s="412">
        <f>NDK!$B34</f>
        <v>0</v>
      </c>
      <c r="E41" s="80"/>
    </row>
    <row r="42" spans="1:5">
      <c r="A42" s="407" t="s">
        <v>1492</v>
      </c>
      <c r="B42" s="411">
        <f>NDK!$B10</f>
        <v>0</v>
      </c>
      <c r="C42" s="405" t="s">
        <v>1234</v>
      </c>
      <c r="D42" s="412">
        <f>NDK!$B35</f>
        <v>0</v>
      </c>
      <c r="E42" s="80"/>
    </row>
    <row r="43" spans="1:5">
      <c r="A43" s="406" t="s">
        <v>1493</v>
      </c>
      <c r="B43" s="411">
        <f>NDK!$B11</f>
        <v>0</v>
      </c>
      <c r="C43" s="405" t="s">
        <v>1235</v>
      </c>
      <c r="D43" s="412">
        <f>NDK!$B36</f>
        <v>0</v>
      </c>
      <c r="E43" s="80"/>
    </row>
    <row r="44" spans="1:5">
      <c r="A44" s="404" t="s">
        <v>2453</v>
      </c>
      <c r="B44" s="411">
        <f>NDK!$B13</f>
        <v>0</v>
      </c>
      <c r="C44" s="405" t="s">
        <v>1236</v>
      </c>
      <c r="D44" s="412">
        <f>NDK!$B37</f>
        <v>0</v>
      </c>
      <c r="E44" s="80"/>
    </row>
    <row r="45" spans="1:5" ht="22.5">
      <c r="A45" s="404" t="s">
        <v>2454</v>
      </c>
      <c r="B45" s="411">
        <f>NDK!$B16</f>
        <v>0</v>
      </c>
      <c r="C45" s="408" t="s">
        <v>2710</v>
      </c>
      <c r="D45" s="412">
        <f>NDK!$B38</f>
        <v>0</v>
      </c>
      <c r="E45" s="80"/>
    </row>
    <row r="46" spans="1:5">
      <c r="A46" s="404" t="s">
        <v>2455</v>
      </c>
      <c r="B46" s="411">
        <f>NDK!$B17</f>
        <v>0</v>
      </c>
      <c r="C46" s="405" t="s">
        <v>1237</v>
      </c>
      <c r="D46" s="412">
        <f>NDK!$B39</f>
        <v>0</v>
      </c>
      <c r="E46" s="80"/>
    </row>
    <row r="47" spans="1:5">
      <c r="A47" s="404" t="s">
        <v>2438</v>
      </c>
      <c r="B47" s="411">
        <f>NDK!$B18</f>
        <v>0</v>
      </c>
      <c r="C47" s="405" t="s">
        <v>1238</v>
      </c>
      <c r="D47" s="412">
        <f>NDK!$B40</f>
        <v>0</v>
      </c>
      <c r="E47" s="80"/>
    </row>
    <row r="48" spans="1:5">
      <c r="A48" s="407"/>
      <c r="B48" s="411"/>
      <c r="C48" s="409" t="s">
        <v>497</v>
      </c>
      <c r="D48" s="412">
        <f>NDK!$B41</f>
        <v>0</v>
      </c>
      <c r="E48" s="80"/>
    </row>
    <row r="49" spans="1:5">
      <c r="A49" s="404"/>
      <c r="B49" s="411"/>
      <c r="C49" s="405" t="s">
        <v>493</v>
      </c>
      <c r="D49" s="412">
        <f>NDK!$B42</f>
        <v>0</v>
      </c>
      <c r="E49" s="80"/>
    </row>
    <row r="50" spans="1:5">
      <c r="A50" s="404" t="s">
        <v>2456</v>
      </c>
      <c r="B50" s="411">
        <f>NDK!$B21</f>
        <v>0</v>
      </c>
      <c r="C50" s="405" t="s">
        <v>494</v>
      </c>
      <c r="D50" s="412">
        <f>NDK!$B43</f>
        <v>0</v>
      </c>
      <c r="E50" s="80"/>
    </row>
    <row r="51" spans="1:5">
      <c r="A51" s="404" t="s">
        <v>4938</v>
      </c>
      <c r="B51" s="411">
        <f>NDK!$B22</f>
        <v>0</v>
      </c>
      <c r="C51" s="405" t="s">
        <v>1178</v>
      </c>
      <c r="D51" s="412">
        <f>NDK!$B44</f>
        <v>0</v>
      </c>
      <c r="E51" s="80"/>
    </row>
    <row r="52" spans="1:5">
      <c r="A52" s="404"/>
      <c r="B52" s="411"/>
      <c r="C52" s="405" t="s">
        <v>1239</v>
      </c>
      <c r="D52" s="412">
        <f>NDK!$B45</f>
        <v>0</v>
      </c>
      <c r="E52" s="80"/>
    </row>
    <row r="53" spans="1:5">
      <c r="A53" s="404" t="s">
        <v>4134</v>
      </c>
      <c r="B53" s="411">
        <f>NDK!$B24</f>
        <v>0</v>
      </c>
      <c r="C53" s="405" t="s">
        <v>1240</v>
      </c>
      <c r="D53" s="412">
        <f>NDK!$B46</f>
        <v>0</v>
      </c>
      <c r="E53" s="80"/>
    </row>
    <row r="54" spans="1:5">
      <c r="A54" s="404" t="s">
        <v>2459</v>
      </c>
      <c r="B54" s="411">
        <f>NDK!$B25</f>
        <v>0</v>
      </c>
      <c r="C54" s="405" t="s">
        <v>4873</v>
      </c>
      <c r="D54" s="412">
        <f>NDK!$B47</f>
        <v>0</v>
      </c>
      <c r="E54" s="80"/>
    </row>
    <row r="55" spans="1:5">
      <c r="A55" s="404" t="s">
        <v>1494</v>
      </c>
      <c r="B55" s="411">
        <f>NDK!$B26</f>
        <v>0</v>
      </c>
      <c r="C55" s="405" t="s">
        <v>490</v>
      </c>
      <c r="D55" s="412">
        <f>NDK!$B48</f>
        <v>0</v>
      </c>
      <c r="E55" s="80"/>
    </row>
    <row r="56" spans="1:5">
      <c r="A56" s="404" t="s">
        <v>3072</v>
      </c>
      <c r="B56" s="411">
        <f>NDK!$B27</f>
        <v>0</v>
      </c>
      <c r="C56" s="405" t="s">
        <v>4874</v>
      </c>
      <c r="D56" s="412">
        <f>NDK!$B49</f>
        <v>0</v>
      </c>
      <c r="E56" s="80"/>
    </row>
    <row r="57" spans="1:5" ht="13.5" thickBot="1">
      <c r="A57" s="410" t="s">
        <v>2711</v>
      </c>
      <c r="B57" s="418">
        <f>NDK!$B28</f>
        <v>0</v>
      </c>
      <c r="C57" s="1843"/>
      <c r="D57" s="1844"/>
      <c r="E57" s="80"/>
    </row>
    <row r="58" spans="1:5">
      <c r="A58" s="403"/>
      <c r="B58" s="379"/>
      <c r="C58" s="402"/>
      <c r="D58" s="402"/>
      <c r="E58" s="80"/>
    </row>
    <row r="59" spans="1:5">
      <c r="A59" s="80"/>
      <c r="B59" s="80"/>
      <c r="C59" s="80"/>
      <c r="D59" s="80"/>
      <c r="E59" s="80"/>
    </row>
    <row r="60" spans="1:5">
      <c r="A60" s="80"/>
      <c r="B60" s="80"/>
      <c r="C60" s="80"/>
      <c r="D60" s="80"/>
      <c r="E60" s="80"/>
    </row>
    <row r="61" spans="1:5">
      <c r="A61" s="80"/>
      <c r="B61" s="80"/>
      <c r="C61" s="80"/>
      <c r="D61" s="80"/>
      <c r="E61" s="80"/>
    </row>
    <row r="62" spans="1:5">
      <c r="A62" s="80"/>
      <c r="B62" s="80"/>
      <c r="C62" s="80"/>
      <c r="D62" s="80"/>
      <c r="E62" s="80"/>
    </row>
    <row r="63" spans="1:5">
      <c r="A63" s="80"/>
      <c r="B63" s="80"/>
      <c r="C63" s="80"/>
      <c r="D63" s="80"/>
      <c r="E63" s="80"/>
    </row>
    <row r="64" spans="1:5">
      <c r="A64" s="80"/>
      <c r="B64" s="80"/>
      <c r="C64" s="80"/>
      <c r="D64" s="80"/>
      <c r="E64" s="80"/>
    </row>
    <row r="65" spans="1:5">
      <c r="A65" s="80"/>
      <c r="B65" s="80"/>
      <c r="C65" s="80"/>
      <c r="D65" s="80"/>
      <c r="E65" s="80"/>
    </row>
    <row r="66" spans="1:5">
      <c r="A66" s="80"/>
      <c r="B66" s="80"/>
      <c r="C66" s="80"/>
      <c r="D66" s="80"/>
      <c r="E66" s="80"/>
    </row>
    <row r="67" spans="1:5">
      <c r="A67" s="80"/>
      <c r="B67" s="80"/>
      <c r="C67" s="80"/>
      <c r="D67" s="80"/>
      <c r="E67" s="80"/>
    </row>
    <row r="68" spans="1:5">
      <c r="A68" s="80"/>
      <c r="B68" s="80"/>
      <c r="C68" s="80"/>
      <c r="D68" s="80"/>
      <c r="E68" s="80"/>
    </row>
  </sheetData>
  <sheetProtection password="D2A1" sheet="1" objects="1" scenarios="1" formatRows="0"/>
  <mergeCells count="17">
    <mergeCell ref="A29:D29"/>
    <mergeCell ref="A35:D35"/>
    <mergeCell ref="D13:E13"/>
    <mergeCell ref="D10:E11"/>
    <mergeCell ref="D15:E15"/>
    <mergeCell ref="D16:E16"/>
    <mergeCell ref="D17:E17"/>
    <mergeCell ref="D18:E18"/>
    <mergeCell ref="B10:C11"/>
    <mergeCell ref="A32:D33"/>
    <mergeCell ref="D27:E27"/>
    <mergeCell ref="D21:E21"/>
    <mergeCell ref="D12:E12"/>
    <mergeCell ref="D20:E20"/>
    <mergeCell ref="B2:D2"/>
    <mergeCell ref="B3:D3"/>
    <mergeCell ref="D19:E19"/>
  </mergeCells>
  <phoneticPr fontId="7" type="noConversion"/>
  <dataValidations count="1">
    <dataValidation type="list" allowBlank="1" showInputMessage="1" showErrorMessage="1" sqref="D1" xr:uid="{00000000-0002-0000-0600-000000000000}">
      <formula1>$G$2:$G$3</formula1>
    </dataValidation>
  </dataValidations>
  <pageMargins left="0.39370078740157483" right="0.39370078740157483" top="0.39370078740157483" bottom="0.39370078740157483"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Munka4">
    <tabColor indexed="35"/>
  </sheetPr>
  <dimension ref="A1:M32"/>
  <sheetViews>
    <sheetView workbookViewId="0">
      <selection activeCell="B3" sqref="B3:M3"/>
    </sheetView>
  </sheetViews>
  <sheetFormatPr defaultRowHeight="12.75"/>
  <cols>
    <col min="1" max="1" width="20.140625" style="80" customWidth="1"/>
    <col min="2" max="12" width="9.140625" style="80"/>
    <col min="13" max="13" width="51.7109375" style="80" customWidth="1"/>
    <col min="14" max="16384" width="9.140625" style="80"/>
  </cols>
  <sheetData>
    <row r="1" spans="1:13" ht="39.75" customHeight="1" thickBot="1">
      <c r="A1" s="3572" t="s">
        <v>5230</v>
      </c>
      <c r="B1" s="3573"/>
      <c r="C1" s="3573"/>
      <c r="D1" s="3573"/>
      <c r="E1" s="3573"/>
      <c r="F1" s="3573"/>
      <c r="G1" s="3573"/>
      <c r="H1" s="3573"/>
      <c r="I1" s="3573"/>
      <c r="J1" s="3573"/>
      <c r="K1" s="3573"/>
      <c r="L1" s="3573"/>
      <c r="M1" s="3574"/>
    </row>
    <row r="2" spans="1:13" ht="331.5" customHeight="1" thickBot="1">
      <c r="A2" s="1597" t="s">
        <v>1191</v>
      </c>
      <c r="B2" s="3575" t="s">
        <v>5411</v>
      </c>
      <c r="C2" s="3576"/>
      <c r="D2" s="3576"/>
      <c r="E2" s="3576"/>
      <c r="F2" s="3576"/>
      <c r="G2" s="3576"/>
      <c r="H2" s="3576"/>
      <c r="I2" s="3576"/>
      <c r="J2" s="3576"/>
      <c r="K2" s="3576"/>
      <c r="L2" s="3576"/>
      <c r="M2" s="3577"/>
    </row>
    <row r="3" spans="1:13" ht="220.5" customHeight="1" thickBot="1">
      <c r="A3" s="358" t="s">
        <v>1153</v>
      </c>
      <c r="B3" s="3563" t="s">
        <v>5436</v>
      </c>
      <c r="C3" s="3564"/>
      <c r="D3" s="3564"/>
      <c r="E3" s="3564"/>
      <c r="F3" s="3564"/>
      <c r="G3" s="3564"/>
      <c r="H3" s="3564"/>
      <c r="I3" s="3564"/>
      <c r="J3" s="3564"/>
      <c r="K3" s="3564"/>
      <c r="L3" s="3564"/>
      <c r="M3" s="3565"/>
    </row>
    <row r="4" spans="1:13" ht="79.5" customHeight="1" thickBot="1">
      <c r="A4" s="359" t="s">
        <v>3308</v>
      </c>
      <c r="B4" s="3563" t="s">
        <v>5403</v>
      </c>
      <c r="C4" s="3578"/>
      <c r="D4" s="3578"/>
      <c r="E4" s="3578"/>
      <c r="F4" s="3578"/>
      <c r="G4" s="3578"/>
      <c r="H4" s="3578"/>
      <c r="I4" s="3578"/>
      <c r="J4" s="3578"/>
      <c r="K4" s="3578"/>
      <c r="L4" s="3578"/>
      <c r="M4" s="3579"/>
    </row>
    <row r="5" spans="1:13" ht="281.25" customHeight="1" thickBot="1">
      <c r="A5" s="360" t="s">
        <v>2714</v>
      </c>
      <c r="B5" s="3566" t="s">
        <v>5461</v>
      </c>
      <c r="C5" s="3567"/>
      <c r="D5" s="3567"/>
      <c r="E5" s="3567"/>
      <c r="F5" s="3567"/>
      <c r="G5" s="3567"/>
      <c r="H5" s="3567"/>
      <c r="I5" s="3567"/>
      <c r="J5" s="3567"/>
      <c r="K5" s="3567"/>
      <c r="L5" s="3567"/>
      <c r="M5" s="3568"/>
    </row>
    <row r="6" spans="1:13" ht="71.25" customHeight="1" thickBot="1">
      <c r="A6" s="361" t="s">
        <v>528</v>
      </c>
      <c r="B6" s="3608" t="s">
        <v>5534</v>
      </c>
      <c r="C6" s="3607"/>
      <c r="D6" s="3607"/>
      <c r="E6" s="3607"/>
      <c r="F6" s="3607"/>
      <c r="G6" s="3607"/>
      <c r="H6" s="3607"/>
      <c r="I6" s="3607"/>
      <c r="J6" s="3607"/>
      <c r="K6" s="3607"/>
      <c r="L6" s="3607"/>
      <c r="M6" s="3609"/>
    </row>
    <row r="7" spans="1:13" ht="142.5" customHeight="1" thickBot="1">
      <c r="A7" s="362" t="s">
        <v>2713</v>
      </c>
      <c r="B7" s="3610" t="s">
        <v>5535</v>
      </c>
      <c r="C7" s="3611"/>
      <c r="D7" s="3611"/>
      <c r="E7" s="3611"/>
      <c r="F7" s="3611"/>
      <c r="G7" s="3611"/>
      <c r="H7" s="3611"/>
      <c r="I7" s="3611"/>
      <c r="J7" s="3611"/>
      <c r="K7" s="3611"/>
      <c r="L7" s="3611"/>
      <c r="M7" s="3612"/>
    </row>
    <row r="8" spans="1:13" ht="135.75" customHeight="1" thickBot="1">
      <c r="A8" s="391" t="s">
        <v>1162</v>
      </c>
      <c r="B8" s="3614" t="s">
        <v>5245</v>
      </c>
      <c r="C8" s="3615"/>
      <c r="D8" s="3615"/>
      <c r="E8" s="3615"/>
      <c r="F8" s="3615"/>
      <c r="G8" s="3615"/>
      <c r="H8" s="3615"/>
      <c r="I8" s="3615"/>
      <c r="J8" s="3615"/>
      <c r="K8" s="3615"/>
      <c r="L8" s="3615"/>
      <c r="M8" s="3616"/>
    </row>
    <row r="9" spans="1:13" ht="52.5" customHeight="1" thickBot="1">
      <c r="A9" s="626" t="s">
        <v>4293</v>
      </c>
      <c r="B9" s="3569" t="s">
        <v>5246</v>
      </c>
      <c r="C9" s="3570"/>
      <c r="D9" s="3570"/>
      <c r="E9" s="3570"/>
      <c r="F9" s="3570"/>
      <c r="G9" s="3570"/>
      <c r="H9" s="3570"/>
      <c r="I9" s="3570"/>
      <c r="J9" s="3570"/>
      <c r="K9" s="3570"/>
      <c r="L9" s="3570"/>
      <c r="M9" s="3571"/>
    </row>
    <row r="10" spans="1:13" ht="72.75" hidden="1" customHeight="1" thickBot="1">
      <c r="A10" s="688" t="s">
        <v>1159</v>
      </c>
      <c r="B10" s="3604" t="s">
        <v>5127</v>
      </c>
      <c r="C10" s="3604"/>
      <c r="D10" s="3604"/>
      <c r="E10" s="3604"/>
      <c r="F10" s="3604"/>
      <c r="G10" s="3604"/>
      <c r="H10" s="3604"/>
      <c r="I10" s="3604"/>
      <c r="J10" s="3604"/>
      <c r="K10" s="3604"/>
      <c r="L10" s="3604"/>
      <c r="M10" s="3605"/>
    </row>
    <row r="11" spans="1:13" ht="55.5" customHeight="1" thickBot="1">
      <c r="A11" s="362" t="s">
        <v>1163</v>
      </c>
      <c r="B11" s="3606" t="s">
        <v>5478</v>
      </c>
      <c r="C11" s="3606"/>
      <c r="D11" s="3606"/>
      <c r="E11" s="3606"/>
      <c r="F11" s="3606"/>
      <c r="G11" s="3606"/>
      <c r="H11" s="3606"/>
      <c r="I11" s="3606"/>
      <c r="J11" s="3606"/>
      <c r="K11" s="3606"/>
      <c r="L11" s="3606"/>
      <c r="M11" s="3613"/>
    </row>
    <row r="12" spans="1:13" ht="103.5" customHeight="1" thickBot="1">
      <c r="A12" s="1089" t="s">
        <v>250</v>
      </c>
      <c r="B12" s="3606" t="s">
        <v>5442</v>
      </c>
      <c r="C12" s="3607"/>
      <c r="D12" s="3607"/>
      <c r="E12" s="3607"/>
      <c r="F12" s="3607"/>
      <c r="G12" s="3607"/>
      <c r="H12" s="3607"/>
      <c r="I12" s="3607"/>
      <c r="J12" s="3607"/>
      <c r="K12" s="3607"/>
      <c r="L12" s="3607"/>
      <c r="M12" s="3607"/>
    </row>
    <row r="13" spans="1:13" ht="11.25" customHeight="1">
      <c r="A13" s="3590"/>
      <c r="B13" s="3590"/>
      <c r="C13" s="3590"/>
      <c r="D13" s="3590"/>
      <c r="E13" s="3590"/>
      <c r="F13" s="3590"/>
      <c r="G13" s="3590"/>
      <c r="H13" s="3590"/>
      <c r="I13" s="3590"/>
      <c r="J13" s="3590"/>
      <c r="K13" s="3590"/>
      <c r="L13" s="3590"/>
      <c r="M13" s="3590"/>
    </row>
    <row r="14" spans="1:13" ht="19.5" customHeight="1" thickBot="1">
      <c r="A14" s="3595" t="s">
        <v>2708</v>
      </c>
      <c r="B14" s="3596"/>
      <c r="C14" s="3596"/>
      <c r="D14" s="3596"/>
      <c r="E14" s="3596"/>
      <c r="F14" s="3596"/>
      <c r="G14" s="3596"/>
      <c r="H14" s="3596"/>
      <c r="I14" s="3596"/>
      <c r="J14" s="3596"/>
      <c r="K14" s="3596"/>
      <c r="L14" s="3596"/>
      <c r="M14" s="3597"/>
    </row>
    <row r="15" spans="1:13" ht="10.5" customHeight="1" thickBot="1">
      <c r="A15" s="3591"/>
      <c r="B15" s="3591"/>
      <c r="C15" s="3591"/>
      <c r="D15" s="3591"/>
      <c r="E15" s="3591"/>
      <c r="F15" s="3591"/>
      <c r="G15" s="3591"/>
      <c r="H15" s="3591"/>
      <c r="I15" s="3591"/>
      <c r="J15" s="3591"/>
      <c r="K15" s="3591"/>
      <c r="L15" s="3591"/>
      <c r="M15" s="3591"/>
    </row>
    <row r="16" spans="1:13" ht="28.5" customHeight="1" thickBot="1">
      <c r="A16" s="3601" t="s">
        <v>2715</v>
      </c>
      <c r="B16" s="3602"/>
      <c r="C16" s="3602"/>
      <c r="D16" s="3602"/>
      <c r="E16" s="3602"/>
      <c r="F16" s="3602"/>
      <c r="G16" s="3602"/>
      <c r="H16" s="3602"/>
      <c r="I16" s="3602"/>
      <c r="J16" s="3602"/>
      <c r="K16" s="3602"/>
      <c r="L16" s="3602"/>
      <c r="M16" s="3603"/>
    </row>
    <row r="17" spans="1:13" ht="13.5" thickBot="1"/>
    <row r="18" spans="1:13" ht="74.25" customHeight="1" thickTop="1" thickBot="1">
      <c r="A18" s="3592" t="s">
        <v>5229</v>
      </c>
      <c r="B18" s="3593"/>
      <c r="C18" s="3593"/>
      <c r="D18" s="3593"/>
      <c r="E18" s="3593"/>
      <c r="F18" s="3593"/>
      <c r="G18" s="3593"/>
      <c r="H18" s="3593"/>
      <c r="I18" s="3593"/>
      <c r="J18" s="3593"/>
      <c r="K18" s="3593"/>
      <c r="L18" s="3593"/>
      <c r="M18" s="3594"/>
    </row>
    <row r="19" spans="1:13" ht="14.25" thickTop="1" thickBot="1"/>
    <row r="20" spans="1:13" ht="38.25" customHeight="1" thickBot="1">
      <c r="A20" s="3598" t="s">
        <v>5018</v>
      </c>
      <c r="B20" s="3599"/>
      <c r="C20" s="3599"/>
      <c r="D20" s="3599"/>
      <c r="E20" s="3599"/>
      <c r="F20" s="3599"/>
      <c r="G20" s="3599"/>
      <c r="H20" s="3599"/>
      <c r="I20" s="3599"/>
      <c r="J20" s="3599"/>
      <c r="K20" s="3599"/>
      <c r="L20" s="3599"/>
      <c r="M20" s="3600"/>
    </row>
    <row r="21" spans="1:13" ht="13.5" thickBot="1"/>
    <row r="22" spans="1:13" ht="244.5" customHeight="1" thickTop="1" thickBot="1">
      <c r="A22" s="3587" t="s">
        <v>5388</v>
      </c>
      <c r="B22" s="3588"/>
      <c r="C22" s="3588"/>
      <c r="D22" s="3588"/>
      <c r="E22" s="3588"/>
      <c r="F22" s="3588"/>
      <c r="G22" s="3588"/>
      <c r="H22" s="3588"/>
      <c r="I22" s="3588"/>
      <c r="J22" s="3588"/>
      <c r="K22" s="3588"/>
      <c r="L22" s="3588"/>
      <c r="M22" s="3589"/>
    </row>
    <row r="23" spans="1:13" ht="13.5" thickTop="1"/>
    <row r="24" spans="1:13" ht="69.75" customHeight="1">
      <c r="A24" s="3586" t="s">
        <v>4292</v>
      </c>
      <c r="B24" s="3584"/>
      <c r="C24" s="3584"/>
      <c r="D24" s="3584"/>
      <c r="E24" s="3584"/>
      <c r="F24" s="3584"/>
      <c r="G24" s="3584"/>
      <c r="H24" s="3584"/>
      <c r="I24" s="3584"/>
      <c r="J24" s="3584"/>
      <c r="K24" s="3584"/>
      <c r="L24" s="3584"/>
      <c r="M24" s="3585"/>
    </row>
    <row r="26" spans="1:13" ht="100.5" customHeight="1">
      <c r="A26" s="3583" t="s">
        <v>5159</v>
      </c>
      <c r="B26" s="3584"/>
      <c r="C26" s="3584"/>
      <c r="D26" s="3584"/>
      <c r="E26" s="3584"/>
      <c r="F26" s="3584"/>
      <c r="G26" s="3584"/>
      <c r="H26" s="3584"/>
      <c r="I26" s="3584"/>
      <c r="J26" s="3584"/>
      <c r="K26" s="3584"/>
      <c r="L26" s="3584"/>
      <c r="M26" s="3585"/>
    </row>
    <row r="28" spans="1:13" ht="120.75" customHeight="1">
      <c r="A28" s="3580" t="s">
        <v>106</v>
      </c>
      <c r="B28" s="3584"/>
      <c r="C28" s="3584"/>
      <c r="D28" s="3584"/>
      <c r="E28" s="3584"/>
      <c r="F28" s="3584"/>
      <c r="G28" s="3584"/>
      <c r="H28" s="3584"/>
      <c r="I28" s="3584"/>
      <c r="J28" s="3584"/>
      <c r="K28" s="3584"/>
      <c r="L28" s="3584"/>
      <c r="M28" s="3585"/>
    </row>
    <row r="30" spans="1:13" ht="91.5" customHeight="1">
      <c r="A30" s="3583" t="s">
        <v>5532</v>
      </c>
      <c r="B30" s="3584"/>
      <c r="C30" s="3584"/>
      <c r="D30" s="3584"/>
      <c r="E30" s="3584"/>
      <c r="F30" s="3584"/>
      <c r="G30" s="3584"/>
      <c r="H30" s="3584"/>
      <c r="I30" s="3584"/>
      <c r="J30" s="3584"/>
      <c r="K30" s="3584"/>
      <c r="L30" s="3584"/>
      <c r="M30" s="3585"/>
    </row>
    <row r="32" spans="1:13" ht="57" customHeight="1">
      <c r="A32" s="3580" t="s">
        <v>527</v>
      </c>
      <c r="B32" s="3581"/>
      <c r="C32" s="3581"/>
      <c r="D32" s="3581"/>
      <c r="E32" s="3581"/>
      <c r="F32" s="3581"/>
      <c r="G32" s="3581"/>
      <c r="H32" s="3581"/>
      <c r="I32" s="3581"/>
      <c r="J32" s="3581"/>
      <c r="K32" s="3581"/>
      <c r="L32" s="3581"/>
      <c r="M32" s="3582"/>
    </row>
  </sheetData>
  <sheetProtection password="D2A1" sheet="1"/>
  <mergeCells count="24">
    <mergeCell ref="B10:M10"/>
    <mergeCell ref="B12:M12"/>
    <mergeCell ref="B6:M6"/>
    <mergeCell ref="B7:M7"/>
    <mergeCell ref="B11:M11"/>
    <mergeCell ref="B8:M8"/>
    <mergeCell ref="A13:M13"/>
    <mergeCell ref="A15:M15"/>
    <mergeCell ref="A18:M18"/>
    <mergeCell ref="A14:M14"/>
    <mergeCell ref="A28:M28"/>
    <mergeCell ref="A20:M20"/>
    <mergeCell ref="A16:M16"/>
    <mergeCell ref="A32:M32"/>
    <mergeCell ref="A30:M30"/>
    <mergeCell ref="A24:M24"/>
    <mergeCell ref="A26:M26"/>
    <mergeCell ref="A22:M22"/>
    <mergeCell ref="B3:M3"/>
    <mergeCell ref="B5:M5"/>
    <mergeCell ref="B9:M9"/>
    <mergeCell ref="A1:M1"/>
    <mergeCell ref="B2:M2"/>
    <mergeCell ref="B4:M4"/>
  </mergeCells>
  <phoneticPr fontId="7" type="noConversion"/>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4282"/>
  <sheetViews>
    <sheetView workbookViewId="0">
      <selection activeCell="I5" sqref="I5"/>
    </sheetView>
  </sheetViews>
  <sheetFormatPr defaultRowHeight="12.75"/>
  <cols>
    <col min="1" max="1" width="32.140625" customWidth="1"/>
    <col min="2" max="2" width="13.28515625" customWidth="1"/>
  </cols>
  <sheetData>
    <row r="1" spans="1:4">
      <c r="A1" s="2243" t="s">
        <v>5161</v>
      </c>
      <c r="B1">
        <f>NDK!B52</f>
        <v>1114</v>
      </c>
      <c r="C1">
        <v>1000</v>
      </c>
      <c r="D1">
        <v>11</v>
      </c>
    </row>
    <row r="2" spans="1:4">
      <c r="C2">
        <v>1001</v>
      </c>
      <c r="D2">
        <v>11</v>
      </c>
    </row>
    <row r="3" spans="1:4">
      <c r="A3" s="2243" t="s">
        <v>5162</v>
      </c>
      <c r="B3">
        <f>VLOOKUP(B1,C1:D4282,2)</f>
        <v>11</v>
      </c>
      <c r="C3">
        <v>1002</v>
      </c>
      <c r="D3">
        <v>11</v>
      </c>
    </row>
    <row r="4" spans="1:4">
      <c r="A4" s="2243" t="s">
        <v>5123</v>
      </c>
      <c r="B4">
        <f>VLOOKUP(B1,C1:D4281,1)</f>
        <v>1114</v>
      </c>
      <c r="C4">
        <v>1004</v>
      </c>
      <c r="D4">
        <v>11</v>
      </c>
    </row>
    <row r="5" spans="1:4">
      <c r="A5" s="2243" t="s">
        <v>5163</v>
      </c>
      <c r="B5" t="b">
        <f>IF(B1=B4,TRUE,FALSE)</f>
        <v>1</v>
      </c>
      <c r="C5">
        <v>1006</v>
      </c>
      <c r="D5">
        <v>11</v>
      </c>
    </row>
    <row r="6" spans="1:4">
      <c r="A6" s="2243" t="s">
        <v>5164</v>
      </c>
      <c r="C6">
        <v>1011</v>
      </c>
      <c r="D6">
        <v>9</v>
      </c>
    </row>
    <row r="7" spans="1:4">
      <c r="A7" s="2241" t="s">
        <v>5165</v>
      </c>
      <c r="B7" s="2241">
        <f>IF(B5=TRUE,B3,11)</f>
        <v>11</v>
      </c>
      <c r="C7">
        <v>1012</v>
      </c>
      <c r="D7">
        <v>11</v>
      </c>
    </row>
    <row r="8" spans="1:4">
      <c r="C8">
        <v>1013</v>
      </c>
      <c r="D8">
        <v>9</v>
      </c>
    </row>
    <row r="9" spans="1:4">
      <c r="C9">
        <v>1014</v>
      </c>
      <c r="D9">
        <v>9</v>
      </c>
    </row>
    <row r="10" spans="1:4">
      <c r="C10">
        <v>1015</v>
      </c>
      <c r="D10">
        <v>9</v>
      </c>
    </row>
    <row r="11" spans="1:4">
      <c r="C11">
        <v>1016</v>
      </c>
      <c r="D11">
        <v>11</v>
      </c>
    </row>
    <row r="12" spans="1:4">
      <c r="C12">
        <v>1017</v>
      </c>
      <c r="D12">
        <v>11</v>
      </c>
    </row>
    <row r="13" spans="1:4">
      <c r="C13">
        <v>1018</v>
      </c>
      <c r="D13">
        <v>11</v>
      </c>
    </row>
    <row r="14" spans="1:4">
      <c r="C14">
        <v>1019</v>
      </c>
      <c r="D14">
        <v>11</v>
      </c>
    </row>
    <row r="15" spans="1:4">
      <c r="C15">
        <v>1020</v>
      </c>
      <c r="D15">
        <v>11</v>
      </c>
    </row>
    <row r="16" spans="1:4">
      <c r="C16">
        <v>1021</v>
      </c>
      <c r="D16">
        <v>11</v>
      </c>
    </row>
    <row r="17" spans="3:4">
      <c r="C17">
        <v>1022</v>
      </c>
      <c r="D17">
        <v>9</v>
      </c>
    </row>
    <row r="18" spans="3:4">
      <c r="C18">
        <v>1023</v>
      </c>
      <c r="D18">
        <v>10</v>
      </c>
    </row>
    <row r="19" spans="3:4">
      <c r="C19">
        <v>1024</v>
      </c>
      <c r="D19">
        <v>10</v>
      </c>
    </row>
    <row r="20" spans="3:4">
      <c r="C20">
        <v>1025</v>
      </c>
      <c r="D20">
        <v>11</v>
      </c>
    </row>
    <row r="21" spans="3:4">
      <c r="C21">
        <v>1026</v>
      </c>
      <c r="D21">
        <v>10</v>
      </c>
    </row>
    <row r="22" spans="3:4">
      <c r="C22">
        <v>1027</v>
      </c>
      <c r="D22">
        <v>11</v>
      </c>
    </row>
    <row r="23" spans="3:4">
      <c r="C23">
        <v>1028</v>
      </c>
      <c r="D23">
        <v>10</v>
      </c>
    </row>
    <row r="24" spans="3:4">
      <c r="C24">
        <v>1029</v>
      </c>
      <c r="D24">
        <v>10</v>
      </c>
    </row>
    <row r="25" spans="3:4">
      <c r="C25">
        <v>1030</v>
      </c>
      <c r="D25">
        <v>11</v>
      </c>
    </row>
    <row r="26" spans="3:4">
      <c r="C26">
        <v>1031</v>
      </c>
      <c r="D26">
        <v>11</v>
      </c>
    </row>
    <row r="27" spans="3:4">
      <c r="C27">
        <v>1032</v>
      </c>
      <c r="D27">
        <v>11</v>
      </c>
    </row>
    <row r="28" spans="3:4">
      <c r="C28">
        <v>1033</v>
      </c>
      <c r="D28">
        <v>11</v>
      </c>
    </row>
    <row r="29" spans="3:4">
      <c r="C29">
        <v>1034</v>
      </c>
      <c r="D29">
        <v>9</v>
      </c>
    </row>
    <row r="30" spans="3:4">
      <c r="C30">
        <v>1035</v>
      </c>
      <c r="D30">
        <v>11</v>
      </c>
    </row>
    <row r="31" spans="3:4">
      <c r="C31">
        <v>1036</v>
      </c>
      <c r="D31">
        <v>11</v>
      </c>
    </row>
    <row r="32" spans="3:4">
      <c r="C32">
        <v>1037</v>
      </c>
      <c r="D32">
        <v>10</v>
      </c>
    </row>
    <row r="33" spans="3:4">
      <c r="C33">
        <v>1038</v>
      </c>
      <c r="D33">
        <v>11</v>
      </c>
    </row>
    <row r="34" spans="3:4">
      <c r="C34">
        <v>1039</v>
      </c>
      <c r="D34">
        <v>11</v>
      </c>
    </row>
    <row r="35" spans="3:4">
      <c r="C35">
        <v>1040</v>
      </c>
      <c r="D35">
        <v>9</v>
      </c>
    </row>
    <row r="36" spans="3:4">
      <c r="C36">
        <v>1041</v>
      </c>
      <c r="D36">
        <v>9</v>
      </c>
    </row>
    <row r="37" spans="3:4">
      <c r="C37">
        <v>1042</v>
      </c>
      <c r="D37">
        <v>9</v>
      </c>
    </row>
    <row r="38" spans="3:4">
      <c r="C38">
        <v>1043</v>
      </c>
      <c r="D38">
        <v>9</v>
      </c>
    </row>
    <row r="39" spans="3:4">
      <c r="C39">
        <v>1044</v>
      </c>
      <c r="D39">
        <v>9</v>
      </c>
    </row>
    <row r="40" spans="3:4">
      <c r="C40">
        <v>1045</v>
      </c>
      <c r="D40">
        <v>9</v>
      </c>
    </row>
    <row r="41" spans="3:4">
      <c r="C41">
        <v>1046</v>
      </c>
      <c r="D41">
        <v>10</v>
      </c>
    </row>
    <row r="42" spans="3:4">
      <c r="C42">
        <v>1047</v>
      </c>
      <c r="D42">
        <v>8</v>
      </c>
    </row>
    <row r="43" spans="3:4">
      <c r="C43">
        <v>1048</v>
      </c>
      <c r="D43">
        <v>9</v>
      </c>
    </row>
    <row r="44" spans="3:4">
      <c r="C44">
        <v>1049</v>
      </c>
      <c r="D44">
        <v>10</v>
      </c>
    </row>
    <row r="45" spans="3:4">
      <c r="C45">
        <v>1050</v>
      </c>
      <c r="D45">
        <v>11</v>
      </c>
    </row>
    <row r="46" spans="3:4">
      <c r="C46">
        <v>1051</v>
      </c>
      <c r="D46">
        <v>10</v>
      </c>
    </row>
    <row r="47" spans="3:4">
      <c r="C47">
        <v>1052</v>
      </c>
      <c r="D47">
        <v>9</v>
      </c>
    </row>
    <row r="48" spans="3:4">
      <c r="C48">
        <v>1053</v>
      </c>
      <c r="D48">
        <v>11</v>
      </c>
    </row>
    <row r="49" spans="3:4">
      <c r="C49">
        <v>1054</v>
      </c>
      <c r="D49">
        <v>9</v>
      </c>
    </row>
    <row r="50" spans="3:4">
      <c r="C50">
        <v>1055</v>
      </c>
      <c r="D50">
        <v>10</v>
      </c>
    </row>
    <row r="51" spans="3:4">
      <c r="C51">
        <v>1056</v>
      </c>
      <c r="D51">
        <v>9</v>
      </c>
    </row>
    <row r="52" spans="3:4">
      <c r="C52">
        <v>1057</v>
      </c>
      <c r="D52">
        <v>11</v>
      </c>
    </row>
    <row r="53" spans="3:4">
      <c r="C53">
        <v>1058</v>
      </c>
      <c r="D53">
        <v>11</v>
      </c>
    </row>
    <row r="54" spans="3:4">
      <c r="C54">
        <v>1059</v>
      </c>
      <c r="D54">
        <v>11</v>
      </c>
    </row>
    <row r="55" spans="3:4">
      <c r="C55">
        <v>1060</v>
      </c>
      <c r="D55">
        <v>11</v>
      </c>
    </row>
    <row r="56" spans="3:4">
      <c r="C56">
        <v>1061</v>
      </c>
      <c r="D56">
        <v>10</v>
      </c>
    </row>
    <row r="57" spans="3:4">
      <c r="C57">
        <v>1062</v>
      </c>
      <c r="D57">
        <v>9</v>
      </c>
    </row>
    <row r="58" spans="3:4">
      <c r="C58">
        <v>1063</v>
      </c>
      <c r="D58">
        <v>9</v>
      </c>
    </row>
    <row r="59" spans="3:4">
      <c r="C59">
        <v>1064</v>
      </c>
      <c r="D59">
        <v>11</v>
      </c>
    </row>
    <row r="60" spans="3:4">
      <c r="C60">
        <v>1065</v>
      </c>
      <c r="D60">
        <v>10</v>
      </c>
    </row>
    <row r="61" spans="3:4">
      <c r="C61">
        <v>1066</v>
      </c>
      <c r="D61">
        <v>9</v>
      </c>
    </row>
    <row r="62" spans="3:4">
      <c r="C62">
        <v>1067</v>
      </c>
      <c r="D62">
        <v>8</v>
      </c>
    </row>
    <row r="63" spans="3:4">
      <c r="C63">
        <v>1068</v>
      </c>
      <c r="D63">
        <v>8</v>
      </c>
    </row>
    <row r="64" spans="3:4">
      <c r="C64">
        <v>1069</v>
      </c>
      <c r="D64">
        <v>8</v>
      </c>
    </row>
    <row r="65" spans="3:4">
      <c r="C65">
        <v>1070</v>
      </c>
      <c r="D65">
        <v>10</v>
      </c>
    </row>
    <row r="66" spans="3:4">
      <c r="C66">
        <v>1071</v>
      </c>
      <c r="D66">
        <v>10</v>
      </c>
    </row>
    <row r="67" spans="3:4">
      <c r="C67">
        <v>1072</v>
      </c>
      <c r="D67">
        <v>10</v>
      </c>
    </row>
    <row r="68" spans="3:4">
      <c r="C68">
        <v>1073</v>
      </c>
      <c r="D68">
        <v>9</v>
      </c>
    </row>
    <row r="69" spans="3:4">
      <c r="C69">
        <v>1074</v>
      </c>
      <c r="D69">
        <v>11</v>
      </c>
    </row>
    <row r="70" spans="3:4">
      <c r="C70">
        <v>1075</v>
      </c>
      <c r="D70">
        <v>10</v>
      </c>
    </row>
    <row r="71" spans="3:4">
      <c r="C71">
        <v>1076</v>
      </c>
      <c r="D71">
        <v>11</v>
      </c>
    </row>
    <row r="72" spans="3:4">
      <c r="C72">
        <v>1077</v>
      </c>
      <c r="D72">
        <v>10</v>
      </c>
    </row>
    <row r="73" spans="3:4">
      <c r="C73">
        <v>1078</v>
      </c>
      <c r="D73">
        <v>8</v>
      </c>
    </row>
    <row r="74" spans="3:4">
      <c r="C74">
        <v>1079</v>
      </c>
      <c r="D74">
        <v>11</v>
      </c>
    </row>
    <row r="75" spans="3:4">
      <c r="C75">
        <v>1080</v>
      </c>
      <c r="D75">
        <v>11</v>
      </c>
    </row>
    <row r="76" spans="3:4">
      <c r="C76">
        <v>1081</v>
      </c>
      <c r="D76">
        <v>9</v>
      </c>
    </row>
    <row r="77" spans="3:4">
      <c r="C77">
        <v>1082</v>
      </c>
      <c r="D77">
        <v>9</v>
      </c>
    </row>
    <row r="78" spans="3:4">
      <c r="C78">
        <v>1083</v>
      </c>
      <c r="D78">
        <v>10</v>
      </c>
    </row>
    <row r="79" spans="3:4">
      <c r="C79">
        <v>1084</v>
      </c>
      <c r="D79">
        <v>9</v>
      </c>
    </row>
    <row r="80" spans="3:4">
      <c r="C80">
        <v>1085</v>
      </c>
      <c r="D80">
        <v>8</v>
      </c>
    </row>
    <row r="81" spans="3:4">
      <c r="C81">
        <v>1086</v>
      </c>
      <c r="D81">
        <v>10</v>
      </c>
    </row>
    <row r="82" spans="3:4">
      <c r="C82">
        <v>1087</v>
      </c>
      <c r="D82">
        <v>11</v>
      </c>
    </row>
    <row r="83" spans="3:4">
      <c r="C83">
        <v>1088</v>
      </c>
      <c r="D83">
        <v>9</v>
      </c>
    </row>
    <row r="84" spans="3:4">
      <c r="C84">
        <v>1089</v>
      </c>
      <c r="D84">
        <v>9</v>
      </c>
    </row>
    <row r="85" spans="3:4">
      <c r="C85">
        <v>1090</v>
      </c>
      <c r="D85">
        <v>11</v>
      </c>
    </row>
    <row r="86" spans="3:4">
      <c r="C86">
        <v>1091</v>
      </c>
      <c r="D86">
        <v>9</v>
      </c>
    </row>
    <row r="87" spans="3:4">
      <c r="C87">
        <v>1092</v>
      </c>
      <c r="D87">
        <v>9</v>
      </c>
    </row>
    <row r="88" spans="3:4">
      <c r="C88">
        <v>1093</v>
      </c>
      <c r="D88">
        <v>10</v>
      </c>
    </row>
    <row r="89" spans="3:4">
      <c r="C89">
        <v>1094</v>
      </c>
      <c r="D89">
        <v>9</v>
      </c>
    </row>
    <row r="90" spans="3:4">
      <c r="C90">
        <v>1095</v>
      </c>
      <c r="D90">
        <v>11</v>
      </c>
    </row>
    <row r="91" spans="3:4">
      <c r="C91">
        <v>1096</v>
      </c>
      <c r="D91">
        <v>10</v>
      </c>
    </row>
    <row r="92" spans="3:4">
      <c r="C92">
        <v>1097</v>
      </c>
      <c r="D92">
        <v>11</v>
      </c>
    </row>
    <row r="93" spans="3:4">
      <c r="C93">
        <v>1098</v>
      </c>
      <c r="D93">
        <v>9</v>
      </c>
    </row>
    <row r="94" spans="3:4">
      <c r="C94">
        <v>1101</v>
      </c>
      <c r="D94">
        <v>10</v>
      </c>
    </row>
    <row r="95" spans="3:4">
      <c r="C95">
        <v>1102</v>
      </c>
      <c r="D95">
        <v>8</v>
      </c>
    </row>
    <row r="96" spans="3:4">
      <c r="C96">
        <v>1103</v>
      </c>
      <c r="D96">
        <v>9</v>
      </c>
    </row>
    <row r="97" spans="3:4">
      <c r="C97">
        <v>1104</v>
      </c>
      <c r="D97">
        <v>8</v>
      </c>
    </row>
    <row r="98" spans="3:4">
      <c r="C98">
        <v>1105</v>
      </c>
      <c r="D98">
        <v>9</v>
      </c>
    </row>
    <row r="99" spans="3:4">
      <c r="C99">
        <v>1106</v>
      </c>
      <c r="D99">
        <v>10</v>
      </c>
    </row>
    <row r="100" spans="3:4">
      <c r="C100">
        <v>1107</v>
      </c>
      <c r="D100">
        <v>11</v>
      </c>
    </row>
    <row r="101" spans="3:4">
      <c r="C101">
        <v>1108</v>
      </c>
      <c r="D101">
        <v>10</v>
      </c>
    </row>
    <row r="102" spans="3:4">
      <c r="C102">
        <v>1109</v>
      </c>
      <c r="D102">
        <v>11</v>
      </c>
    </row>
    <row r="103" spans="3:4">
      <c r="C103">
        <v>1110</v>
      </c>
      <c r="D103">
        <v>11</v>
      </c>
    </row>
    <row r="104" spans="3:4">
      <c r="C104">
        <v>1111</v>
      </c>
      <c r="D104">
        <v>11</v>
      </c>
    </row>
    <row r="105" spans="3:4">
      <c r="C105">
        <v>1112</v>
      </c>
      <c r="D105">
        <v>9</v>
      </c>
    </row>
    <row r="106" spans="3:4">
      <c r="C106">
        <v>1113</v>
      </c>
      <c r="D106">
        <v>11</v>
      </c>
    </row>
    <row r="107" spans="3:4">
      <c r="C107">
        <v>1114</v>
      </c>
      <c r="D107">
        <v>11</v>
      </c>
    </row>
    <row r="108" spans="3:4">
      <c r="C108">
        <v>1115</v>
      </c>
      <c r="D108">
        <v>9</v>
      </c>
    </row>
    <row r="109" spans="3:4">
      <c r="C109">
        <v>1116</v>
      </c>
      <c r="D109">
        <v>11</v>
      </c>
    </row>
    <row r="110" spans="3:4">
      <c r="C110">
        <v>1117</v>
      </c>
      <c r="D110">
        <v>9</v>
      </c>
    </row>
    <row r="111" spans="3:4">
      <c r="C111">
        <v>1118</v>
      </c>
      <c r="D111">
        <v>9</v>
      </c>
    </row>
    <row r="112" spans="3:4">
      <c r="C112">
        <v>1119</v>
      </c>
      <c r="D112">
        <v>9</v>
      </c>
    </row>
    <row r="113" spans="3:4">
      <c r="C113">
        <v>1120</v>
      </c>
      <c r="D113">
        <v>11</v>
      </c>
    </row>
    <row r="114" spans="3:4">
      <c r="C114">
        <v>1121</v>
      </c>
      <c r="D114">
        <v>9</v>
      </c>
    </row>
    <row r="115" spans="3:4">
      <c r="C115">
        <v>1122</v>
      </c>
      <c r="D115">
        <v>10</v>
      </c>
    </row>
    <row r="116" spans="3:4">
      <c r="C116">
        <v>1123</v>
      </c>
      <c r="D116">
        <v>11</v>
      </c>
    </row>
    <row r="117" spans="3:4">
      <c r="C117">
        <v>1124</v>
      </c>
      <c r="D117">
        <v>11</v>
      </c>
    </row>
    <row r="118" spans="3:4">
      <c r="C118">
        <v>1125</v>
      </c>
      <c r="D118">
        <v>10</v>
      </c>
    </row>
    <row r="119" spans="3:4">
      <c r="C119">
        <v>1126</v>
      </c>
      <c r="D119">
        <v>9</v>
      </c>
    </row>
    <row r="120" spans="3:4">
      <c r="C120">
        <v>1127</v>
      </c>
      <c r="D120">
        <v>11</v>
      </c>
    </row>
    <row r="121" spans="3:4">
      <c r="C121">
        <v>1128</v>
      </c>
      <c r="D121">
        <v>11</v>
      </c>
    </row>
    <row r="122" spans="3:4">
      <c r="C122">
        <v>1129</v>
      </c>
      <c r="D122">
        <v>11</v>
      </c>
    </row>
    <row r="123" spans="3:4">
      <c r="C123">
        <v>1130</v>
      </c>
      <c r="D123">
        <v>11</v>
      </c>
    </row>
    <row r="124" spans="3:4">
      <c r="C124">
        <v>1131</v>
      </c>
      <c r="D124">
        <v>9</v>
      </c>
    </row>
    <row r="125" spans="3:4">
      <c r="C125">
        <v>1132</v>
      </c>
      <c r="D125">
        <v>9</v>
      </c>
    </row>
    <row r="126" spans="3:4">
      <c r="C126">
        <v>1133</v>
      </c>
      <c r="D126">
        <v>9</v>
      </c>
    </row>
    <row r="127" spans="3:4">
      <c r="C127">
        <v>1134</v>
      </c>
      <c r="D127">
        <v>11</v>
      </c>
    </row>
    <row r="128" spans="3:4">
      <c r="C128">
        <v>1135</v>
      </c>
      <c r="D128">
        <v>11</v>
      </c>
    </row>
    <row r="129" spans="3:4">
      <c r="C129">
        <v>1136</v>
      </c>
      <c r="D129">
        <v>10</v>
      </c>
    </row>
    <row r="130" spans="3:4">
      <c r="C130">
        <v>1137</v>
      </c>
      <c r="D130">
        <v>9</v>
      </c>
    </row>
    <row r="131" spans="3:4">
      <c r="C131">
        <v>1138</v>
      </c>
      <c r="D131">
        <v>9</v>
      </c>
    </row>
    <row r="132" spans="3:4">
      <c r="C132">
        <v>1139</v>
      </c>
      <c r="D132">
        <v>9</v>
      </c>
    </row>
    <row r="133" spans="3:4">
      <c r="C133">
        <v>1140</v>
      </c>
      <c r="D133">
        <v>11</v>
      </c>
    </row>
    <row r="134" spans="3:4">
      <c r="C134">
        <v>1141</v>
      </c>
      <c r="D134">
        <v>10</v>
      </c>
    </row>
    <row r="135" spans="3:4">
      <c r="C135">
        <v>1142</v>
      </c>
      <c r="D135">
        <v>9</v>
      </c>
    </row>
    <row r="136" spans="3:4">
      <c r="C136">
        <v>1143</v>
      </c>
      <c r="D136">
        <v>11</v>
      </c>
    </row>
    <row r="137" spans="3:4">
      <c r="C137">
        <v>1144</v>
      </c>
      <c r="D137">
        <v>9</v>
      </c>
    </row>
    <row r="138" spans="3:4">
      <c r="C138">
        <v>1145</v>
      </c>
      <c r="D138">
        <v>10</v>
      </c>
    </row>
    <row r="139" spans="3:4">
      <c r="C139">
        <v>1146</v>
      </c>
      <c r="D139">
        <v>11</v>
      </c>
    </row>
    <row r="140" spans="3:4">
      <c r="C140">
        <v>1147</v>
      </c>
      <c r="D140">
        <v>11</v>
      </c>
    </row>
    <row r="141" spans="3:4">
      <c r="C141">
        <v>1148</v>
      </c>
      <c r="D141">
        <v>9</v>
      </c>
    </row>
    <row r="142" spans="3:4">
      <c r="C142">
        <v>1149</v>
      </c>
      <c r="D142">
        <v>8</v>
      </c>
    </row>
    <row r="143" spans="3:4">
      <c r="C143">
        <v>1150</v>
      </c>
      <c r="D143">
        <v>11</v>
      </c>
    </row>
    <row r="144" spans="3:4">
      <c r="C144">
        <v>1151</v>
      </c>
      <c r="D144">
        <v>10</v>
      </c>
    </row>
    <row r="145" spans="3:4">
      <c r="C145">
        <v>1152</v>
      </c>
      <c r="D145">
        <v>11</v>
      </c>
    </row>
    <row r="146" spans="3:4">
      <c r="C146">
        <v>1153</v>
      </c>
      <c r="D146">
        <v>9</v>
      </c>
    </row>
    <row r="147" spans="3:4">
      <c r="C147">
        <v>1154</v>
      </c>
      <c r="D147">
        <v>9</v>
      </c>
    </row>
    <row r="148" spans="3:4">
      <c r="C148">
        <v>1155</v>
      </c>
      <c r="D148">
        <v>11</v>
      </c>
    </row>
    <row r="149" spans="3:4">
      <c r="C149">
        <v>1156</v>
      </c>
      <c r="D149">
        <v>9</v>
      </c>
    </row>
    <row r="150" spans="3:4">
      <c r="C150">
        <v>1157</v>
      </c>
      <c r="D150">
        <v>8</v>
      </c>
    </row>
    <row r="151" spans="3:4">
      <c r="C151">
        <v>1158</v>
      </c>
      <c r="D151">
        <v>9</v>
      </c>
    </row>
    <row r="152" spans="3:4">
      <c r="C152">
        <v>1159</v>
      </c>
      <c r="D152">
        <v>11</v>
      </c>
    </row>
    <row r="153" spans="3:4">
      <c r="C153">
        <v>1161</v>
      </c>
      <c r="D153">
        <v>9</v>
      </c>
    </row>
    <row r="154" spans="3:4">
      <c r="C154">
        <v>1162</v>
      </c>
      <c r="D154">
        <v>10</v>
      </c>
    </row>
    <row r="155" spans="3:4">
      <c r="C155">
        <v>1163</v>
      </c>
      <c r="D155">
        <v>9</v>
      </c>
    </row>
    <row r="156" spans="3:4">
      <c r="C156">
        <v>1164</v>
      </c>
      <c r="D156">
        <v>10</v>
      </c>
    </row>
    <row r="157" spans="3:4">
      <c r="C157">
        <v>1165</v>
      </c>
      <c r="D157">
        <v>9</v>
      </c>
    </row>
    <row r="158" spans="3:4">
      <c r="C158">
        <v>1167</v>
      </c>
      <c r="D158">
        <v>10</v>
      </c>
    </row>
    <row r="159" spans="3:4">
      <c r="C159">
        <v>1168</v>
      </c>
      <c r="D159">
        <v>9</v>
      </c>
    </row>
    <row r="160" spans="3:4">
      <c r="C160">
        <v>1169</v>
      </c>
      <c r="D160">
        <v>10</v>
      </c>
    </row>
    <row r="161" spans="3:4">
      <c r="C161">
        <v>1170</v>
      </c>
      <c r="D161">
        <v>10</v>
      </c>
    </row>
    <row r="162" spans="3:4">
      <c r="C162">
        <v>1171</v>
      </c>
      <c r="D162">
        <v>9</v>
      </c>
    </row>
    <row r="163" spans="3:4">
      <c r="C163">
        <v>1172</v>
      </c>
      <c r="D163">
        <v>8</v>
      </c>
    </row>
    <row r="164" spans="3:4">
      <c r="C164">
        <v>1173</v>
      </c>
      <c r="D164">
        <v>10</v>
      </c>
    </row>
    <row r="165" spans="3:4">
      <c r="C165">
        <v>1174</v>
      </c>
      <c r="D165">
        <v>9</v>
      </c>
    </row>
    <row r="166" spans="3:4">
      <c r="C166">
        <v>1175</v>
      </c>
      <c r="D166">
        <v>10</v>
      </c>
    </row>
    <row r="167" spans="3:4">
      <c r="C167">
        <v>1176</v>
      </c>
      <c r="D167">
        <v>10</v>
      </c>
    </row>
    <row r="168" spans="3:4">
      <c r="C168">
        <v>1177</v>
      </c>
      <c r="D168">
        <v>10</v>
      </c>
    </row>
    <row r="169" spans="3:4">
      <c r="C169">
        <v>1178</v>
      </c>
      <c r="D169">
        <v>10</v>
      </c>
    </row>
    <row r="170" spans="3:4">
      <c r="C170">
        <v>1180</v>
      </c>
      <c r="D170">
        <v>10</v>
      </c>
    </row>
    <row r="171" spans="3:4">
      <c r="C171">
        <v>1181</v>
      </c>
      <c r="D171">
        <v>9</v>
      </c>
    </row>
    <row r="172" spans="3:4">
      <c r="C172">
        <v>1182</v>
      </c>
      <c r="D172">
        <v>9</v>
      </c>
    </row>
    <row r="173" spans="3:4">
      <c r="C173">
        <v>1183</v>
      </c>
      <c r="D173">
        <v>9</v>
      </c>
    </row>
    <row r="174" spans="3:4">
      <c r="C174">
        <v>1184</v>
      </c>
      <c r="D174">
        <v>9</v>
      </c>
    </row>
    <row r="175" spans="3:4">
      <c r="C175">
        <v>1185</v>
      </c>
      <c r="D175">
        <v>9</v>
      </c>
    </row>
    <row r="176" spans="3:4">
      <c r="C176">
        <v>1186</v>
      </c>
      <c r="D176">
        <v>10</v>
      </c>
    </row>
    <row r="177" spans="3:4">
      <c r="C177">
        <v>1187</v>
      </c>
      <c r="D177">
        <v>10</v>
      </c>
    </row>
    <row r="178" spans="3:4">
      <c r="C178">
        <v>1188</v>
      </c>
      <c r="D178">
        <v>9</v>
      </c>
    </row>
    <row r="179" spans="3:4">
      <c r="C179">
        <v>1189</v>
      </c>
      <c r="D179">
        <v>10</v>
      </c>
    </row>
    <row r="180" spans="3:4">
      <c r="C180">
        <v>1190</v>
      </c>
      <c r="D180">
        <v>9</v>
      </c>
    </row>
    <row r="181" spans="3:4">
      <c r="C181">
        <v>1191</v>
      </c>
      <c r="D181">
        <v>9</v>
      </c>
    </row>
    <row r="182" spans="3:4">
      <c r="C182">
        <v>1192</v>
      </c>
      <c r="D182">
        <v>11</v>
      </c>
    </row>
    <row r="183" spans="3:4">
      <c r="C183">
        <v>1193</v>
      </c>
      <c r="D183">
        <v>8</v>
      </c>
    </row>
    <row r="184" spans="3:4">
      <c r="C184">
        <v>1194</v>
      </c>
      <c r="D184">
        <v>11</v>
      </c>
    </row>
    <row r="185" spans="3:4">
      <c r="C185">
        <v>1195</v>
      </c>
      <c r="D185">
        <v>9</v>
      </c>
    </row>
    <row r="186" spans="3:4">
      <c r="C186">
        <v>1196</v>
      </c>
      <c r="D186">
        <v>9</v>
      </c>
    </row>
    <row r="187" spans="3:4">
      <c r="C187">
        <v>1197</v>
      </c>
      <c r="D187">
        <v>11</v>
      </c>
    </row>
    <row r="188" spans="3:4">
      <c r="C188">
        <v>1200</v>
      </c>
      <c r="D188">
        <v>10</v>
      </c>
    </row>
    <row r="189" spans="3:4">
      <c r="C189">
        <v>1201</v>
      </c>
      <c r="D189">
        <v>10</v>
      </c>
    </row>
    <row r="190" spans="3:4">
      <c r="C190">
        <v>1202</v>
      </c>
      <c r="D190">
        <v>9</v>
      </c>
    </row>
    <row r="191" spans="3:4">
      <c r="C191">
        <v>1203</v>
      </c>
      <c r="D191">
        <v>9</v>
      </c>
    </row>
    <row r="192" spans="3:4">
      <c r="C192">
        <v>1204</v>
      </c>
      <c r="D192">
        <v>10</v>
      </c>
    </row>
    <row r="193" spans="3:4">
      <c r="C193">
        <v>1205</v>
      </c>
      <c r="D193">
        <v>9</v>
      </c>
    </row>
    <row r="194" spans="3:4">
      <c r="C194">
        <v>1207</v>
      </c>
      <c r="D194">
        <v>10</v>
      </c>
    </row>
    <row r="195" spans="3:4">
      <c r="C195">
        <v>1208</v>
      </c>
      <c r="D195">
        <v>10</v>
      </c>
    </row>
    <row r="196" spans="3:4">
      <c r="C196">
        <v>1209</v>
      </c>
      <c r="D196">
        <v>10</v>
      </c>
    </row>
    <row r="197" spans="3:4">
      <c r="C197">
        <v>1210</v>
      </c>
      <c r="D197">
        <v>11</v>
      </c>
    </row>
    <row r="198" spans="3:4">
      <c r="C198">
        <v>1211</v>
      </c>
      <c r="D198">
        <v>11</v>
      </c>
    </row>
    <row r="199" spans="3:4">
      <c r="C199">
        <v>1212</v>
      </c>
      <c r="D199">
        <v>9</v>
      </c>
    </row>
    <row r="200" spans="3:4">
      <c r="C200">
        <v>1213</v>
      </c>
      <c r="D200">
        <v>10</v>
      </c>
    </row>
    <row r="201" spans="3:4">
      <c r="C201">
        <v>1214</v>
      </c>
      <c r="D201">
        <v>9</v>
      </c>
    </row>
    <row r="202" spans="3:4">
      <c r="C202">
        <v>1215</v>
      </c>
      <c r="D202">
        <v>9</v>
      </c>
    </row>
    <row r="203" spans="3:4">
      <c r="C203">
        <v>1216</v>
      </c>
      <c r="D203">
        <v>11</v>
      </c>
    </row>
    <row r="204" spans="3:4">
      <c r="C204">
        <v>1218</v>
      </c>
      <c r="D204">
        <v>11</v>
      </c>
    </row>
    <row r="205" spans="3:4">
      <c r="C205">
        <v>1220</v>
      </c>
      <c r="D205">
        <v>11</v>
      </c>
    </row>
    <row r="206" spans="3:4">
      <c r="C206">
        <v>1221</v>
      </c>
      <c r="D206">
        <v>11</v>
      </c>
    </row>
    <row r="207" spans="3:4">
      <c r="C207">
        <v>1222</v>
      </c>
      <c r="D207">
        <v>9</v>
      </c>
    </row>
    <row r="208" spans="3:4">
      <c r="C208">
        <v>1223</v>
      </c>
      <c r="D208">
        <v>11</v>
      </c>
    </row>
    <row r="209" spans="3:4">
      <c r="C209">
        <v>1224</v>
      </c>
      <c r="D209">
        <v>11</v>
      </c>
    </row>
    <row r="210" spans="3:4">
      <c r="C210">
        <v>1225</v>
      </c>
      <c r="D210">
        <v>9</v>
      </c>
    </row>
    <row r="211" spans="3:4">
      <c r="C211">
        <v>1226</v>
      </c>
      <c r="D211">
        <v>11</v>
      </c>
    </row>
    <row r="212" spans="3:4">
      <c r="C212">
        <v>1230</v>
      </c>
      <c r="D212">
        <v>11</v>
      </c>
    </row>
    <row r="213" spans="3:4">
      <c r="C213">
        <v>1231</v>
      </c>
      <c r="D213">
        <v>11</v>
      </c>
    </row>
    <row r="214" spans="3:4">
      <c r="C214">
        <v>1232</v>
      </c>
      <c r="D214">
        <v>11</v>
      </c>
    </row>
    <row r="215" spans="3:4">
      <c r="C215">
        <v>1233</v>
      </c>
      <c r="D215">
        <v>11</v>
      </c>
    </row>
    <row r="216" spans="3:4">
      <c r="C216">
        <v>1234</v>
      </c>
      <c r="D216">
        <v>11</v>
      </c>
    </row>
    <row r="217" spans="3:4">
      <c r="C217">
        <v>1235</v>
      </c>
      <c r="D217">
        <v>11</v>
      </c>
    </row>
    <row r="218" spans="3:4">
      <c r="C218">
        <v>1236</v>
      </c>
      <c r="D218">
        <v>11</v>
      </c>
    </row>
    <row r="219" spans="3:4">
      <c r="C219">
        <v>1237</v>
      </c>
      <c r="D219">
        <v>9</v>
      </c>
    </row>
    <row r="220" spans="3:4">
      <c r="C220">
        <v>1238</v>
      </c>
      <c r="D220">
        <v>11</v>
      </c>
    </row>
    <row r="221" spans="3:4">
      <c r="C221">
        <v>1239</v>
      </c>
      <c r="D221">
        <v>10</v>
      </c>
    </row>
    <row r="222" spans="3:4">
      <c r="C222">
        <v>1240</v>
      </c>
      <c r="D222">
        <v>11</v>
      </c>
    </row>
    <row r="223" spans="3:4">
      <c r="C223">
        <v>1241</v>
      </c>
      <c r="D223">
        <v>11</v>
      </c>
    </row>
    <row r="224" spans="3:4">
      <c r="C224">
        <v>1242</v>
      </c>
      <c r="D224">
        <v>11</v>
      </c>
    </row>
    <row r="225" spans="3:4">
      <c r="C225">
        <v>1243</v>
      </c>
      <c r="D225">
        <v>11</v>
      </c>
    </row>
    <row r="226" spans="3:4">
      <c r="C226">
        <v>1244</v>
      </c>
      <c r="D226">
        <v>11</v>
      </c>
    </row>
    <row r="227" spans="3:4">
      <c r="C227">
        <v>1245</v>
      </c>
      <c r="D227">
        <v>11</v>
      </c>
    </row>
    <row r="228" spans="3:4">
      <c r="C228">
        <v>1250</v>
      </c>
      <c r="D228">
        <v>11</v>
      </c>
    </row>
    <row r="229" spans="3:4">
      <c r="C229">
        <v>1251</v>
      </c>
      <c r="D229">
        <v>11</v>
      </c>
    </row>
    <row r="230" spans="3:4">
      <c r="C230">
        <v>1252</v>
      </c>
      <c r="D230">
        <v>11</v>
      </c>
    </row>
    <row r="231" spans="3:4">
      <c r="C231">
        <v>1253</v>
      </c>
      <c r="D231">
        <v>11</v>
      </c>
    </row>
    <row r="232" spans="3:4">
      <c r="C232">
        <v>1254</v>
      </c>
      <c r="D232">
        <v>11</v>
      </c>
    </row>
    <row r="233" spans="3:4">
      <c r="C233">
        <v>1255</v>
      </c>
      <c r="D233">
        <v>11</v>
      </c>
    </row>
    <row r="234" spans="3:4">
      <c r="C234">
        <v>1258</v>
      </c>
      <c r="D234">
        <v>11</v>
      </c>
    </row>
    <row r="235" spans="3:4">
      <c r="C235">
        <v>1275</v>
      </c>
      <c r="D235">
        <v>11</v>
      </c>
    </row>
    <row r="236" spans="3:4">
      <c r="C236">
        <v>1276</v>
      </c>
      <c r="D236">
        <v>11</v>
      </c>
    </row>
    <row r="237" spans="3:4">
      <c r="C237">
        <v>1277</v>
      </c>
      <c r="D237">
        <v>11</v>
      </c>
    </row>
    <row r="238" spans="3:4">
      <c r="C238">
        <v>1278</v>
      </c>
      <c r="D238">
        <v>11</v>
      </c>
    </row>
    <row r="239" spans="3:4">
      <c r="C239">
        <v>1279</v>
      </c>
      <c r="D239">
        <v>11</v>
      </c>
    </row>
    <row r="240" spans="3:4">
      <c r="C240">
        <v>1280</v>
      </c>
      <c r="D240">
        <v>11</v>
      </c>
    </row>
    <row r="241" spans="3:4">
      <c r="C241">
        <v>1281</v>
      </c>
      <c r="D241">
        <v>11</v>
      </c>
    </row>
    <row r="242" spans="3:4">
      <c r="C242">
        <v>1282</v>
      </c>
      <c r="D242">
        <v>11</v>
      </c>
    </row>
    <row r="243" spans="3:4">
      <c r="C243">
        <v>1285</v>
      </c>
      <c r="D243">
        <v>11</v>
      </c>
    </row>
    <row r="244" spans="3:4">
      <c r="C244">
        <v>1286</v>
      </c>
      <c r="D244">
        <v>11</v>
      </c>
    </row>
    <row r="245" spans="3:4">
      <c r="C245">
        <v>1300</v>
      </c>
      <c r="D245">
        <v>11</v>
      </c>
    </row>
    <row r="246" spans="3:4">
      <c r="C246">
        <v>1301</v>
      </c>
      <c r="D246">
        <v>11</v>
      </c>
    </row>
    <row r="247" spans="3:4">
      <c r="C247">
        <v>1302</v>
      </c>
      <c r="D247">
        <v>11</v>
      </c>
    </row>
    <row r="248" spans="3:4">
      <c r="C248">
        <v>1303</v>
      </c>
      <c r="D248">
        <v>11</v>
      </c>
    </row>
    <row r="249" spans="3:4">
      <c r="C249">
        <v>1304</v>
      </c>
      <c r="D249">
        <v>11</v>
      </c>
    </row>
    <row r="250" spans="3:4">
      <c r="C250">
        <v>1305</v>
      </c>
      <c r="D250">
        <v>11</v>
      </c>
    </row>
    <row r="251" spans="3:4">
      <c r="C251">
        <v>1306</v>
      </c>
      <c r="D251">
        <v>11</v>
      </c>
    </row>
    <row r="252" spans="3:4">
      <c r="C252">
        <v>1307</v>
      </c>
      <c r="D252">
        <v>11</v>
      </c>
    </row>
    <row r="253" spans="3:4">
      <c r="C253">
        <v>1310</v>
      </c>
      <c r="D253">
        <v>11</v>
      </c>
    </row>
    <row r="254" spans="3:4">
      <c r="C254">
        <v>1311</v>
      </c>
      <c r="D254">
        <v>11</v>
      </c>
    </row>
    <row r="255" spans="3:4">
      <c r="C255">
        <v>1312</v>
      </c>
      <c r="D255">
        <v>11</v>
      </c>
    </row>
    <row r="256" spans="3:4">
      <c r="C256">
        <v>1325</v>
      </c>
      <c r="D256">
        <v>11</v>
      </c>
    </row>
    <row r="257" spans="3:4">
      <c r="C257">
        <v>1326</v>
      </c>
      <c r="D257">
        <v>11</v>
      </c>
    </row>
    <row r="258" spans="3:4">
      <c r="C258">
        <v>1327</v>
      </c>
      <c r="D258">
        <v>11</v>
      </c>
    </row>
    <row r="259" spans="3:4">
      <c r="C259">
        <v>1328</v>
      </c>
      <c r="D259">
        <v>11</v>
      </c>
    </row>
    <row r="260" spans="3:4">
      <c r="C260">
        <v>1329</v>
      </c>
      <c r="D260">
        <v>11</v>
      </c>
    </row>
    <row r="261" spans="3:4">
      <c r="C261">
        <v>1330</v>
      </c>
      <c r="D261">
        <v>11</v>
      </c>
    </row>
    <row r="262" spans="3:4">
      <c r="C262">
        <v>1339</v>
      </c>
      <c r="D262">
        <v>11</v>
      </c>
    </row>
    <row r="263" spans="3:4">
      <c r="C263">
        <v>1340</v>
      </c>
      <c r="D263">
        <v>11</v>
      </c>
    </row>
    <row r="264" spans="3:4">
      <c r="C264">
        <v>1350</v>
      </c>
      <c r="D264">
        <v>11</v>
      </c>
    </row>
    <row r="265" spans="3:4">
      <c r="C265">
        <v>1351</v>
      </c>
      <c r="D265">
        <v>11</v>
      </c>
    </row>
    <row r="266" spans="3:4">
      <c r="C266">
        <v>1352</v>
      </c>
      <c r="D266">
        <v>11</v>
      </c>
    </row>
    <row r="267" spans="3:4">
      <c r="C267">
        <v>1353</v>
      </c>
      <c r="D267">
        <v>11</v>
      </c>
    </row>
    <row r="268" spans="3:4">
      <c r="C268">
        <v>1354</v>
      </c>
      <c r="D268">
        <v>11</v>
      </c>
    </row>
    <row r="269" spans="3:4">
      <c r="C269">
        <v>1355</v>
      </c>
      <c r="D269">
        <v>11</v>
      </c>
    </row>
    <row r="270" spans="3:4">
      <c r="C270">
        <v>1356</v>
      </c>
      <c r="D270">
        <v>11</v>
      </c>
    </row>
    <row r="271" spans="3:4">
      <c r="C271">
        <v>1357</v>
      </c>
      <c r="D271">
        <v>11</v>
      </c>
    </row>
    <row r="272" spans="3:4">
      <c r="C272">
        <v>1358</v>
      </c>
      <c r="D272">
        <v>11</v>
      </c>
    </row>
    <row r="273" spans="3:4">
      <c r="C273">
        <v>1360</v>
      </c>
      <c r="D273">
        <v>11</v>
      </c>
    </row>
    <row r="274" spans="3:4">
      <c r="C274">
        <v>1361</v>
      </c>
      <c r="D274">
        <v>11</v>
      </c>
    </row>
    <row r="275" spans="3:4">
      <c r="C275">
        <v>1362</v>
      </c>
      <c r="D275">
        <v>11</v>
      </c>
    </row>
    <row r="276" spans="3:4">
      <c r="C276">
        <v>1363</v>
      </c>
      <c r="D276">
        <v>11</v>
      </c>
    </row>
    <row r="277" spans="3:4">
      <c r="C277">
        <v>1364</v>
      </c>
      <c r="D277">
        <v>11</v>
      </c>
    </row>
    <row r="278" spans="3:4">
      <c r="C278">
        <v>1365</v>
      </c>
      <c r="D278">
        <v>11</v>
      </c>
    </row>
    <row r="279" spans="3:4">
      <c r="C279">
        <v>1366</v>
      </c>
      <c r="D279">
        <v>11</v>
      </c>
    </row>
    <row r="280" spans="3:4">
      <c r="C280">
        <v>1367</v>
      </c>
      <c r="D280">
        <v>11</v>
      </c>
    </row>
    <row r="281" spans="3:4">
      <c r="C281">
        <v>1368</v>
      </c>
      <c r="D281">
        <v>11</v>
      </c>
    </row>
    <row r="282" spans="3:4">
      <c r="C282">
        <v>1369</v>
      </c>
      <c r="D282">
        <v>11</v>
      </c>
    </row>
    <row r="283" spans="3:4">
      <c r="C283">
        <v>1370</v>
      </c>
      <c r="D283">
        <v>11</v>
      </c>
    </row>
    <row r="284" spans="3:4">
      <c r="C284">
        <v>1371</v>
      </c>
      <c r="D284">
        <v>11</v>
      </c>
    </row>
    <row r="285" spans="3:4">
      <c r="C285">
        <v>1372</v>
      </c>
      <c r="D285">
        <v>11</v>
      </c>
    </row>
    <row r="286" spans="3:4">
      <c r="C286">
        <v>1373</v>
      </c>
      <c r="D286">
        <v>11</v>
      </c>
    </row>
    <row r="287" spans="3:4">
      <c r="C287">
        <v>1374</v>
      </c>
      <c r="D287">
        <v>11</v>
      </c>
    </row>
    <row r="288" spans="3:4">
      <c r="C288">
        <v>1375</v>
      </c>
      <c r="D288">
        <v>11</v>
      </c>
    </row>
    <row r="289" spans="3:4">
      <c r="C289">
        <v>1376</v>
      </c>
      <c r="D289">
        <v>11</v>
      </c>
    </row>
    <row r="290" spans="3:4">
      <c r="C290">
        <v>1377</v>
      </c>
      <c r="D290">
        <v>11</v>
      </c>
    </row>
    <row r="291" spans="3:4">
      <c r="C291">
        <v>1378</v>
      </c>
      <c r="D291">
        <v>11</v>
      </c>
    </row>
    <row r="292" spans="3:4">
      <c r="C292">
        <v>1379</v>
      </c>
      <c r="D292">
        <v>11</v>
      </c>
    </row>
    <row r="293" spans="3:4">
      <c r="C293">
        <v>1381</v>
      </c>
      <c r="D293">
        <v>11</v>
      </c>
    </row>
    <row r="294" spans="3:4">
      <c r="C294">
        <v>1383</v>
      </c>
      <c r="D294">
        <v>11</v>
      </c>
    </row>
    <row r="295" spans="3:4">
      <c r="C295">
        <v>1384</v>
      </c>
      <c r="D295">
        <v>11</v>
      </c>
    </row>
    <row r="296" spans="3:4">
      <c r="C296">
        <v>1385</v>
      </c>
      <c r="D296">
        <v>11</v>
      </c>
    </row>
    <row r="297" spans="3:4">
      <c r="C297">
        <v>1386</v>
      </c>
      <c r="D297">
        <v>11</v>
      </c>
    </row>
    <row r="298" spans="3:4">
      <c r="C298">
        <v>1387</v>
      </c>
      <c r="D298">
        <v>11</v>
      </c>
    </row>
    <row r="299" spans="3:4">
      <c r="C299">
        <v>1388</v>
      </c>
      <c r="D299">
        <v>11</v>
      </c>
    </row>
    <row r="300" spans="3:4">
      <c r="C300">
        <v>1389</v>
      </c>
      <c r="D300">
        <v>11</v>
      </c>
    </row>
    <row r="301" spans="3:4">
      <c r="C301">
        <v>1390</v>
      </c>
      <c r="D301">
        <v>11</v>
      </c>
    </row>
    <row r="302" spans="3:4">
      <c r="C302">
        <v>1391</v>
      </c>
      <c r="D302">
        <v>11</v>
      </c>
    </row>
    <row r="303" spans="3:4">
      <c r="C303">
        <v>1392</v>
      </c>
      <c r="D303">
        <v>11</v>
      </c>
    </row>
    <row r="304" spans="3:4">
      <c r="C304">
        <v>1393</v>
      </c>
      <c r="D304">
        <v>11</v>
      </c>
    </row>
    <row r="305" spans="3:4">
      <c r="C305">
        <v>1394</v>
      </c>
      <c r="D305">
        <v>11</v>
      </c>
    </row>
    <row r="306" spans="3:4">
      <c r="C306">
        <v>1395</v>
      </c>
      <c r="D306">
        <v>11</v>
      </c>
    </row>
    <row r="307" spans="3:4">
      <c r="C307">
        <v>1396</v>
      </c>
      <c r="D307">
        <v>11</v>
      </c>
    </row>
    <row r="308" spans="3:4">
      <c r="C308">
        <v>1397</v>
      </c>
      <c r="D308">
        <v>11</v>
      </c>
    </row>
    <row r="309" spans="3:4">
      <c r="C309">
        <v>1398</v>
      </c>
      <c r="D309">
        <v>11</v>
      </c>
    </row>
    <row r="310" spans="3:4">
      <c r="C310">
        <v>1399</v>
      </c>
      <c r="D310">
        <v>11</v>
      </c>
    </row>
    <row r="311" spans="3:4">
      <c r="C311">
        <v>1400</v>
      </c>
      <c r="D311">
        <v>11</v>
      </c>
    </row>
    <row r="312" spans="3:4">
      <c r="C312">
        <v>1401</v>
      </c>
      <c r="D312">
        <v>11</v>
      </c>
    </row>
    <row r="313" spans="3:4">
      <c r="C313">
        <v>1402</v>
      </c>
      <c r="D313">
        <v>11</v>
      </c>
    </row>
    <row r="314" spans="3:4">
      <c r="C314">
        <v>1406</v>
      </c>
      <c r="D314">
        <v>11</v>
      </c>
    </row>
    <row r="315" spans="3:4">
      <c r="C315">
        <v>1410</v>
      </c>
      <c r="D315">
        <v>11</v>
      </c>
    </row>
    <row r="316" spans="3:4">
      <c r="C316">
        <v>1415</v>
      </c>
      <c r="D316">
        <v>11</v>
      </c>
    </row>
    <row r="317" spans="3:4">
      <c r="C317">
        <v>1417</v>
      </c>
      <c r="D317">
        <v>11</v>
      </c>
    </row>
    <row r="318" spans="3:4">
      <c r="C318">
        <v>1425</v>
      </c>
      <c r="D318">
        <v>11</v>
      </c>
    </row>
    <row r="319" spans="3:4">
      <c r="C319">
        <v>1426</v>
      </c>
      <c r="D319">
        <v>11</v>
      </c>
    </row>
    <row r="320" spans="3:4">
      <c r="C320">
        <v>1428</v>
      </c>
      <c r="D320">
        <v>11</v>
      </c>
    </row>
    <row r="321" spans="3:4">
      <c r="C321">
        <v>1429</v>
      </c>
      <c r="D321">
        <v>11</v>
      </c>
    </row>
    <row r="322" spans="3:4">
      <c r="C322">
        <v>1430</v>
      </c>
      <c r="D322">
        <v>11</v>
      </c>
    </row>
    <row r="323" spans="3:4">
      <c r="C323">
        <v>1431</v>
      </c>
      <c r="D323">
        <v>11</v>
      </c>
    </row>
    <row r="324" spans="3:4">
      <c r="C324">
        <v>1432</v>
      </c>
      <c r="D324">
        <v>11</v>
      </c>
    </row>
    <row r="325" spans="3:4">
      <c r="C325">
        <v>1434</v>
      </c>
      <c r="D325">
        <v>11</v>
      </c>
    </row>
    <row r="326" spans="3:4">
      <c r="C326">
        <v>1435</v>
      </c>
      <c r="D326">
        <v>11</v>
      </c>
    </row>
    <row r="327" spans="3:4">
      <c r="C327">
        <v>1437</v>
      </c>
      <c r="D327">
        <v>11</v>
      </c>
    </row>
    <row r="328" spans="3:4">
      <c r="C328">
        <v>1438</v>
      </c>
      <c r="D328">
        <v>11</v>
      </c>
    </row>
    <row r="329" spans="3:4">
      <c r="C329">
        <v>1439</v>
      </c>
      <c r="D329">
        <v>11</v>
      </c>
    </row>
    <row r="330" spans="3:4">
      <c r="C330">
        <v>1440</v>
      </c>
      <c r="D330">
        <v>11</v>
      </c>
    </row>
    <row r="331" spans="3:4">
      <c r="C331">
        <v>1441</v>
      </c>
      <c r="D331">
        <v>11</v>
      </c>
    </row>
    <row r="332" spans="3:4">
      <c r="C332">
        <v>1442</v>
      </c>
      <c r="D332">
        <v>11</v>
      </c>
    </row>
    <row r="333" spans="3:4">
      <c r="C333">
        <v>1443</v>
      </c>
      <c r="D333">
        <v>11</v>
      </c>
    </row>
    <row r="334" spans="3:4">
      <c r="C334">
        <v>1444</v>
      </c>
      <c r="D334">
        <v>11</v>
      </c>
    </row>
    <row r="335" spans="3:4">
      <c r="C335">
        <v>1445</v>
      </c>
      <c r="D335">
        <v>11</v>
      </c>
    </row>
    <row r="336" spans="3:4">
      <c r="C336">
        <v>1446</v>
      </c>
      <c r="D336">
        <v>11</v>
      </c>
    </row>
    <row r="337" spans="3:4">
      <c r="C337">
        <v>1447</v>
      </c>
      <c r="D337">
        <v>11</v>
      </c>
    </row>
    <row r="338" spans="3:4">
      <c r="C338">
        <v>1449</v>
      </c>
      <c r="D338">
        <v>11</v>
      </c>
    </row>
    <row r="339" spans="3:4">
      <c r="C339">
        <v>1450</v>
      </c>
      <c r="D339">
        <v>11</v>
      </c>
    </row>
    <row r="340" spans="3:4">
      <c r="C340">
        <v>1451</v>
      </c>
      <c r="D340">
        <v>11</v>
      </c>
    </row>
    <row r="341" spans="3:4">
      <c r="C341">
        <v>1452</v>
      </c>
      <c r="D341">
        <v>11</v>
      </c>
    </row>
    <row r="342" spans="3:4">
      <c r="C342">
        <v>1453</v>
      </c>
      <c r="D342">
        <v>11</v>
      </c>
    </row>
    <row r="343" spans="3:4">
      <c r="C343">
        <v>1454</v>
      </c>
      <c r="D343">
        <v>11</v>
      </c>
    </row>
    <row r="344" spans="3:4">
      <c r="C344">
        <v>1455</v>
      </c>
      <c r="D344">
        <v>11</v>
      </c>
    </row>
    <row r="345" spans="3:4">
      <c r="C345">
        <v>1456</v>
      </c>
      <c r="D345">
        <v>11</v>
      </c>
    </row>
    <row r="346" spans="3:4">
      <c r="C346">
        <v>1458</v>
      </c>
      <c r="D346">
        <v>11</v>
      </c>
    </row>
    <row r="347" spans="3:4">
      <c r="C347">
        <v>1460</v>
      </c>
      <c r="D347">
        <v>11</v>
      </c>
    </row>
    <row r="348" spans="3:4">
      <c r="C348">
        <v>1461</v>
      </c>
      <c r="D348">
        <v>11</v>
      </c>
    </row>
    <row r="349" spans="3:4">
      <c r="C349">
        <v>1462</v>
      </c>
      <c r="D349">
        <v>11</v>
      </c>
    </row>
    <row r="350" spans="3:4">
      <c r="C350">
        <v>1463</v>
      </c>
      <c r="D350">
        <v>11</v>
      </c>
    </row>
    <row r="351" spans="3:4">
      <c r="C351">
        <v>1464</v>
      </c>
      <c r="D351">
        <v>11</v>
      </c>
    </row>
    <row r="352" spans="3:4">
      <c r="C352">
        <v>1465</v>
      </c>
      <c r="D352">
        <v>11</v>
      </c>
    </row>
    <row r="353" spans="3:4">
      <c r="C353">
        <v>1470</v>
      </c>
      <c r="D353">
        <v>11</v>
      </c>
    </row>
    <row r="354" spans="3:4">
      <c r="C354">
        <v>1471</v>
      </c>
      <c r="D354">
        <v>11</v>
      </c>
    </row>
    <row r="355" spans="3:4">
      <c r="C355">
        <v>1475</v>
      </c>
      <c r="D355">
        <v>11</v>
      </c>
    </row>
    <row r="356" spans="3:4">
      <c r="C356">
        <v>1476</v>
      </c>
      <c r="D356">
        <v>11</v>
      </c>
    </row>
    <row r="357" spans="3:4">
      <c r="C357">
        <v>1477</v>
      </c>
      <c r="D357">
        <v>11</v>
      </c>
    </row>
    <row r="358" spans="3:4">
      <c r="C358">
        <v>1479</v>
      </c>
      <c r="D358">
        <v>11</v>
      </c>
    </row>
    <row r="359" spans="3:4">
      <c r="C359">
        <v>1480</v>
      </c>
      <c r="D359">
        <v>11</v>
      </c>
    </row>
    <row r="360" spans="3:4">
      <c r="C360">
        <v>1486</v>
      </c>
      <c r="D360">
        <v>11</v>
      </c>
    </row>
    <row r="361" spans="3:4">
      <c r="C361">
        <v>1487</v>
      </c>
      <c r="D361">
        <v>11</v>
      </c>
    </row>
    <row r="362" spans="3:4">
      <c r="C362">
        <v>1501</v>
      </c>
      <c r="D362">
        <v>11</v>
      </c>
    </row>
    <row r="363" spans="3:4">
      <c r="C363">
        <v>1502</v>
      </c>
      <c r="D363">
        <v>11</v>
      </c>
    </row>
    <row r="364" spans="3:4">
      <c r="C364">
        <v>1503</v>
      </c>
      <c r="D364">
        <v>11</v>
      </c>
    </row>
    <row r="365" spans="3:4">
      <c r="C365">
        <v>1505</v>
      </c>
      <c r="D365">
        <v>11</v>
      </c>
    </row>
    <row r="366" spans="3:4">
      <c r="C366">
        <v>1506</v>
      </c>
      <c r="D366">
        <v>11</v>
      </c>
    </row>
    <row r="367" spans="3:4">
      <c r="C367">
        <v>1507</v>
      </c>
      <c r="D367">
        <v>11</v>
      </c>
    </row>
    <row r="368" spans="3:4">
      <c r="C368">
        <v>1509</v>
      </c>
      <c r="D368">
        <v>11</v>
      </c>
    </row>
    <row r="369" spans="3:4">
      <c r="C369">
        <v>1510</v>
      </c>
      <c r="D369">
        <v>11</v>
      </c>
    </row>
    <row r="370" spans="3:4">
      <c r="C370">
        <v>1511</v>
      </c>
      <c r="D370">
        <v>11</v>
      </c>
    </row>
    <row r="371" spans="3:4">
      <c r="C371">
        <v>1512</v>
      </c>
      <c r="D371">
        <v>11</v>
      </c>
    </row>
    <row r="372" spans="3:4">
      <c r="C372">
        <v>1513</v>
      </c>
      <c r="D372">
        <v>11</v>
      </c>
    </row>
    <row r="373" spans="3:4">
      <c r="C373">
        <v>1516</v>
      </c>
      <c r="D373">
        <v>11</v>
      </c>
    </row>
    <row r="374" spans="3:4">
      <c r="C374">
        <v>1517</v>
      </c>
      <c r="D374">
        <v>11</v>
      </c>
    </row>
    <row r="375" spans="3:4">
      <c r="C375">
        <v>1518</v>
      </c>
      <c r="D375">
        <v>11</v>
      </c>
    </row>
    <row r="376" spans="3:4">
      <c r="C376">
        <v>1519</v>
      </c>
      <c r="D376">
        <v>11</v>
      </c>
    </row>
    <row r="377" spans="3:4">
      <c r="C377">
        <v>1520</v>
      </c>
      <c r="D377">
        <v>11</v>
      </c>
    </row>
    <row r="378" spans="3:4">
      <c r="C378">
        <v>1521</v>
      </c>
      <c r="D378">
        <v>11</v>
      </c>
    </row>
    <row r="379" spans="3:4">
      <c r="C379">
        <v>1522</v>
      </c>
      <c r="D379">
        <v>11</v>
      </c>
    </row>
    <row r="380" spans="3:4">
      <c r="C380">
        <v>1523</v>
      </c>
      <c r="D380">
        <v>11</v>
      </c>
    </row>
    <row r="381" spans="3:4">
      <c r="C381">
        <v>1525</v>
      </c>
      <c r="D381">
        <v>11</v>
      </c>
    </row>
    <row r="382" spans="3:4">
      <c r="C382">
        <v>1526</v>
      </c>
      <c r="D382">
        <v>11</v>
      </c>
    </row>
    <row r="383" spans="3:4">
      <c r="C383">
        <v>1528</v>
      </c>
      <c r="D383">
        <v>11</v>
      </c>
    </row>
    <row r="384" spans="3:4">
      <c r="C384">
        <v>1529</v>
      </c>
      <c r="D384">
        <v>11</v>
      </c>
    </row>
    <row r="385" spans="3:4">
      <c r="C385">
        <v>1530</v>
      </c>
      <c r="D385">
        <v>11</v>
      </c>
    </row>
    <row r="386" spans="3:4">
      <c r="C386">
        <v>1531</v>
      </c>
      <c r="D386">
        <v>11</v>
      </c>
    </row>
    <row r="387" spans="3:4">
      <c r="C387">
        <v>1535</v>
      </c>
      <c r="D387">
        <v>11</v>
      </c>
    </row>
    <row r="388" spans="3:4">
      <c r="C388">
        <v>1536</v>
      </c>
      <c r="D388">
        <v>11</v>
      </c>
    </row>
    <row r="389" spans="3:4">
      <c r="C389">
        <v>1537</v>
      </c>
      <c r="D389">
        <v>11</v>
      </c>
    </row>
    <row r="390" spans="3:4">
      <c r="C390">
        <v>1538</v>
      </c>
      <c r="D390">
        <v>11</v>
      </c>
    </row>
    <row r="391" spans="3:4">
      <c r="C391">
        <v>1539</v>
      </c>
      <c r="D391">
        <v>11</v>
      </c>
    </row>
    <row r="392" spans="3:4">
      <c r="C392">
        <v>1540</v>
      </c>
      <c r="D392">
        <v>11</v>
      </c>
    </row>
    <row r="393" spans="3:4">
      <c r="C393">
        <v>1541</v>
      </c>
      <c r="D393">
        <v>11</v>
      </c>
    </row>
    <row r="394" spans="3:4">
      <c r="C394">
        <v>1542</v>
      </c>
      <c r="D394">
        <v>11</v>
      </c>
    </row>
    <row r="395" spans="3:4">
      <c r="C395">
        <v>1543</v>
      </c>
      <c r="D395">
        <v>11</v>
      </c>
    </row>
    <row r="396" spans="3:4">
      <c r="C396">
        <v>1545</v>
      </c>
      <c r="D396">
        <v>11</v>
      </c>
    </row>
    <row r="397" spans="3:4">
      <c r="C397">
        <v>1546</v>
      </c>
      <c r="D397">
        <v>11</v>
      </c>
    </row>
    <row r="398" spans="3:4">
      <c r="C398">
        <v>1547</v>
      </c>
      <c r="D398">
        <v>11</v>
      </c>
    </row>
    <row r="399" spans="3:4">
      <c r="C399">
        <v>1550</v>
      </c>
      <c r="D399">
        <v>11</v>
      </c>
    </row>
    <row r="400" spans="3:4">
      <c r="C400">
        <v>1551</v>
      </c>
      <c r="D400">
        <v>11</v>
      </c>
    </row>
    <row r="401" spans="3:4">
      <c r="C401">
        <v>1552</v>
      </c>
      <c r="D401">
        <v>11</v>
      </c>
    </row>
    <row r="402" spans="3:4">
      <c r="C402">
        <v>1553</v>
      </c>
      <c r="D402">
        <v>11</v>
      </c>
    </row>
    <row r="403" spans="3:4">
      <c r="C403">
        <v>1554</v>
      </c>
      <c r="D403">
        <v>11</v>
      </c>
    </row>
    <row r="404" spans="3:4">
      <c r="C404">
        <v>1555</v>
      </c>
      <c r="D404">
        <v>11</v>
      </c>
    </row>
    <row r="405" spans="3:4">
      <c r="C405">
        <v>1556</v>
      </c>
      <c r="D405">
        <v>11</v>
      </c>
    </row>
    <row r="406" spans="3:4">
      <c r="C406">
        <v>1557</v>
      </c>
      <c r="D406">
        <v>11</v>
      </c>
    </row>
    <row r="407" spans="3:4">
      <c r="C407">
        <v>1558</v>
      </c>
      <c r="D407">
        <v>11</v>
      </c>
    </row>
    <row r="408" spans="3:4">
      <c r="C408">
        <v>1565</v>
      </c>
      <c r="D408">
        <v>11</v>
      </c>
    </row>
    <row r="409" spans="3:4">
      <c r="C409">
        <v>1566</v>
      </c>
      <c r="D409">
        <v>11</v>
      </c>
    </row>
    <row r="410" spans="3:4">
      <c r="C410">
        <v>1570</v>
      </c>
      <c r="D410">
        <v>11</v>
      </c>
    </row>
    <row r="411" spans="3:4">
      <c r="C411">
        <v>1573</v>
      </c>
      <c r="D411">
        <v>11</v>
      </c>
    </row>
    <row r="412" spans="3:4">
      <c r="C412">
        <v>1575</v>
      </c>
      <c r="D412">
        <v>11</v>
      </c>
    </row>
    <row r="413" spans="3:4">
      <c r="C413">
        <v>1576</v>
      </c>
      <c r="D413">
        <v>11</v>
      </c>
    </row>
    <row r="414" spans="3:4">
      <c r="C414">
        <v>1577</v>
      </c>
      <c r="D414">
        <v>11</v>
      </c>
    </row>
    <row r="415" spans="3:4">
      <c r="C415">
        <v>1580</v>
      </c>
      <c r="D415">
        <v>11</v>
      </c>
    </row>
    <row r="416" spans="3:4">
      <c r="C416">
        <v>1581</v>
      </c>
      <c r="D416">
        <v>11</v>
      </c>
    </row>
    <row r="417" spans="3:4">
      <c r="C417">
        <v>1582</v>
      </c>
      <c r="D417">
        <v>11</v>
      </c>
    </row>
    <row r="418" spans="3:4">
      <c r="C418">
        <v>1583</v>
      </c>
      <c r="D418">
        <v>11</v>
      </c>
    </row>
    <row r="419" spans="3:4">
      <c r="C419">
        <v>1590</v>
      </c>
      <c r="D419">
        <v>11</v>
      </c>
    </row>
    <row r="420" spans="3:4">
      <c r="C420">
        <v>1591</v>
      </c>
      <c r="D420">
        <v>11</v>
      </c>
    </row>
    <row r="421" spans="3:4">
      <c r="C421">
        <v>1592</v>
      </c>
      <c r="D421">
        <v>11</v>
      </c>
    </row>
    <row r="422" spans="3:4">
      <c r="C422">
        <v>1593</v>
      </c>
      <c r="D422">
        <v>11</v>
      </c>
    </row>
    <row r="423" spans="3:4">
      <c r="C423">
        <v>1601</v>
      </c>
      <c r="D423">
        <v>11</v>
      </c>
    </row>
    <row r="424" spans="3:4">
      <c r="C424">
        <v>1602</v>
      </c>
      <c r="D424">
        <v>11</v>
      </c>
    </row>
    <row r="425" spans="3:4">
      <c r="C425">
        <v>1603</v>
      </c>
      <c r="D425">
        <v>11</v>
      </c>
    </row>
    <row r="426" spans="3:4">
      <c r="C426">
        <v>1605</v>
      </c>
      <c r="D426">
        <v>11</v>
      </c>
    </row>
    <row r="427" spans="3:4">
      <c r="C427">
        <v>1609</v>
      </c>
      <c r="D427">
        <v>11</v>
      </c>
    </row>
    <row r="428" spans="3:4">
      <c r="C428">
        <v>1615</v>
      </c>
      <c r="D428">
        <v>11</v>
      </c>
    </row>
    <row r="429" spans="3:4">
      <c r="C429">
        <v>1616</v>
      </c>
      <c r="D429">
        <v>11</v>
      </c>
    </row>
    <row r="430" spans="3:4">
      <c r="C430">
        <v>1620</v>
      </c>
      <c r="D430">
        <v>11</v>
      </c>
    </row>
    <row r="431" spans="3:4">
      <c r="C431">
        <v>1625</v>
      </c>
      <c r="D431">
        <v>11</v>
      </c>
    </row>
    <row r="432" spans="3:4">
      <c r="C432">
        <v>1628</v>
      </c>
      <c r="D432">
        <v>11</v>
      </c>
    </row>
    <row r="433" spans="3:4">
      <c r="C433">
        <v>1629</v>
      </c>
      <c r="D433">
        <v>11</v>
      </c>
    </row>
    <row r="434" spans="3:4">
      <c r="C434">
        <v>1630</v>
      </c>
      <c r="D434">
        <v>11</v>
      </c>
    </row>
    <row r="435" spans="3:4">
      <c r="C435">
        <v>1631</v>
      </c>
      <c r="D435">
        <v>11</v>
      </c>
    </row>
    <row r="436" spans="3:4">
      <c r="C436">
        <v>1651</v>
      </c>
      <c r="D436">
        <v>11</v>
      </c>
    </row>
    <row r="437" spans="3:4">
      <c r="C437">
        <v>1654</v>
      </c>
      <c r="D437">
        <v>11</v>
      </c>
    </row>
    <row r="438" spans="3:4">
      <c r="C438">
        <v>1655</v>
      </c>
      <c r="D438">
        <v>11</v>
      </c>
    </row>
    <row r="439" spans="3:4">
      <c r="C439">
        <v>1656</v>
      </c>
      <c r="D439">
        <v>11</v>
      </c>
    </row>
    <row r="440" spans="3:4">
      <c r="C440">
        <v>1657</v>
      </c>
      <c r="D440">
        <v>11</v>
      </c>
    </row>
    <row r="441" spans="3:4">
      <c r="C441">
        <v>1659</v>
      </c>
      <c r="D441">
        <v>11</v>
      </c>
    </row>
    <row r="442" spans="3:4">
      <c r="C442">
        <v>1660</v>
      </c>
      <c r="D442">
        <v>11</v>
      </c>
    </row>
    <row r="443" spans="3:4">
      <c r="C443">
        <v>1665</v>
      </c>
      <c r="D443">
        <v>11</v>
      </c>
    </row>
    <row r="444" spans="3:4">
      <c r="C444">
        <v>1675</v>
      </c>
      <c r="D444">
        <v>11</v>
      </c>
    </row>
    <row r="445" spans="3:4">
      <c r="C445">
        <v>1676</v>
      </c>
      <c r="D445">
        <v>11</v>
      </c>
    </row>
    <row r="446" spans="3:4">
      <c r="C446">
        <v>1677</v>
      </c>
      <c r="D446">
        <v>11</v>
      </c>
    </row>
    <row r="447" spans="3:4">
      <c r="C447">
        <v>1678</v>
      </c>
      <c r="D447">
        <v>11</v>
      </c>
    </row>
    <row r="448" spans="3:4">
      <c r="C448">
        <v>1679</v>
      </c>
      <c r="D448">
        <v>11</v>
      </c>
    </row>
    <row r="449" spans="3:4">
      <c r="C449">
        <v>1680</v>
      </c>
      <c r="D449">
        <v>11</v>
      </c>
    </row>
    <row r="450" spans="3:4">
      <c r="C450">
        <v>1683</v>
      </c>
      <c r="D450">
        <v>11</v>
      </c>
    </row>
    <row r="451" spans="3:4">
      <c r="C451">
        <v>1685</v>
      </c>
      <c r="D451">
        <v>11</v>
      </c>
    </row>
    <row r="452" spans="3:4">
      <c r="C452">
        <v>1686</v>
      </c>
      <c r="D452">
        <v>11</v>
      </c>
    </row>
    <row r="453" spans="3:4">
      <c r="C453">
        <v>1701</v>
      </c>
      <c r="D453">
        <v>11</v>
      </c>
    </row>
    <row r="454" spans="3:4">
      <c r="C454">
        <v>1702</v>
      </c>
      <c r="D454">
        <v>11</v>
      </c>
    </row>
    <row r="455" spans="3:4">
      <c r="C455">
        <v>1703</v>
      </c>
      <c r="D455">
        <v>11</v>
      </c>
    </row>
    <row r="456" spans="3:4">
      <c r="C456">
        <v>1704</v>
      </c>
      <c r="D456">
        <v>11</v>
      </c>
    </row>
    <row r="457" spans="3:4">
      <c r="C457">
        <v>1705</v>
      </c>
      <c r="D457">
        <v>11</v>
      </c>
    </row>
    <row r="458" spans="3:4">
      <c r="C458">
        <v>1725</v>
      </c>
      <c r="D458">
        <v>11</v>
      </c>
    </row>
    <row r="459" spans="3:4">
      <c r="C459">
        <v>1726</v>
      </c>
      <c r="D459">
        <v>11</v>
      </c>
    </row>
    <row r="460" spans="3:4">
      <c r="C460">
        <v>1727</v>
      </c>
      <c r="D460">
        <v>11</v>
      </c>
    </row>
    <row r="461" spans="3:4">
      <c r="C461">
        <v>1734</v>
      </c>
      <c r="D461">
        <v>11</v>
      </c>
    </row>
    <row r="462" spans="3:4">
      <c r="C462">
        <v>1751</v>
      </c>
      <c r="D462">
        <v>11</v>
      </c>
    </row>
    <row r="463" spans="3:4">
      <c r="C463">
        <v>1752</v>
      </c>
      <c r="D463">
        <v>11</v>
      </c>
    </row>
    <row r="464" spans="3:4">
      <c r="C464">
        <v>1753</v>
      </c>
      <c r="D464">
        <v>11</v>
      </c>
    </row>
    <row r="465" spans="3:4">
      <c r="C465">
        <v>1754</v>
      </c>
      <c r="D465">
        <v>11</v>
      </c>
    </row>
    <row r="466" spans="3:4">
      <c r="C466">
        <v>1755</v>
      </c>
      <c r="D466">
        <v>11</v>
      </c>
    </row>
    <row r="467" spans="3:4">
      <c r="C467">
        <v>1756</v>
      </c>
      <c r="D467">
        <v>11</v>
      </c>
    </row>
    <row r="468" spans="3:4">
      <c r="C468">
        <v>1774</v>
      </c>
      <c r="D468">
        <v>11</v>
      </c>
    </row>
    <row r="469" spans="3:4">
      <c r="C469">
        <v>1775</v>
      </c>
      <c r="D469">
        <v>11</v>
      </c>
    </row>
    <row r="470" spans="3:4">
      <c r="C470">
        <v>1776</v>
      </c>
      <c r="D470">
        <v>11</v>
      </c>
    </row>
    <row r="471" spans="3:4">
      <c r="C471">
        <v>1777</v>
      </c>
      <c r="D471">
        <v>11</v>
      </c>
    </row>
    <row r="472" spans="3:4">
      <c r="C472">
        <v>1780</v>
      </c>
      <c r="D472">
        <v>11</v>
      </c>
    </row>
    <row r="473" spans="3:4">
      <c r="C473">
        <v>1781</v>
      </c>
      <c r="D473">
        <v>11</v>
      </c>
    </row>
    <row r="474" spans="3:4">
      <c r="C474">
        <v>1800</v>
      </c>
      <c r="D474">
        <v>11</v>
      </c>
    </row>
    <row r="475" spans="3:4">
      <c r="C475">
        <v>1801</v>
      </c>
      <c r="D475">
        <v>11</v>
      </c>
    </row>
    <row r="476" spans="3:4">
      <c r="C476">
        <v>1802</v>
      </c>
      <c r="D476">
        <v>11</v>
      </c>
    </row>
    <row r="477" spans="3:4">
      <c r="C477">
        <v>1803</v>
      </c>
      <c r="D477">
        <v>11</v>
      </c>
    </row>
    <row r="478" spans="3:4">
      <c r="C478">
        <v>1804</v>
      </c>
      <c r="D478">
        <v>11</v>
      </c>
    </row>
    <row r="479" spans="3:4">
      <c r="C479">
        <v>1805</v>
      </c>
      <c r="D479">
        <v>11</v>
      </c>
    </row>
    <row r="480" spans="3:4">
      <c r="C480">
        <v>1806</v>
      </c>
      <c r="D480">
        <v>11</v>
      </c>
    </row>
    <row r="481" spans="3:4">
      <c r="C481">
        <v>1807</v>
      </c>
      <c r="D481">
        <v>11</v>
      </c>
    </row>
    <row r="482" spans="3:4">
      <c r="C482">
        <v>1808</v>
      </c>
      <c r="D482">
        <v>11</v>
      </c>
    </row>
    <row r="483" spans="3:4">
      <c r="C483">
        <v>1809</v>
      </c>
      <c r="D483">
        <v>11</v>
      </c>
    </row>
    <row r="484" spans="3:4">
      <c r="C484">
        <v>1810</v>
      </c>
      <c r="D484">
        <v>11</v>
      </c>
    </row>
    <row r="485" spans="3:4">
      <c r="C485">
        <v>1811</v>
      </c>
      <c r="D485">
        <v>11</v>
      </c>
    </row>
    <row r="486" spans="3:4">
      <c r="C486">
        <v>1812</v>
      </c>
      <c r="D486">
        <v>11</v>
      </c>
    </row>
    <row r="487" spans="3:4">
      <c r="C487">
        <v>1813</v>
      </c>
      <c r="D487">
        <v>11</v>
      </c>
    </row>
    <row r="488" spans="3:4">
      <c r="C488">
        <v>1814</v>
      </c>
      <c r="D488">
        <v>11</v>
      </c>
    </row>
    <row r="489" spans="3:4">
      <c r="C489">
        <v>1815</v>
      </c>
      <c r="D489">
        <v>11</v>
      </c>
    </row>
    <row r="490" spans="3:4">
      <c r="C490">
        <v>1816</v>
      </c>
      <c r="D490">
        <v>11</v>
      </c>
    </row>
    <row r="491" spans="3:4">
      <c r="C491">
        <v>1817</v>
      </c>
      <c r="D491">
        <v>11</v>
      </c>
    </row>
    <row r="492" spans="3:4">
      <c r="C492">
        <v>1818</v>
      </c>
      <c r="D492">
        <v>11</v>
      </c>
    </row>
    <row r="493" spans="3:4">
      <c r="C493">
        <v>1819</v>
      </c>
      <c r="D493">
        <v>11</v>
      </c>
    </row>
    <row r="494" spans="3:4">
      <c r="C494">
        <v>1820</v>
      </c>
      <c r="D494">
        <v>11</v>
      </c>
    </row>
    <row r="495" spans="3:4">
      <c r="C495">
        <v>1821</v>
      </c>
      <c r="D495">
        <v>11</v>
      </c>
    </row>
    <row r="496" spans="3:4">
      <c r="C496">
        <v>1822</v>
      </c>
      <c r="D496">
        <v>11</v>
      </c>
    </row>
    <row r="497" spans="3:4">
      <c r="C497">
        <v>1823</v>
      </c>
      <c r="D497">
        <v>11</v>
      </c>
    </row>
    <row r="498" spans="3:4">
      <c r="C498">
        <v>1824</v>
      </c>
      <c r="D498">
        <v>11</v>
      </c>
    </row>
    <row r="499" spans="3:4">
      <c r="C499">
        <v>1825</v>
      </c>
      <c r="D499">
        <v>11</v>
      </c>
    </row>
    <row r="500" spans="3:4">
      <c r="C500">
        <v>1826</v>
      </c>
      <c r="D500">
        <v>11</v>
      </c>
    </row>
    <row r="501" spans="3:4">
      <c r="C501">
        <v>1827</v>
      </c>
      <c r="D501">
        <v>11</v>
      </c>
    </row>
    <row r="502" spans="3:4">
      <c r="C502">
        <v>1828</v>
      </c>
      <c r="D502">
        <v>11</v>
      </c>
    </row>
    <row r="503" spans="3:4">
      <c r="C503">
        <v>1829</v>
      </c>
      <c r="D503">
        <v>11</v>
      </c>
    </row>
    <row r="504" spans="3:4">
      <c r="C504">
        <v>1830</v>
      </c>
      <c r="D504">
        <v>11</v>
      </c>
    </row>
    <row r="505" spans="3:4">
      <c r="C505">
        <v>1831</v>
      </c>
      <c r="D505">
        <v>11</v>
      </c>
    </row>
    <row r="506" spans="3:4">
      <c r="C506">
        <v>1832</v>
      </c>
      <c r="D506">
        <v>11</v>
      </c>
    </row>
    <row r="507" spans="3:4">
      <c r="C507">
        <v>1833</v>
      </c>
      <c r="D507">
        <v>11</v>
      </c>
    </row>
    <row r="508" spans="3:4">
      <c r="C508">
        <v>1834</v>
      </c>
      <c r="D508">
        <v>11</v>
      </c>
    </row>
    <row r="509" spans="3:4">
      <c r="C509">
        <v>1835</v>
      </c>
      <c r="D509">
        <v>11</v>
      </c>
    </row>
    <row r="510" spans="3:4">
      <c r="C510">
        <v>1836</v>
      </c>
      <c r="D510">
        <v>11</v>
      </c>
    </row>
    <row r="511" spans="3:4">
      <c r="C511">
        <v>1837</v>
      </c>
      <c r="D511">
        <v>11</v>
      </c>
    </row>
    <row r="512" spans="3:4">
      <c r="C512">
        <v>1838</v>
      </c>
      <c r="D512">
        <v>11</v>
      </c>
    </row>
    <row r="513" spans="3:4">
      <c r="C513">
        <v>1839</v>
      </c>
      <c r="D513">
        <v>11</v>
      </c>
    </row>
    <row r="514" spans="3:4">
      <c r="C514">
        <v>1840</v>
      </c>
      <c r="D514">
        <v>11</v>
      </c>
    </row>
    <row r="515" spans="3:4">
      <c r="C515">
        <v>1841</v>
      </c>
      <c r="D515">
        <v>11</v>
      </c>
    </row>
    <row r="516" spans="3:4">
      <c r="C516">
        <v>1842</v>
      </c>
      <c r="D516">
        <v>11</v>
      </c>
    </row>
    <row r="517" spans="3:4">
      <c r="C517">
        <v>1843</v>
      </c>
      <c r="D517">
        <v>11</v>
      </c>
    </row>
    <row r="518" spans="3:4">
      <c r="C518">
        <v>1844</v>
      </c>
      <c r="D518">
        <v>11</v>
      </c>
    </row>
    <row r="519" spans="3:4">
      <c r="C519">
        <v>1845</v>
      </c>
      <c r="D519">
        <v>11</v>
      </c>
    </row>
    <row r="520" spans="3:4">
      <c r="C520">
        <v>1846</v>
      </c>
      <c r="D520">
        <v>11</v>
      </c>
    </row>
    <row r="521" spans="3:4">
      <c r="C521">
        <v>1847</v>
      </c>
      <c r="D521">
        <v>11</v>
      </c>
    </row>
    <row r="522" spans="3:4">
      <c r="C522">
        <v>1848</v>
      </c>
      <c r="D522">
        <v>11</v>
      </c>
    </row>
    <row r="523" spans="3:4">
      <c r="C523">
        <v>1849</v>
      </c>
      <c r="D523">
        <v>11</v>
      </c>
    </row>
    <row r="524" spans="3:4">
      <c r="C524">
        <v>1850</v>
      </c>
      <c r="D524">
        <v>11</v>
      </c>
    </row>
    <row r="525" spans="3:4">
      <c r="C525">
        <v>1851</v>
      </c>
      <c r="D525">
        <v>11</v>
      </c>
    </row>
    <row r="526" spans="3:4">
      <c r="C526">
        <v>1852</v>
      </c>
      <c r="D526">
        <v>11</v>
      </c>
    </row>
    <row r="527" spans="3:4">
      <c r="C527">
        <v>1853</v>
      </c>
      <c r="D527">
        <v>11</v>
      </c>
    </row>
    <row r="528" spans="3:4">
      <c r="C528">
        <v>1854</v>
      </c>
      <c r="D528">
        <v>11</v>
      </c>
    </row>
    <row r="529" spans="3:4">
      <c r="C529">
        <v>1855</v>
      </c>
      <c r="D529">
        <v>11</v>
      </c>
    </row>
    <row r="530" spans="3:4">
      <c r="C530">
        <v>1856</v>
      </c>
      <c r="D530">
        <v>11</v>
      </c>
    </row>
    <row r="531" spans="3:4">
      <c r="C531">
        <v>1857</v>
      </c>
      <c r="D531">
        <v>11</v>
      </c>
    </row>
    <row r="532" spans="3:4">
      <c r="C532">
        <v>1858</v>
      </c>
      <c r="D532">
        <v>11</v>
      </c>
    </row>
    <row r="533" spans="3:4">
      <c r="C533">
        <v>1859</v>
      </c>
      <c r="D533">
        <v>11</v>
      </c>
    </row>
    <row r="534" spans="3:4">
      <c r="C534">
        <v>1860</v>
      </c>
      <c r="D534">
        <v>11</v>
      </c>
    </row>
    <row r="535" spans="3:4">
      <c r="C535">
        <v>1861</v>
      </c>
      <c r="D535">
        <v>11</v>
      </c>
    </row>
    <row r="536" spans="3:4">
      <c r="C536">
        <v>1862</v>
      </c>
      <c r="D536">
        <v>11</v>
      </c>
    </row>
    <row r="537" spans="3:4">
      <c r="C537">
        <v>1863</v>
      </c>
      <c r="D537">
        <v>11</v>
      </c>
    </row>
    <row r="538" spans="3:4">
      <c r="C538">
        <v>1864</v>
      </c>
      <c r="D538">
        <v>11</v>
      </c>
    </row>
    <row r="539" spans="3:4">
      <c r="C539">
        <v>1865</v>
      </c>
      <c r="D539">
        <v>11</v>
      </c>
    </row>
    <row r="540" spans="3:4">
      <c r="C540">
        <v>1866</v>
      </c>
      <c r="D540">
        <v>11</v>
      </c>
    </row>
    <row r="541" spans="3:4">
      <c r="C541">
        <v>1867</v>
      </c>
      <c r="D541">
        <v>11</v>
      </c>
    </row>
    <row r="542" spans="3:4">
      <c r="C542">
        <v>1868</v>
      </c>
      <c r="D542">
        <v>11</v>
      </c>
    </row>
    <row r="543" spans="3:4">
      <c r="C543">
        <v>1869</v>
      </c>
      <c r="D543">
        <v>11</v>
      </c>
    </row>
    <row r="544" spans="3:4">
      <c r="C544">
        <v>1870</v>
      </c>
      <c r="D544">
        <v>11</v>
      </c>
    </row>
    <row r="545" spans="3:4">
      <c r="C545">
        <v>1871</v>
      </c>
      <c r="D545">
        <v>11</v>
      </c>
    </row>
    <row r="546" spans="3:4">
      <c r="C546">
        <v>1872</v>
      </c>
      <c r="D546">
        <v>11</v>
      </c>
    </row>
    <row r="547" spans="3:4">
      <c r="C547">
        <v>1873</v>
      </c>
      <c r="D547">
        <v>11</v>
      </c>
    </row>
    <row r="548" spans="3:4">
      <c r="C548">
        <v>1874</v>
      </c>
      <c r="D548">
        <v>11</v>
      </c>
    </row>
    <row r="549" spans="3:4">
      <c r="C549">
        <v>1875</v>
      </c>
      <c r="D549">
        <v>11</v>
      </c>
    </row>
    <row r="550" spans="3:4">
      <c r="C550">
        <v>1876</v>
      </c>
      <c r="D550">
        <v>11</v>
      </c>
    </row>
    <row r="551" spans="3:4">
      <c r="C551">
        <v>1877</v>
      </c>
      <c r="D551">
        <v>11</v>
      </c>
    </row>
    <row r="552" spans="3:4">
      <c r="C552">
        <v>1878</v>
      </c>
      <c r="D552">
        <v>11</v>
      </c>
    </row>
    <row r="553" spans="3:4">
      <c r="C553">
        <v>1879</v>
      </c>
      <c r="D553">
        <v>11</v>
      </c>
    </row>
    <row r="554" spans="3:4">
      <c r="C554">
        <v>1880</v>
      </c>
      <c r="D554">
        <v>11</v>
      </c>
    </row>
    <row r="555" spans="3:4">
      <c r="C555">
        <v>1881</v>
      </c>
      <c r="D555">
        <v>11</v>
      </c>
    </row>
    <row r="556" spans="3:4">
      <c r="C556">
        <v>1882</v>
      </c>
      <c r="D556">
        <v>11</v>
      </c>
    </row>
    <row r="557" spans="3:4">
      <c r="C557">
        <v>1883</v>
      </c>
      <c r="D557">
        <v>11</v>
      </c>
    </row>
    <row r="558" spans="3:4">
      <c r="C558">
        <v>1884</v>
      </c>
      <c r="D558">
        <v>11</v>
      </c>
    </row>
    <row r="559" spans="3:4">
      <c r="C559">
        <v>1885</v>
      </c>
      <c r="D559">
        <v>11</v>
      </c>
    </row>
    <row r="560" spans="3:4">
      <c r="C560">
        <v>1886</v>
      </c>
      <c r="D560">
        <v>11</v>
      </c>
    </row>
    <row r="561" spans="3:4">
      <c r="C561">
        <v>1887</v>
      </c>
      <c r="D561">
        <v>11</v>
      </c>
    </row>
    <row r="562" spans="3:4">
      <c r="C562">
        <v>1888</v>
      </c>
      <c r="D562">
        <v>11</v>
      </c>
    </row>
    <row r="563" spans="3:4">
      <c r="C563">
        <v>1889</v>
      </c>
      <c r="D563">
        <v>11</v>
      </c>
    </row>
    <row r="564" spans="3:4">
      <c r="C564">
        <v>1890</v>
      </c>
      <c r="D564">
        <v>11</v>
      </c>
    </row>
    <row r="565" spans="3:4">
      <c r="C565">
        <v>1891</v>
      </c>
      <c r="D565">
        <v>11</v>
      </c>
    </row>
    <row r="566" spans="3:4">
      <c r="C566">
        <v>1892</v>
      </c>
      <c r="D566">
        <v>11</v>
      </c>
    </row>
    <row r="567" spans="3:4">
      <c r="C567">
        <v>1893</v>
      </c>
      <c r="D567">
        <v>11</v>
      </c>
    </row>
    <row r="568" spans="3:4">
      <c r="C568">
        <v>1894</v>
      </c>
      <c r="D568">
        <v>11</v>
      </c>
    </row>
    <row r="569" spans="3:4">
      <c r="C569">
        <v>1895</v>
      </c>
      <c r="D569">
        <v>11</v>
      </c>
    </row>
    <row r="570" spans="3:4">
      <c r="C570">
        <v>1896</v>
      </c>
      <c r="D570">
        <v>11</v>
      </c>
    </row>
    <row r="571" spans="3:4">
      <c r="C571">
        <v>1897</v>
      </c>
      <c r="D571">
        <v>11</v>
      </c>
    </row>
    <row r="572" spans="3:4">
      <c r="C572">
        <v>1898</v>
      </c>
      <c r="D572">
        <v>11</v>
      </c>
    </row>
    <row r="573" spans="3:4">
      <c r="C573">
        <v>1899</v>
      </c>
      <c r="D573">
        <v>11</v>
      </c>
    </row>
    <row r="574" spans="3:4">
      <c r="C574">
        <v>1900</v>
      </c>
      <c r="D574">
        <v>11</v>
      </c>
    </row>
    <row r="575" spans="3:4">
      <c r="C575">
        <v>1901</v>
      </c>
      <c r="D575">
        <v>11</v>
      </c>
    </row>
    <row r="576" spans="3:4">
      <c r="C576">
        <v>1902</v>
      </c>
      <c r="D576">
        <v>11</v>
      </c>
    </row>
    <row r="577" spans="3:4">
      <c r="C577">
        <v>1903</v>
      </c>
      <c r="D577">
        <v>11</v>
      </c>
    </row>
    <row r="578" spans="3:4">
      <c r="C578">
        <v>1904</v>
      </c>
      <c r="D578">
        <v>11</v>
      </c>
    </row>
    <row r="579" spans="3:4">
      <c r="C579">
        <v>1905</v>
      </c>
      <c r="D579">
        <v>11</v>
      </c>
    </row>
    <row r="580" spans="3:4">
      <c r="C580">
        <v>1906</v>
      </c>
      <c r="D580">
        <v>11</v>
      </c>
    </row>
    <row r="581" spans="3:4">
      <c r="C581">
        <v>1907</v>
      </c>
      <c r="D581">
        <v>11</v>
      </c>
    </row>
    <row r="582" spans="3:4">
      <c r="C582">
        <v>1908</v>
      </c>
      <c r="D582">
        <v>11</v>
      </c>
    </row>
    <row r="583" spans="3:4">
      <c r="C583">
        <v>1909</v>
      </c>
      <c r="D583">
        <v>11</v>
      </c>
    </row>
    <row r="584" spans="3:4">
      <c r="C584">
        <v>1910</v>
      </c>
      <c r="D584">
        <v>11</v>
      </c>
    </row>
    <row r="585" spans="3:4">
      <c r="C585">
        <v>1911</v>
      </c>
      <c r="D585">
        <v>11</v>
      </c>
    </row>
    <row r="586" spans="3:4">
      <c r="C586">
        <v>1912</v>
      </c>
      <c r="D586">
        <v>11</v>
      </c>
    </row>
    <row r="587" spans="3:4">
      <c r="C587">
        <v>1913</v>
      </c>
      <c r="D587">
        <v>11</v>
      </c>
    </row>
    <row r="588" spans="3:4">
      <c r="C588">
        <v>1914</v>
      </c>
      <c r="D588">
        <v>11</v>
      </c>
    </row>
    <row r="589" spans="3:4">
      <c r="C589">
        <v>1915</v>
      </c>
      <c r="D589">
        <v>11</v>
      </c>
    </row>
    <row r="590" spans="3:4">
      <c r="C590">
        <v>1916</v>
      </c>
      <c r="D590">
        <v>11</v>
      </c>
    </row>
    <row r="591" spans="3:4">
      <c r="C591">
        <v>1917</v>
      </c>
      <c r="D591">
        <v>11</v>
      </c>
    </row>
    <row r="592" spans="3:4">
      <c r="C592">
        <v>1918</v>
      </c>
      <c r="D592">
        <v>11</v>
      </c>
    </row>
    <row r="593" spans="3:4">
      <c r="C593">
        <v>1919</v>
      </c>
      <c r="D593">
        <v>11</v>
      </c>
    </row>
    <row r="594" spans="3:4">
      <c r="C594">
        <v>1920</v>
      </c>
      <c r="D594">
        <v>11</v>
      </c>
    </row>
    <row r="595" spans="3:4">
      <c r="C595">
        <v>1921</v>
      </c>
      <c r="D595">
        <v>11</v>
      </c>
    </row>
    <row r="596" spans="3:4">
      <c r="C596">
        <v>1922</v>
      </c>
      <c r="D596">
        <v>11</v>
      </c>
    </row>
    <row r="597" spans="3:4">
      <c r="C597">
        <v>1923</v>
      </c>
      <c r="D597">
        <v>11</v>
      </c>
    </row>
    <row r="598" spans="3:4">
      <c r="C598">
        <v>1924</v>
      </c>
      <c r="D598">
        <v>11</v>
      </c>
    </row>
    <row r="599" spans="3:4">
      <c r="C599">
        <v>1925</v>
      </c>
      <c r="D599">
        <v>11</v>
      </c>
    </row>
    <row r="600" spans="3:4">
      <c r="C600">
        <v>1926</v>
      </c>
      <c r="D600">
        <v>11</v>
      </c>
    </row>
    <row r="601" spans="3:4">
      <c r="C601">
        <v>1927</v>
      </c>
      <c r="D601">
        <v>11</v>
      </c>
    </row>
    <row r="602" spans="3:4">
      <c r="C602">
        <v>1928</v>
      </c>
      <c r="D602">
        <v>11</v>
      </c>
    </row>
    <row r="603" spans="3:4">
      <c r="C603">
        <v>1929</v>
      </c>
      <c r="D603">
        <v>11</v>
      </c>
    </row>
    <row r="604" spans="3:4">
      <c r="C604">
        <v>1930</v>
      </c>
      <c r="D604">
        <v>11</v>
      </c>
    </row>
    <row r="605" spans="3:4">
      <c r="C605">
        <v>1931</v>
      </c>
      <c r="D605">
        <v>11</v>
      </c>
    </row>
    <row r="606" spans="3:4">
      <c r="C606">
        <v>1932</v>
      </c>
      <c r="D606">
        <v>11</v>
      </c>
    </row>
    <row r="607" spans="3:4">
      <c r="C607">
        <v>1933</v>
      </c>
      <c r="D607">
        <v>11</v>
      </c>
    </row>
    <row r="608" spans="3:4">
      <c r="C608">
        <v>1934</v>
      </c>
      <c r="D608">
        <v>11</v>
      </c>
    </row>
    <row r="609" spans="3:4">
      <c r="C609">
        <v>1935</v>
      </c>
      <c r="D609">
        <v>11</v>
      </c>
    </row>
    <row r="610" spans="3:4">
      <c r="C610">
        <v>1936</v>
      </c>
      <c r="D610">
        <v>11</v>
      </c>
    </row>
    <row r="611" spans="3:4">
      <c r="C611">
        <v>1937</v>
      </c>
      <c r="D611">
        <v>11</v>
      </c>
    </row>
    <row r="612" spans="3:4">
      <c r="C612">
        <v>1938</v>
      </c>
      <c r="D612">
        <v>11</v>
      </c>
    </row>
    <row r="613" spans="3:4">
      <c r="C613">
        <v>1939</v>
      </c>
      <c r="D613">
        <v>11</v>
      </c>
    </row>
    <row r="614" spans="3:4">
      <c r="C614">
        <v>1940</v>
      </c>
      <c r="D614">
        <v>11</v>
      </c>
    </row>
    <row r="615" spans="3:4">
      <c r="C615">
        <v>1941</v>
      </c>
      <c r="D615">
        <v>11</v>
      </c>
    </row>
    <row r="616" spans="3:4">
      <c r="C616">
        <v>1942</v>
      </c>
      <c r="D616">
        <v>11</v>
      </c>
    </row>
    <row r="617" spans="3:4">
      <c r="C617">
        <v>1943</v>
      </c>
      <c r="D617">
        <v>11</v>
      </c>
    </row>
    <row r="618" spans="3:4">
      <c r="C618">
        <v>1944</v>
      </c>
      <c r="D618">
        <v>11</v>
      </c>
    </row>
    <row r="619" spans="3:4">
      <c r="C619">
        <v>1945</v>
      </c>
      <c r="D619">
        <v>11</v>
      </c>
    </row>
    <row r="620" spans="3:4">
      <c r="C620">
        <v>1946</v>
      </c>
      <c r="D620">
        <v>11</v>
      </c>
    </row>
    <row r="621" spans="3:4">
      <c r="C621">
        <v>1947</v>
      </c>
      <c r="D621">
        <v>11</v>
      </c>
    </row>
    <row r="622" spans="3:4">
      <c r="C622">
        <v>1948</v>
      </c>
      <c r="D622">
        <v>11</v>
      </c>
    </row>
    <row r="623" spans="3:4">
      <c r="C623">
        <v>1949</v>
      </c>
      <c r="D623">
        <v>11</v>
      </c>
    </row>
    <row r="624" spans="3:4">
      <c r="C624">
        <v>1950</v>
      </c>
      <c r="D624">
        <v>11</v>
      </c>
    </row>
    <row r="625" spans="3:4">
      <c r="C625">
        <v>1951</v>
      </c>
      <c r="D625">
        <v>11</v>
      </c>
    </row>
    <row r="626" spans="3:4">
      <c r="C626">
        <v>1952</v>
      </c>
      <c r="D626">
        <v>11</v>
      </c>
    </row>
    <row r="627" spans="3:4">
      <c r="C627">
        <v>1953</v>
      </c>
      <c r="D627">
        <v>11</v>
      </c>
    </row>
    <row r="628" spans="3:4">
      <c r="C628">
        <v>1954</v>
      </c>
      <c r="D628">
        <v>11</v>
      </c>
    </row>
    <row r="629" spans="3:4">
      <c r="C629">
        <v>1955</v>
      </c>
      <c r="D629">
        <v>11</v>
      </c>
    </row>
    <row r="630" spans="3:4">
      <c r="C630">
        <v>1956</v>
      </c>
      <c r="D630">
        <v>11</v>
      </c>
    </row>
    <row r="631" spans="3:4">
      <c r="C631">
        <v>1957</v>
      </c>
      <c r="D631">
        <v>11</v>
      </c>
    </row>
    <row r="632" spans="3:4">
      <c r="C632">
        <v>1958</v>
      </c>
      <c r="D632">
        <v>11</v>
      </c>
    </row>
    <row r="633" spans="3:4">
      <c r="C633">
        <v>1959</v>
      </c>
      <c r="D633">
        <v>11</v>
      </c>
    </row>
    <row r="634" spans="3:4">
      <c r="C634">
        <v>1960</v>
      </c>
      <c r="D634">
        <v>11</v>
      </c>
    </row>
    <row r="635" spans="3:4">
      <c r="C635">
        <v>1961</v>
      </c>
      <c r="D635">
        <v>11</v>
      </c>
    </row>
    <row r="636" spans="3:4">
      <c r="C636">
        <v>1962</v>
      </c>
      <c r="D636">
        <v>11</v>
      </c>
    </row>
    <row r="637" spans="3:4">
      <c r="C637">
        <v>1963</v>
      </c>
      <c r="D637">
        <v>11</v>
      </c>
    </row>
    <row r="638" spans="3:4">
      <c r="C638">
        <v>1964</v>
      </c>
      <c r="D638">
        <v>11</v>
      </c>
    </row>
    <row r="639" spans="3:4">
      <c r="C639">
        <v>1965</v>
      </c>
      <c r="D639">
        <v>11</v>
      </c>
    </row>
    <row r="640" spans="3:4">
      <c r="C640">
        <v>1966</v>
      </c>
      <c r="D640">
        <v>11</v>
      </c>
    </row>
    <row r="641" spans="3:4">
      <c r="C641">
        <v>1967</v>
      </c>
      <c r="D641">
        <v>11</v>
      </c>
    </row>
    <row r="642" spans="3:4">
      <c r="C642">
        <v>1968</v>
      </c>
      <c r="D642">
        <v>11</v>
      </c>
    </row>
    <row r="643" spans="3:4">
      <c r="C643">
        <v>1969</v>
      </c>
      <c r="D643">
        <v>11</v>
      </c>
    </row>
    <row r="644" spans="3:4">
      <c r="C644">
        <v>1970</v>
      </c>
      <c r="D644">
        <v>11</v>
      </c>
    </row>
    <row r="645" spans="3:4">
      <c r="C645">
        <v>1971</v>
      </c>
      <c r="D645">
        <v>11</v>
      </c>
    </row>
    <row r="646" spans="3:4">
      <c r="C646">
        <v>1972</v>
      </c>
      <c r="D646">
        <v>11</v>
      </c>
    </row>
    <row r="647" spans="3:4">
      <c r="C647">
        <v>1973</v>
      </c>
      <c r="D647">
        <v>11</v>
      </c>
    </row>
    <row r="648" spans="3:4">
      <c r="C648">
        <v>1974</v>
      </c>
      <c r="D648">
        <v>11</v>
      </c>
    </row>
    <row r="649" spans="3:4">
      <c r="C649">
        <v>1975</v>
      </c>
      <c r="D649">
        <v>11</v>
      </c>
    </row>
    <row r="650" spans="3:4">
      <c r="C650">
        <v>1976</v>
      </c>
      <c r="D650">
        <v>11</v>
      </c>
    </row>
    <row r="651" spans="3:4">
      <c r="C651">
        <v>1977</v>
      </c>
      <c r="D651">
        <v>11</v>
      </c>
    </row>
    <row r="652" spans="3:4">
      <c r="C652">
        <v>1978</v>
      </c>
      <c r="D652">
        <v>11</v>
      </c>
    </row>
    <row r="653" spans="3:4">
      <c r="C653">
        <v>1979</v>
      </c>
      <c r="D653">
        <v>11</v>
      </c>
    </row>
    <row r="654" spans="3:4">
      <c r="C654">
        <v>1980</v>
      </c>
      <c r="D654">
        <v>11</v>
      </c>
    </row>
    <row r="655" spans="3:4">
      <c r="C655">
        <v>1981</v>
      </c>
      <c r="D655">
        <v>11</v>
      </c>
    </row>
    <row r="656" spans="3:4">
      <c r="C656">
        <v>1982</v>
      </c>
      <c r="D656">
        <v>11</v>
      </c>
    </row>
    <row r="657" spans="3:4">
      <c r="C657">
        <v>1983</v>
      </c>
      <c r="D657">
        <v>11</v>
      </c>
    </row>
    <row r="658" spans="3:4">
      <c r="C658">
        <v>1984</v>
      </c>
      <c r="D658">
        <v>11</v>
      </c>
    </row>
    <row r="659" spans="3:4">
      <c r="C659">
        <v>1985</v>
      </c>
      <c r="D659">
        <v>11</v>
      </c>
    </row>
    <row r="660" spans="3:4">
      <c r="C660">
        <v>1986</v>
      </c>
      <c r="D660">
        <v>11</v>
      </c>
    </row>
    <row r="661" spans="3:4">
      <c r="C661">
        <v>1987</v>
      </c>
      <c r="D661">
        <v>11</v>
      </c>
    </row>
    <row r="662" spans="3:4">
      <c r="C662">
        <v>1988</v>
      </c>
      <c r="D662">
        <v>11</v>
      </c>
    </row>
    <row r="663" spans="3:4">
      <c r="C663">
        <v>1989</v>
      </c>
      <c r="D663">
        <v>11</v>
      </c>
    </row>
    <row r="664" spans="3:4">
      <c r="C664">
        <v>1990</v>
      </c>
      <c r="D664">
        <v>11</v>
      </c>
    </row>
    <row r="665" spans="3:4">
      <c r="C665">
        <v>1991</v>
      </c>
      <c r="D665">
        <v>11</v>
      </c>
    </row>
    <row r="666" spans="3:4">
      <c r="C666">
        <v>1992</v>
      </c>
      <c r="D666">
        <v>11</v>
      </c>
    </row>
    <row r="667" spans="3:4">
      <c r="C667">
        <v>1993</v>
      </c>
      <c r="D667">
        <v>11</v>
      </c>
    </row>
    <row r="668" spans="3:4">
      <c r="C668">
        <v>1994</v>
      </c>
      <c r="D668">
        <v>11</v>
      </c>
    </row>
    <row r="669" spans="3:4">
      <c r="C669">
        <v>1995</v>
      </c>
      <c r="D669">
        <v>11</v>
      </c>
    </row>
    <row r="670" spans="3:4">
      <c r="C670">
        <v>1996</v>
      </c>
      <c r="D670">
        <v>11</v>
      </c>
    </row>
    <row r="671" spans="3:4">
      <c r="C671">
        <v>1997</v>
      </c>
      <c r="D671">
        <v>11</v>
      </c>
    </row>
    <row r="672" spans="3:4">
      <c r="C672">
        <v>1998</v>
      </c>
      <c r="D672">
        <v>11</v>
      </c>
    </row>
    <row r="673" spans="3:4">
      <c r="C673">
        <v>1999</v>
      </c>
      <c r="D673">
        <v>11</v>
      </c>
    </row>
    <row r="674" spans="3:4">
      <c r="C674">
        <v>2000</v>
      </c>
      <c r="D674">
        <v>21</v>
      </c>
    </row>
    <row r="675" spans="3:4">
      <c r="C675">
        <v>2001</v>
      </c>
      <c r="D675">
        <v>21</v>
      </c>
    </row>
    <row r="676" spans="3:4">
      <c r="C676">
        <v>2002</v>
      </c>
      <c r="D676">
        <v>21</v>
      </c>
    </row>
    <row r="677" spans="3:4">
      <c r="C677">
        <v>2003</v>
      </c>
      <c r="D677">
        <v>21</v>
      </c>
    </row>
    <row r="678" spans="3:4">
      <c r="C678">
        <v>2009</v>
      </c>
      <c r="D678">
        <v>76</v>
      </c>
    </row>
    <row r="679" spans="3:4">
      <c r="C679">
        <v>2011</v>
      </c>
      <c r="D679">
        <v>21</v>
      </c>
    </row>
    <row r="680" spans="3:4">
      <c r="C680">
        <v>2012</v>
      </c>
      <c r="D680">
        <v>21</v>
      </c>
    </row>
    <row r="681" spans="3:4">
      <c r="C681">
        <v>2013</v>
      </c>
      <c r="D681">
        <v>21</v>
      </c>
    </row>
    <row r="682" spans="3:4">
      <c r="C682">
        <v>2014</v>
      </c>
      <c r="D682">
        <v>20</v>
      </c>
    </row>
    <row r="683" spans="3:4">
      <c r="C683">
        <v>2015</v>
      </c>
      <c r="D683">
        <v>75</v>
      </c>
    </row>
    <row r="684" spans="3:4">
      <c r="C684">
        <v>2016</v>
      </c>
      <c r="D684">
        <v>20</v>
      </c>
    </row>
    <row r="685" spans="3:4">
      <c r="C685">
        <v>2017</v>
      </c>
      <c r="D685">
        <v>76</v>
      </c>
    </row>
    <row r="686" spans="3:4">
      <c r="C686">
        <v>2018</v>
      </c>
      <c r="D686">
        <v>76</v>
      </c>
    </row>
    <row r="687" spans="3:4">
      <c r="C687">
        <v>2019</v>
      </c>
      <c r="D687">
        <v>76</v>
      </c>
    </row>
    <row r="688" spans="3:4">
      <c r="C688">
        <v>2020</v>
      </c>
      <c r="D688">
        <v>21</v>
      </c>
    </row>
    <row r="689" spans="3:4">
      <c r="C689">
        <v>2021</v>
      </c>
      <c r="D689">
        <v>73</v>
      </c>
    </row>
    <row r="690" spans="3:4">
      <c r="C690">
        <v>2022</v>
      </c>
      <c r="D690">
        <v>70</v>
      </c>
    </row>
    <row r="691" spans="3:4">
      <c r="C691">
        <v>2023</v>
      </c>
      <c r="D691">
        <v>75</v>
      </c>
    </row>
    <row r="692" spans="3:4">
      <c r="C692">
        <v>2024</v>
      </c>
      <c r="D692">
        <v>74</v>
      </c>
    </row>
    <row r="693" spans="3:4">
      <c r="C693">
        <v>2025</v>
      </c>
      <c r="D693">
        <v>76</v>
      </c>
    </row>
    <row r="694" spans="3:4">
      <c r="C694">
        <v>2026</v>
      </c>
      <c r="D694">
        <v>75</v>
      </c>
    </row>
    <row r="695" spans="3:4">
      <c r="C695">
        <v>2027</v>
      </c>
      <c r="D695">
        <v>73</v>
      </c>
    </row>
    <row r="696" spans="3:4">
      <c r="C696">
        <v>2028</v>
      </c>
      <c r="D696">
        <v>75</v>
      </c>
    </row>
    <row r="697" spans="3:4">
      <c r="C697">
        <v>2030</v>
      </c>
      <c r="D697">
        <v>21</v>
      </c>
    </row>
    <row r="698" spans="3:4">
      <c r="C698">
        <v>2031</v>
      </c>
      <c r="D698">
        <v>21</v>
      </c>
    </row>
    <row r="699" spans="3:4">
      <c r="C699">
        <v>2032</v>
      </c>
      <c r="D699">
        <v>21</v>
      </c>
    </row>
    <row r="700" spans="3:4">
      <c r="C700">
        <v>2033</v>
      </c>
      <c r="D700">
        <v>21</v>
      </c>
    </row>
    <row r="701" spans="3:4">
      <c r="C701">
        <v>2035</v>
      </c>
      <c r="D701">
        <v>21</v>
      </c>
    </row>
    <row r="702" spans="3:4">
      <c r="C702">
        <v>2036</v>
      </c>
      <c r="D702">
        <v>21</v>
      </c>
    </row>
    <row r="703" spans="3:4">
      <c r="C703">
        <v>2037</v>
      </c>
      <c r="D703">
        <v>21</v>
      </c>
    </row>
    <row r="704" spans="3:4">
      <c r="C704">
        <v>2038</v>
      </c>
      <c r="D704">
        <v>75</v>
      </c>
    </row>
    <row r="705" spans="3:4">
      <c r="C705">
        <v>2039</v>
      </c>
      <c r="D705">
        <v>75</v>
      </c>
    </row>
    <row r="706" spans="3:4">
      <c r="C706">
        <v>2040</v>
      </c>
      <c r="D706">
        <v>21</v>
      </c>
    </row>
    <row r="707" spans="3:4">
      <c r="C707">
        <v>2041</v>
      </c>
      <c r="D707">
        <v>21</v>
      </c>
    </row>
    <row r="708" spans="3:4">
      <c r="C708">
        <v>2042</v>
      </c>
      <c r="D708">
        <v>19</v>
      </c>
    </row>
    <row r="709" spans="3:4">
      <c r="C709">
        <v>2043</v>
      </c>
      <c r="D709">
        <v>21</v>
      </c>
    </row>
    <row r="710" spans="3:4">
      <c r="C710">
        <v>2045</v>
      </c>
      <c r="D710">
        <v>19</v>
      </c>
    </row>
    <row r="711" spans="3:4">
      <c r="C711">
        <v>2046</v>
      </c>
      <c r="D711">
        <v>19</v>
      </c>
    </row>
    <row r="712" spans="3:4">
      <c r="C712">
        <v>2047</v>
      </c>
      <c r="D712">
        <v>95</v>
      </c>
    </row>
    <row r="713" spans="3:4">
      <c r="C713">
        <v>2048</v>
      </c>
      <c r="D713">
        <v>95</v>
      </c>
    </row>
    <row r="714" spans="3:4">
      <c r="C714">
        <v>2049</v>
      </c>
      <c r="D714">
        <v>22</v>
      </c>
    </row>
    <row r="715" spans="3:4">
      <c r="C715">
        <v>2051</v>
      </c>
      <c r="D715">
        <v>75</v>
      </c>
    </row>
    <row r="716" spans="3:4">
      <c r="C716">
        <v>2052</v>
      </c>
      <c r="D716">
        <v>75</v>
      </c>
    </row>
    <row r="717" spans="3:4">
      <c r="C717">
        <v>2053</v>
      </c>
      <c r="D717">
        <v>75</v>
      </c>
    </row>
    <row r="718" spans="3:4">
      <c r="C718">
        <v>2058</v>
      </c>
      <c r="D718">
        <v>75</v>
      </c>
    </row>
    <row r="719" spans="3:4">
      <c r="C719">
        <v>2060</v>
      </c>
      <c r="D719">
        <v>70</v>
      </c>
    </row>
    <row r="720" spans="3:4">
      <c r="C720">
        <v>2061</v>
      </c>
      <c r="D720">
        <v>74</v>
      </c>
    </row>
    <row r="721" spans="3:4">
      <c r="C721">
        <v>2063</v>
      </c>
      <c r="D721">
        <v>72</v>
      </c>
    </row>
    <row r="722" spans="3:4">
      <c r="C722">
        <v>2064</v>
      </c>
      <c r="D722">
        <v>71</v>
      </c>
    </row>
    <row r="723" spans="3:4">
      <c r="C723">
        <v>2065</v>
      </c>
      <c r="D723">
        <v>71</v>
      </c>
    </row>
    <row r="724" spans="3:4">
      <c r="C724">
        <v>2066</v>
      </c>
      <c r="D724">
        <v>74</v>
      </c>
    </row>
    <row r="725" spans="3:4">
      <c r="C725">
        <v>2067</v>
      </c>
      <c r="D725">
        <v>71</v>
      </c>
    </row>
    <row r="726" spans="3:4">
      <c r="C726">
        <v>2068</v>
      </c>
      <c r="D726">
        <v>71</v>
      </c>
    </row>
    <row r="727" spans="3:4">
      <c r="C727">
        <v>2071</v>
      </c>
      <c r="D727">
        <v>75</v>
      </c>
    </row>
    <row r="728" spans="3:4">
      <c r="C728">
        <v>2072</v>
      </c>
      <c r="D728">
        <v>77</v>
      </c>
    </row>
    <row r="729" spans="3:4">
      <c r="C729">
        <v>2073</v>
      </c>
      <c r="D729">
        <v>75</v>
      </c>
    </row>
    <row r="730" spans="3:4">
      <c r="C730">
        <v>2074</v>
      </c>
      <c r="D730">
        <v>22</v>
      </c>
    </row>
    <row r="731" spans="3:4">
      <c r="C731">
        <v>2079</v>
      </c>
      <c r="D731">
        <v>22</v>
      </c>
    </row>
    <row r="732" spans="3:4">
      <c r="C732">
        <v>2080</v>
      </c>
      <c r="D732">
        <v>22</v>
      </c>
    </row>
    <row r="733" spans="3:4">
      <c r="C733">
        <v>2081</v>
      </c>
      <c r="D733">
        <v>22</v>
      </c>
    </row>
    <row r="734" spans="3:4">
      <c r="C734">
        <v>2082</v>
      </c>
      <c r="D734">
        <v>22</v>
      </c>
    </row>
    <row r="735" spans="3:4">
      <c r="C735">
        <v>2083</v>
      </c>
      <c r="D735">
        <v>21</v>
      </c>
    </row>
    <row r="736" spans="3:4">
      <c r="C736">
        <v>2084</v>
      </c>
      <c r="D736">
        <v>22</v>
      </c>
    </row>
    <row r="737" spans="3:4">
      <c r="C737">
        <v>2085</v>
      </c>
      <c r="D737">
        <v>22</v>
      </c>
    </row>
    <row r="738" spans="3:4">
      <c r="C738">
        <v>2086</v>
      </c>
      <c r="D738">
        <v>21</v>
      </c>
    </row>
    <row r="739" spans="3:4">
      <c r="C739">
        <v>2089</v>
      </c>
      <c r="D739">
        <v>20</v>
      </c>
    </row>
    <row r="740" spans="3:4">
      <c r="C740">
        <v>2090</v>
      </c>
      <c r="D740">
        <v>21</v>
      </c>
    </row>
    <row r="741" spans="3:4">
      <c r="C741">
        <v>2091</v>
      </c>
      <c r="D741">
        <v>72</v>
      </c>
    </row>
    <row r="742" spans="3:4">
      <c r="C742">
        <v>2092</v>
      </c>
      <c r="D742">
        <v>22</v>
      </c>
    </row>
    <row r="743" spans="3:4">
      <c r="C743">
        <v>2093</v>
      </c>
      <c r="D743">
        <v>20</v>
      </c>
    </row>
    <row r="744" spans="3:4">
      <c r="C744">
        <v>2094</v>
      </c>
      <c r="D744">
        <v>21</v>
      </c>
    </row>
    <row r="745" spans="3:4">
      <c r="C745">
        <v>2095</v>
      </c>
      <c r="D745">
        <v>22</v>
      </c>
    </row>
    <row r="746" spans="3:4">
      <c r="C746">
        <v>2096</v>
      </c>
      <c r="D746">
        <v>22</v>
      </c>
    </row>
    <row r="747" spans="3:4">
      <c r="C747">
        <v>2097</v>
      </c>
      <c r="D747">
        <v>22</v>
      </c>
    </row>
    <row r="748" spans="3:4">
      <c r="C748">
        <v>2098</v>
      </c>
      <c r="D748">
        <v>20</v>
      </c>
    </row>
    <row r="749" spans="3:4">
      <c r="C749">
        <v>2099</v>
      </c>
      <c r="D749">
        <v>20</v>
      </c>
    </row>
    <row r="750" spans="3:4">
      <c r="C750">
        <v>2100</v>
      </c>
      <c r="D750">
        <v>20</v>
      </c>
    </row>
    <row r="751" spans="3:4">
      <c r="C751">
        <v>2101</v>
      </c>
      <c r="D751">
        <v>20</v>
      </c>
    </row>
    <row r="752" spans="3:4">
      <c r="C752">
        <v>2102</v>
      </c>
      <c r="D752">
        <v>20</v>
      </c>
    </row>
    <row r="753" spans="3:4">
      <c r="C753">
        <v>2103</v>
      </c>
      <c r="D753">
        <v>20</v>
      </c>
    </row>
    <row r="754" spans="3:4">
      <c r="C754">
        <v>2105</v>
      </c>
      <c r="D754">
        <v>20</v>
      </c>
    </row>
    <row r="755" spans="3:4">
      <c r="C755">
        <v>2110</v>
      </c>
      <c r="D755">
        <v>20</v>
      </c>
    </row>
    <row r="756" spans="3:4">
      <c r="C756">
        <v>2111</v>
      </c>
      <c r="D756">
        <v>22</v>
      </c>
    </row>
    <row r="757" spans="3:4">
      <c r="C757">
        <v>2112</v>
      </c>
      <c r="D757">
        <v>21</v>
      </c>
    </row>
    <row r="758" spans="3:4">
      <c r="C758">
        <v>2113</v>
      </c>
      <c r="D758">
        <v>77</v>
      </c>
    </row>
    <row r="759" spans="3:4">
      <c r="C759">
        <v>2114</v>
      </c>
      <c r="D759">
        <v>73</v>
      </c>
    </row>
    <row r="760" spans="3:4">
      <c r="C760">
        <v>2115</v>
      </c>
      <c r="D760">
        <v>74</v>
      </c>
    </row>
    <row r="761" spans="3:4">
      <c r="C761">
        <v>2116</v>
      </c>
      <c r="D761">
        <v>75</v>
      </c>
    </row>
    <row r="762" spans="3:4">
      <c r="C762">
        <v>2117</v>
      </c>
      <c r="D762">
        <v>19</v>
      </c>
    </row>
    <row r="763" spans="3:4">
      <c r="C763">
        <v>2118</v>
      </c>
      <c r="D763">
        <v>74</v>
      </c>
    </row>
    <row r="764" spans="3:4">
      <c r="C764">
        <v>2119</v>
      </c>
      <c r="D764">
        <v>73</v>
      </c>
    </row>
    <row r="765" spans="3:4">
      <c r="C765">
        <v>2120</v>
      </c>
      <c r="D765">
        <v>20</v>
      </c>
    </row>
    <row r="766" spans="3:4">
      <c r="C766">
        <v>2121</v>
      </c>
      <c r="D766">
        <v>20</v>
      </c>
    </row>
    <row r="767" spans="3:4">
      <c r="C767">
        <v>2122</v>
      </c>
      <c r="D767">
        <v>21</v>
      </c>
    </row>
    <row r="768" spans="3:4">
      <c r="C768">
        <v>2123</v>
      </c>
      <c r="D768">
        <v>20</v>
      </c>
    </row>
    <row r="769" spans="3:4">
      <c r="C769">
        <v>2124</v>
      </c>
      <c r="D769">
        <v>20</v>
      </c>
    </row>
    <row r="770" spans="3:4">
      <c r="C770">
        <v>2130</v>
      </c>
      <c r="D770">
        <v>20</v>
      </c>
    </row>
    <row r="771" spans="3:4">
      <c r="C771">
        <v>2131</v>
      </c>
      <c r="D771">
        <v>75</v>
      </c>
    </row>
    <row r="772" spans="3:4">
      <c r="C772">
        <v>2132</v>
      </c>
      <c r="D772">
        <v>75</v>
      </c>
    </row>
    <row r="773" spans="3:4">
      <c r="C773">
        <v>2133</v>
      </c>
      <c r="D773">
        <v>76</v>
      </c>
    </row>
    <row r="774" spans="3:4">
      <c r="C774">
        <v>2134</v>
      </c>
      <c r="D774">
        <v>77</v>
      </c>
    </row>
    <row r="775" spans="3:4">
      <c r="C775">
        <v>2135</v>
      </c>
      <c r="D775">
        <v>75</v>
      </c>
    </row>
    <row r="776" spans="3:4">
      <c r="C776">
        <v>2141</v>
      </c>
      <c r="D776">
        <v>22</v>
      </c>
    </row>
    <row r="777" spans="3:4">
      <c r="C777">
        <v>2142</v>
      </c>
      <c r="D777">
        <v>19</v>
      </c>
    </row>
    <row r="778" spans="3:4">
      <c r="C778">
        <v>2143</v>
      </c>
      <c r="D778">
        <v>21</v>
      </c>
    </row>
    <row r="779" spans="3:4">
      <c r="C779">
        <v>2144</v>
      </c>
      <c r="D779">
        <v>21</v>
      </c>
    </row>
    <row r="780" spans="3:4">
      <c r="C780">
        <v>2145</v>
      </c>
      <c r="D780">
        <v>20</v>
      </c>
    </row>
    <row r="781" spans="3:4">
      <c r="C781">
        <v>2146</v>
      </c>
      <c r="D781">
        <v>20</v>
      </c>
    </row>
    <row r="782" spans="3:4">
      <c r="C782">
        <v>2148</v>
      </c>
      <c r="D782">
        <v>20</v>
      </c>
    </row>
    <row r="783" spans="3:4">
      <c r="C783">
        <v>2150</v>
      </c>
      <c r="D783">
        <v>20</v>
      </c>
    </row>
    <row r="784" spans="3:4">
      <c r="C784">
        <v>2151</v>
      </c>
      <c r="D784">
        <v>20</v>
      </c>
    </row>
    <row r="785" spans="3:4">
      <c r="C785">
        <v>2152</v>
      </c>
      <c r="D785">
        <v>20</v>
      </c>
    </row>
    <row r="786" spans="3:4">
      <c r="C786">
        <v>2153</v>
      </c>
      <c r="D786">
        <v>20</v>
      </c>
    </row>
    <row r="787" spans="3:4">
      <c r="C787">
        <v>2154</v>
      </c>
      <c r="D787">
        <v>20</v>
      </c>
    </row>
    <row r="788" spans="3:4">
      <c r="C788">
        <v>2155</v>
      </c>
      <c r="D788">
        <v>20</v>
      </c>
    </row>
    <row r="789" spans="3:4">
      <c r="C789">
        <v>2160</v>
      </c>
      <c r="D789">
        <v>20</v>
      </c>
    </row>
    <row r="790" spans="3:4">
      <c r="C790">
        <v>2161</v>
      </c>
      <c r="D790">
        <v>76</v>
      </c>
    </row>
    <row r="791" spans="3:4">
      <c r="C791">
        <v>2162</v>
      </c>
      <c r="D791">
        <v>75</v>
      </c>
    </row>
    <row r="792" spans="3:4">
      <c r="C792">
        <v>2163</v>
      </c>
      <c r="D792">
        <v>76</v>
      </c>
    </row>
    <row r="793" spans="3:4">
      <c r="C793">
        <v>2164</v>
      </c>
      <c r="D793">
        <v>76</v>
      </c>
    </row>
    <row r="794" spans="3:4">
      <c r="C794">
        <v>2165</v>
      </c>
      <c r="D794">
        <v>75</v>
      </c>
    </row>
    <row r="795" spans="3:4">
      <c r="C795">
        <v>2166</v>
      </c>
      <c r="D795">
        <v>75</v>
      </c>
    </row>
    <row r="796" spans="3:4">
      <c r="C796">
        <v>2167</v>
      </c>
      <c r="D796">
        <v>75</v>
      </c>
    </row>
    <row r="797" spans="3:4">
      <c r="C797">
        <v>2170</v>
      </c>
      <c r="D797">
        <v>72</v>
      </c>
    </row>
    <row r="798" spans="3:4">
      <c r="C798">
        <v>2171</v>
      </c>
      <c r="D798">
        <v>72</v>
      </c>
    </row>
    <row r="799" spans="3:4">
      <c r="C799">
        <v>2173</v>
      </c>
      <c r="D799">
        <v>71</v>
      </c>
    </row>
    <row r="800" spans="3:4">
      <c r="C800">
        <v>2174</v>
      </c>
      <c r="D800">
        <v>72</v>
      </c>
    </row>
    <row r="801" spans="3:4">
      <c r="C801">
        <v>2175</v>
      </c>
      <c r="D801">
        <v>92</v>
      </c>
    </row>
    <row r="802" spans="3:4">
      <c r="C802">
        <v>2176</v>
      </c>
      <c r="D802">
        <v>92</v>
      </c>
    </row>
    <row r="803" spans="3:4">
      <c r="C803">
        <v>2177</v>
      </c>
      <c r="D803">
        <v>91</v>
      </c>
    </row>
    <row r="804" spans="3:4">
      <c r="C804">
        <v>2181</v>
      </c>
      <c r="D804">
        <v>73</v>
      </c>
    </row>
    <row r="805" spans="3:4">
      <c r="C805">
        <v>2182</v>
      </c>
      <c r="D805">
        <v>74</v>
      </c>
    </row>
    <row r="806" spans="3:4">
      <c r="C806">
        <v>2183</v>
      </c>
      <c r="D806">
        <v>76</v>
      </c>
    </row>
    <row r="807" spans="3:4">
      <c r="C807">
        <v>2184</v>
      </c>
      <c r="D807">
        <v>75</v>
      </c>
    </row>
    <row r="808" spans="3:4">
      <c r="C808">
        <v>2185</v>
      </c>
      <c r="D808">
        <v>75</v>
      </c>
    </row>
    <row r="809" spans="3:4">
      <c r="C809">
        <v>2191</v>
      </c>
      <c r="D809">
        <v>70</v>
      </c>
    </row>
    <row r="810" spans="3:4">
      <c r="C810">
        <v>2192</v>
      </c>
      <c r="D810">
        <v>70</v>
      </c>
    </row>
    <row r="811" spans="3:4">
      <c r="C811">
        <v>2193</v>
      </c>
      <c r="D811">
        <v>71</v>
      </c>
    </row>
    <row r="812" spans="3:4">
      <c r="C812">
        <v>2194</v>
      </c>
      <c r="D812">
        <v>74</v>
      </c>
    </row>
    <row r="813" spans="3:4">
      <c r="C813">
        <v>2200</v>
      </c>
      <c r="D813">
        <v>74</v>
      </c>
    </row>
    <row r="814" spans="3:4">
      <c r="C814">
        <v>2201</v>
      </c>
      <c r="D814">
        <v>74</v>
      </c>
    </row>
    <row r="815" spans="3:4">
      <c r="C815">
        <v>2202</v>
      </c>
      <c r="D815">
        <v>74</v>
      </c>
    </row>
    <row r="816" spans="3:4">
      <c r="C816">
        <v>2209</v>
      </c>
      <c r="D816">
        <v>74</v>
      </c>
    </row>
    <row r="817" spans="3:4">
      <c r="C817">
        <v>2211</v>
      </c>
      <c r="D817">
        <v>75</v>
      </c>
    </row>
    <row r="818" spans="3:4">
      <c r="C818">
        <v>2212</v>
      </c>
      <c r="D818">
        <v>73</v>
      </c>
    </row>
    <row r="819" spans="3:4">
      <c r="C819">
        <v>2213</v>
      </c>
      <c r="D819">
        <v>75</v>
      </c>
    </row>
    <row r="820" spans="3:4">
      <c r="C820">
        <v>2214</v>
      </c>
      <c r="D820">
        <v>91</v>
      </c>
    </row>
    <row r="821" spans="3:4">
      <c r="C821">
        <v>2215</v>
      </c>
      <c r="D821">
        <v>95</v>
      </c>
    </row>
    <row r="822" spans="3:4">
      <c r="C822">
        <v>2216</v>
      </c>
      <c r="D822">
        <v>97</v>
      </c>
    </row>
    <row r="823" spans="3:4">
      <c r="C823">
        <v>2217</v>
      </c>
      <c r="D823">
        <v>74</v>
      </c>
    </row>
    <row r="824" spans="3:4">
      <c r="C824">
        <v>2220</v>
      </c>
      <c r="D824">
        <v>19</v>
      </c>
    </row>
    <row r="825" spans="3:4">
      <c r="C825">
        <v>2221</v>
      </c>
      <c r="D825">
        <v>19</v>
      </c>
    </row>
    <row r="826" spans="3:4">
      <c r="C826">
        <v>2222</v>
      </c>
      <c r="D826">
        <v>19</v>
      </c>
    </row>
    <row r="827" spans="3:4">
      <c r="C827">
        <v>2224</v>
      </c>
      <c r="D827">
        <v>19</v>
      </c>
    </row>
    <row r="828" spans="3:4">
      <c r="C828">
        <v>2225</v>
      </c>
      <c r="D828">
        <v>74</v>
      </c>
    </row>
    <row r="829" spans="3:4">
      <c r="C829">
        <v>2230</v>
      </c>
      <c r="D829">
        <v>74</v>
      </c>
    </row>
    <row r="830" spans="3:4">
      <c r="C830">
        <v>2231</v>
      </c>
      <c r="D830">
        <v>74</v>
      </c>
    </row>
    <row r="831" spans="3:4">
      <c r="C831">
        <v>2233</v>
      </c>
      <c r="D831">
        <v>75</v>
      </c>
    </row>
    <row r="832" spans="3:4">
      <c r="C832">
        <v>2234</v>
      </c>
      <c r="D832">
        <v>74</v>
      </c>
    </row>
    <row r="833" spans="3:4">
      <c r="C833">
        <v>2235</v>
      </c>
      <c r="D833">
        <v>71</v>
      </c>
    </row>
    <row r="834" spans="3:4">
      <c r="C834">
        <v>2240</v>
      </c>
      <c r="D834">
        <v>71</v>
      </c>
    </row>
    <row r="835" spans="3:4">
      <c r="C835">
        <v>2241</v>
      </c>
      <c r="D835">
        <v>74</v>
      </c>
    </row>
    <row r="836" spans="3:4">
      <c r="C836">
        <v>2242</v>
      </c>
      <c r="D836">
        <v>74</v>
      </c>
    </row>
    <row r="837" spans="3:4">
      <c r="C837">
        <v>2243</v>
      </c>
      <c r="D837">
        <v>71</v>
      </c>
    </row>
    <row r="838" spans="3:4">
      <c r="C838">
        <v>2244</v>
      </c>
      <c r="D838">
        <v>72</v>
      </c>
    </row>
    <row r="839" spans="3:4">
      <c r="C839">
        <v>2251</v>
      </c>
      <c r="D839">
        <v>70</v>
      </c>
    </row>
    <row r="840" spans="3:4">
      <c r="C840">
        <v>2252</v>
      </c>
      <c r="D840">
        <v>72</v>
      </c>
    </row>
    <row r="841" spans="3:4">
      <c r="C841">
        <v>2253</v>
      </c>
      <c r="D841">
        <v>90</v>
      </c>
    </row>
    <row r="842" spans="3:4">
      <c r="C842">
        <v>2254</v>
      </c>
      <c r="D842">
        <v>68</v>
      </c>
    </row>
    <row r="843" spans="3:4">
      <c r="C843">
        <v>2255</v>
      </c>
      <c r="D843">
        <v>70</v>
      </c>
    </row>
    <row r="844" spans="3:4">
      <c r="C844">
        <v>2265</v>
      </c>
      <c r="D844">
        <v>70</v>
      </c>
    </row>
    <row r="845" spans="3:4">
      <c r="C845">
        <v>2270</v>
      </c>
      <c r="D845">
        <v>70</v>
      </c>
    </row>
    <row r="846" spans="3:4">
      <c r="C846">
        <v>2291</v>
      </c>
      <c r="D846">
        <v>70</v>
      </c>
    </row>
    <row r="847" spans="3:4">
      <c r="C847">
        <v>2296</v>
      </c>
      <c r="D847">
        <v>70</v>
      </c>
    </row>
    <row r="848" spans="3:4">
      <c r="C848">
        <v>2300</v>
      </c>
      <c r="D848">
        <v>94</v>
      </c>
    </row>
    <row r="849" spans="3:4">
      <c r="C849">
        <v>2301</v>
      </c>
      <c r="D849">
        <v>94</v>
      </c>
    </row>
    <row r="850" spans="3:4">
      <c r="C850">
        <v>2304</v>
      </c>
      <c r="D850">
        <v>94</v>
      </c>
    </row>
    <row r="851" spans="3:4">
      <c r="C851">
        <v>2309</v>
      </c>
      <c r="D851">
        <v>93</v>
      </c>
    </row>
    <row r="852" spans="3:4">
      <c r="C852">
        <v>2310</v>
      </c>
      <c r="D852">
        <v>19</v>
      </c>
    </row>
    <row r="853" spans="3:4">
      <c r="C853">
        <v>2311</v>
      </c>
      <c r="D853">
        <v>20</v>
      </c>
    </row>
    <row r="854" spans="3:4">
      <c r="C854">
        <v>2312</v>
      </c>
      <c r="D854">
        <v>20</v>
      </c>
    </row>
    <row r="855" spans="3:4">
      <c r="C855">
        <v>2313</v>
      </c>
      <c r="D855">
        <v>20</v>
      </c>
    </row>
    <row r="856" spans="3:4">
      <c r="C856">
        <v>2314</v>
      </c>
      <c r="D856">
        <v>20</v>
      </c>
    </row>
    <row r="857" spans="3:4">
      <c r="C857">
        <v>2315</v>
      </c>
      <c r="D857">
        <v>20</v>
      </c>
    </row>
    <row r="858" spans="3:4">
      <c r="C858">
        <v>2316</v>
      </c>
      <c r="D858">
        <v>19</v>
      </c>
    </row>
    <row r="859" spans="3:4">
      <c r="C859">
        <v>2317</v>
      </c>
      <c r="D859">
        <v>72</v>
      </c>
    </row>
    <row r="860" spans="3:4">
      <c r="C860">
        <v>2318</v>
      </c>
      <c r="D860">
        <v>92</v>
      </c>
    </row>
    <row r="861" spans="3:4">
      <c r="C861">
        <v>2319</v>
      </c>
      <c r="D861">
        <v>91</v>
      </c>
    </row>
    <row r="862" spans="3:4">
      <c r="C862">
        <v>2321</v>
      </c>
      <c r="D862">
        <v>93</v>
      </c>
    </row>
    <row r="863" spans="3:4">
      <c r="C863">
        <v>2322</v>
      </c>
      <c r="D863">
        <v>93</v>
      </c>
    </row>
    <row r="864" spans="3:4">
      <c r="C864">
        <v>2325</v>
      </c>
      <c r="D864">
        <v>93</v>
      </c>
    </row>
    <row r="865" spans="3:4">
      <c r="C865">
        <v>2329</v>
      </c>
      <c r="D865">
        <v>93</v>
      </c>
    </row>
    <row r="866" spans="3:4">
      <c r="C866">
        <v>2330</v>
      </c>
      <c r="D866">
        <v>20</v>
      </c>
    </row>
    <row r="867" spans="3:4">
      <c r="C867">
        <v>2331</v>
      </c>
      <c r="D867">
        <v>20</v>
      </c>
    </row>
    <row r="868" spans="3:4">
      <c r="C868">
        <v>2332</v>
      </c>
      <c r="D868">
        <v>20</v>
      </c>
    </row>
    <row r="869" spans="3:4">
      <c r="C869">
        <v>2335</v>
      </c>
      <c r="D869">
        <v>19</v>
      </c>
    </row>
    <row r="870" spans="3:4">
      <c r="C870">
        <v>2336</v>
      </c>
      <c r="D870">
        <v>20</v>
      </c>
    </row>
    <row r="871" spans="3:4">
      <c r="C871">
        <v>2337</v>
      </c>
      <c r="D871">
        <v>75</v>
      </c>
    </row>
    <row r="872" spans="3:4">
      <c r="C872">
        <v>2338</v>
      </c>
      <c r="D872">
        <v>72</v>
      </c>
    </row>
    <row r="873" spans="3:4">
      <c r="C873">
        <v>2339</v>
      </c>
      <c r="D873">
        <v>74</v>
      </c>
    </row>
    <row r="874" spans="3:4">
      <c r="C874">
        <v>2340</v>
      </c>
      <c r="D874">
        <v>72</v>
      </c>
    </row>
    <row r="875" spans="3:4">
      <c r="C875">
        <v>2341</v>
      </c>
      <c r="D875">
        <v>72</v>
      </c>
    </row>
    <row r="876" spans="3:4">
      <c r="C876">
        <v>2342</v>
      </c>
      <c r="D876">
        <v>74</v>
      </c>
    </row>
    <row r="877" spans="3:4">
      <c r="C877">
        <v>2343</v>
      </c>
      <c r="D877">
        <v>72</v>
      </c>
    </row>
    <row r="878" spans="3:4">
      <c r="C878">
        <v>2344</v>
      </c>
      <c r="D878">
        <v>72</v>
      </c>
    </row>
    <row r="879" spans="3:4">
      <c r="C879">
        <v>2345</v>
      </c>
      <c r="D879">
        <v>95</v>
      </c>
    </row>
    <row r="880" spans="3:4">
      <c r="C880">
        <v>2347</v>
      </c>
      <c r="D880">
        <v>95</v>
      </c>
    </row>
    <row r="881" spans="3:4">
      <c r="C881">
        <v>2351</v>
      </c>
      <c r="D881">
        <v>75</v>
      </c>
    </row>
    <row r="882" spans="3:4">
      <c r="C882">
        <v>2355</v>
      </c>
      <c r="D882">
        <v>75</v>
      </c>
    </row>
    <row r="883" spans="3:4">
      <c r="C883">
        <v>2360</v>
      </c>
      <c r="D883">
        <v>21</v>
      </c>
    </row>
    <row r="884" spans="3:4">
      <c r="C884">
        <v>2363</v>
      </c>
      <c r="D884">
        <v>72</v>
      </c>
    </row>
    <row r="885" spans="3:4">
      <c r="C885">
        <v>2364</v>
      </c>
      <c r="D885">
        <v>73</v>
      </c>
    </row>
    <row r="886" spans="3:4">
      <c r="C886">
        <v>2365</v>
      </c>
      <c r="D886">
        <v>73</v>
      </c>
    </row>
    <row r="887" spans="3:4">
      <c r="C887">
        <v>2366</v>
      </c>
      <c r="D887">
        <v>70</v>
      </c>
    </row>
    <row r="888" spans="3:4">
      <c r="C888">
        <v>2367</v>
      </c>
      <c r="D888">
        <v>69</v>
      </c>
    </row>
    <row r="889" spans="3:4">
      <c r="C889">
        <v>2370</v>
      </c>
      <c r="D889">
        <v>70</v>
      </c>
    </row>
    <row r="890" spans="3:4">
      <c r="C890">
        <v>2371</v>
      </c>
      <c r="D890">
        <v>71</v>
      </c>
    </row>
    <row r="891" spans="3:4">
      <c r="C891">
        <v>2372</v>
      </c>
      <c r="D891">
        <v>70</v>
      </c>
    </row>
    <row r="892" spans="3:4">
      <c r="C892">
        <v>2373</v>
      </c>
      <c r="D892">
        <v>70</v>
      </c>
    </row>
    <row r="893" spans="3:4">
      <c r="C893">
        <v>2375</v>
      </c>
      <c r="D893">
        <v>97</v>
      </c>
    </row>
    <row r="894" spans="3:4">
      <c r="C894">
        <v>2376</v>
      </c>
      <c r="D894">
        <v>72</v>
      </c>
    </row>
    <row r="895" spans="3:4">
      <c r="C895">
        <v>2377</v>
      </c>
      <c r="D895">
        <v>70</v>
      </c>
    </row>
    <row r="896" spans="3:4">
      <c r="C896">
        <v>2378</v>
      </c>
      <c r="D896">
        <v>92</v>
      </c>
    </row>
    <row r="897" spans="3:4">
      <c r="C897">
        <v>2381</v>
      </c>
      <c r="D897">
        <v>71</v>
      </c>
    </row>
    <row r="898" spans="3:4">
      <c r="C898">
        <v>2400</v>
      </c>
      <c r="D898">
        <v>82</v>
      </c>
    </row>
    <row r="899" spans="3:4">
      <c r="C899">
        <v>2401</v>
      </c>
      <c r="D899">
        <v>80</v>
      </c>
    </row>
    <row r="900" spans="3:4">
      <c r="C900">
        <v>2402</v>
      </c>
      <c r="D900">
        <v>80</v>
      </c>
    </row>
    <row r="901" spans="3:4">
      <c r="C901">
        <v>2403</v>
      </c>
      <c r="D901">
        <v>80</v>
      </c>
    </row>
    <row r="902" spans="3:4">
      <c r="C902">
        <v>2404</v>
      </c>
      <c r="D902">
        <v>80</v>
      </c>
    </row>
    <row r="903" spans="3:4">
      <c r="C903">
        <v>2405</v>
      </c>
      <c r="D903">
        <v>80</v>
      </c>
    </row>
    <row r="904" spans="3:4">
      <c r="C904">
        <v>2406</v>
      </c>
      <c r="D904">
        <v>80</v>
      </c>
    </row>
    <row r="905" spans="3:4">
      <c r="C905">
        <v>2407</v>
      </c>
      <c r="D905">
        <v>80</v>
      </c>
    </row>
    <row r="906" spans="3:4">
      <c r="C906">
        <v>2408</v>
      </c>
      <c r="D906">
        <v>80</v>
      </c>
    </row>
    <row r="907" spans="3:4">
      <c r="C907">
        <v>2410</v>
      </c>
      <c r="D907">
        <v>80</v>
      </c>
    </row>
    <row r="908" spans="3:4">
      <c r="C908">
        <v>2421</v>
      </c>
      <c r="D908">
        <v>90</v>
      </c>
    </row>
    <row r="909" spans="3:4">
      <c r="C909">
        <v>2422</v>
      </c>
      <c r="D909">
        <v>92</v>
      </c>
    </row>
    <row r="910" spans="3:4">
      <c r="C910">
        <v>2423</v>
      </c>
      <c r="D910">
        <v>92</v>
      </c>
    </row>
    <row r="911" spans="3:4">
      <c r="C911">
        <v>2424</v>
      </c>
      <c r="D911">
        <v>92</v>
      </c>
    </row>
    <row r="912" spans="3:4">
      <c r="C912">
        <v>2425</v>
      </c>
      <c r="D912">
        <v>91</v>
      </c>
    </row>
    <row r="913" spans="3:4">
      <c r="C913">
        <v>2426</v>
      </c>
      <c r="D913">
        <v>92</v>
      </c>
    </row>
    <row r="914" spans="3:4">
      <c r="C914">
        <v>2427</v>
      </c>
      <c r="D914">
        <v>92</v>
      </c>
    </row>
    <row r="915" spans="3:4">
      <c r="C915">
        <v>2428</v>
      </c>
      <c r="D915">
        <v>59</v>
      </c>
    </row>
    <row r="916" spans="3:4">
      <c r="C916">
        <v>2431</v>
      </c>
      <c r="D916">
        <v>91</v>
      </c>
    </row>
    <row r="917" spans="3:4">
      <c r="C917">
        <v>2432</v>
      </c>
      <c r="D917">
        <v>91</v>
      </c>
    </row>
    <row r="918" spans="3:4">
      <c r="C918">
        <v>2433</v>
      </c>
      <c r="D918">
        <v>90</v>
      </c>
    </row>
    <row r="919" spans="3:4">
      <c r="C919">
        <v>2434</v>
      </c>
      <c r="D919">
        <v>94</v>
      </c>
    </row>
    <row r="920" spans="3:4">
      <c r="C920">
        <v>2435</v>
      </c>
      <c r="D920">
        <v>91</v>
      </c>
    </row>
    <row r="921" spans="3:4">
      <c r="C921">
        <v>2436</v>
      </c>
      <c r="D921">
        <v>91</v>
      </c>
    </row>
    <row r="922" spans="3:4">
      <c r="C922">
        <v>2440</v>
      </c>
      <c r="D922">
        <v>75</v>
      </c>
    </row>
    <row r="923" spans="3:4">
      <c r="C923">
        <v>2441</v>
      </c>
      <c r="D923">
        <v>75</v>
      </c>
    </row>
    <row r="924" spans="3:4">
      <c r="C924">
        <v>2442</v>
      </c>
      <c r="D924">
        <v>75</v>
      </c>
    </row>
    <row r="925" spans="3:4">
      <c r="C925">
        <v>2443</v>
      </c>
      <c r="D925">
        <v>75</v>
      </c>
    </row>
    <row r="926" spans="3:4">
      <c r="C926">
        <v>2444</v>
      </c>
      <c r="D926">
        <v>75</v>
      </c>
    </row>
    <row r="927" spans="3:4">
      <c r="C927">
        <v>2450</v>
      </c>
      <c r="D927">
        <v>75</v>
      </c>
    </row>
    <row r="928" spans="3:4">
      <c r="C928">
        <v>2451</v>
      </c>
      <c r="D928">
        <v>92</v>
      </c>
    </row>
    <row r="929" spans="3:4">
      <c r="C929">
        <v>2452</v>
      </c>
      <c r="D929">
        <v>89</v>
      </c>
    </row>
    <row r="930" spans="3:4">
      <c r="C930">
        <v>2453</v>
      </c>
      <c r="D930">
        <v>89</v>
      </c>
    </row>
    <row r="931" spans="3:4">
      <c r="C931">
        <v>2454</v>
      </c>
      <c r="D931">
        <v>94</v>
      </c>
    </row>
    <row r="932" spans="3:4">
      <c r="C932">
        <v>2455</v>
      </c>
      <c r="D932">
        <v>71</v>
      </c>
    </row>
    <row r="933" spans="3:4">
      <c r="C933">
        <v>2456</v>
      </c>
      <c r="D933">
        <v>94</v>
      </c>
    </row>
    <row r="934" spans="3:4">
      <c r="C934">
        <v>2457</v>
      </c>
      <c r="D934">
        <v>90</v>
      </c>
    </row>
    <row r="935" spans="3:4">
      <c r="C935">
        <v>2458</v>
      </c>
      <c r="D935">
        <v>91</v>
      </c>
    </row>
    <row r="936" spans="3:4">
      <c r="C936">
        <v>2459</v>
      </c>
      <c r="D936">
        <v>58</v>
      </c>
    </row>
    <row r="937" spans="3:4">
      <c r="C937">
        <v>2460</v>
      </c>
      <c r="D937">
        <v>90</v>
      </c>
    </row>
    <row r="938" spans="3:4">
      <c r="C938">
        <v>2461</v>
      </c>
      <c r="D938">
        <v>75</v>
      </c>
    </row>
    <row r="939" spans="3:4">
      <c r="C939">
        <v>2462</v>
      </c>
      <c r="D939">
        <v>93</v>
      </c>
    </row>
    <row r="940" spans="3:4">
      <c r="C940">
        <v>2463</v>
      </c>
      <c r="D940">
        <v>92</v>
      </c>
    </row>
    <row r="941" spans="3:4">
      <c r="C941">
        <v>2464</v>
      </c>
      <c r="D941">
        <v>91</v>
      </c>
    </row>
    <row r="942" spans="3:4">
      <c r="C942">
        <v>2465</v>
      </c>
      <c r="D942">
        <v>70</v>
      </c>
    </row>
    <row r="943" spans="3:4">
      <c r="C943">
        <v>2471</v>
      </c>
      <c r="D943">
        <v>94</v>
      </c>
    </row>
    <row r="944" spans="3:4">
      <c r="C944">
        <v>2472</v>
      </c>
      <c r="D944">
        <v>96</v>
      </c>
    </row>
    <row r="945" spans="3:4">
      <c r="C945">
        <v>2473</v>
      </c>
      <c r="D945">
        <v>97</v>
      </c>
    </row>
    <row r="946" spans="3:4">
      <c r="C946">
        <v>2475</v>
      </c>
      <c r="D946">
        <v>92</v>
      </c>
    </row>
    <row r="947" spans="3:4">
      <c r="C947">
        <v>2476</v>
      </c>
      <c r="D947">
        <v>94</v>
      </c>
    </row>
    <row r="948" spans="3:4">
      <c r="C948">
        <v>2477</v>
      </c>
      <c r="D948">
        <v>98</v>
      </c>
    </row>
    <row r="949" spans="3:4">
      <c r="C949">
        <v>2481</v>
      </c>
      <c r="D949">
        <v>91</v>
      </c>
    </row>
    <row r="950" spans="3:4">
      <c r="C950">
        <v>2482</v>
      </c>
      <c r="D950">
        <v>90</v>
      </c>
    </row>
    <row r="951" spans="3:4">
      <c r="C951">
        <v>2483</v>
      </c>
      <c r="D951">
        <v>90</v>
      </c>
    </row>
    <row r="952" spans="3:4">
      <c r="C952">
        <v>2484</v>
      </c>
      <c r="D952">
        <v>91</v>
      </c>
    </row>
    <row r="953" spans="3:4">
      <c r="C953">
        <v>2485</v>
      </c>
      <c r="D953">
        <v>91</v>
      </c>
    </row>
    <row r="954" spans="3:4">
      <c r="C954">
        <v>2490</v>
      </c>
      <c r="D954">
        <v>94</v>
      </c>
    </row>
    <row r="955" spans="3:4">
      <c r="C955">
        <v>2500</v>
      </c>
      <c r="D955">
        <v>75</v>
      </c>
    </row>
    <row r="956" spans="3:4">
      <c r="C956">
        <v>2501</v>
      </c>
      <c r="D956">
        <v>75</v>
      </c>
    </row>
    <row r="957" spans="3:4">
      <c r="C957">
        <v>2503</v>
      </c>
      <c r="D957">
        <v>75</v>
      </c>
    </row>
    <row r="958" spans="3:4">
      <c r="C958">
        <v>2508</v>
      </c>
      <c r="D958">
        <v>71</v>
      </c>
    </row>
    <row r="959" spans="3:4">
      <c r="C959">
        <v>2509</v>
      </c>
      <c r="D959">
        <v>74</v>
      </c>
    </row>
    <row r="960" spans="3:4">
      <c r="C960">
        <v>2510</v>
      </c>
      <c r="D960">
        <v>69</v>
      </c>
    </row>
    <row r="961" spans="3:4">
      <c r="C961">
        <v>2511</v>
      </c>
      <c r="D961">
        <v>94</v>
      </c>
    </row>
    <row r="962" spans="3:4">
      <c r="C962">
        <v>2512</v>
      </c>
      <c r="D962">
        <v>69</v>
      </c>
    </row>
    <row r="963" spans="3:4">
      <c r="C963">
        <v>2517</v>
      </c>
      <c r="D963">
        <v>70</v>
      </c>
    </row>
    <row r="964" spans="3:4">
      <c r="C964">
        <v>2518</v>
      </c>
      <c r="D964">
        <v>71</v>
      </c>
    </row>
    <row r="965" spans="3:4">
      <c r="C965">
        <v>2519</v>
      </c>
      <c r="D965">
        <v>72</v>
      </c>
    </row>
    <row r="966" spans="3:4">
      <c r="C966">
        <v>2521</v>
      </c>
      <c r="D966">
        <v>70</v>
      </c>
    </row>
    <row r="967" spans="3:4">
      <c r="C967">
        <v>2522</v>
      </c>
      <c r="D967">
        <v>70</v>
      </c>
    </row>
    <row r="968" spans="3:4">
      <c r="C968">
        <v>2523</v>
      </c>
      <c r="D968">
        <v>71</v>
      </c>
    </row>
    <row r="969" spans="3:4">
      <c r="C969">
        <v>2524</v>
      </c>
      <c r="D969">
        <v>74</v>
      </c>
    </row>
    <row r="970" spans="3:4">
      <c r="C970">
        <v>2525</v>
      </c>
      <c r="D970">
        <v>71</v>
      </c>
    </row>
    <row r="971" spans="3:4">
      <c r="C971">
        <v>2526</v>
      </c>
      <c r="D971">
        <v>72</v>
      </c>
    </row>
    <row r="972" spans="3:4">
      <c r="C972">
        <v>2527</v>
      </c>
      <c r="D972">
        <v>70</v>
      </c>
    </row>
    <row r="973" spans="3:4">
      <c r="C973">
        <v>2528</v>
      </c>
      <c r="D973">
        <v>71</v>
      </c>
    </row>
    <row r="974" spans="3:4">
      <c r="C974">
        <v>2529</v>
      </c>
      <c r="D974">
        <v>71</v>
      </c>
    </row>
    <row r="975" spans="3:4">
      <c r="C975">
        <v>2530</v>
      </c>
      <c r="D975">
        <v>71</v>
      </c>
    </row>
    <row r="976" spans="3:4">
      <c r="C976">
        <v>2531</v>
      </c>
      <c r="D976">
        <v>73</v>
      </c>
    </row>
    <row r="977" spans="3:4">
      <c r="C977">
        <v>2532</v>
      </c>
      <c r="D977">
        <v>71</v>
      </c>
    </row>
    <row r="978" spans="3:4">
      <c r="C978">
        <v>2533</v>
      </c>
      <c r="D978">
        <v>74</v>
      </c>
    </row>
    <row r="979" spans="3:4">
      <c r="C979">
        <v>2534</v>
      </c>
      <c r="D979">
        <v>74</v>
      </c>
    </row>
    <row r="980" spans="3:4">
      <c r="C980">
        <v>2535</v>
      </c>
      <c r="D980">
        <v>74</v>
      </c>
    </row>
    <row r="981" spans="3:4">
      <c r="C981">
        <v>2536</v>
      </c>
      <c r="D981">
        <v>74</v>
      </c>
    </row>
    <row r="982" spans="3:4">
      <c r="C982">
        <v>2537</v>
      </c>
      <c r="D982">
        <v>74</v>
      </c>
    </row>
    <row r="983" spans="3:4">
      <c r="C983">
        <v>2541</v>
      </c>
      <c r="D983">
        <v>75</v>
      </c>
    </row>
    <row r="984" spans="3:4">
      <c r="C984">
        <v>2542</v>
      </c>
      <c r="D984">
        <v>75</v>
      </c>
    </row>
    <row r="985" spans="3:4">
      <c r="C985">
        <v>2543</v>
      </c>
      <c r="D985">
        <v>72</v>
      </c>
    </row>
    <row r="986" spans="3:4">
      <c r="C986">
        <v>2544</v>
      </c>
      <c r="D986">
        <v>74</v>
      </c>
    </row>
    <row r="987" spans="3:4">
      <c r="C987">
        <v>2545</v>
      </c>
      <c r="D987">
        <v>74</v>
      </c>
    </row>
    <row r="988" spans="3:4">
      <c r="C988">
        <v>2600</v>
      </c>
      <c r="D988">
        <v>75</v>
      </c>
    </row>
    <row r="989" spans="3:4">
      <c r="C989">
        <v>2601</v>
      </c>
      <c r="D989">
        <v>75</v>
      </c>
    </row>
    <row r="990" spans="3:4">
      <c r="C990">
        <v>2602</v>
      </c>
      <c r="D990">
        <v>75</v>
      </c>
    </row>
    <row r="991" spans="3:4">
      <c r="C991">
        <v>2603</v>
      </c>
      <c r="D991">
        <v>75</v>
      </c>
    </row>
    <row r="992" spans="3:4">
      <c r="C992">
        <v>2606</v>
      </c>
      <c r="D992">
        <v>75</v>
      </c>
    </row>
    <row r="993" spans="3:4">
      <c r="C993">
        <v>2610</v>
      </c>
      <c r="D993">
        <v>92</v>
      </c>
    </row>
    <row r="994" spans="3:4">
      <c r="C994">
        <v>2611</v>
      </c>
      <c r="D994">
        <v>92</v>
      </c>
    </row>
    <row r="995" spans="3:4">
      <c r="C995">
        <v>2612</v>
      </c>
      <c r="D995">
        <v>75</v>
      </c>
    </row>
    <row r="996" spans="3:4">
      <c r="C996">
        <v>2613</v>
      </c>
      <c r="D996">
        <v>75</v>
      </c>
    </row>
    <row r="997" spans="3:4">
      <c r="C997">
        <v>2614</v>
      </c>
      <c r="D997">
        <v>75</v>
      </c>
    </row>
    <row r="998" spans="3:4">
      <c r="C998">
        <v>2615</v>
      </c>
      <c r="D998">
        <v>75</v>
      </c>
    </row>
    <row r="999" spans="3:4">
      <c r="C999">
        <v>2616</v>
      </c>
      <c r="D999">
        <v>93</v>
      </c>
    </row>
    <row r="1000" spans="3:4">
      <c r="C1000">
        <v>2617</v>
      </c>
      <c r="D1000">
        <v>93</v>
      </c>
    </row>
    <row r="1001" spans="3:4">
      <c r="C1001">
        <v>2618</v>
      </c>
      <c r="D1001">
        <v>93</v>
      </c>
    </row>
    <row r="1002" spans="3:4">
      <c r="C1002">
        <v>2619</v>
      </c>
      <c r="D1002">
        <v>94</v>
      </c>
    </row>
    <row r="1003" spans="3:4">
      <c r="C1003">
        <v>2621</v>
      </c>
      <c r="D1003">
        <v>75</v>
      </c>
    </row>
    <row r="1004" spans="3:4">
      <c r="C1004">
        <v>2623</v>
      </c>
      <c r="D1004">
        <v>75</v>
      </c>
    </row>
    <row r="1005" spans="3:4">
      <c r="C1005">
        <v>2624</v>
      </c>
      <c r="D1005">
        <v>74</v>
      </c>
    </row>
    <row r="1006" spans="3:4">
      <c r="C1006">
        <v>2625</v>
      </c>
      <c r="D1006">
        <v>69</v>
      </c>
    </row>
    <row r="1007" spans="3:4">
      <c r="C1007">
        <v>2626</v>
      </c>
      <c r="D1007">
        <v>75</v>
      </c>
    </row>
    <row r="1008" spans="3:4">
      <c r="C1008">
        <v>2627</v>
      </c>
      <c r="D1008">
        <v>71</v>
      </c>
    </row>
    <row r="1009" spans="3:4">
      <c r="C1009">
        <v>2628</v>
      </c>
      <c r="D1009">
        <v>70</v>
      </c>
    </row>
    <row r="1010" spans="3:4">
      <c r="C1010">
        <v>2629</v>
      </c>
      <c r="D1010">
        <v>69</v>
      </c>
    </row>
    <row r="1011" spans="3:4">
      <c r="C1011">
        <v>2630</v>
      </c>
      <c r="D1011">
        <v>69</v>
      </c>
    </row>
    <row r="1012" spans="3:4">
      <c r="C1012">
        <v>2631</v>
      </c>
      <c r="D1012">
        <v>69</v>
      </c>
    </row>
    <row r="1013" spans="3:4">
      <c r="C1013">
        <v>2632</v>
      </c>
      <c r="D1013">
        <v>68</v>
      </c>
    </row>
    <row r="1014" spans="3:4">
      <c r="C1014">
        <v>2633</v>
      </c>
      <c r="D1014">
        <v>68</v>
      </c>
    </row>
    <row r="1015" spans="3:4">
      <c r="C1015">
        <v>2634</v>
      </c>
      <c r="D1015">
        <v>69</v>
      </c>
    </row>
    <row r="1016" spans="3:4">
      <c r="C1016">
        <v>2635</v>
      </c>
      <c r="D1016">
        <v>70</v>
      </c>
    </row>
    <row r="1017" spans="3:4">
      <c r="C1017">
        <v>2636</v>
      </c>
      <c r="D1017">
        <v>69</v>
      </c>
    </row>
    <row r="1018" spans="3:4">
      <c r="C1018">
        <v>2637</v>
      </c>
      <c r="D1018">
        <v>69</v>
      </c>
    </row>
    <row r="1019" spans="3:4">
      <c r="C1019">
        <v>2638</v>
      </c>
      <c r="D1019">
        <v>69</v>
      </c>
    </row>
    <row r="1020" spans="3:4">
      <c r="C1020">
        <v>2639</v>
      </c>
      <c r="D1020">
        <v>69</v>
      </c>
    </row>
    <row r="1021" spans="3:4">
      <c r="C1021">
        <v>2640</v>
      </c>
      <c r="D1021">
        <v>93</v>
      </c>
    </row>
    <row r="1022" spans="3:4">
      <c r="C1022">
        <v>2641</v>
      </c>
      <c r="D1022">
        <v>92</v>
      </c>
    </row>
    <row r="1023" spans="3:4">
      <c r="C1023">
        <v>2642</v>
      </c>
      <c r="D1023">
        <v>95</v>
      </c>
    </row>
    <row r="1024" spans="3:4">
      <c r="C1024">
        <v>2643</v>
      </c>
      <c r="D1024">
        <v>92</v>
      </c>
    </row>
    <row r="1025" spans="3:4">
      <c r="C1025">
        <v>2644</v>
      </c>
      <c r="D1025">
        <v>93</v>
      </c>
    </row>
    <row r="1026" spans="3:4">
      <c r="C1026">
        <v>2645</v>
      </c>
      <c r="D1026">
        <v>92</v>
      </c>
    </row>
    <row r="1027" spans="3:4">
      <c r="C1027">
        <v>2646</v>
      </c>
      <c r="D1027">
        <v>90</v>
      </c>
    </row>
    <row r="1028" spans="3:4">
      <c r="C1028">
        <v>2647</v>
      </c>
      <c r="D1028">
        <v>91</v>
      </c>
    </row>
    <row r="1029" spans="3:4">
      <c r="C1029">
        <v>2648</v>
      </c>
      <c r="D1029">
        <v>92</v>
      </c>
    </row>
    <row r="1030" spans="3:4">
      <c r="C1030">
        <v>2649</v>
      </c>
      <c r="D1030">
        <v>93</v>
      </c>
    </row>
    <row r="1031" spans="3:4">
      <c r="C1031">
        <v>2651</v>
      </c>
      <c r="D1031">
        <v>92</v>
      </c>
    </row>
    <row r="1032" spans="3:4">
      <c r="C1032">
        <v>2652</v>
      </c>
      <c r="D1032">
        <v>94</v>
      </c>
    </row>
    <row r="1033" spans="3:4">
      <c r="C1033">
        <v>2653</v>
      </c>
      <c r="D1033">
        <v>94</v>
      </c>
    </row>
    <row r="1034" spans="3:4">
      <c r="C1034">
        <v>2654</v>
      </c>
      <c r="D1034">
        <v>94</v>
      </c>
    </row>
    <row r="1035" spans="3:4">
      <c r="C1035">
        <v>2655</v>
      </c>
      <c r="D1035">
        <v>93</v>
      </c>
    </row>
    <row r="1036" spans="3:4">
      <c r="C1036">
        <v>2656</v>
      </c>
      <c r="D1036">
        <v>92</v>
      </c>
    </row>
    <row r="1037" spans="3:4">
      <c r="C1037">
        <v>2657</v>
      </c>
      <c r="D1037">
        <v>96</v>
      </c>
    </row>
    <row r="1038" spans="3:4">
      <c r="C1038">
        <v>2658</v>
      </c>
      <c r="D1038">
        <v>93</v>
      </c>
    </row>
    <row r="1039" spans="3:4">
      <c r="C1039">
        <v>2659</v>
      </c>
      <c r="D1039">
        <v>93</v>
      </c>
    </row>
    <row r="1040" spans="3:4">
      <c r="C1040">
        <v>2660</v>
      </c>
      <c r="D1040">
        <v>92</v>
      </c>
    </row>
    <row r="1041" spans="3:4">
      <c r="C1041">
        <v>2661</v>
      </c>
      <c r="D1041">
        <v>92</v>
      </c>
    </row>
    <row r="1042" spans="3:4">
      <c r="C1042">
        <v>2662</v>
      </c>
      <c r="D1042">
        <v>92</v>
      </c>
    </row>
    <row r="1043" spans="3:4">
      <c r="C1043">
        <v>2666</v>
      </c>
      <c r="D1043">
        <v>92</v>
      </c>
    </row>
    <row r="1044" spans="3:4">
      <c r="C1044">
        <v>2668</v>
      </c>
      <c r="D1044">
        <v>90</v>
      </c>
    </row>
    <row r="1045" spans="3:4">
      <c r="C1045">
        <v>2669</v>
      </c>
      <c r="D1045">
        <v>90</v>
      </c>
    </row>
    <row r="1046" spans="3:4">
      <c r="C1046">
        <v>2671</v>
      </c>
      <c r="D1046">
        <v>90</v>
      </c>
    </row>
    <row r="1047" spans="3:4">
      <c r="C1047">
        <v>2672</v>
      </c>
      <c r="D1047">
        <v>90</v>
      </c>
    </row>
    <row r="1048" spans="3:4">
      <c r="C1048">
        <v>2673</v>
      </c>
      <c r="D1048">
        <v>90</v>
      </c>
    </row>
    <row r="1049" spans="3:4">
      <c r="C1049">
        <v>2674</v>
      </c>
      <c r="D1049">
        <v>90</v>
      </c>
    </row>
    <row r="1050" spans="3:4">
      <c r="C1050">
        <v>2675</v>
      </c>
      <c r="D1050">
        <v>90</v>
      </c>
    </row>
    <row r="1051" spans="3:4">
      <c r="C1051">
        <v>2676</v>
      </c>
      <c r="D1051">
        <v>91</v>
      </c>
    </row>
    <row r="1052" spans="3:4">
      <c r="C1052">
        <v>2677</v>
      </c>
      <c r="D1052">
        <v>92</v>
      </c>
    </row>
    <row r="1053" spans="3:4">
      <c r="C1053">
        <v>2678</v>
      </c>
      <c r="D1053">
        <v>91</v>
      </c>
    </row>
    <row r="1054" spans="3:4">
      <c r="C1054">
        <v>2681</v>
      </c>
      <c r="D1054">
        <v>75</v>
      </c>
    </row>
    <row r="1055" spans="3:4">
      <c r="C1055">
        <v>2682</v>
      </c>
      <c r="D1055">
        <v>75</v>
      </c>
    </row>
    <row r="1056" spans="3:4">
      <c r="C1056">
        <v>2683</v>
      </c>
      <c r="D1056">
        <v>77</v>
      </c>
    </row>
    <row r="1057" spans="3:4">
      <c r="C1057">
        <v>2685</v>
      </c>
      <c r="D1057">
        <v>94</v>
      </c>
    </row>
    <row r="1058" spans="3:4">
      <c r="C1058">
        <v>2686</v>
      </c>
      <c r="D1058">
        <v>96</v>
      </c>
    </row>
    <row r="1059" spans="3:4">
      <c r="C1059">
        <v>2687</v>
      </c>
      <c r="D1059">
        <v>94</v>
      </c>
    </row>
    <row r="1060" spans="3:4">
      <c r="C1060">
        <v>2688</v>
      </c>
      <c r="D1060">
        <v>93</v>
      </c>
    </row>
    <row r="1061" spans="3:4">
      <c r="C1061">
        <v>2691</v>
      </c>
      <c r="D1061">
        <v>93</v>
      </c>
    </row>
    <row r="1062" spans="3:4">
      <c r="C1062">
        <v>2692</v>
      </c>
      <c r="D1062">
        <v>92</v>
      </c>
    </row>
    <row r="1063" spans="3:4">
      <c r="C1063">
        <v>2693</v>
      </c>
      <c r="D1063">
        <v>92</v>
      </c>
    </row>
    <row r="1064" spans="3:4">
      <c r="C1064">
        <v>2694</v>
      </c>
      <c r="D1064">
        <v>91</v>
      </c>
    </row>
    <row r="1065" spans="3:4">
      <c r="C1065">
        <v>2696</v>
      </c>
      <c r="D1065">
        <v>92</v>
      </c>
    </row>
    <row r="1066" spans="3:4">
      <c r="C1066">
        <v>2697</v>
      </c>
      <c r="D1066">
        <v>92</v>
      </c>
    </row>
    <row r="1067" spans="3:4">
      <c r="C1067">
        <v>2698</v>
      </c>
      <c r="D1067">
        <v>91</v>
      </c>
    </row>
    <row r="1068" spans="3:4">
      <c r="C1068">
        <v>2699</v>
      </c>
      <c r="D1068">
        <v>91</v>
      </c>
    </row>
    <row r="1069" spans="3:4">
      <c r="C1069">
        <v>2700</v>
      </c>
      <c r="D1069">
        <v>92</v>
      </c>
    </row>
    <row r="1070" spans="3:4">
      <c r="C1070">
        <v>2701</v>
      </c>
      <c r="D1070">
        <v>92</v>
      </c>
    </row>
    <row r="1071" spans="3:4">
      <c r="C1071">
        <v>2702</v>
      </c>
      <c r="D1071">
        <v>92</v>
      </c>
    </row>
    <row r="1072" spans="3:4">
      <c r="C1072">
        <v>2703</v>
      </c>
      <c r="D1072">
        <v>92</v>
      </c>
    </row>
    <row r="1073" spans="3:4">
      <c r="C1073">
        <v>2704</v>
      </c>
      <c r="D1073">
        <v>92</v>
      </c>
    </row>
    <row r="1074" spans="3:4">
      <c r="C1074">
        <v>2711</v>
      </c>
      <c r="D1074">
        <v>91</v>
      </c>
    </row>
    <row r="1075" spans="3:4">
      <c r="C1075">
        <v>2712</v>
      </c>
      <c r="D1075">
        <v>90</v>
      </c>
    </row>
    <row r="1076" spans="3:4">
      <c r="C1076">
        <v>2713</v>
      </c>
      <c r="D1076">
        <v>90</v>
      </c>
    </row>
    <row r="1077" spans="3:4">
      <c r="C1077">
        <v>2720</v>
      </c>
      <c r="D1077">
        <v>90</v>
      </c>
    </row>
    <row r="1078" spans="3:4">
      <c r="C1078">
        <v>2721</v>
      </c>
      <c r="D1078">
        <v>94</v>
      </c>
    </row>
    <row r="1079" spans="3:4">
      <c r="C1079">
        <v>2723</v>
      </c>
      <c r="D1079">
        <v>91</v>
      </c>
    </row>
    <row r="1080" spans="3:4">
      <c r="C1080">
        <v>2724</v>
      </c>
      <c r="D1080">
        <v>91</v>
      </c>
    </row>
    <row r="1081" spans="3:4">
      <c r="C1081">
        <v>2727</v>
      </c>
      <c r="D1081">
        <v>91</v>
      </c>
    </row>
    <row r="1082" spans="3:4">
      <c r="C1082">
        <v>2730</v>
      </c>
      <c r="D1082">
        <v>90</v>
      </c>
    </row>
    <row r="1083" spans="3:4">
      <c r="C1083">
        <v>2735</v>
      </c>
      <c r="D1083">
        <v>90</v>
      </c>
    </row>
    <row r="1084" spans="3:4">
      <c r="C1084">
        <v>2736</v>
      </c>
      <c r="D1084">
        <v>92</v>
      </c>
    </row>
    <row r="1085" spans="3:4">
      <c r="C1085">
        <v>2737</v>
      </c>
      <c r="D1085">
        <v>91</v>
      </c>
    </row>
    <row r="1086" spans="3:4">
      <c r="C1086">
        <v>2738</v>
      </c>
      <c r="D1086">
        <v>91</v>
      </c>
    </row>
    <row r="1087" spans="3:4">
      <c r="C1087">
        <v>2740</v>
      </c>
      <c r="D1087">
        <v>92</v>
      </c>
    </row>
    <row r="1088" spans="3:4">
      <c r="C1088">
        <v>2745</v>
      </c>
      <c r="D1088">
        <v>91</v>
      </c>
    </row>
    <row r="1089" spans="3:4">
      <c r="C1089">
        <v>2746</v>
      </c>
      <c r="D1089">
        <v>91</v>
      </c>
    </row>
    <row r="1090" spans="3:4">
      <c r="C1090">
        <v>2747</v>
      </c>
      <c r="D1090">
        <v>90</v>
      </c>
    </row>
    <row r="1091" spans="3:4">
      <c r="C1091">
        <v>2750</v>
      </c>
      <c r="D1091">
        <v>91</v>
      </c>
    </row>
    <row r="1092" spans="3:4">
      <c r="C1092">
        <v>2751</v>
      </c>
      <c r="D1092">
        <v>91</v>
      </c>
    </row>
    <row r="1093" spans="3:4">
      <c r="C1093">
        <v>2752</v>
      </c>
      <c r="D1093">
        <v>91</v>
      </c>
    </row>
    <row r="1094" spans="3:4">
      <c r="C1094">
        <v>2755</v>
      </c>
      <c r="D1094">
        <v>90</v>
      </c>
    </row>
    <row r="1095" spans="3:4">
      <c r="C1095">
        <v>2760</v>
      </c>
      <c r="D1095">
        <v>90</v>
      </c>
    </row>
    <row r="1096" spans="3:4">
      <c r="C1096">
        <v>2761</v>
      </c>
      <c r="D1096">
        <v>90</v>
      </c>
    </row>
    <row r="1097" spans="3:4">
      <c r="C1097">
        <v>2764</v>
      </c>
      <c r="D1097">
        <v>93</v>
      </c>
    </row>
    <row r="1098" spans="3:4">
      <c r="C1098">
        <v>2765</v>
      </c>
      <c r="D1098">
        <v>89</v>
      </c>
    </row>
    <row r="1099" spans="3:4">
      <c r="C1099">
        <v>2766</v>
      </c>
      <c r="D1099">
        <v>90</v>
      </c>
    </row>
    <row r="1100" spans="3:4">
      <c r="C1100">
        <v>2767</v>
      </c>
      <c r="D1100">
        <v>91</v>
      </c>
    </row>
    <row r="1101" spans="3:4">
      <c r="C1101">
        <v>2768</v>
      </c>
      <c r="D1101">
        <v>91</v>
      </c>
    </row>
    <row r="1102" spans="3:4">
      <c r="C1102">
        <v>2769</v>
      </c>
      <c r="D1102">
        <v>91</v>
      </c>
    </row>
    <row r="1103" spans="3:4">
      <c r="C1103">
        <v>2776</v>
      </c>
      <c r="D1103">
        <v>91</v>
      </c>
    </row>
    <row r="1104" spans="3:4">
      <c r="C1104">
        <v>2800</v>
      </c>
      <c r="D1104">
        <v>86</v>
      </c>
    </row>
    <row r="1105" spans="3:4">
      <c r="C1105">
        <v>2801</v>
      </c>
      <c r="D1105">
        <v>86</v>
      </c>
    </row>
    <row r="1106" spans="3:4">
      <c r="C1106">
        <v>2802</v>
      </c>
      <c r="D1106">
        <v>86</v>
      </c>
    </row>
    <row r="1107" spans="3:4">
      <c r="C1107">
        <v>2803</v>
      </c>
      <c r="D1107">
        <v>86</v>
      </c>
    </row>
    <row r="1108" spans="3:4">
      <c r="C1108">
        <v>2804</v>
      </c>
      <c r="D1108">
        <v>86</v>
      </c>
    </row>
    <row r="1109" spans="3:4">
      <c r="C1109">
        <v>2805</v>
      </c>
      <c r="D1109">
        <v>86</v>
      </c>
    </row>
    <row r="1110" spans="3:4">
      <c r="C1110">
        <v>2806</v>
      </c>
      <c r="D1110">
        <v>86</v>
      </c>
    </row>
    <row r="1111" spans="3:4">
      <c r="C1111">
        <v>2807</v>
      </c>
      <c r="D1111">
        <v>86</v>
      </c>
    </row>
    <row r="1112" spans="3:4">
      <c r="C1112">
        <v>2808</v>
      </c>
      <c r="D1112">
        <v>86</v>
      </c>
    </row>
    <row r="1113" spans="3:4">
      <c r="C1113">
        <v>2809</v>
      </c>
      <c r="D1113">
        <v>86</v>
      </c>
    </row>
    <row r="1114" spans="3:4">
      <c r="C1114">
        <v>2821</v>
      </c>
      <c r="D1114">
        <v>74</v>
      </c>
    </row>
    <row r="1115" spans="3:4">
      <c r="C1115">
        <v>2822</v>
      </c>
      <c r="D1115">
        <v>73</v>
      </c>
    </row>
    <row r="1116" spans="3:4">
      <c r="C1116">
        <v>2823</v>
      </c>
      <c r="D1116">
        <v>95</v>
      </c>
    </row>
    <row r="1117" spans="3:4">
      <c r="C1117">
        <v>2824</v>
      </c>
      <c r="D1117">
        <v>96</v>
      </c>
    </row>
    <row r="1118" spans="3:4">
      <c r="C1118">
        <v>2831</v>
      </c>
      <c r="D1118">
        <v>74</v>
      </c>
    </row>
    <row r="1119" spans="3:4">
      <c r="C1119">
        <v>2832</v>
      </c>
      <c r="D1119">
        <v>74</v>
      </c>
    </row>
    <row r="1120" spans="3:4">
      <c r="C1120">
        <v>2833</v>
      </c>
      <c r="D1120">
        <v>75</v>
      </c>
    </row>
    <row r="1121" spans="3:4">
      <c r="C1121">
        <v>2834</v>
      </c>
      <c r="D1121">
        <v>75</v>
      </c>
    </row>
    <row r="1122" spans="3:4">
      <c r="C1122">
        <v>2835</v>
      </c>
      <c r="D1122">
        <v>96</v>
      </c>
    </row>
    <row r="1123" spans="3:4">
      <c r="C1123">
        <v>2836</v>
      </c>
      <c r="D1123">
        <v>75</v>
      </c>
    </row>
    <row r="1124" spans="3:4">
      <c r="C1124">
        <v>2837</v>
      </c>
      <c r="D1124">
        <v>73</v>
      </c>
    </row>
    <row r="1125" spans="3:4">
      <c r="C1125">
        <v>2840</v>
      </c>
      <c r="D1125">
        <v>92</v>
      </c>
    </row>
    <row r="1126" spans="3:4">
      <c r="C1126">
        <v>2841</v>
      </c>
      <c r="D1126">
        <v>92</v>
      </c>
    </row>
    <row r="1127" spans="3:4">
      <c r="C1127">
        <v>2850</v>
      </c>
      <c r="D1127">
        <v>92</v>
      </c>
    </row>
    <row r="1128" spans="3:4">
      <c r="C1128">
        <v>2851</v>
      </c>
      <c r="D1128">
        <v>94</v>
      </c>
    </row>
    <row r="1129" spans="3:4">
      <c r="C1129">
        <v>2852</v>
      </c>
      <c r="D1129">
        <v>91</v>
      </c>
    </row>
    <row r="1130" spans="3:4">
      <c r="C1130">
        <v>2853</v>
      </c>
      <c r="D1130">
        <v>91</v>
      </c>
    </row>
    <row r="1131" spans="3:4">
      <c r="C1131">
        <v>2854</v>
      </c>
      <c r="D1131">
        <v>92</v>
      </c>
    </row>
    <row r="1132" spans="3:4">
      <c r="C1132">
        <v>2855</v>
      </c>
      <c r="D1132">
        <v>90</v>
      </c>
    </row>
    <row r="1133" spans="3:4">
      <c r="C1133">
        <v>2856</v>
      </c>
      <c r="D1133">
        <v>90</v>
      </c>
    </row>
    <row r="1134" spans="3:4">
      <c r="C1134">
        <v>2857</v>
      </c>
      <c r="D1134">
        <v>90</v>
      </c>
    </row>
    <row r="1135" spans="3:4">
      <c r="C1135">
        <v>2858</v>
      </c>
      <c r="D1135">
        <v>92</v>
      </c>
    </row>
    <row r="1136" spans="3:4">
      <c r="C1136">
        <v>2859</v>
      </c>
      <c r="D1136">
        <v>92</v>
      </c>
    </row>
    <row r="1137" spans="3:4">
      <c r="C1137">
        <v>2861</v>
      </c>
      <c r="D1137">
        <v>92</v>
      </c>
    </row>
    <row r="1138" spans="3:4">
      <c r="C1138">
        <v>2862</v>
      </c>
      <c r="D1138">
        <v>93</v>
      </c>
    </row>
    <row r="1139" spans="3:4">
      <c r="C1139">
        <v>2870</v>
      </c>
      <c r="D1139">
        <v>92</v>
      </c>
    </row>
    <row r="1140" spans="3:4">
      <c r="C1140">
        <v>2879</v>
      </c>
      <c r="D1140">
        <v>92</v>
      </c>
    </row>
    <row r="1141" spans="3:4">
      <c r="C1141">
        <v>2881</v>
      </c>
      <c r="D1141">
        <v>93</v>
      </c>
    </row>
    <row r="1142" spans="3:4">
      <c r="C1142">
        <v>2882</v>
      </c>
      <c r="D1142">
        <v>92</v>
      </c>
    </row>
    <row r="1143" spans="3:4">
      <c r="C1143">
        <v>2883</v>
      </c>
      <c r="D1143">
        <v>92</v>
      </c>
    </row>
    <row r="1144" spans="3:4">
      <c r="C1144">
        <v>2884</v>
      </c>
      <c r="D1144">
        <v>92</v>
      </c>
    </row>
    <row r="1145" spans="3:4">
      <c r="C1145">
        <v>2885</v>
      </c>
      <c r="D1145">
        <v>92</v>
      </c>
    </row>
    <row r="1146" spans="3:4">
      <c r="C1146">
        <v>2886</v>
      </c>
      <c r="D1146">
        <v>95</v>
      </c>
    </row>
    <row r="1147" spans="3:4">
      <c r="C1147">
        <v>2887</v>
      </c>
      <c r="D1147">
        <v>93</v>
      </c>
    </row>
    <row r="1148" spans="3:4">
      <c r="C1148">
        <v>2888</v>
      </c>
      <c r="D1148">
        <v>94</v>
      </c>
    </row>
    <row r="1149" spans="3:4">
      <c r="C1149">
        <v>2889</v>
      </c>
      <c r="D1149">
        <v>94</v>
      </c>
    </row>
    <row r="1150" spans="3:4">
      <c r="C1150">
        <v>2890</v>
      </c>
      <c r="D1150">
        <v>97</v>
      </c>
    </row>
    <row r="1151" spans="3:4">
      <c r="C1151">
        <v>2891</v>
      </c>
      <c r="D1151">
        <v>96</v>
      </c>
    </row>
    <row r="1152" spans="3:4">
      <c r="C1152">
        <v>2892</v>
      </c>
      <c r="D1152">
        <v>96</v>
      </c>
    </row>
    <row r="1153" spans="3:4">
      <c r="C1153">
        <v>2893</v>
      </c>
      <c r="D1153">
        <v>97</v>
      </c>
    </row>
    <row r="1154" spans="3:4">
      <c r="C1154">
        <v>2894</v>
      </c>
      <c r="D1154">
        <v>96</v>
      </c>
    </row>
    <row r="1155" spans="3:4">
      <c r="C1155">
        <v>2896</v>
      </c>
      <c r="D1155">
        <v>74</v>
      </c>
    </row>
    <row r="1156" spans="3:4">
      <c r="C1156">
        <v>2897</v>
      </c>
      <c r="D1156">
        <v>74</v>
      </c>
    </row>
    <row r="1157" spans="3:4">
      <c r="C1157">
        <v>2898</v>
      </c>
      <c r="D1157">
        <v>97</v>
      </c>
    </row>
    <row r="1158" spans="3:4">
      <c r="C1158">
        <v>2899</v>
      </c>
      <c r="D1158">
        <v>96</v>
      </c>
    </row>
    <row r="1159" spans="3:4">
      <c r="C1159">
        <v>2900</v>
      </c>
      <c r="D1159">
        <v>91</v>
      </c>
    </row>
    <row r="1160" spans="3:4">
      <c r="C1160">
        <v>2901</v>
      </c>
      <c r="D1160">
        <v>91</v>
      </c>
    </row>
    <row r="1161" spans="3:4">
      <c r="C1161">
        <v>2902</v>
      </c>
      <c r="D1161">
        <v>91</v>
      </c>
    </row>
    <row r="1162" spans="3:4">
      <c r="C1162">
        <v>2903</v>
      </c>
      <c r="D1162">
        <v>94</v>
      </c>
    </row>
    <row r="1163" spans="3:4">
      <c r="C1163">
        <v>2904</v>
      </c>
      <c r="D1163">
        <v>91</v>
      </c>
    </row>
    <row r="1164" spans="3:4">
      <c r="C1164">
        <v>2911</v>
      </c>
      <c r="D1164">
        <v>94</v>
      </c>
    </row>
    <row r="1165" spans="3:4">
      <c r="C1165">
        <v>2921</v>
      </c>
      <c r="D1165">
        <v>90</v>
      </c>
    </row>
    <row r="1166" spans="3:4">
      <c r="C1166">
        <v>2922</v>
      </c>
      <c r="D1166">
        <v>91</v>
      </c>
    </row>
    <row r="1167" spans="3:4">
      <c r="C1167">
        <v>2931</v>
      </c>
      <c r="D1167">
        <v>89</v>
      </c>
    </row>
    <row r="1168" spans="3:4">
      <c r="C1168">
        <v>2932</v>
      </c>
      <c r="D1168">
        <v>89</v>
      </c>
    </row>
    <row r="1169" spans="3:4">
      <c r="C1169">
        <v>2941</v>
      </c>
      <c r="D1169">
        <v>93</v>
      </c>
    </row>
    <row r="1170" spans="3:4">
      <c r="C1170">
        <v>2942</v>
      </c>
      <c r="D1170">
        <v>91</v>
      </c>
    </row>
    <row r="1171" spans="3:4">
      <c r="C1171">
        <v>2943</v>
      </c>
      <c r="D1171">
        <v>94</v>
      </c>
    </row>
    <row r="1172" spans="3:4">
      <c r="C1172">
        <v>2944</v>
      </c>
      <c r="D1172">
        <v>92</v>
      </c>
    </row>
    <row r="1173" spans="3:4">
      <c r="C1173">
        <v>2945</v>
      </c>
      <c r="D1173">
        <v>92</v>
      </c>
    </row>
    <row r="1174" spans="3:4">
      <c r="C1174">
        <v>2946</v>
      </c>
      <c r="D1174">
        <v>92</v>
      </c>
    </row>
    <row r="1175" spans="3:4">
      <c r="C1175">
        <v>2947</v>
      </c>
      <c r="D1175">
        <v>92</v>
      </c>
    </row>
    <row r="1176" spans="3:4">
      <c r="C1176">
        <v>2948</v>
      </c>
      <c r="D1176">
        <v>95</v>
      </c>
    </row>
    <row r="1177" spans="3:4">
      <c r="C1177">
        <v>2949</v>
      </c>
      <c r="D1177">
        <v>93</v>
      </c>
    </row>
    <row r="1178" spans="3:4">
      <c r="C1178">
        <v>3000</v>
      </c>
      <c r="D1178">
        <v>91</v>
      </c>
    </row>
    <row r="1179" spans="3:4">
      <c r="C1179">
        <v>3001</v>
      </c>
      <c r="D1179">
        <v>91</v>
      </c>
    </row>
    <row r="1180" spans="3:4">
      <c r="C1180">
        <v>3002</v>
      </c>
      <c r="D1180">
        <v>91</v>
      </c>
    </row>
    <row r="1181" spans="3:4">
      <c r="C1181">
        <v>3003</v>
      </c>
      <c r="D1181">
        <v>91</v>
      </c>
    </row>
    <row r="1182" spans="3:4">
      <c r="C1182">
        <v>3009</v>
      </c>
      <c r="D1182">
        <v>92</v>
      </c>
    </row>
    <row r="1183" spans="3:4">
      <c r="C1183">
        <v>3011</v>
      </c>
      <c r="D1183">
        <v>89</v>
      </c>
    </row>
    <row r="1184" spans="3:4">
      <c r="C1184">
        <v>3012</v>
      </c>
      <c r="D1184">
        <v>91</v>
      </c>
    </row>
    <row r="1185" spans="3:4">
      <c r="C1185">
        <v>3013</v>
      </c>
      <c r="D1185">
        <v>90</v>
      </c>
    </row>
    <row r="1186" spans="3:4">
      <c r="C1186">
        <v>3014</v>
      </c>
      <c r="D1186">
        <v>91</v>
      </c>
    </row>
    <row r="1187" spans="3:4">
      <c r="C1187">
        <v>3015</v>
      </c>
      <c r="D1187">
        <v>91</v>
      </c>
    </row>
    <row r="1188" spans="3:4">
      <c r="C1188">
        <v>3016</v>
      </c>
      <c r="D1188">
        <v>92</v>
      </c>
    </row>
    <row r="1189" spans="3:4">
      <c r="C1189">
        <v>3020</v>
      </c>
      <c r="D1189">
        <v>92</v>
      </c>
    </row>
    <row r="1190" spans="3:4">
      <c r="C1190">
        <v>3021</v>
      </c>
      <c r="D1190">
        <v>89</v>
      </c>
    </row>
    <row r="1191" spans="3:4">
      <c r="C1191">
        <v>3022</v>
      </c>
      <c r="D1191">
        <v>89</v>
      </c>
    </row>
    <row r="1192" spans="3:4">
      <c r="C1192">
        <v>3023</v>
      </c>
      <c r="D1192">
        <v>93</v>
      </c>
    </row>
    <row r="1193" spans="3:4">
      <c r="C1193">
        <v>3024</v>
      </c>
      <c r="D1193">
        <v>89</v>
      </c>
    </row>
    <row r="1194" spans="3:4">
      <c r="C1194">
        <v>3031</v>
      </c>
      <c r="D1194">
        <v>90</v>
      </c>
    </row>
    <row r="1195" spans="3:4">
      <c r="C1195">
        <v>3032</v>
      </c>
      <c r="D1195">
        <v>90</v>
      </c>
    </row>
    <row r="1196" spans="3:4">
      <c r="C1196">
        <v>3033</v>
      </c>
      <c r="D1196">
        <v>89</v>
      </c>
    </row>
    <row r="1197" spans="3:4">
      <c r="C1197">
        <v>3034</v>
      </c>
      <c r="D1197">
        <v>91</v>
      </c>
    </row>
    <row r="1198" spans="3:4">
      <c r="C1198">
        <v>3035</v>
      </c>
      <c r="D1198">
        <v>90</v>
      </c>
    </row>
    <row r="1199" spans="3:4">
      <c r="C1199">
        <v>3036</v>
      </c>
      <c r="D1199">
        <v>89</v>
      </c>
    </row>
    <row r="1200" spans="3:4">
      <c r="C1200">
        <v>3041</v>
      </c>
      <c r="D1200">
        <v>90</v>
      </c>
    </row>
    <row r="1201" spans="3:4">
      <c r="C1201">
        <v>3042</v>
      </c>
      <c r="D1201">
        <v>91</v>
      </c>
    </row>
    <row r="1202" spans="3:4">
      <c r="C1202">
        <v>3043</v>
      </c>
      <c r="D1202">
        <v>91</v>
      </c>
    </row>
    <row r="1203" spans="3:4">
      <c r="C1203">
        <v>3044</v>
      </c>
      <c r="D1203">
        <v>91</v>
      </c>
    </row>
    <row r="1204" spans="3:4">
      <c r="C1204">
        <v>3045</v>
      </c>
      <c r="D1204">
        <v>92</v>
      </c>
    </row>
    <row r="1205" spans="3:4">
      <c r="C1205">
        <v>3046</v>
      </c>
      <c r="D1205">
        <v>91</v>
      </c>
    </row>
    <row r="1206" spans="3:4">
      <c r="C1206">
        <v>3047</v>
      </c>
      <c r="D1206">
        <v>92</v>
      </c>
    </row>
    <row r="1207" spans="3:4">
      <c r="C1207">
        <v>3051</v>
      </c>
      <c r="D1207">
        <v>90</v>
      </c>
    </row>
    <row r="1208" spans="3:4">
      <c r="C1208">
        <v>3052</v>
      </c>
      <c r="D1208">
        <v>91</v>
      </c>
    </row>
    <row r="1209" spans="3:4">
      <c r="C1209">
        <v>3053</v>
      </c>
      <c r="D1209">
        <v>91</v>
      </c>
    </row>
    <row r="1210" spans="3:4">
      <c r="C1210">
        <v>3060</v>
      </c>
      <c r="D1210">
        <v>90</v>
      </c>
    </row>
    <row r="1211" spans="3:4">
      <c r="C1211">
        <v>3061</v>
      </c>
      <c r="D1211">
        <v>90</v>
      </c>
    </row>
    <row r="1212" spans="3:4">
      <c r="C1212">
        <v>3063</v>
      </c>
      <c r="D1212">
        <v>90</v>
      </c>
    </row>
    <row r="1213" spans="3:4">
      <c r="C1213">
        <v>3064</v>
      </c>
      <c r="D1213">
        <v>90</v>
      </c>
    </row>
    <row r="1214" spans="3:4">
      <c r="C1214">
        <v>3065</v>
      </c>
      <c r="D1214">
        <v>91</v>
      </c>
    </row>
    <row r="1215" spans="3:4">
      <c r="C1215">
        <v>3066</v>
      </c>
      <c r="D1215">
        <v>92</v>
      </c>
    </row>
    <row r="1216" spans="3:4">
      <c r="C1216">
        <v>3067</v>
      </c>
      <c r="D1216">
        <v>90</v>
      </c>
    </row>
    <row r="1217" spans="3:4">
      <c r="C1217">
        <v>3068</v>
      </c>
      <c r="D1217">
        <v>90</v>
      </c>
    </row>
    <row r="1218" spans="3:4">
      <c r="C1218">
        <v>3069</v>
      </c>
      <c r="D1218">
        <v>91</v>
      </c>
    </row>
    <row r="1219" spans="3:4">
      <c r="C1219">
        <v>3070</v>
      </c>
      <c r="D1219">
        <v>92</v>
      </c>
    </row>
    <row r="1220" spans="3:4">
      <c r="C1220">
        <v>3071</v>
      </c>
      <c r="D1220">
        <v>92</v>
      </c>
    </row>
    <row r="1221" spans="3:4">
      <c r="C1221">
        <v>3072</v>
      </c>
      <c r="D1221">
        <v>92</v>
      </c>
    </row>
    <row r="1222" spans="3:4">
      <c r="C1222">
        <v>3073</v>
      </c>
      <c r="D1222">
        <v>90</v>
      </c>
    </row>
    <row r="1223" spans="3:4">
      <c r="C1223">
        <v>3074</v>
      </c>
      <c r="D1223">
        <v>90</v>
      </c>
    </row>
    <row r="1224" spans="3:4">
      <c r="C1224">
        <v>3075</v>
      </c>
      <c r="D1224">
        <v>91</v>
      </c>
    </row>
    <row r="1225" spans="3:4">
      <c r="C1225">
        <v>3077</v>
      </c>
      <c r="D1225">
        <v>89</v>
      </c>
    </row>
    <row r="1226" spans="3:4">
      <c r="C1226">
        <v>3078</v>
      </c>
      <c r="D1226">
        <v>91</v>
      </c>
    </row>
    <row r="1227" spans="3:4">
      <c r="C1227">
        <v>3082</v>
      </c>
      <c r="D1227">
        <v>90</v>
      </c>
    </row>
    <row r="1228" spans="3:4">
      <c r="C1228">
        <v>3100</v>
      </c>
      <c r="D1228">
        <v>83</v>
      </c>
    </row>
    <row r="1229" spans="3:4">
      <c r="C1229">
        <v>3101</v>
      </c>
      <c r="D1229">
        <v>83</v>
      </c>
    </row>
    <row r="1230" spans="3:4">
      <c r="C1230">
        <v>3102</v>
      </c>
      <c r="D1230">
        <v>81</v>
      </c>
    </row>
    <row r="1231" spans="3:4">
      <c r="C1231">
        <v>3103</v>
      </c>
      <c r="D1231">
        <v>83</v>
      </c>
    </row>
    <row r="1232" spans="3:4">
      <c r="C1232">
        <v>3104</v>
      </c>
      <c r="D1232">
        <v>85</v>
      </c>
    </row>
    <row r="1233" spans="3:4">
      <c r="C1233">
        <v>3107</v>
      </c>
      <c r="D1233">
        <v>83</v>
      </c>
    </row>
    <row r="1234" spans="3:4">
      <c r="C1234">
        <v>3109</v>
      </c>
      <c r="D1234">
        <v>82</v>
      </c>
    </row>
    <row r="1235" spans="3:4">
      <c r="C1235">
        <v>3110</v>
      </c>
      <c r="D1235">
        <v>83</v>
      </c>
    </row>
    <row r="1236" spans="3:4">
      <c r="C1236">
        <v>3121</v>
      </c>
      <c r="D1236">
        <v>85</v>
      </c>
    </row>
    <row r="1237" spans="3:4">
      <c r="C1237">
        <v>3123</v>
      </c>
      <c r="D1237">
        <v>93</v>
      </c>
    </row>
    <row r="1238" spans="3:4">
      <c r="C1238">
        <v>3124</v>
      </c>
      <c r="D1238">
        <v>94</v>
      </c>
    </row>
    <row r="1239" spans="3:4">
      <c r="C1239">
        <v>3125</v>
      </c>
      <c r="D1239">
        <v>93</v>
      </c>
    </row>
    <row r="1240" spans="3:4">
      <c r="C1240">
        <v>3126</v>
      </c>
      <c r="D1240">
        <v>94</v>
      </c>
    </row>
    <row r="1241" spans="3:4">
      <c r="C1241">
        <v>3127</v>
      </c>
      <c r="D1241">
        <v>94</v>
      </c>
    </row>
    <row r="1242" spans="3:4">
      <c r="C1242">
        <v>3128</v>
      </c>
      <c r="D1242">
        <v>95</v>
      </c>
    </row>
    <row r="1243" spans="3:4">
      <c r="C1243">
        <v>3129</v>
      </c>
      <c r="D1243">
        <v>93</v>
      </c>
    </row>
    <row r="1244" spans="3:4">
      <c r="C1244">
        <v>3130</v>
      </c>
      <c r="D1244">
        <v>93</v>
      </c>
    </row>
    <row r="1245" spans="3:4">
      <c r="C1245">
        <v>3131</v>
      </c>
      <c r="D1245">
        <v>95</v>
      </c>
    </row>
    <row r="1246" spans="3:4">
      <c r="C1246">
        <v>3132</v>
      </c>
      <c r="D1246">
        <v>92</v>
      </c>
    </row>
    <row r="1247" spans="3:4">
      <c r="C1247">
        <v>3133</v>
      </c>
      <c r="D1247">
        <v>92</v>
      </c>
    </row>
    <row r="1248" spans="3:4">
      <c r="C1248">
        <v>3134</v>
      </c>
      <c r="D1248">
        <v>93</v>
      </c>
    </row>
    <row r="1249" spans="3:4">
      <c r="C1249">
        <v>3135</v>
      </c>
      <c r="D1249">
        <v>94</v>
      </c>
    </row>
    <row r="1250" spans="3:4">
      <c r="C1250">
        <v>3136</v>
      </c>
      <c r="D1250">
        <v>92</v>
      </c>
    </row>
    <row r="1251" spans="3:4">
      <c r="C1251">
        <v>3137</v>
      </c>
      <c r="D1251">
        <v>89</v>
      </c>
    </row>
    <row r="1252" spans="3:4">
      <c r="C1252">
        <v>3138</v>
      </c>
      <c r="D1252">
        <v>97</v>
      </c>
    </row>
    <row r="1253" spans="3:4">
      <c r="C1253">
        <v>3141</v>
      </c>
      <c r="D1253">
        <v>81</v>
      </c>
    </row>
    <row r="1254" spans="3:4">
      <c r="C1254">
        <v>3142</v>
      </c>
      <c r="D1254">
        <v>94</v>
      </c>
    </row>
    <row r="1255" spans="3:4">
      <c r="C1255">
        <v>3143</v>
      </c>
      <c r="D1255">
        <v>92</v>
      </c>
    </row>
    <row r="1256" spans="3:4">
      <c r="C1256">
        <v>3144</v>
      </c>
      <c r="D1256">
        <v>89</v>
      </c>
    </row>
    <row r="1257" spans="3:4">
      <c r="C1257">
        <v>3145</v>
      </c>
      <c r="D1257">
        <v>92</v>
      </c>
    </row>
    <row r="1258" spans="3:4">
      <c r="C1258">
        <v>3146</v>
      </c>
      <c r="D1258">
        <v>92</v>
      </c>
    </row>
    <row r="1259" spans="3:4">
      <c r="C1259">
        <v>3147</v>
      </c>
      <c r="D1259">
        <v>95</v>
      </c>
    </row>
    <row r="1260" spans="3:4">
      <c r="C1260">
        <v>3151</v>
      </c>
      <c r="D1260">
        <v>98</v>
      </c>
    </row>
    <row r="1261" spans="3:4">
      <c r="C1261">
        <v>3152</v>
      </c>
      <c r="D1261">
        <v>92</v>
      </c>
    </row>
    <row r="1262" spans="3:4">
      <c r="C1262">
        <v>3153</v>
      </c>
      <c r="D1262">
        <v>91</v>
      </c>
    </row>
    <row r="1263" spans="3:4">
      <c r="C1263">
        <v>3154</v>
      </c>
      <c r="D1263">
        <v>92</v>
      </c>
    </row>
    <row r="1264" spans="3:4">
      <c r="C1264">
        <v>3155</v>
      </c>
      <c r="D1264">
        <v>93</v>
      </c>
    </row>
    <row r="1265" spans="3:4">
      <c r="C1265">
        <v>3161</v>
      </c>
      <c r="D1265">
        <v>94</v>
      </c>
    </row>
    <row r="1266" spans="3:4">
      <c r="C1266">
        <v>3162</v>
      </c>
      <c r="D1266">
        <v>96</v>
      </c>
    </row>
    <row r="1267" spans="3:4">
      <c r="C1267">
        <v>3163</v>
      </c>
      <c r="D1267">
        <v>93</v>
      </c>
    </row>
    <row r="1268" spans="3:4">
      <c r="C1268">
        <v>3165</v>
      </c>
      <c r="D1268">
        <v>93</v>
      </c>
    </row>
    <row r="1269" spans="3:4">
      <c r="C1269">
        <v>3170</v>
      </c>
      <c r="D1269">
        <v>91</v>
      </c>
    </row>
    <row r="1270" spans="3:4">
      <c r="C1270">
        <v>3175</v>
      </c>
      <c r="D1270">
        <v>90</v>
      </c>
    </row>
    <row r="1271" spans="3:4">
      <c r="C1271">
        <v>3176</v>
      </c>
      <c r="D1271">
        <v>90</v>
      </c>
    </row>
    <row r="1272" spans="3:4">
      <c r="C1272">
        <v>3177</v>
      </c>
      <c r="D1272">
        <v>91</v>
      </c>
    </row>
    <row r="1273" spans="3:4">
      <c r="C1273">
        <v>3178</v>
      </c>
      <c r="D1273">
        <v>91</v>
      </c>
    </row>
    <row r="1274" spans="3:4">
      <c r="C1274">
        <v>3179</v>
      </c>
      <c r="D1274">
        <v>94</v>
      </c>
    </row>
    <row r="1275" spans="3:4">
      <c r="C1275">
        <v>3181</v>
      </c>
      <c r="D1275">
        <v>90</v>
      </c>
    </row>
    <row r="1276" spans="3:4">
      <c r="C1276">
        <v>3182</v>
      </c>
      <c r="D1276">
        <v>90</v>
      </c>
    </row>
    <row r="1277" spans="3:4">
      <c r="C1277">
        <v>3183</v>
      </c>
      <c r="D1277">
        <v>92</v>
      </c>
    </row>
    <row r="1278" spans="3:4">
      <c r="C1278">
        <v>3184</v>
      </c>
      <c r="D1278">
        <v>97</v>
      </c>
    </row>
    <row r="1279" spans="3:4">
      <c r="C1279">
        <v>3185</v>
      </c>
      <c r="D1279">
        <v>96</v>
      </c>
    </row>
    <row r="1280" spans="3:4">
      <c r="C1280">
        <v>3186</v>
      </c>
      <c r="D1280">
        <v>97</v>
      </c>
    </row>
    <row r="1281" spans="3:4">
      <c r="C1281">
        <v>3187</v>
      </c>
      <c r="D1281">
        <v>95</v>
      </c>
    </row>
    <row r="1282" spans="3:4">
      <c r="C1282">
        <v>3188</v>
      </c>
      <c r="D1282">
        <v>94</v>
      </c>
    </row>
    <row r="1283" spans="3:4">
      <c r="C1283">
        <v>3200</v>
      </c>
      <c r="D1283">
        <v>81</v>
      </c>
    </row>
    <row r="1284" spans="3:4">
      <c r="C1284">
        <v>3201</v>
      </c>
      <c r="D1284">
        <v>81</v>
      </c>
    </row>
    <row r="1285" spans="3:4">
      <c r="C1285">
        <v>3202</v>
      </c>
      <c r="D1285">
        <v>81</v>
      </c>
    </row>
    <row r="1286" spans="3:4">
      <c r="C1286">
        <v>3210</v>
      </c>
      <c r="D1286">
        <v>81</v>
      </c>
    </row>
    <row r="1287" spans="3:4">
      <c r="C1287">
        <v>3211</v>
      </c>
      <c r="D1287">
        <v>90</v>
      </c>
    </row>
    <row r="1288" spans="3:4">
      <c r="C1288">
        <v>3212</v>
      </c>
      <c r="D1288">
        <v>94</v>
      </c>
    </row>
    <row r="1289" spans="3:4">
      <c r="C1289">
        <v>3213</v>
      </c>
      <c r="D1289">
        <v>94</v>
      </c>
    </row>
    <row r="1290" spans="3:4">
      <c r="C1290">
        <v>3214</v>
      </c>
      <c r="D1290">
        <v>92</v>
      </c>
    </row>
    <row r="1291" spans="3:4">
      <c r="C1291">
        <v>3221</v>
      </c>
      <c r="D1291">
        <v>81</v>
      </c>
    </row>
    <row r="1292" spans="3:4">
      <c r="C1292">
        <v>3225</v>
      </c>
      <c r="D1292">
        <v>81</v>
      </c>
    </row>
    <row r="1293" spans="3:4">
      <c r="C1293">
        <v>3231</v>
      </c>
      <c r="D1293">
        <v>90</v>
      </c>
    </row>
    <row r="1294" spans="3:4">
      <c r="C1294">
        <v>3232</v>
      </c>
      <c r="D1294">
        <v>79</v>
      </c>
    </row>
    <row r="1295" spans="3:4">
      <c r="C1295">
        <v>3233</v>
      </c>
      <c r="D1295">
        <v>79</v>
      </c>
    </row>
    <row r="1296" spans="3:4">
      <c r="C1296">
        <v>3234</v>
      </c>
      <c r="D1296">
        <v>92</v>
      </c>
    </row>
    <row r="1297" spans="3:4">
      <c r="C1297">
        <v>3235</v>
      </c>
      <c r="D1297">
        <v>91</v>
      </c>
    </row>
    <row r="1298" spans="3:4">
      <c r="C1298">
        <v>3240</v>
      </c>
      <c r="D1298">
        <v>93</v>
      </c>
    </row>
    <row r="1299" spans="3:4">
      <c r="C1299">
        <v>3242</v>
      </c>
      <c r="D1299">
        <v>93</v>
      </c>
    </row>
    <row r="1300" spans="3:4">
      <c r="C1300">
        <v>3243</v>
      </c>
      <c r="D1300">
        <v>95</v>
      </c>
    </row>
    <row r="1301" spans="3:4">
      <c r="C1301">
        <v>3244</v>
      </c>
      <c r="D1301">
        <v>95</v>
      </c>
    </row>
    <row r="1302" spans="3:4">
      <c r="C1302">
        <v>3245</v>
      </c>
      <c r="D1302">
        <v>92</v>
      </c>
    </row>
    <row r="1303" spans="3:4">
      <c r="C1303">
        <v>3246</v>
      </c>
      <c r="D1303">
        <v>92</v>
      </c>
    </row>
    <row r="1304" spans="3:4">
      <c r="C1304">
        <v>3247</v>
      </c>
      <c r="D1304">
        <v>92</v>
      </c>
    </row>
    <row r="1305" spans="3:4">
      <c r="C1305">
        <v>3248</v>
      </c>
      <c r="D1305">
        <v>92</v>
      </c>
    </row>
    <row r="1306" spans="3:4">
      <c r="C1306">
        <v>3250</v>
      </c>
      <c r="D1306">
        <v>91</v>
      </c>
    </row>
    <row r="1307" spans="3:4">
      <c r="C1307">
        <v>3252</v>
      </c>
      <c r="D1307">
        <v>92</v>
      </c>
    </row>
    <row r="1308" spans="3:4">
      <c r="C1308">
        <v>3253</v>
      </c>
      <c r="D1308">
        <v>92</v>
      </c>
    </row>
    <row r="1309" spans="3:4">
      <c r="C1309">
        <v>3254</v>
      </c>
      <c r="D1309">
        <v>92</v>
      </c>
    </row>
    <row r="1310" spans="3:4">
      <c r="C1310">
        <v>3255</v>
      </c>
      <c r="D1310">
        <v>92</v>
      </c>
    </row>
    <row r="1311" spans="3:4">
      <c r="C1311">
        <v>3256</v>
      </c>
      <c r="D1311">
        <v>92</v>
      </c>
    </row>
    <row r="1312" spans="3:4">
      <c r="C1312">
        <v>3257</v>
      </c>
      <c r="D1312">
        <v>92</v>
      </c>
    </row>
    <row r="1313" spans="3:4">
      <c r="C1313">
        <v>3258</v>
      </c>
      <c r="D1313">
        <v>93</v>
      </c>
    </row>
    <row r="1314" spans="3:4">
      <c r="C1314">
        <v>3259</v>
      </c>
      <c r="D1314">
        <v>93</v>
      </c>
    </row>
    <row r="1315" spans="3:4">
      <c r="C1315">
        <v>3261</v>
      </c>
      <c r="D1315">
        <v>91</v>
      </c>
    </row>
    <row r="1316" spans="3:4">
      <c r="C1316">
        <v>3262</v>
      </c>
      <c r="D1316">
        <v>91</v>
      </c>
    </row>
    <row r="1317" spans="3:4">
      <c r="C1317">
        <v>3263</v>
      </c>
      <c r="D1317">
        <v>92</v>
      </c>
    </row>
    <row r="1318" spans="3:4">
      <c r="C1318">
        <v>3264</v>
      </c>
      <c r="D1318">
        <v>93</v>
      </c>
    </row>
    <row r="1319" spans="3:4">
      <c r="C1319">
        <v>3265</v>
      </c>
      <c r="D1319">
        <v>93</v>
      </c>
    </row>
    <row r="1320" spans="3:4">
      <c r="C1320">
        <v>3269</v>
      </c>
      <c r="D1320">
        <v>93</v>
      </c>
    </row>
    <row r="1321" spans="3:4">
      <c r="C1321">
        <v>3271</v>
      </c>
      <c r="D1321">
        <v>91</v>
      </c>
    </row>
    <row r="1322" spans="3:4">
      <c r="C1322">
        <v>3272</v>
      </c>
      <c r="D1322">
        <v>91</v>
      </c>
    </row>
    <row r="1323" spans="3:4">
      <c r="C1323">
        <v>3273</v>
      </c>
      <c r="D1323">
        <v>91</v>
      </c>
    </row>
    <row r="1324" spans="3:4">
      <c r="C1324">
        <v>3274</v>
      </c>
      <c r="D1324">
        <v>92</v>
      </c>
    </row>
    <row r="1325" spans="3:4">
      <c r="C1325">
        <v>3275</v>
      </c>
      <c r="D1325">
        <v>91</v>
      </c>
    </row>
    <row r="1326" spans="3:4">
      <c r="C1326">
        <v>3281</v>
      </c>
      <c r="D1326">
        <v>94</v>
      </c>
    </row>
    <row r="1327" spans="3:4">
      <c r="C1327">
        <v>3282</v>
      </c>
      <c r="D1327">
        <v>91</v>
      </c>
    </row>
    <row r="1328" spans="3:4">
      <c r="C1328">
        <v>3283</v>
      </c>
      <c r="D1328">
        <v>90</v>
      </c>
    </row>
    <row r="1329" spans="3:4">
      <c r="C1329">
        <v>3284</v>
      </c>
      <c r="D1329">
        <v>89</v>
      </c>
    </row>
    <row r="1330" spans="3:4">
      <c r="C1330">
        <v>3285</v>
      </c>
      <c r="D1330">
        <v>89</v>
      </c>
    </row>
    <row r="1331" spans="3:4">
      <c r="C1331">
        <v>3291</v>
      </c>
      <c r="D1331">
        <v>92</v>
      </c>
    </row>
    <row r="1332" spans="3:4">
      <c r="C1332">
        <v>3292</v>
      </c>
      <c r="D1332">
        <v>92</v>
      </c>
    </row>
    <row r="1333" spans="3:4">
      <c r="C1333">
        <v>3293</v>
      </c>
      <c r="D1333">
        <v>89</v>
      </c>
    </row>
    <row r="1334" spans="3:4">
      <c r="C1334">
        <v>3294</v>
      </c>
      <c r="D1334">
        <v>89</v>
      </c>
    </row>
    <row r="1335" spans="3:4">
      <c r="C1335">
        <v>3295</v>
      </c>
      <c r="D1335">
        <v>89</v>
      </c>
    </row>
    <row r="1336" spans="3:4">
      <c r="C1336">
        <v>3296</v>
      </c>
      <c r="D1336">
        <v>89</v>
      </c>
    </row>
    <row r="1337" spans="3:4">
      <c r="C1337">
        <v>3300</v>
      </c>
      <c r="D1337">
        <v>81</v>
      </c>
    </row>
    <row r="1338" spans="3:4">
      <c r="C1338">
        <v>3301</v>
      </c>
      <c r="D1338">
        <v>81</v>
      </c>
    </row>
    <row r="1339" spans="3:4">
      <c r="C1339">
        <v>3302</v>
      </c>
      <c r="D1339">
        <v>81</v>
      </c>
    </row>
    <row r="1340" spans="3:4">
      <c r="C1340">
        <v>3303</v>
      </c>
      <c r="D1340">
        <v>81</v>
      </c>
    </row>
    <row r="1341" spans="3:4">
      <c r="C1341">
        <v>3304</v>
      </c>
      <c r="D1341">
        <v>81</v>
      </c>
    </row>
    <row r="1342" spans="3:4">
      <c r="C1342">
        <v>3305</v>
      </c>
      <c r="D1342">
        <v>81</v>
      </c>
    </row>
    <row r="1343" spans="3:4">
      <c r="C1343">
        <v>3321</v>
      </c>
      <c r="D1343">
        <v>95</v>
      </c>
    </row>
    <row r="1344" spans="3:4">
      <c r="C1344">
        <v>3322</v>
      </c>
      <c r="D1344">
        <v>92</v>
      </c>
    </row>
    <row r="1345" spans="3:4">
      <c r="C1345">
        <v>3323</v>
      </c>
      <c r="D1345">
        <v>85</v>
      </c>
    </row>
    <row r="1346" spans="3:4">
      <c r="C1346">
        <v>3324</v>
      </c>
      <c r="D1346">
        <v>96</v>
      </c>
    </row>
    <row r="1347" spans="3:4">
      <c r="C1347">
        <v>3325</v>
      </c>
      <c r="D1347">
        <v>95</v>
      </c>
    </row>
    <row r="1348" spans="3:4">
      <c r="C1348">
        <v>3326</v>
      </c>
      <c r="D1348">
        <v>92</v>
      </c>
    </row>
    <row r="1349" spans="3:4">
      <c r="C1349">
        <v>3327</v>
      </c>
      <c r="D1349">
        <v>91</v>
      </c>
    </row>
    <row r="1350" spans="3:4">
      <c r="C1350">
        <v>3328</v>
      </c>
      <c r="D1350">
        <v>94</v>
      </c>
    </row>
    <row r="1351" spans="3:4">
      <c r="C1351">
        <v>3331</v>
      </c>
      <c r="D1351">
        <v>92</v>
      </c>
    </row>
    <row r="1352" spans="3:4">
      <c r="C1352">
        <v>3332</v>
      </c>
      <c r="D1352">
        <v>92</v>
      </c>
    </row>
    <row r="1353" spans="3:4">
      <c r="C1353">
        <v>3333</v>
      </c>
      <c r="D1353">
        <v>92</v>
      </c>
    </row>
    <row r="1354" spans="3:4">
      <c r="C1354">
        <v>3334</v>
      </c>
      <c r="D1354">
        <v>92</v>
      </c>
    </row>
    <row r="1355" spans="3:4">
      <c r="C1355">
        <v>3335</v>
      </c>
      <c r="D1355">
        <v>94</v>
      </c>
    </row>
    <row r="1356" spans="3:4">
      <c r="C1356">
        <v>3336</v>
      </c>
      <c r="D1356">
        <v>92</v>
      </c>
    </row>
    <row r="1357" spans="3:4">
      <c r="C1357">
        <v>3337</v>
      </c>
      <c r="D1357">
        <v>92</v>
      </c>
    </row>
    <row r="1358" spans="3:4">
      <c r="C1358">
        <v>3338</v>
      </c>
      <c r="D1358">
        <v>92</v>
      </c>
    </row>
    <row r="1359" spans="3:4">
      <c r="C1359">
        <v>3341</v>
      </c>
      <c r="D1359">
        <v>96</v>
      </c>
    </row>
    <row r="1360" spans="3:4">
      <c r="C1360">
        <v>3342</v>
      </c>
      <c r="D1360">
        <v>96</v>
      </c>
    </row>
    <row r="1361" spans="3:4">
      <c r="C1361">
        <v>3343</v>
      </c>
      <c r="D1361">
        <v>93</v>
      </c>
    </row>
    <row r="1362" spans="3:4">
      <c r="C1362">
        <v>3344</v>
      </c>
      <c r="D1362">
        <v>92</v>
      </c>
    </row>
    <row r="1363" spans="3:4">
      <c r="C1363">
        <v>3345</v>
      </c>
      <c r="D1363">
        <v>92</v>
      </c>
    </row>
    <row r="1364" spans="3:4">
      <c r="C1364">
        <v>3346</v>
      </c>
      <c r="D1364">
        <v>92</v>
      </c>
    </row>
    <row r="1365" spans="3:4">
      <c r="C1365">
        <v>3347</v>
      </c>
      <c r="D1365">
        <v>92</v>
      </c>
    </row>
    <row r="1366" spans="3:4">
      <c r="C1366">
        <v>3348</v>
      </c>
      <c r="D1366">
        <v>94</v>
      </c>
    </row>
    <row r="1367" spans="3:4">
      <c r="C1367">
        <v>3349</v>
      </c>
      <c r="D1367">
        <v>92</v>
      </c>
    </row>
    <row r="1368" spans="3:4">
      <c r="C1368">
        <v>3350</v>
      </c>
      <c r="D1368">
        <v>91</v>
      </c>
    </row>
    <row r="1369" spans="3:4">
      <c r="C1369">
        <v>3351</v>
      </c>
      <c r="D1369">
        <v>92</v>
      </c>
    </row>
    <row r="1370" spans="3:4">
      <c r="C1370">
        <v>3352</v>
      </c>
      <c r="D1370">
        <v>92</v>
      </c>
    </row>
    <row r="1371" spans="3:4">
      <c r="C1371">
        <v>3353</v>
      </c>
      <c r="D1371">
        <v>92</v>
      </c>
    </row>
    <row r="1372" spans="3:4">
      <c r="C1372">
        <v>3354</v>
      </c>
      <c r="D1372">
        <v>92</v>
      </c>
    </row>
    <row r="1373" spans="3:4">
      <c r="C1373">
        <v>3355</v>
      </c>
      <c r="D1373">
        <v>92</v>
      </c>
    </row>
    <row r="1374" spans="3:4">
      <c r="C1374">
        <v>3356</v>
      </c>
      <c r="D1374">
        <v>91</v>
      </c>
    </row>
    <row r="1375" spans="3:4">
      <c r="C1375">
        <v>3357</v>
      </c>
      <c r="D1375">
        <v>93</v>
      </c>
    </row>
    <row r="1376" spans="3:4">
      <c r="C1376">
        <v>3358</v>
      </c>
      <c r="D1376">
        <v>91</v>
      </c>
    </row>
    <row r="1377" spans="3:4">
      <c r="C1377">
        <v>3359</v>
      </c>
      <c r="D1377">
        <v>89</v>
      </c>
    </row>
    <row r="1378" spans="3:4">
      <c r="C1378">
        <v>3360</v>
      </c>
      <c r="D1378">
        <v>90</v>
      </c>
    </row>
    <row r="1379" spans="3:4">
      <c r="C1379">
        <v>3368</v>
      </c>
      <c r="D1379">
        <v>90</v>
      </c>
    </row>
    <row r="1380" spans="3:4">
      <c r="C1380">
        <v>3369</v>
      </c>
      <c r="D1380">
        <v>90</v>
      </c>
    </row>
    <row r="1381" spans="3:4">
      <c r="C1381">
        <v>3371</v>
      </c>
      <c r="D1381">
        <v>90</v>
      </c>
    </row>
    <row r="1382" spans="3:4">
      <c r="C1382">
        <v>3372</v>
      </c>
      <c r="D1382">
        <v>90</v>
      </c>
    </row>
    <row r="1383" spans="3:4">
      <c r="C1383">
        <v>3373</v>
      </c>
      <c r="D1383">
        <v>90</v>
      </c>
    </row>
    <row r="1384" spans="3:4">
      <c r="C1384">
        <v>3374</v>
      </c>
      <c r="D1384">
        <v>91</v>
      </c>
    </row>
    <row r="1385" spans="3:4">
      <c r="C1385">
        <v>3375</v>
      </c>
      <c r="D1385">
        <v>91</v>
      </c>
    </row>
    <row r="1386" spans="3:4">
      <c r="C1386">
        <v>3377</v>
      </c>
      <c r="D1386">
        <v>90</v>
      </c>
    </row>
    <row r="1387" spans="3:4">
      <c r="C1387">
        <v>3378</v>
      </c>
      <c r="D1387">
        <v>91</v>
      </c>
    </row>
    <row r="1388" spans="3:4">
      <c r="C1388">
        <v>3379</v>
      </c>
      <c r="D1388">
        <v>94</v>
      </c>
    </row>
    <row r="1389" spans="3:4">
      <c r="C1389">
        <v>3381</v>
      </c>
      <c r="D1389">
        <v>90</v>
      </c>
    </row>
    <row r="1390" spans="3:4">
      <c r="C1390">
        <v>3382</v>
      </c>
      <c r="D1390">
        <v>90</v>
      </c>
    </row>
    <row r="1391" spans="3:4">
      <c r="C1391">
        <v>3383</v>
      </c>
      <c r="D1391">
        <v>90</v>
      </c>
    </row>
    <row r="1392" spans="3:4">
      <c r="C1392">
        <v>3384</v>
      </c>
      <c r="D1392">
        <v>89</v>
      </c>
    </row>
    <row r="1393" spans="3:4">
      <c r="C1393">
        <v>3385</v>
      </c>
      <c r="D1393">
        <v>89</v>
      </c>
    </row>
    <row r="1394" spans="3:4">
      <c r="C1394">
        <v>3386</v>
      </c>
      <c r="D1394">
        <v>89</v>
      </c>
    </row>
    <row r="1395" spans="3:4">
      <c r="C1395">
        <v>3387</v>
      </c>
      <c r="D1395">
        <v>89</v>
      </c>
    </row>
    <row r="1396" spans="3:4">
      <c r="C1396">
        <v>3388</v>
      </c>
      <c r="D1396">
        <v>90</v>
      </c>
    </row>
    <row r="1397" spans="3:4">
      <c r="C1397">
        <v>3390</v>
      </c>
      <c r="D1397">
        <v>91</v>
      </c>
    </row>
    <row r="1398" spans="3:4">
      <c r="C1398">
        <v>3393</v>
      </c>
      <c r="D1398">
        <v>91</v>
      </c>
    </row>
    <row r="1399" spans="3:4">
      <c r="C1399">
        <v>3394</v>
      </c>
      <c r="D1399">
        <v>92</v>
      </c>
    </row>
    <row r="1400" spans="3:4">
      <c r="C1400">
        <v>3395</v>
      </c>
      <c r="D1400">
        <v>95</v>
      </c>
    </row>
    <row r="1401" spans="3:4">
      <c r="C1401">
        <v>3396</v>
      </c>
      <c r="D1401">
        <v>96</v>
      </c>
    </row>
    <row r="1402" spans="3:4">
      <c r="C1402">
        <v>3397</v>
      </c>
      <c r="D1402">
        <v>92</v>
      </c>
    </row>
    <row r="1403" spans="3:4">
      <c r="C1403">
        <v>3398</v>
      </c>
      <c r="D1403">
        <v>94</v>
      </c>
    </row>
    <row r="1404" spans="3:4">
      <c r="C1404">
        <v>3399</v>
      </c>
      <c r="D1404">
        <v>96</v>
      </c>
    </row>
    <row r="1405" spans="3:4">
      <c r="C1405">
        <v>3400</v>
      </c>
      <c r="D1405">
        <v>89</v>
      </c>
    </row>
    <row r="1406" spans="3:4">
      <c r="C1406">
        <v>3401</v>
      </c>
      <c r="D1406">
        <v>89</v>
      </c>
    </row>
    <row r="1407" spans="3:4">
      <c r="C1407">
        <v>3402</v>
      </c>
      <c r="D1407">
        <v>89</v>
      </c>
    </row>
    <row r="1408" spans="3:4">
      <c r="C1408">
        <v>3411</v>
      </c>
      <c r="D1408">
        <v>90</v>
      </c>
    </row>
    <row r="1409" spans="3:4">
      <c r="C1409">
        <v>3412</v>
      </c>
      <c r="D1409">
        <v>94</v>
      </c>
    </row>
    <row r="1410" spans="3:4">
      <c r="C1410">
        <v>3413</v>
      </c>
      <c r="D1410">
        <v>93</v>
      </c>
    </row>
    <row r="1411" spans="3:4">
      <c r="C1411">
        <v>3414</v>
      </c>
      <c r="D1411">
        <v>92</v>
      </c>
    </row>
    <row r="1412" spans="3:4">
      <c r="C1412">
        <v>3416</v>
      </c>
      <c r="D1412">
        <v>91</v>
      </c>
    </row>
    <row r="1413" spans="3:4">
      <c r="C1413">
        <v>3417</v>
      </c>
      <c r="D1413">
        <v>92</v>
      </c>
    </row>
    <row r="1414" spans="3:4">
      <c r="C1414">
        <v>3418</v>
      </c>
      <c r="D1414">
        <v>90</v>
      </c>
    </row>
    <row r="1415" spans="3:4">
      <c r="C1415">
        <v>3421</v>
      </c>
      <c r="D1415">
        <v>91</v>
      </c>
    </row>
    <row r="1416" spans="3:4">
      <c r="C1416">
        <v>3422</v>
      </c>
      <c r="D1416">
        <v>90</v>
      </c>
    </row>
    <row r="1417" spans="3:4">
      <c r="C1417">
        <v>3423</v>
      </c>
      <c r="D1417">
        <v>91</v>
      </c>
    </row>
    <row r="1418" spans="3:4">
      <c r="C1418">
        <v>3424</v>
      </c>
      <c r="D1418">
        <v>93</v>
      </c>
    </row>
    <row r="1419" spans="3:4">
      <c r="C1419">
        <v>3425</v>
      </c>
      <c r="D1419">
        <v>92</v>
      </c>
    </row>
    <row r="1420" spans="3:4">
      <c r="C1420">
        <v>3426</v>
      </c>
      <c r="D1420">
        <v>92</v>
      </c>
    </row>
    <row r="1421" spans="3:4">
      <c r="C1421">
        <v>3431</v>
      </c>
      <c r="D1421">
        <v>90</v>
      </c>
    </row>
    <row r="1422" spans="3:4">
      <c r="C1422">
        <v>3432</v>
      </c>
      <c r="D1422">
        <v>93</v>
      </c>
    </row>
    <row r="1423" spans="3:4">
      <c r="C1423">
        <v>3433</v>
      </c>
      <c r="D1423">
        <v>63</v>
      </c>
    </row>
    <row r="1424" spans="3:4">
      <c r="C1424">
        <v>3434</v>
      </c>
      <c r="D1424">
        <v>64</v>
      </c>
    </row>
    <row r="1425" spans="3:4">
      <c r="C1425">
        <v>3435</v>
      </c>
      <c r="D1425">
        <v>63</v>
      </c>
    </row>
    <row r="1426" spans="3:4">
      <c r="C1426">
        <v>3441</v>
      </c>
      <c r="D1426">
        <v>89</v>
      </c>
    </row>
    <row r="1427" spans="3:4">
      <c r="C1427">
        <v>3442</v>
      </c>
      <c r="D1427">
        <v>90</v>
      </c>
    </row>
    <row r="1428" spans="3:4">
      <c r="C1428">
        <v>3443</v>
      </c>
      <c r="D1428">
        <v>91</v>
      </c>
    </row>
    <row r="1429" spans="3:4">
      <c r="C1429">
        <v>3444</v>
      </c>
      <c r="D1429">
        <v>91</v>
      </c>
    </row>
    <row r="1430" spans="3:4">
      <c r="C1430">
        <v>3450</v>
      </c>
      <c r="D1430">
        <v>91</v>
      </c>
    </row>
    <row r="1431" spans="3:4">
      <c r="C1431">
        <v>3458</v>
      </c>
      <c r="D1431">
        <v>97</v>
      </c>
    </row>
    <row r="1432" spans="3:4">
      <c r="C1432">
        <v>3459</v>
      </c>
      <c r="D1432">
        <v>91</v>
      </c>
    </row>
    <row r="1433" spans="3:4">
      <c r="C1433">
        <v>3461</v>
      </c>
      <c r="D1433">
        <v>90</v>
      </c>
    </row>
    <row r="1434" spans="3:4">
      <c r="C1434">
        <v>3462</v>
      </c>
      <c r="D1434">
        <v>90</v>
      </c>
    </row>
    <row r="1435" spans="3:4">
      <c r="C1435">
        <v>3463</v>
      </c>
      <c r="D1435">
        <v>90</v>
      </c>
    </row>
    <row r="1436" spans="3:4">
      <c r="C1436">
        <v>3464</v>
      </c>
      <c r="D1436">
        <v>89</v>
      </c>
    </row>
    <row r="1437" spans="3:4">
      <c r="C1437">
        <v>3465</v>
      </c>
      <c r="D1437">
        <v>90</v>
      </c>
    </row>
    <row r="1438" spans="3:4">
      <c r="C1438">
        <v>3466</v>
      </c>
      <c r="D1438">
        <v>90</v>
      </c>
    </row>
    <row r="1439" spans="3:4">
      <c r="C1439">
        <v>3467</v>
      </c>
      <c r="D1439">
        <v>91</v>
      </c>
    </row>
    <row r="1440" spans="3:4">
      <c r="C1440">
        <v>3500</v>
      </c>
      <c r="D1440">
        <v>55</v>
      </c>
    </row>
    <row r="1441" spans="3:4">
      <c r="C1441">
        <v>3501</v>
      </c>
      <c r="D1441">
        <v>52</v>
      </c>
    </row>
    <row r="1442" spans="3:4">
      <c r="C1442">
        <v>3502</v>
      </c>
      <c r="D1442">
        <v>55</v>
      </c>
    </row>
    <row r="1443" spans="3:4">
      <c r="C1443">
        <v>3503</v>
      </c>
      <c r="D1443">
        <v>55</v>
      </c>
    </row>
    <row r="1444" spans="3:4">
      <c r="C1444">
        <v>3504</v>
      </c>
      <c r="D1444">
        <v>55</v>
      </c>
    </row>
    <row r="1445" spans="3:4">
      <c r="C1445">
        <v>3505</v>
      </c>
      <c r="D1445">
        <v>55</v>
      </c>
    </row>
    <row r="1446" spans="3:4">
      <c r="C1446">
        <v>3506</v>
      </c>
      <c r="D1446">
        <v>55</v>
      </c>
    </row>
    <row r="1447" spans="3:4">
      <c r="C1447">
        <v>3507</v>
      </c>
      <c r="D1447">
        <v>55</v>
      </c>
    </row>
    <row r="1448" spans="3:4">
      <c r="C1448">
        <v>3508</v>
      </c>
      <c r="D1448">
        <v>55</v>
      </c>
    </row>
    <row r="1449" spans="3:4">
      <c r="C1449">
        <v>3509</v>
      </c>
      <c r="D1449">
        <v>94</v>
      </c>
    </row>
    <row r="1450" spans="3:4">
      <c r="C1450">
        <v>3510</v>
      </c>
      <c r="D1450">
        <v>55</v>
      </c>
    </row>
    <row r="1451" spans="3:4">
      <c r="C1451">
        <v>3512</v>
      </c>
      <c r="D1451">
        <v>55</v>
      </c>
    </row>
    <row r="1452" spans="3:4">
      <c r="C1452">
        <v>3513</v>
      </c>
      <c r="D1452">
        <v>55</v>
      </c>
    </row>
    <row r="1453" spans="3:4">
      <c r="C1453">
        <v>3514</v>
      </c>
      <c r="D1453">
        <v>55</v>
      </c>
    </row>
    <row r="1454" spans="3:4">
      <c r="C1454">
        <v>3515</v>
      </c>
      <c r="D1454">
        <v>53</v>
      </c>
    </row>
    <row r="1455" spans="3:4">
      <c r="C1455">
        <v>3516</v>
      </c>
      <c r="D1455">
        <v>53</v>
      </c>
    </row>
    <row r="1456" spans="3:4">
      <c r="C1456">
        <v>3517</v>
      </c>
      <c r="D1456">
        <v>52</v>
      </c>
    </row>
    <row r="1457" spans="3:4">
      <c r="C1457">
        <v>3518</v>
      </c>
      <c r="D1457">
        <v>53</v>
      </c>
    </row>
    <row r="1458" spans="3:4">
      <c r="C1458">
        <v>3519</v>
      </c>
      <c r="D1458">
        <v>55</v>
      </c>
    </row>
    <row r="1459" spans="3:4">
      <c r="C1459">
        <v>3520</v>
      </c>
      <c r="D1459">
        <v>55</v>
      </c>
    </row>
    <row r="1460" spans="3:4">
      <c r="C1460">
        <v>3521</v>
      </c>
      <c r="D1460">
        <v>54</v>
      </c>
    </row>
    <row r="1461" spans="3:4">
      <c r="C1461">
        <v>3523</v>
      </c>
      <c r="D1461">
        <v>55</v>
      </c>
    </row>
    <row r="1462" spans="3:4">
      <c r="C1462">
        <v>3524</v>
      </c>
      <c r="D1462">
        <v>53</v>
      </c>
    </row>
    <row r="1463" spans="3:4">
      <c r="C1463">
        <v>3525</v>
      </c>
      <c r="D1463">
        <v>52</v>
      </c>
    </row>
    <row r="1464" spans="3:4">
      <c r="C1464">
        <v>3526</v>
      </c>
      <c r="D1464">
        <v>51</v>
      </c>
    </row>
    <row r="1465" spans="3:4">
      <c r="C1465">
        <v>3527</v>
      </c>
      <c r="D1465">
        <v>52</v>
      </c>
    </row>
    <row r="1466" spans="3:4">
      <c r="C1466">
        <v>3528</v>
      </c>
      <c r="D1466">
        <v>53</v>
      </c>
    </row>
    <row r="1467" spans="3:4">
      <c r="C1467">
        <v>3529</v>
      </c>
      <c r="D1467">
        <v>53</v>
      </c>
    </row>
    <row r="1468" spans="3:4">
      <c r="C1468">
        <v>3530</v>
      </c>
      <c r="D1468">
        <v>52</v>
      </c>
    </row>
    <row r="1469" spans="3:4">
      <c r="C1469">
        <v>3531</v>
      </c>
      <c r="D1469">
        <v>53</v>
      </c>
    </row>
    <row r="1470" spans="3:4">
      <c r="C1470">
        <v>3532</v>
      </c>
      <c r="D1470">
        <v>53</v>
      </c>
    </row>
    <row r="1471" spans="3:4">
      <c r="C1471">
        <v>3533</v>
      </c>
      <c r="D1471">
        <v>53</v>
      </c>
    </row>
    <row r="1472" spans="3:4">
      <c r="C1472">
        <v>3534</v>
      </c>
      <c r="D1472">
        <v>54</v>
      </c>
    </row>
    <row r="1473" spans="3:4">
      <c r="C1473">
        <v>3535</v>
      </c>
      <c r="D1473">
        <v>53</v>
      </c>
    </row>
    <row r="1474" spans="3:4">
      <c r="C1474">
        <v>3538</v>
      </c>
      <c r="D1474">
        <v>53</v>
      </c>
    </row>
    <row r="1475" spans="3:4">
      <c r="C1475">
        <v>3540</v>
      </c>
      <c r="D1475">
        <v>55</v>
      </c>
    </row>
    <row r="1476" spans="3:4">
      <c r="C1476">
        <v>3541</v>
      </c>
      <c r="D1476">
        <v>55</v>
      </c>
    </row>
    <row r="1477" spans="3:4">
      <c r="C1477">
        <v>3542</v>
      </c>
      <c r="D1477">
        <v>55</v>
      </c>
    </row>
    <row r="1478" spans="3:4">
      <c r="C1478">
        <v>3543</v>
      </c>
      <c r="D1478">
        <v>55</v>
      </c>
    </row>
    <row r="1479" spans="3:4">
      <c r="C1479">
        <v>3544</v>
      </c>
      <c r="D1479">
        <v>55</v>
      </c>
    </row>
    <row r="1480" spans="3:4">
      <c r="C1480">
        <v>3545</v>
      </c>
      <c r="D1480">
        <v>55</v>
      </c>
    </row>
    <row r="1481" spans="3:4">
      <c r="C1481">
        <v>3546</v>
      </c>
      <c r="D1481">
        <v>55</v>
      </c>
    </row>
    <row r="1482" spans="3:4">
      <c r="C1482">
        <v>3547</v>
      </c>
      <c r="D1482">
        <v>55</v>
      </c>
    </row>
    <row r="1483" spans="3:4">
      <c r="C1483">
        <v>3548</v>
      </c>
      <c r="D1483">
        <v>55</v>
      </c>
    </row>
    <row r="1484" spans="3:4">
      <c r="C1484">
        <v>3551</v>
      </c>
      <c r="D1484">
        <v>97</v>
      </c>
    </row>
    <row r="1485" spans="3:4">
      <c r="C1485">
        <v>3552</v>
      </c>
      <c r="D1485">
        <v>94</v>
      </c>
    </row>
    <row r="1486" spans="3:4">
      <c r="C1486">
        <v>3553</v>
      </c>
      <c r="D1486">
        <v>96</v>
      </c>
    </row>
    <row r="1487" spans="3:4">
      <c r="C1487">
        <v>3554</v>
      </c>
      <c r="D1487">
        <v>63</v>
      </c>
    </row>
    <row r="1488" spans="3:4">
      <c r="C1488">
        <v>3555</v>
      </c>
      <c r="D1488">
        <v>94</v>
      </c>
    </row>
    <row r="1489" spans="3:4">
      <c r="C1489">
        <v>3556</v>
      </c>
      <c r="D1489">
        <v>96</v>
      </c>
    </row>
    <row r="1490" spans="3:4">
      <c r="C1490">
        <v>3557</v>
      </c>
      <c r="D1490">
        <v>97</v>
      </c>
    </row>
    <row r="1491" spans="3:4">
      <c r="C1491">
        <v>3558</v>
      </c>
      <c r="D1491">
        <v>53</v>
      </c>
    </row>
    <row r="1492" spans="3:4">
      <c r="C1492">
        <v>3559</v>
      </c>
      <c r="D1492">
        <v>96</v>
      </c>
    </row>
    <row r="1493" spans="3:4">
      <c r="C1493">
        <v>3561</v>
      </c>
      <c r="D1493">
        <v>97</v>
      </c>
    </row>
    <row r="1494" spans="3:4">
      <c r="C1494">
        <v>3562</v>
      </c>
      <c r="D1494">
        <v>94</v>
      </c>
    </row>
    <row r="1495" spans="3:4">
      <c r="C1495">
        <v>3563</v>
      </c>
      <c r="D1495">
        <v>94</v>
      </c>
    </row>
    <row r="1496" spans="3:4">
      <c r="C1496">
        <v>3564</v>
      </c>
      <c r="D1496">
        <v>96</v>
      </c>
    </row>
    <row r="1497" spans="3:4">
      <c r="C1497">
        <v>3565</v>
      </c>
      <c r="D1497">
        <v>93</v>
      </c>
    </row>
    <row r="1498" spans="3:4">
      <c r="C1498">
        <v>3571</v>
      </c>
      <c r="D1498">
        <v>94</v>
      </c>
    </row>
    <row r="1499" spans="3:4">
      <c r="C1499">
        <v>3572</v>
      </c>
      <c r="D1499">
        <v>97</v>
      </c>
    </row>
    <row r="1500" spans="3:4">
      <c r="C1500">
        <v>3573</v>
      </c>
      <c r="D1500">
        <v>97</v>
      </c>
    </row>
    <row r="1501" spans="3:4">
      <c r="C1501">
        <v>3574</v>
      </c>
      <c r="D1501">
        <v>97</v>
      </c>
    </row>
    <row r="1502" spans="3:4">
      <c r="C1502">
        <v>3575</v>
      </c>
      <c r="D1502">
        <v>96</v>
      </c>
    </row>
    <row r="1503" spans="3:4">
      <c r="C1503">
        <v>3576</v>
      </c>
      <c r="D1503">
        <v>94</v>
      </c>
    </row>
    <row r="1504" spans="3:4">
      <c r="C1504">
        <v>3577</v>
      </c>
      <c r="D1504">
        <v>95</v>
      </c>
    </row>
    <row r="1505" spans="3:4">
      <c r="C1505">
        <v>3578</v>
      </c>
      <c r="D1505">
        <v>90</v>
      </c>
    </row>
    <row r="1506" spans="3:4">
      <c r="C1506">
        <v>3579</v>
      </c>
      <c r="D1506">
        <v>90</v>
      </c>
    </row>
    <row r="1507" spans="3:4">
      <c r="C1507">
        <v>3580</v>
      </c>
      <c r="D1507">
        <v>92</v>
      </c>
    </row>
    <row r="1508" spans="3:4">
      <c r="C1508">
        <v>3581</v>
      </c>
      <c r="D1508">
        <v>92</v>
      </c>
    </row>
    <row r="1509" spans="3:4">
      <c r="C1509">
        <v>3582</v>
      </c>
      <c r="D1509">
        <v>92</v>
      </c>
    </row>
    <row r="1510" spans="3:4">
      <c r="C1510">
        <v>3586</v>
      </c>
      <c r="D1510">
        <v>89</v>
      </c>
    </row>
    <row r="1511" spans="3:4">
      <c r="C1511">
        <v>3587</v>
      </c>
      <c r="D1511">
        <v>92</v>
      </c>
    </row>
    <row r="1512" spans="3:4">
      <c r="C1512">
        <v>3588</v>
      </c>
      <c r="D1512">
        <v>93</v>
      </c>
    </row>
    <row r="1513" spans="3:4">
      <c r="C1513">
        <v>3589</v>
      </c>
      <c r="D1513">
        <v>93</v>
      </c>
    </row>
    <row r="1514" spans="3:4">
      <c r="C1514">
        <v>3591</v>
      </c>
      <c r="D1514">
        <v>92</v>
      </c>
    </row>
    <row r="1515" spans="3:4">
      <c r="C1515">
        <v>3592</v>
      </c>
      <c r="D1515">
        <v>92</v>
      </c>
    </row>
    <row r="1516" spans="3:4">
      <c r="C1516">
        <v>3593</v>
      </c>
      <c r="D1516">
        <v>92</v>
      </c>
    </row>
    <row r="1517" spans="3:4">
      <c r="C1517">
        <v>3594</v>
      </c>
      <c r="D1517">
        <v>91</v>
      </c>
    </row>
    <row r="1518" spans="3:4">
      <c r="C1518">
        <v>3595</v>
      </c>
      <c r="D1518">
        <v>90</v>
      </c>
    </row>
    <row r="1519" spans="3:4">
      <c r="C1519">
        <v>3596</v>
      </c>
      <c r="D1519">
        <v>91</v>
      </c>
    </row>
    <row r="1520" spans="3:4">
      <c r="C1520">
        <v>3597</v>
      </c>
      <c r="D1520">
        <v>91</v>
      </c>
    </row>
    <row r="1521" spans="3:4">
      <c r="C1521">
        <v>3598</v>
      </c>
      <c r="D1521">
        <v>90</v>
      </c>
    </row>
    <row r="1522" spans="3:4">
      <c r="C1522">
        <v>3599</v>
      </c>
      <c r="D1522">
        <v>90</v>
      </c>
    </row>
    <row r="1523" spans="3:4">
      <c r="C1523">
        <v>3600</v>
      </c>
      <c r="D1523">
        <v>94</v>
      </c>
    </row>
    <row r="1524" spans="3:4">
      <c r="C1524">
        <v>3601</v>
      </c>
      <c r="D1524">
        <v>94</v>
      </c>
    </row>
    <row r="1525" spans="3:4">
      <c r="C1525">
        <v>3602</v>
      </c>
      <c r="D1525">
        <v>94</v>
      </c>
    </row>
    <row r="1526" spans="3:4">
      <c r="C1526">
        <v>3603</v>
      </c>
      <c r="D1526">
        <v>94</v>
      </c>
    </row>
    <row r="1527" spans="3:4">
      <c r="C1527">
        <v>3604</v>
      </c>
      <c r="D1527">
        <v>93</v>
      </c>
    </row>
    <row r="1528" spans="3:4">
      <c r="C1528">
        <v>3606</v>
      </c>
      <c r="D1528">
        <v>94</v>
      </c>
    </row>
    <row r="1529" spans="3:4">
      <c r="C1529">
        <v>3607</v>
      </c>
      <c r="D1529">
        <v>94</v>
      </c>
    </row>
    <row r="1530" spans="3:4">
      <c r="C1530">
        <v>3608</v>
      </c>
      <c r="D1530">
        <v>95</v>
      </c>
    </row>
    <row r="1531" spans="3:4">
      <c r="C1531">
        <v>3621</v>
      </c>
      <c r="D1531">
        <v>94</v>
      </c>
    </row>
    <row r="1532" spans="3:4">
      <c r="C1532">
        <v>3622</v>
      </c>
      <c r="D1532">
        <v>93</v>
      </c>
    </row>
    <row r="1533" spans="3:4">
      <c r="C1533">
        <v>3623</v>
      </c>
      <c r="D1533">
        <v>93</v>
      </c>
    </row>
    <row r="1534" spans="3:4">
      <c r="C1534">
        <v>3625</v>
      </c>
      <c r="D1534">
        <v>93</v>
      </c>
    </row>
    <row r="1535" spans="3:4">
      <c r="C1535">
        <v>3626</v>
      </c>
      <c r="D1535">
        <v>97</v>
      </c>
    </row>
    <row r="1536" spans="3:4">
      <c r="C1536">
        <v>3627</v>
      </c>
      <c r="D1536">
        <v>94</v>
      </c>
    </row>
    <row r="1537" spans="3:4">
      <c r="C1537">
        <v>3630</v>
      </c>
      <c r="D1537">
        <v>96</v>
      </c>
    </row>
    <row r="1538" spans="3:4">
      <c r="C1538">
        <v>3635</v>
      </c>
      <c r="D1538">
        <v>93</v>
      </c>
    </row>
    <row r="1539" spans="3:4">
      <c r="C1539">
        <v>3636</v>
      </c>
      <c r="D1539">
        <v>92</v>
      </c>
    </row>
    <row r="1540" spans="3:4">
      <c r="C1540">
        <v>3641</v>
      </c>
      <c r="D1540">
        <v>94</v>
      </c>
    </row>
    <row r="1541" spans="3:4">
      <c r="C1541">
        <v>3642</v>
      </c>
      <c r="D1541">
        <v>96</v>
      </c>
    </row>
    <row r="1542" spans="3:4">
      <c r="C1542">
        <v>3643</v>
      </c>
      <c r="D1542">
        <v>92</v>
      </c>
    </row>
    <row r="1543" spans="3:4">
      <c r="C1543">
        <v>3644</v>
      </c>
      <c r="D1543">
        <v>91</v>
      </c>
    </row>
    <row r="1544" spans="3:4">
      <c r="C1544">
        <v>3645</v>
      </c>
      <c r="D1544">
        <v>92</v>
      </c>
    </row>
    <row r="1545" spans="3:4">
      <c r="C1545">
        <v>3646</v>
      </c>
      <c r="D1545">
        <v>92</v>
      </c>
    </row>
    <row r="1546" spans="3:4">
      <c r="C1546">
        <v>3647</v>
      </c>
      <c r="D1546">
        <v>93</v>
      </c>
    </row>
    <row r="1547" spans="3:4">
      <c r="C1547">
        <v>3648</v>
      </c>
      <c r="D1547">
        <v>93</v>
      </c>
    </row>
    <row r="1548" spans="3:4">
      <c r="C1548">
        <v>3651</v>
      </c>
      <c r="D1548">
        <v>93</v>
      </c>
    </row>
    <row r="1549" spans="3:4">
      <c r="C1549">
        <v>3652</v>
      </c>
      <c r="D1549">
        <v>94</v>
      </c>
    </row>
    <row r="1550" spans="3:4">
      <c r="C1550">
        <v>3653</v>
      </c>
      <c r="D1550">
        <v>93</v>
      </c>
    </row>
    <row r="1551" spans="3:4">
      <c r="C1551">
        <v>3654</v>
      </c>
      <c r="D1551">
        <v>96</v>
      </c>
    </row>
    <row r="1552" spans="3:4">
      <c r="C1552">
        <v>3655</v>
      </c>
      <c r="D1552">
        <v>94</v>
      </c>
    </row>
    <row r="1553" spans="3:4">
      <c r="C1553">
        <v>3656</v>
      </c>
      <c r="D1553">
        <v>93</v>
      </c>
    </row>
    <row r="1554" spans="3:4">
      <c r="C1554">
        <v>3657</v>
      </c>
      <c r="D1554">
        <v>93</v>
      </c>
    </row>
    <row r="1555" spans="3:4">
      <c r="C1555">
        <v>3658</v>
      </c>
      <c r="D1555">
        <v>92</v>
      </c>
    </row>
    <row r="1556" spans="3:4">
      <c r="C1556">
        <v>3659</v>
      </c>
      <c r="D1556">
        <v>92</v>
      </c>
    </row>
    <row r="1557" spans="3:4">
      <c r="C1557">
        <v>3661</v>
      </c>
      <c r="D1557">
        <v>91</v>
      </c>
    </row>
    <row r="1558" spans="3:4">
      <c r="C1558">
        <v>3662</v>
      </c>
      <c r="D1558">
        <v>94</v>
      </c>
    </row>
    <row r="1559" spans="3:4">
      <c r="C1559">
        <v>3663</v>
      </c>
      <c r="D1559">
        <v>94</v>
      </c>
    </row>
    <row r="1560" spans="3:4">
      <c r="C1560">
        <v>3664</v>
      </c>
      <c r="D1560">
        <v>96</v>
      </c>
    </row>
    <row r="1561" spans="3:4">
      <c r="C1561">
        <v>3671</v>
      </c>
      <c r="D1561">
        <v>93</v>
      </c>
    </row>
    <row r="1562" spans="3:4">
      <c r="C1562">
        <v>3672</v>
      </c>
      <c r="D1562">
        <v>94</v>
      </c>
    </row>
    <row r="1563" spans="3:4">
      <c r="C1563">
        <v>3700</v>
      </c>
      <c r="D1563">
        <v>95</v>
      </c>
    </row>
    <row r="1564" spans="3:4">
      <c r="C1564">
        <v>3701</v>
      </c>
      <c r="D1564">
        <v>93</v>
      </c>
    </row>
    <row r="1565" spans="3:4">
      <c r="C1565">
        <v>3702</v>
      </c>
      <c r="D1565">
        <v>93</v>
      </c>
    </row>
    <row r="1566" spans="3:4">
      <c r="C1566">
        <v>3703</v>
      </c>
      <c r="D1566">
        <v>93</v>
      </c>
    </row>
    <row r="1567" spans="3:4">
      <c r="C1567">
        <v>3704</v>
      </c>
      <c r="D1567">
        <v>93</v>
      </c>
    </row>
    <row r="1568" spans="3:4">
      <c r="C1568">
        <v>3705</v>
      </c>
      <c r="D1568">
        <v>93</v>
      </c>
    </row>
    <row r="1569" spans="3:4">
      <c r="C1569">
        <v>3710</v>
      </c>
      <c r="D1569">
        <v>93</v>
      </c>
    </row>
    <row r="1570" spans="3:4">
      <c r="C1570">
        <v>3711</v>
      </c>
      <c r="D1570">
        <v>95</v>
      </c>
    </row>
    <row r="1571" spans="3:4">
      <c r="C1571">
        <v>3712</v>
      </c>
      <c r="D1571">
        <v>94</v>
      </c>
    </row>
    <row r="1572" spans="3:4">
      <c r="C1572">
        <v>3713</v>
      </c>
      <c r="D1572">
        <v>93</v>
      </c>
    </row>
    <row r="1573" spans="3:4">
      <c r="C1573">
        <v>3714</v>
      </c>
      <c r="D1573">
        <v>96</v>
      </c>
    </row>
    <row r="1574" spans="3:4">
      <c r="C1574">
        <v>3715</v>
      </c>
      <c r="D1574">
        <v>97</v>
      </c>
    </row>
    <row r="1575" spans="3:4">
      <c r="C1575">
        <v>3716</v>
      </c>
      <c r="D1575">
        <v>93</v>
      </c>
    </row>
    <row r="1576" spans="3:4">
      <c r="C1576">
        <v>3717</v>
      </c>
      <c r="D1576">
        <v>94</v>
      </c>
    </row>
    <row r="1577" spans="3:4">
      <c r="C1577">
        <v>3718</v>
      </c>
      <c r="D1577">
        <v>93</v>
      </c>
    </row>
    <row r="1578" spans="3:4">
      <c r="C1578">
        <v>3720</v>
      </c>
      <c r="D1578">
        <v>93</v>
      </c>
    </row>
    <row r="1579" spans="3:4">
      <c r="C1579">
        <v>3721</v>
      </c>
      <c r="D1579">
        <v>93</v>
      </c>
    </row>
    <row r="1580" spans="3:4">
      <c r="C1580">
        <v>3722</v>
      </c>
      <c r="D1580">
        <v>94</v>
      </c>
    </row>
    <row r="1581" spans="3:4">
      <c r="C1581">
        <v>3723</v>
      </c>
      <c r="D1581">
        <v>95</v>
      </c>
    </row>
    <row r="1582" spans="3:4">
      <c r="C1582">
        <v>3724</v>
      </c>
      <c r="D1582">
        <v>96</v>
      </c>
    </row>
    <row r="1583" spans="3:4">
      <c r="C1583">
        <v>3725</v>
      </c>
      <c r="D1583">
        <v>96</v>
      </c>
    </row>
    <row r="1584" spans="3:4">
      <c r="C1584">
        <v>3726</v>
      </c>
      <c r="D1584">
        <v>96</v>
      </c>
    </row>
    <row r="1585" spans="3:4">
      <c r="C1585">
        <v>3727</v>
      </c>
      <c r="D1585">
        <v>96</v>
      </c>
    </row>
    <row r="1586" spans="3:4">
      <c r="C1586">
        <v>3728</v>
      </c>
      <c r="D1586">
        <v>96</v>
      </c>
    </row>
    <row r="1587" spans="3:4">
      <c r="C1587">
        <v>3729</v>
      </c>
      <c r="D1587">
        <v>94</v>
      </c>
    </row>
    <row r="1588" spans="3:4">
      <c r="C1588">
        <v>3731</v>
      </c>
      <c r="D1588">
        <v>93</v>
      </c>
    </row>
    <row r="1589" spans="3:4">
      <c r="C1589">
        <v>3732</v>
      </c>
      <c r="D1589">
        <v>96</v>
      </c>
    </row>
    <row r="1590" spans="3:4">
      <c r="C1590">
        <v>3733</v>
      </c>
      <c r="D1590">
        <v>94</v>
      </c>
    </row>
    <row r="1591" spans="3:4">
      <c r="C1591">
        <v>3734</v>
      </c>
      <c r="D1591">
        <v>94</v>
      </c>
    </row>
    <row r="1592" spans="3:4">
      <c r="C1592">
        <v>3735</v>
      </c>
      <c r="D1592">
        <v>94</v>
      </c>
    </row>
    <row r="1593" spans="3:4">
      <c r="C1593">
        <v>3741</v>
      </c>
      <c r="D1593">
        <v>93</v>
      </c>
    </row>
    <row r="1594" spans="3:4">
      <c r="C1594">
        <v>3742</v>
      </c>
      <c r="D1594">
        <v>92</v>
      </c>
    </row>
    <row r="1595" spans="3:4">
      <c r="C1595">
        <v>3743</v>
      </c>
      <c r="D1595">
        <v>94</v>
      </c>
    </row>
    <row r="1596" spans="3:4">
      <c r="C1596">
        <v>3744</v>
      </c>
      <c r="D1596">
        <v>91</v>
      </c>
    </row>
    <row r="1597" spans="3:4">
      <c r="C1597">
        <v>3751</v>
      </c>
      <c r="D1597">
        <v>94</v>
      </c>
    </row>
    <row r="1598" spans="3:4">
      <c r="C1598">
        <v>3752</v>
      </c>
      <c r="D1598">
        <v>95</v>
      </c>
    </row>
    <row r="1599" spans="3:4">
      <c r="C1599">
        <v>3753</v>
      </c>
      <c r="D1599">
        <v>93</v>
      </c>
    </row>
    <row r="1600" spans="3:4">
      <c r="C1600">
        <v>3754</v>
      </c>
      <c r="D1600">
        <v>93</v>
      </c>
    </row>
    <row r="1601" spans="3:4">
      <c r="C1601">
        <v>3755</v>
      </c>
      <c r="D1601">
        <v>93</v>
      </c>
    </row>
    <row r="1602" spans="3:4">
      <c r="C1602">
        <v>3756</v>
      </c>
      <c r="D1602">
        <v>93</v>
      </c>
    </row>
    <row r="1603" spans="3:4">
      <c r="C1603">
        <v>3757</v>
      </c>
      <c r="D1603">
        <v>94</v>
      </c>
    </row>
    <row r="1604" spans="3:4">
      <c r="C1604">
        <v>3758</v>
      </c>
      <c r="D1604">
        <v>96</v>
      </c>
    </row>
    <row r="1605" spans="3:4">
      <c r="C1605">
        <v>3759</v>
      </c>
      <c r="D1605">
        <v>95</v>
      </c>
    </row>
    <row r="1606" spans="3:4">
      <c r="C1606">
        <v>3761</v>
      </c>
      <c r="D1606">
        <v>94</v>
      </c>
    </row>
    <row r="1607" spans="3:4">
      <c r="C1607">
        <v>3762</v>
      </c>
      <c r="D1607">
        <v>94</v>
      </c>
    </row>
    <row r="1608" spans="3:4">
      <c r="C1608">
        <v>3763</v>
      </c>
      <c r="D1608">
        <v>95</v>
      </c>
    </row>
    <row r="1609" spans="3:4">
      <c r="C1609">
        <v>3764</v>
      </c>
      <c r="D1609">
        <v>93</v>
      </c>
    </row>
    <row r="1610" spans="3:4">
      <c r="C1610">
        <v>3765</v>
      </c>
      <c r="D1610">
        <v>93</v>
      </c>
    </row>
    <row r="1611" spans="3:4">
      <c r="C1611">
        <v>3767</v>
      </c>
      <c r="D1611">
        <v>92</v>
      </c>
    </row>
    <row r="1612" spans="3:4">
      <c r="C1612">
        <v>3768</v>
      </c>
      <c r="D1612">
        <v>92</v>
      </c>
    </row>
    <row r="1613" spans="3:4">
      <c r="C1613">
        <v>3769</v>
      </c>
      <c r="D1613">
        <v>92</v>
      </c>
    </row>
    <row r="1614" spans="3:4">
      <c r="C1614">
        <v>3770</v>
      </c>
      <c r="D1614">
        <v>96</v>
      </c>
    </row>
    <row r="1615" spans="3:4">
      <c r="C1615">
        <v>3773</v>
      </c>
      <c r="D1615">
        <v>98</v>
      </c>
    </row>
    <row r="1616" spans="3:4">
      <c r="C1616">
        <v>3775</v>
      </c>
      <c r="D1616">
        <v>97</v>
      </c>
    </row>
    <row r="1617" spans="3:4">
      <c r="C1617">
        <v>3776</v>
      </c>
      <c r="D1617">
        <v>97</v>
      </c>
    </row>
    <row r="1618" spans="3:4">
      <c r="C1618">
        <v>3777</v>
      </c>
      <c r="D1618">
        <v>96</v>
      </c>
    </row>
    <row r="1619" spans="3:4">
      <c r="C1619">
        <v>3778</v>
      </c>
      <c r="D1619">
        <v>95</v>
      </c>
    </row>
    <row r="1620" spans="3:4">
      <c r="C1620">
        <v>3779</v>
      </c>
      <c r="D1620">
        <v>99</v>
      </c>
    </row>
    <row r="1621" spans="3:4">
      <c r="C1621">
        <v>3780</v>
      </c>
      <c r="D1621">
        <v>94</v>
      </c>
    </row>
    <row r="1622" spans="3:4">
      <c r="C1622">
        <v>3783</v>
      </c>
      <c r="D1622">
        <v>93</v>
      </c>
    </row>
    <row r="1623" spans="3:4">
      <c r="C1623">
        <v>3785</v>
      </c>
      <c r="D1623">
        <v>93</v>
      </c>
    </row>
    <row r="1624" spans="3:4">
      <c r="C1624">
        <v>3786</v>
      </c>
      <c r="D1624">
        <v>93</v>
      </c>
    </row>
    <row r="1625" spans="3:4">
      <c r="C1625">
        <v>3787</v>
      </c>
      <c r="D1625">
        <v>93</v>
      </c>
    </row>
    <row r="1626" spans="3:4">
      <c r="C1626">
        <v>3791</v>
      </c>
      <c r="D1626">
        <v>95</v>
      </c>
    </row>
    <row r="1627" spans="3:4">
      <c r="C1627">
        <v>3792</v>
      </c>
      <c r="D1627">
        <v>96</v>
      </c>
    </row>
    <row r="1628" spans="3:4">
      <c r="C1628">
        <v>3793</v>
      </c>
      <c r="D1628">
        <v>95</v>
      </c>
    </row>
    <row r="1629" spans="3:4">
      <c r="C1629">
        <v>3794</v>
      </c>
      <c r="D1629">
        <v>92</v>
      </c>
    </row>
    <row r="1630" spans="3:4">
      <c r="C1630">
        <v>3795</v>
      </c>
      <c r="D1630">
        <v>94</v>
      </c>
    </row>
    <row r="1631" spans="3:4">
      <c r="C1631">
        <v>3796</v>
      </c>
      <c r="D1631">
        <v>93</v>
      </c>
    </row>
    <row r="1632" spans="3:4">
      <c r="C1632">
        <v>3800</v>
      </c>
      <c r="D1632">
        <v>94</v>
      </c>
    </row>
    <row r="1633" spans="3:4">
      <c r="C1633">
        <v>3809</v>
      </c>
      <c r="D1633">
        <v>92</v>
      </c>
    </row>
    <row r="1634" spans="3:4">
      <c r="C1634">
        <v>3811</v>
      </c>
      <c r="D1634">
        <v>95</v>
      </c>
    </row>
    <row r="1635" spans="3:4">
      <c r="C1635">
        <v>3812</v>
      </c>
      <c r="D1635">
        <v>93</v>
      </c>
    </row>
    <row r="1636" spans="3:4">
      <c r="C1636">
        <v>3813</v>
      </c>
      <c r="D1636">
        <v>93</v>
      </c>
    </row>
    <row r="1637" spans="3:4">
      <c r="C1637">
        <v>3814</v>
      </c>
      <c r="D1637">
        <v>93</v>
      </c>
    </row>
    <row r="1638" spans="3:4">
      <c r="C1638">
        <v>3815</v>
      </c>
      <c r="D1638">
        <v>93</v>
      </c>
    </row>
    <row r="1639" spans="3:4">
      <c r="C1639">
        <v>3816</v>
      </c>
      <c r="D1639">
        <v>92</v>
      </c>
    </row>
    <row r="1640" spans="3:4">
      <c r="C1640">
        <v>3817</v>
      </c>
      <c r="D1640">
        <v>92</v>
      </c>
    </row>
    <row r="1641" spans="3:4">
      <c r="C1641">
        <v>3821</v>
      </c>
      <c r="D1641">
        <v>91</v>
      </c>
    </row>
    <row r="1642" spans="3:4">
      <c r="C1642">
        <v>3825</v>
      </c>
      <c r="D1642">
        <v>92</v>
      </c>
    </row>
    <row r="1643" spans="3:4">
      <c r="C1643">
        <v>3826</v>
      </c>
      <c r="D1643">
        <v>93</v>
      </c>
    </row>
    <row r="1644" spans="3:4">
      <c r="C1644">
        <v>3831</v>
      </c>
      <c r="D1644">
        <v>94</v>
      </c>
    </row>
    <row r="1645" spans="3:4">
      <c r="C1645">
        <v>3832</v>
      </c>
      <c r="D1645">
        <v>93</v>
      </c>
    </row>
    <row r="1646" spans="3:4">
      <c r="C1646">
        <v>3833</v>
      </c>
      <c r="D1646">
        <v>92</v>
      </c>
    </row>
    <row r="1647" spans="3:4">
      <c r="C1647">
        <v>3834</v>
      </c>
      <c r="D1647">
        <v>91</v>
      </c>
    </row>
    <row r="1648" spans="3:4">
      <c r="C1648">
        <v>3836</v>
      </c>
      <c r="D1648">
        <v>91</v>
      </c>
    </row>
    <row r="1649" spans="3:4">
      <c r="C1649">
        <v>3837</v>
      </c>
      <c r="D1649">
        <v>91</v>
      </c>
    </row>
    <row r="1650" spans="3:4">
      <c r="C1650">
        <v>3840</v>
      </c>
      <c r="D1650">
        <v>91</v>
      </c>
    </row>
    <row r="1651" spans="3:4">
      <c r="C1651">
        <v>3841</v>
      </c>
      <c r="D1651">
        <v>97</v>
      </c>
    </row>
    <row r="1652" spans="3:4">
      <c r="C1652">
        <v>3842</v>
      </c>
      <c r="D1652">
        <v>94</v>
      </c>
    </row>
    <row r="1653" spans="3:4">
      <c r="C1653">
        <v>3843</v>
      </c>
      <c r="D1653">
        <v>94</v>
      </c>
    </row>
    <row r="1654" spans="3:4">
      <c r="C1654">
        <v>3844</v>
      </c>
      <c r="D1654">
        <v>94</v>
      </c>
    </row>
    <row r="1655" spans="3:4">
      <c r="C1655">
        <v>3846</v>
      </c>
      <c r="D1655">
        <v>94</v>
      </c>
    </row>
    <row r="1656" spans="3:4">
      <c r="C1656">
        <v>3847</v>
      </c>
      <c r="D1656">
        <v>92</v>
      </c>
    </row>
    <row r="1657" spans="3:4">
      <c r="C1657">
        <v>3848</v>
      </c>
      <c r="D1657">
        <v>93</v>
      </c>
    </row>
    <row r="1658" spans="3:4">
      <c r="C1658">
        <v>3849</v>
      </c>
      <c r="D1658">
        <v>91</v>
      </c>
    </row>
    <row r="1659" spans="3:4">
      <c r="C1659">
        <v>3851</v>
      </c>
      <c r="D1659">
        <v>91</v>
      </c>
    </row>
    <row r="1660" spans="3:4">
      <c r="C1660">
        <v>3852</v>
      </c>
      <c r="D1660">
        <v>92</v>
      </c>
    </row>
    <row r="1661" spans="3:4">
      <c r="C1661">
        <v>3853</v>
      </c>
      <c r="D1661">
        <v>92</v>
      </c>
    </row>
    <row r="1662" spans="3:4">
      <c r="C1662">
        <v>3854</v>
      </c>
      <c r="D1662">
        <v>93</v>
      </c>
    </row>
    <row r="1663" spans="3:4">
      <c r="C1663">
        <v>3855</v>
      </c>
      <c r="D1663">
        <v>91</v>
      </c>
    </row>
    <row r="1664" spans="3:4">
      <c r="C1664">
        <v>3860</v>
      </c>
      <c r="D1664">
        <v>91</v>
      </c>
    </row>
    <row r="1665" spans="3:4">
      <c r="C1665">
        <v>3861</v>
      </c>
      <c r="D1665">
        <v>91</v>
      </c>
    </row>
    <row r="1666" spans="3:4">
      <c r="C1666">
        <v>3863</v>
      </c>
      <c r="D1666">
        <v>91</v>
      </c>
    </row>
    <row r="1667" spans="3:4">
      <c r="C1667">
        <v>3864</v>
      </c>
      <c r="D1667">
        <v>91</v>
      </c>
    </row>
    <row r="1668" spans="3:4">
      <c r="C1668">
        <v>3865</v>
      </c>
      <c r="D1668">
        <v>91</v>
      </c>
    </row>
    <row r="1669" spans="3:4">
      <c r="C1669">
        <v>3866</v>
      </c>
      <c r="D1669">
        <v>91</v>
      </c>
    </row>
    <row r="1670" spans="3:4">
      <c r="C1670">
        <v>3867</v>
      </c>
      <c r="D1670">
        <v>91</v>
      </c>
    </row>
    <row r="1671" spans="3:4">
      <c r="C1671">
        <v>3868</v>
      </c>
      <c r="D1671">
        <v>91</v>
      </c>
    </row>
    <row r="1672" spans="3:4">
      <c r="C1672">
        <v>3871</v>
      </c>
      <c r="D1672">
        <v>91</v>
      </c>
    </row>
    <row r="1673" spans="3:4">
      <c r="C1673">
        <v>3872</v>
      </c>
      <c r="D1673">
        <v>91</v>
      </c>
    </row>
    <row r="1674" spans="3:4">
      <c r="C1674">
        <v>3873</v>
      </c>
      <c r="D1674">
        <v>91</v>
      </c>
    </row>
    <row r="1675" spans="3:4">
      <c r="C1675">
        <v>3874</v>
      </c>
      <c r="D1675">
        <v>92</v>
      </c>
    </row>
    <row r="1676" spans="3:4">
      <c r="C1676">
        <v>3875</v>
      </c>
      <c r="D1676">
        <v>91</v>
      </c>
    </row>
    <row r="1677" spans="3:4">
      <c r="C1677">
        <v>3876</v>
      </c>
      <c r="D1677">
        <v>91</v>
      </c>
    </row>
    <row r="1678" spans="3:4">
      <c r="C1678">
        <v>3877</v>
      </c>
      <c r="D1678">
        <v>92</v>
      </c>
    </row>
    <row r="1679" spans="3:4">
      <c r="C1679">
        <v>3880</v>
      </c>
      <c r="D1679">
        <v>92</v>
      </c>
    </row>
    <row r="1680" spans="3:4">
      <c r="C1680">
        <v>3881</v>
      </c>
      <c r="D1680">
        <v>91</v>
      </c>
    </row>
    <row r="1681" spans="3:4">
      <c r="C1681">
        <v>3882</v>
      </c>
      <c r="D1681">
        <v>92</v>
      </c>
    </row>
    <row r="1682" spans="3:4">
      <c r="C1682">
        <v>3884</v>
      </c>
      <c r="D1682">
        <v>91</v>
      </c>
    </row>
    <row r="1683" spans="3:4">
      <c r="C1683">
        <v>3885</v>
      </c>
      <c r="D1683">
        <v>91</v>
      </c>
    </row>
    <row r="1684" spans="3:4">
      <c r="C1684">
        <v>3886</v>
      </c>
      <c r="D1684">
        <v>91</v>
      </c>
    </row>
    <row r="1685" spans="3:4">
      <c r="C1685">
        <v>3887</v>
      </c>
      <c r="D1685">
        <v>91</v>
      </c>
    </row>
    <row r="1686" spans="3:4">
      <c r="C1686">
        <v>3888</v>
      </c>
      <c r="D1686">
        <v>90</v>
      </c>
    </row>
    <row r="1687" spans="3:4">
      <c r="C1687">
        <v>3891</v>
      </c>
      <c r="D1687">
        <v>91</v>
      </c>
    </row>
    <row r="1688" spans="3:4">
      <c r="C1688">
        <v>3892</v>
      </c>
      <c r="D1688">
        <v>91</v>
      </c>
    </row>
    <row r="1689" spans="3:4">
      <c r="C1689">
        <v>3893</v>
      </c>
      <c r="D1689">
        <v>91</v>
      </c>
    </row>
    <row r="1690" spans="3:4">
      <c r="C1690">
        <v>3894</v>
      </c>
      <c r="D1690">
        <v>91</v>
      </c>
    </row>
    <row r="1691" spans="3:4">
      <c r="C1691">
        <v>3895</v>
      </c>
      <c r="D1691">
        <v>92</v>
      </c>
    </row>
    <row r="1692" spans="3:4">
      <c r="C1692">
        <v>3896</v>
      </c>
      <c r="D1692">
        <v>94</v>
      </c>
    </row>
    <row r="1693" spans="3:4">
      <c r="C1693">
        <v>3897</v>
      </c>
      <c r="D1693">
        <v>92</v>
      </c>
    </row>
    <row r="1694" spans="3:4">
      <c r="C1694">
        <v>3898</v>
      </c>
      <c r="D1694">
        <v>92</v>
      </c>
    </row>
    <row r="1695" spans="3:4">
      <c r="C1695">
        <v>3899</v>
      </c>
      <c r="D1695">
        <v>91</v>
      </c>
    </row>
    <row r="1696" spans="3:4">
      <c r="C1696">
        <v>3900</v>
      </c>
      <c r="D1696">
        <v>94</v>
      </c>
    </row>
    <row r="1697" spans="3:4">
      <c r="C1697">
        <v>3901</v>
      </c>
      <c r="D1697">
        <v>94</v>
      </c>
    </row>
    <row r="1698" spans="3:4">
      <c r="C1698">
        <v>3902</v>
      </c>
      <c r="D1698">
        <v>92</v>
      </c>
    </row>
    <row r="1699" spans="3:4">
      <c r="C1699">
        <v>3903</v>
      </c>
      <c r="D1699">
        <v>92</v>
      </c>
    </row>
    <row r="1700" spans="3:4">
      <c r="C1700">
        <v>3904</v>
      </c>
      <c r="D1700">
        <v>95</v>
      </c>
    </row>
    <row r="1701" spans="3:4">
      <c r="C1701">
        <v>3905</v>
      </c>
      <c r="D1701">
        <v>94</v>
      </c>
    </row>
    <row r="1702" spans="3:4">
      <c r="C1702">
        <v>3906</v>
      </c>
      <c r="D1702">
        <v>93</v>
      </c>
    </row>
    <row r="1703" spans="3:4">
      <c r="C1703">
        <v>3907</v>
      </c>
      <c r="D1703">
        <v>94</v>
      </c>
    </row>
    <row r="1704" spans="3:4">
      <c r="C1704">
        <v>3908</v>
      </c>
      <c r="D1704">
        <v>96</v>
      </c>
    </row>
    <row r="1705" spans="3:4">
      <c r="C1705">
        <v>3909</v>
      </c>
      <c r="D1705">
        <v>94</v>
      </c>
    </row>
    <row r="1706" spans="3:4">
      <c r="C1706">
        <v>3910</v>
      </c>
      <c r="D1706">
        <v>89</v>
      </c>
    </row>
    <row r="1707" spans="3:4">
      <c r="C1707">
        <v>3911</v>
      </c>
      <c r="D1707">
        <v>89</v>
      </c>
    </row>
    <row r="1708" spans="3:4">
      <c r="C1708">
        <v>3915</v>
      </c>
      <c r="D1708">
        <v>90</v>
      </c>
    </row>
    <row r="1709" spans="3:4">
      <c r="C1709">
        <v>3916</v>
      </c>
      <c r="D1709">
        <v>93</v>
      </c>
    </row>
    <row r="1710" spans="3:4">
      <c r="C1710">
        <v>3917</v>
      </c>
      <c r="D1710">
        <v>92</v>
      </c>
    </row>
    <row r="1711" spans="3:4">
      <c r="C1711">
        <v>3918</v>
      </c>
      <c r="D1711">
        <v>93</v>
      </c>
    </row>
    <row r="1712" spans="3:4">
      <c r="C1712">
        <v>3921</v>
      </c>
      <c r="D1712">
        <v>92</v>
      </c>
    </row>
    <row r="1713" spans="3:4">
      <c r="C1713">
        <v>3922</v>
      </c>
      <c r="D1713">
        <v>93</v>
      </c>
    </row>
    <row r="1714" spans="3:4">
      <c r="C1714">
        <v>3923</v>
      </c>
      <c r="D1714">
        <v>95</v>
      </c>
    </row>
    <row r="1715" spans="3:4">
      <c r="C1715">
        <v>3924</v>
      </c>
      <c r="D1715">
        <v>92</v>
      </c>
    </row>
    <row r="1716" spans="3:4">
      <c r="C1716">
        <v>3925</v>
      </c>
      <c r="D1716">
        <v>91</v>
      </c>
    </row>
    <row r="1717" spans="3:4">
      <c r="C1717">
        <v>3926</v>
      </c>
      <c r="D1717">
        <v>90</v>
      </c>
    </row>
    <row r="1718" spans="3:4">
      <c r="C1718">
        <v>3927</v>
      </c>
      <c r="D1718">
        <v>91</v>
      </c>
    </row>
    <row r="1719" spans="3:4">
      <c r="C1719">
        <v>3928</v>
      </c>
      <c r="D1719">
        <v>92</v>
      </c>
    </row>
    <row r="1720" spans="3:4">
      <c r="C1720">
        <v>3929</v>
      </c>
      <c r="D1720">
        <v>91</v>
      </c>
    </row>
    <row r="1721" spans="3:4">
      <c r="C1721">
        <v>3931</v>
      </c>
      <c r="D1721">
        <v>92</v>
      </c>
    </row>
    <row r="1722" spans="3:4">
      <c r="C1722">
        <v>3932</v>
      </c>
      <c r="D1722">
        <v>92</v>
      </c>
    </row>
    <row r="1723" spans="3:4">
      <c r="C1723">
        <v>3933</v>
      </c>
      <c r="D1723">
        <v>92</v>
      </c>
    </row>
    <row r="1724" spans="3:4">
      <c r="C1724">
        <v>3934</v>
      </c>
      <c r="D1724">
        <v>91</v>
      </c>
    </row>
    <row r="1725" spans="3:4">
      <c r="C1725">
        <v>3935</v>
      </c>
      <c r="D1725">
        <v>92</v>
      </c>
    </row>
    <row r="1726" spans="3:4">
      <c r="C1726">
        <v>3936</v>
      </c>
      <c r="D1726">
        <v>92</v>
      </c>
    </row>
    <row r="1727" spans="3:4">
      <c r="C1727">
        <v>3937</v>
      </c>
      <c r="D1727">
        <v>92</v>
      </c>
    </row>
    <row r="1728" spans="3:4">
      <c r="C1728">
        <v>3941</v>
      </c>
      <c r="D1728">
        <v>93</v>
      </c>
    </row>
    <row r="1729" spans="3:4">
      <c r="C1729">
        <v>3942</v>
      </c>
      <c r="D1729">
        <v>96</v>
      </c>
    </row>
    <row r="1730" spans="3:4">
      <c r="C1730">
        <v>3943</v>
      </c>
      <c r="D1730">
        <v>92</v>
      </c>
    </row>
    <row r="1731" spans="3:4">
      <c r="C1731">
        <v>3944</v>
      </c>
      <c r="D1731">
        <v>90</v>
      </c>
    </row>
    <row r="1732" spans="3:4">
      <c r="C1732">
        <v>3945</v>
      </c>
      <c r="D1732">
        <v>91</v>
      </c>
    </row>
    <row r="1733" spans="3:4">
      <c r="C1733">
        <v>3950</v>
      </c>
      <c r="D1733">
        <v>92</v>
      </c>
    </row>
    <row r="1734" spans="3:4">
      <c r="C1734">
        <v>3952</v>
      </c>
      <c r="D1734">
        <v>92</v>
      </c>
    </row>
    <row r="1735" spans="3:4">
      <c r="C1735">
        <v>3953</v>
      </c>
      <c r="D1735">
        <v>55</v>
      </c>
    </row>
    <row r="1736" spans="3:4">
      <c r="C1736">
        <v>3954</v>
      </c>
      <c r="D1736">
        <v>93</v>
      </c>
    </row>
    <row r="1737" spans="3:4">
      <c r="C1737">
        <v>3955</v>
      </c>
      <c r="D1737">
        <v>94</v>
      </c>
    </row>
    <row r="1738" spans="3:4">
      <c r="C1738">
        <v>3956</v>
      </c>
      <c r="D1738">
        <v>93</v>
      </c>
    </row>
    <row r="1739" spans="3:4">
      <c r="C1739">
        <v>3957</v>
      </c>
      <c r="D1739">
        <v>95</v>
      </c>
    </row>
    <row r="1740" spans="3:4">
      <c r="C1740">
        <v>3958</v>
      </c>
      <c r="D1740">
        <v>93</v>
      </c>
    </row>
    <row r="1741" spans="3:4">
      <c r="C1741">
        <v>3959</v>
      </c>
      <c r="D1741">
        <v>92</v>
      </c>
    </row>
    <row r="1742" spans="3:4">
      <c r="C1742">
        <v>3961</v>
      </c>
      <c r="D1742">
        <v>91</v>
      </c>
    </row>
    <row r="1743" spans="3:4">
      <c r="C1743">
        <v>3962</v>
      </c>
      <c r="D1743">
        <v>90</v>
      </c>
    </row>
    <row r="1744" spans="3:4">
      <c r="C1744">
        <v>3963</v>
      </c>
      <c r="D1744">
        <v>90</v>
      </c>
    </row>
    <row r="1745" spans="3:4">
      <c r="C1745">
        <v>3964</v>
      </c>
      <c r="D1745">
        <v>89</v>
      </c>
    </row>
    <row r="1746" spans="3:4">
      <c r="C1746">
        <v>3965</v>
      </c>
      <c r="D1746">
        <v>89</v>
      </c>
    </row>
    <row r="1747" spans="3:4">
      <c r="C1747">
        <v>3967</v>
      </c>
      <c r="D1747">
        <v>89</v>
      </c>
    </row>
    <row r="1748" spans="3:4">
      <c r="C1748">
        <v>3971</v>
      </c>
      <c r="D1748">
        <v>91</v>
      </c>
    </row>
    <row r="1749" spans="3:4">
      <c r="C1749">
        <v>3972</v>
      </c>
      <c r="D1749">
        <v>89</v>
      </c>
    </row>
    <row r="1750" spans="3:4">
      <c r="C1750">
        <v>3973</v>
      </c>
      <c r="D1750">
        <v>89</v>
      </c>
    </row>
    <row r="1751" spans="3:4">
      <c r="C1751">
        <v>3974</v>
      </c>
      <c r="D1751">
        <v>89</v>
      </c>
    </row>
    <row r="1752" spans="3:4">
      <c r="C1752">
        <v>3976</v>
      </c>
      <c r="D1752">
        <v>89</v>
      </c>
    </row>
    <row r="1753" spans="3:4">
      <c r="C1753">
        <v>3977</v>
      </c>
      <c r="D1753">
        <v>89</v>
      </c>
    </row>
    <row r="1754" spans="3:4">
      <c r="C1754">
        <v>3978</v>
      </c>
      <c r="D1754">
        <v>89</v>
      </c>
    </row>
    <row r="1755" spans="3:4">
      <c r="C1755">
        <v>3980</v>
      </c>
      <c r="D1755">
        <v>92</v>
      </c>
    </row>
    <row r="1756" spans="3:4">
      <c r="C1756">
        <v>3981</v>
      </c>
      <c r="D1756">
        <v>92</v>
      </c>
    </row>
    <row r="1757" spans="3:4">
      <c r="C1757">
        <v>3985</v>
      </c>
      <c r="D1757">
        <v>91</v>
      </c>
    </row>
    <row r="1758" spans="3:4">
      <c r="C1758">
        <v>3987</v>
      </c>
      <c r="D1758">
        <v>91</v>
      </c>
    </row>
    <row r="1759" spans="3:4">
      <c r="C1759">
        <v>3988</v>
      </c>
      <c r="D1759">
        <v>91</v>
      </c>
    </row>
    <row r="1760" spans="3:4">
      <c r="C1760">
        <v>3989</v>
      </c>
      <c r="D1760">
        <v>91</v>
      </c>
    </row>
    <row r="1761" spans="3:4">
      <c r="C1761">
        <v>3991</v>
      </c>
      <c r="D1761">
        <v>90</v>
      </c>
    </row>
    <row r="1762" spans="3:4">
      <c r="C1762">
        <v>3992</v>
      </c>
      <c r="D1762">
        <v>91</v>
      </c>
    </row>
    <row r="1763" spans="3:4">
      <c r="C1763">
        <v>3993</v>
      </c>
      <c r="D1763">
        <v>91</v>
      </c>
    </row>
    <row r="1764" spans="3:4">
      <c r="C1764">
        <v>3994</v>
      </c>
      <c r="D1764">
        <v>91</v>
      </c>
    </row>
    <row r="1765" spans="3:4">
      <c r="C1765">
        <v>3995</v>
      </c>
      <c r="D1765">
        <v>90</v>
      </c>
    </row>
    <row r="1766" spans="3:4">
      <c r="C1766">
        <v>3996</v>
      </c>
      <c r="D1766">
        <v>90</v>
      </c>
    </row>
    <row r="1767" spans="3:4">
      <c r="C1767">
        <v>3997</v>
      </c>
      <c r="D1767">
        <v>89</v>
      </c>
    </row>
    <row r="1768" spans="3:4">
      <c r="C1768">
        <v>3998</v>
      </c>
      <c r="D1768">
        <v>90</v>
      </c>
    </row>
    <row r="1769" spans="3:4">
      <c r="C1769">
        <v>3999</v>
      </c>
      <c r="D1769">
        <v>89</v>
      </c>
    </row>
    <row r="1770" spans="3:4">
      <c r="C1770">
        <v>4000</v>
      </c>
      <c r="D1770">
        <v>48</v>
      </c>
    </row>
    <row r="1771" spans="3:4">
      <c r="C1771">
        <v>4001</v>
      </c>
      <c r="D1771">
        <v>54</v>
      </c>
    </row>
    <row r="1772" spans="3:4">
      <c r="C1772">
        <v>4002</v>
      </c>
      <c r="D1772">
        <v>53</v>
      </c>
    </row>
    <row r="1773" spans="3:4">
      <c r="C1773">
        <v>4003</v>
      </c>
      <c r="D1773">
        <v>54</v>
      </c>
    </row>
    <row r="1774" spans="3:4">
      <c r="C1774">
        <v>4004</v>
      </c>
      <c r="D1774">
        <v>54</v>
      </c>
    </row>
    <row r="1775" spans="3:4">
      <c r="C1775">
        <v>4005</v>
      </c>
      <c r="D1775">
        <v>54</v>
      </c>
    </row>
    <row r="1776" spans="3:4">
      <c r="C1776">
        <v>4006</v>
      </c>
      <c r="D1776">
        <v>54</v>
      </c>
    </row>
    <row r="1777" spans="3:4">
      <c r="C1777">
        <v>4007</v>
      </c>
      <c r="D1777">
        <v>54</v>
      </c>
    </row>
    <row r="1778" spans="3:4">
      <c r="C1778">
        <v>4008</v>
      </c>
      <c r="D1778">
        <v>54</v>
      </c>
    </row>
    <row r="1779" spans="3:4">
      <c r="C1779">
        <v>4009</v>
      </c>
      <c r="D1779">
        <v>54</v>
      </c>
    </row>
    <row r="1780" spans="3:4">
      <c r="C1780">
        <v>4010</v>
      </c>
      <c r="D1780">
        <v>54</v>
      </c>
    </row>
    <row r="1781" spans="3:4">
      <c r="C1781">
        <v>4011</v>
      </c>
      <c r="D1781">
        <v>54</v>
      </c>
    </row>
    <row r="1782" spans="3:4">
      <c r="C1782">
        <v>4012</v>
      </c>
      <c r="D1782">
        <v>54</v>
      </c>
    </row>
    <row r="1783" spans="3:4">
      <c r="C1783">
        <v>4013</v>
      </c>
      <c r="D1783">
        <v>54</v>
      </c>
    </row>
    <row r="1784" spans="3:4">
      <c r="C1784">
        <v>4014</v>
      </c>
      <c r="D1784">
        <v>54</v>
      </c>
    </row>
    <row r="1785" spans="3:4">
      <c r="C1785">
        <v>4015</v>
      </c>
      <c r="D1785">
        <v>54</v>
      </c>
    </row>
    <row r="1786" spans="3:4">
      <c r="C1786">
        <v>4017</v>
      </c>
      <c r="D1786">
        <v>54</v>
      </c>
    </row>
    <row r="1787" spans="3:4">
      <c r="C1787">
        <v>4020</v>
      </c>
      <c r="D1787">
        <v>54</v>
      </c>
    </row>
    <row r="1788" spans="3:4">
      <c r="C1788">
        <v>4021</v>
      </c>
      <c r="D1788">
        <v>54</v>
      </c>
    </row>
    <row r="1789" spans="3:4">
      <c r="C1789">
        <v>4022</v>
      </c>
      <c r="D1789">
        <v>54</v>
      </c>
    </row>
    <row r="1790" spans="3:4">
      <c r="C1790">
        <v>4023</v>
      </c>
      <c r="D1790">
        <v>54</v>
      </c>
    </row>
    <row r="1791" spans="3:4">
      <c r="C1791">
        <v>4024</v>
      </c>
      <c r="D1791">
        <v>53</v>
      </c>
    </row>
    <row r="1792" spans="3:4">
      <c r="C1792">
        <v>4025</v>
      </c>
      <c r="D1792">
        <v>54</v>
      </c>
    </row>
    <row r="1793" spans="3:4">
      <c r="C1793">
        <v>4026</v>
      </c>
      <c r="D1793">
        <v>52</v>
      </c>
    </row>
    <row r="1794" spans="3:4">
      <c r="C1794">
        <v>4027</v>
      </c>
      <c r="D1794">
        <v>50</v>
      </c>
    </row>
    <row r="1795" spans="3:4">
      <c r="C1795">
        <v>4028</v>
      </c>
      <c r="D1795">
        <v>52</v>
      </c>
    </row>
    <row r="1796" spans="3:4">
      <c r="C1796">
        <v>4029</v>
      </c>
      <c r="D1796">
        <v>52</v>
      </c>
    </row>
    <row r="1797" spans="3:4">
      <c r="C1797">
        <v>4030</v>
      </c>
      <c r="D1797">
        <v>53</v>
      </c>
    </row>
    <row r="1798" spans="3:4">
      <c r="C1798">
        <v>4031</v>
      </c>
      <c r="D1798">
        <v>53</v>
      </c>
    </row>
    <row r="1799" spans="3:4">
      <c r="C1799">
        <v>4032</v>
      </c>
      <c r="D1799">
        <v>53</v>
      </c>
    </row>
    <row r="1800" spans="3:4">
      <c r="C1800">
        <v>4033</v>
      </c>
      <c r="D1800">
        <v>53</v>
      </c>
    </row>
    <row r="1801" spans="3:4">
      <c r="C1801">
        <v>4034</v>
      </c>
      <c r="D1801">
        <v>54</v>
      </c>
    </row>
    <row r="1802" spans="3:4">
      <c r="C1802">
        <v>4038</v>
      </c>
      <c r="D1802">
        <v>54</v>
      </c>
    </row>
    <row r="1803" spans="3:4">
      <c r="C1803">
        <v>4040</v>
      </c>
      <c r="D1803">
        <v>54</v>
      </c>
    </row>
    <row r="1804" spans="3:4">
      <c r="C1804">
        <v>4041</v>
      </c>
      <c r="D1804">
        <v>54</v>
      </c>
    </row>
    <row r="1805" spans="3:4">
      <c r="C1805">
        <v>4042</v>
      </c>
      <c r="D1805">
        <v>54</v>
      </c>
    </row>
    <row r="1806" spans="3:4">
      <c r="C1806">
        <v>4043</v>
      </c>
      <c r="D1806">
        <v>54</v>
      </c>
    </row>
    <row r="1807" spans="3:4">
      <c r="C1807">
        <v>4044</v>
      </c>
      <c r="D1807">
        <v>54</v>
      </c>
    </row>
    <row r="1808" spans="3:4">
      <c r="C1808">
        <v>4045</v>
      </c>
      <c r="D1808">
        <v>54</v>
      </c>
    </row>
    <row r="1809" spans="3:4">
      <c r="C1809">
        <v>4046</v>
      </c>
      <c r="D1809">
        <v>54</v>
      </c>
    </row>
    <row r="1810" spans="3:4">
      <c r="C1810">
        <v>4047</v>
      </c>
      <c r="D1810">
        <v>54</v>
      </c>
    </row>
    <row r="1811" spans="3:4">
      <c r="C1811">
        <v>4049</v>
      </c>
      <c r="D1811">
        <v>54</v>
      </c>
    </row>
    <row r="1812" spans="3:4">
      <c r="C1812">
        <v>4050</v>
      </c>
      <c r="D1812">
        <v>54</v>
      </c>
    </row>
    <row r="1813" spans="3:4">
      <c r="C1813">
        <v>4060</v>
      </c>
      <c r="D1813">
        <v>91</v>
      </c>
    </row>
    <row r="1814" spans="3:4">
      <c r="C1814">
        <v>4063</v>
      </c>
      <c r="D1814">
        <v>53</v>
      </c>
    </row>
    <row r="1815" spans="3:4">
      <c r="C1815">
        <v>4064</v>
      </c>
      <c r="D1815">
        <v>94</v>
      </c>
    </row>
    <row r="1816" spans="3:4">
      <c r="C1816">
        <v>4065</v>
      </c>
      <c r="D1816">
        <v>92</v>
      </c>
    </row>
    <row r="1817" spans="3:4">
      <c r="C1817">
        <v>4066</v>
      </c>
      <c r="D1817">
        <v>89</v>
      </c>
    </row>
    <row r="1818" spans="3:4">
      <c r="C1818">
        <v>4067</v>
      </c>
      <c r="D1818">
        <v>89</v>
      </c>
    </row>
    <row r="1819" spans="3:4">
      <c r="C1819">
        <v>4069</v>
      </c>
      <c r="D1819">
        <v>89</v>
      </c>
    </row>
    <row r="1820" spans="3:4">
      <c r="C1820">
        <v>4071</v>
      </c>
      <c r="D1820">
        <v>89</v>
      </c>
    </row>
    <row r="1821" spans="3:4">
      <c r="C1821">
        <v>4072</v>
      </c>
      <c r="D1821">
        <v>89</v>
      </c>
    </row>
    <row r="1822" spans="3:4">
      <c r="C1822">
        <v>4074</v>
      </c>
      <c r="D1822">
        <v>92</v>
      </c>
    </row>
    <row r="1823" spans="3:4">
      <c r="C1823">
        <v>4075</v>
      </c>
      <c r="D1823">
        <v>94</v>
      </c>
    </row>
    <row r="1824" spans="3:4">
      <c r="C1824">
        <v>4077</v>
      </c>
      <c r="D1824">
        <v>54</v>
      </c>
    </row>
    <row r="1825" spans="3:4">
      <c r="C1825">
        <v>4078</v>
      </c>
      <c r="D1825">
        <v>54</v>
      </c>
    </row>
    <row r="1826" spans="3:4">
      <c r="C1826">
        <v>4079</v>
      </c>
      <c r="D1826">
        <v>54</v>
      </c>
    </row>
    <row r="1827" spans="3:4">
      <c r="C1827">
        <v>4080</v>
      </c>
      <c r="D1827">
        <v>93</v>
      </c>
    </row>
    <row r="1828" spans="3:4">
      <c r="C1828">
        <v>4081</v>
      </c>
      <c r="D1828">
        <v>93</v>
      </c>
    </row>
    <row r="1829" spans="3:4">
      <c r="C1829">
        <v>4083</v>
      </c>
      <c r="D1829">
        <v>93</v>
      </c>
    </row>
    <row r="1830" spans="3:4">
      <c r="C1830">
        <v>4085</v>
      </c>
      <c r="D1830">
        <v>93</v>
      </c>
    </row>
    <row r="1831" spans="3:4">
      <c r="C1831">
        <v>4086</v>
      </c>
      <c r="D1831">
        <v>91</v>
      </c>
    </row>
    <row r="1832" spans="3:4">
      <c r="C1832">
        <v>4087</v>
      </c>
      <c r="D1832">
        <v>90</v>
      </c>
    </row>
    <row r="1833" spans="3:4">
      <c r="C1833">
        <v>4090</v>
      </c>
      <c r="D1833">
        <v>94</v>
      </c>
    </row>
    <row r="1834" spans="3:4">
      <c r="C1834">
        <v>4095</v>
      </c>
      <c r="D1834">
        <v>94</v>
      </c>
    </row>
    <row r="1835" spans="3:4">
      <c r="C1835">
        <v>4096</v>
      </c>
      <c r="D1835">
        <v>93</v>
      </c>
    </row>
    <row r="1836" spans="3:4">
      <c r="C1836">
        <v>4097</v>
      </c>
      <c r="D1836">
        <v>95</v>
      </c>
    </row>
    <row r="1837" spans="3:4">
      <c r="C1837">
        <v>4100</v>
      </c>
      <c r="D1837">
        <v>95</v>
      </c>
    </row>
    <row r="1838" spans="3:4">
      <c r="C1838">
        <v>4101</v>
      </c>
      <c r="D1838">
        <v>95</v>
      </c>
    </row>
    <row r="1839" spans="3:4">
      <c r="C1839">
        <v>4103</v>
      </c>
      <c r="D1839">
        <v>96</v>
      </c>
    </row>
    <row r="1840" spans="3:4">
      <c r="C1840">
        <v>4110</v>
      </c>
      <c r="D1840">
        <v>96</v>
      </c>
    </row>
    <row r="1841" spans="3:4">
      <c r="C1841">
        <v>4114</v>
      </c>
      <c r="D1841">
        <v>97</v>
      </c>
    </row>
    <row r="1842" spans="3:4">
      <c r="C1842">
        <v>4115</v>
      </c>
      <c r="D1842">
        <v>97</v>
      </c>
    </row>
    <row r="1843" spans="3:4">
      <c r="C1843">
        <v>4116</v>
      </c>
      <c r="D1843">
        <v>97</v>
      </c>
    </row>
    <row r="1844" spans="3:4">
      <c r="C1844">
        <v>4117</v>
      </c>
      <c r="D1844">
        <v>96</v>
      </c>
    </row>
    <row r="1845" spans="3:4">
      <c r="C1845">
        <v>4118</v>
      </c>
      <c r="D1845">
        <v>96</v>
      </c>
    </row>
    <row r="1846" spans="3:4">
      <c r="C1846">
        <v>4119</v>
      </c>
      <c r="D1846">
        <v>96</v>
      </c>
    </row>
    <row r="1847" spans="3:4">
      <c r="C1847">
        <v>4121</v>
      </c>
      <c r="D1847">
        <v>97</v>
      </c>
    </row>
    <row r="1848" spans="3:4">
      <c r="C1848">
        <v>4122</v>
      </c>
      <c r="D1848">
        <v>96</v>
      </c>
    </row>
    <row r="1849" spans="3:4">
      <c r="C1849">
        <v>4123</v>
      </c>
      <c r="D1849">
        <v>97</v>
      </c>
    </row>
    <row r="1850" spans="3:4">
      <c r="C1850">
        <v>4124</v>
      </c>
      <c r="D1850">
        <v>98</v>
      </c>
    </row>
    <row r="1851" spans="3:4">
      <c r="C1851">
        <v>4125</v>
      </c>
      <c r="D1851">
        <v>97</v>
      </c>
    </row>
    <row r="1852" spans="3:4">
      <c r="C1852">
        <v>4126</v>
      </c>
      <c r="D1852">
        <v>97</v>
      </c>
    </row>
    <row r="1853" spans="3:4">
      <c r="C1853">
        <v>4127</v>
      </c>
      <c r="D1853">
        <v>98</v>
      </c>
    </row>
    <row r="1854" spans="3:4">
      <c r="C1854">
        <v>4128</v>
      </c>
      <c r="D1854">
        <v>98</v>
      </c>
    </row>
    <row r="1855" spans="3:4">
      <c r="C1855">
        <v>4130</v>
      </c>
      <c r="D1855">
        <v>92</v>
      </c>
    </row>
    <row r="1856" spans="3:4">
      <c r="C1856">
        <v>4131</v>
      </c>
      <c r="D1856">
        <v>92</v>
      </c>
    </row>
    <row r="1857" spans="3:4">
      <c r="C1857">
        <v>4132</v>
      </c>
      <c r="D1857">
        <v>94</v>
      </c>
    </row>
    <row r="1858" spans="3:4">
      <c r="C1858">
        <v>4133</v>
      </c>
      <c r="D1858">
        <v>96</v>
      </c>
    </row>
    <row r="1859" spans="3:4">
      <c r="C1859">
        <v>4134</v>
      </c>
      <c r="D1859">
        <v>96</v>
      </c>
    </row>
    <row r="1860" spans="3:4">
      <c r="C1860">
        <v>4135</v>
      </c>
      <c r="D1860">
        <v>96</v>
      </c>
    </row>
    <row r="1861" spans="3:4">
      <c r="C1861">
        <v>4136</v>
      </c>
      <c r="D1861">
        <v>95</v>
      </c>
    </row>
    <row r="1862" spans="3:4">
      <c r="C1862">
        <v>4137</v>
      </c>
      <c r="D1862">
        <v>95</v>
      </c>
    </row>
    <row r="1863" spans="3:4">
      <c r="C1863">
        <v>4138</v>
      </c>
      <c r="D1863">
        <v>94</v>
      </c>
    </row>
    <row r="1864" spans="3:4">
      <c r="C1864">
        <v>4141</v>
      </c>
      <c r="D1864">
        <v>96</v>
      </c>
    </row>
    <row r="1865" spans="3:4">
      <c r="C1865">
        <v>4142</v>
      </c>
      <c r="D1865">
        <v>96</v>
      </c>
    </row>
    <row r="1866" spans="3:4">
      <c r="C1866">
        <v>4143</v>
      </c>
      <c r="D1866">
        <v>96</v>
      </c>
    </row>
    <row r="1867" spans="3:4">
      <c r="C1867">
        <v>4144</v>
      </c>
      <c r="D1867">
        <v>95</v>
      </c>
    </row>
    <row r="1868" spans="3:4">
      <c r="C1868">
        <v>4145</v>
      </c>
      <c r="D1868">
        <v>94</v>
      </c>
    </row>
    <row r="1869" spans="3:4">
      <c r="C1869">
        <v>4146</v>
      </c>
      <c r="D1869">
        <v>93</v>
      </c>
    </row>
    <row r="1870" spans="3:4">
      <c r="C1870">
        <v>4150</v>
      </c>
      <c r="D1870">
        <v>97</v>
      </c>
    </row>
    <row r="1871" spans="3:4">
      <c r="C1871">
        <v>4151</v>
      </c>
      <c r="D1871">
        <v>97</v>
      </c>
    </row>
    <row r="1872" spans="3:4">
      <c r="C1872">
        <v>4152</v>
      </c>
      <c r="D1872">
        <v>97</v>
      </c>
    </row>
    <row r="1873" spans="3:4">
      <c r="C1873">
        <v>4155</v>
      </c>
      <c r="D1873">
        <v>97</v>
      </c>
    </row>
    <row r="1874" spans="3:4">
      <c r="C1874">
        <v>4161</v>
      </c>
      <c r="D1874">
        <v>95</v>
      </c>
    </row>
    <row r="1875" spans="3:4">
      <c r="C1875">
        <v>4162</v>
      </c>
      <c r="D1875">
        <v>95</v>
      </c>
    </row>
    <row r="1876" spans="3:4">
      <c r="C1876">
        <v>4163</v>
      </c>
      <c r="D1876">
        <v>94</v>
      </c>
    </row>
    <row r="1877" spans="3:4">
      <c r="C1877">
        <v>4164</v>
      </c>
      <c r="D1877">
        <v>95</v>
      </c>
    </row>
    <row r="1878" spans="3:4">
      <c r="C1878">
        <v>4170</v>
      </c>
      <c r="D1878">
        <v>95</v>
      </c>
    </row>
    <row r="1879" spans="3:4">
      <c r="C1879">
        <v>4171</v>
      </c>
      <c r="D1879">
        <v>96</v>
      </c>
    </row>
    <row r="1880" spans="3:4">
      <c r="C1880">
        <v>4172</v>
      </c>
      <c r="D1880">
        <v>97</v>
      </c>
    </row>
    <row r="1881" spans="3:4">
      <c r="C1881">
        <v>4173</v>
      </c>
      <c r="D1881">
        <v>95</v>
      </c>
    </row>
    <row r="1882" spans="3:4">
      <c r="C1882">
        <v>4174</v>
      </c>
      <c r="D1882">
        <v>94</v>
      </c>
    </row>
    <row r="1883" spans="3:4">
      <c r="C1883">
        <v>4175</v>
      </c>
      <c r="D1883">
        <v>94</v>
      </c>
    </row>
    <row r="1884" spans="3:4">
      <c r="C1884">
        <v>4176</v>
      </c>
      <c r="D1884">
        <v>94</v>
      </c>
    </row>
    <row r="1885" spans="3:4">
      <c r="C1885">
        <v>4177</v>
      </c>
      <c r="D1885">
        <v>95</v>
      </c>
    </row>
    <row r="1886" spans="3:4">
      <c r="C1886">
        <v>4181</v>
      </c>
      <c r="D1886">
        <v>91</v>
      </c>
    </row>
    <row r="1887" spans="3:4">
      <c r="C1887">
        <v>4183</v>
      </c>
      <c r="D1887">
        <v>93</v>
      </c>
    </row>
    <row r="1888" spans="3:4">
      <c r="C1888">
        <v>4184</v>
      </c>
      <c r="D1888">
        <v>96</v>
      </c>
    </row>
    <row r="1889" spans="3:4">
      <c r="C1889">
        <v>4200</v>
      </c>
      <c r="D1889">
        <v>94</v>
      </c>
    </row>
    <row r="1890" spans="3:4">
      <c r="C1890">
        <v>4201</v>
      </c>
      <c r="D1890">
        <v>94</v>
      </c>
    </row>
    <row r="1891" spans="3:4">
      <c r="C1891">
        <v>4202</v>
      </c>
      <c r="D1891">
        <v>94</v>
      </c>
    </row>
    <row r="1892" spans="3:4">
      <c r="C1892">
        <v>4211</v>
      </c>
      <c r="D1892">
        <v>76</v>
      </c>
    </row>
    <row r="1893" spans="3:4">
      <c r="C1893">
        <v>4212</v>
      </c>
      <c r="D1893">
        <v>96</v>
      </c>
    </row>
    <row r="1894" spans="3:4">
      <c r="C1894">
        <v>4220</v>
      </c>
      <c r="D1894">
        <v>90</v>
      </c>
    </row>
    <row r="1895" spans="3:4">
      <c r="C1895">
        <v>4221</v>
      </c>
      <c r="D1895">
        <v>92</v>
      </c>
    </row>
    <row r="1896" spans="3:4">
      <c r="C1896">
        <v>4224</v>
      </c>
      <c r="D1896">
        <v>90</v>
      </c>
    </row>
    <row r="1897" spans="3:4">
      <c r="C1897">
        <v>4225</v>
      </c>
      <c r="D1897">
        <v>52</v>
      </c>
    </row>
    <row r="1898" spans="3:4">
      <c r="C1898">
        <v>4231</v>
      </c>
      <c r="D1898">
        <v>92</v>
      </c>
    </row>
    <row r="1899" spans="3:4">
      <c r="C1899">
        <v>4232</v>
      </c>
      <c r="D1899">
        <v>92</v>
      </c>
    </row>
    <row r="1900" spans="3:4">
      <c r="C1900">
        <v>4233</v>
      </c>
      <c r="D1900">
        <v>91</v>
      </c>
    </row>
    <row r="1901" spans="3:4">
      <c r="C1901">
        <v>4234</v>
      </c>
      <c r="D1901">
        <v>90</v>
      </c>
    </row>
    <row r="1902" spans="3:4">
      <c r="C1902">
        <v>4235</v>
      </c>
      <c r="D1902">
        <v>91</v>
      </c>
    </row>
    <row r="1903" spans="3:4">
      <c r="C1903">
        <v>4241</v>
      </c>
      <c r="D1903">
        <v>97</v>
      </c>
    </row>
    <row r="1904" spans="3:4">
      <c r="C1904">
        <v>4242</v>
      </c>
      <c r="D1904">
        <v>71</v>
      </c>
    </row>
    <row r="1905" spans="3:4">
      <c r="C1905">
        <v>4243</v>
      </c>
      <c r="D1905">
        <v>94</v>
      </c>
    </row>
    <row r="1906" spans="3:4">
      <c r="C1906">
        <v>4244</v>
      </c>
      <c r="D1906">
        <v>91</v>
      </c>
    </row>
    <row r="1907" spans="3:4">
      <c r="C1907">
        <v>4245</v>
      </c>
      <c r="D1907">
        <v>92</v>
      </c>
    </row>
    <row r="1908" spans="3:4">
      <c r="C1908">
        <v>4246</v>
      </c>
      <c r="D1908">
        <v>72</v>
      </c>
    </row>
    <row r="1909" spans="3:4">
      <c r="C1909">
        <v>4251</v>
      </c>
      <c r="D1909">
        <v>70</v>
      </c>
    </row>
    <row r="1910" spans="3:4">
      <c r="C1910">
        <v>4252</v>
      </c>
      <c r="D1910">
        <v>92</v>
      </c>
    </row>
    <row r="1911" spans="3:4">
      <c r="C1911">
        <v>4253</v>
      </c>
      <c r="D1911">
        <v>92</v>
      </c>
    </row>
    <row r="1912" spans="3:4">
      <c r="C1912">
        <v>4254</v>
      </c>
      <c r="D1912">
        <v>92</v>
      </c>
    </row>
    <row r="1913" spans="3:4">
      <c r="C1913">
        <v>4261</v>
      </c>
      <c r="D1913">
        <v>92</v>
      </c>
    </row>
    <row r="1914" spans="3:4">
      <c r="C1914">
        <v>4262</v>
      </c>
      <c r="D1914">
        <v>90</v>
      </c>
    </row>
    <row r="1915" spans="3:4">
      <c r="C1915">
        <v>4263</v>
      </c>
      <c r="D1915">
        <v>92</v>
      </c>
    </row>
    <row r="1916" spans="3:4">
      <c r="C1916">
        <v>4264</v>
      </c>
      <c r="D1916">
        <v>95</v>
      </c>
    </row>
    <row r="1917" spans="3:4">
      <c r="C1917">
        <v>4266</v>
      </c>
      <c r="D1917">
        <v>89</v>
      </c>
    </row>
    <row r="1918" spans="3:4">
      <c r="C1918">
        <v>4267</v>
      </c>
      <c r="D1918">
        <v>91</v>
      </c>
    </row>
    <row r="1919" spans="3:4">
      <c r="C1919">
        <v>4271</v>
      </c>
      <c r="D1919">
        <v>69</v>
      </c>
    </row>
    <row r="1920" spans="3:4">
      <c r="C1920">
        <v>4272</v>
      </c>
      <c r="D1920">
        <v>92</v>
      </c>
    </row>
    <row r="1921" spans="3:4">
      <c r="C1921">
        <v>4273</v>
      </c>
      <c r="D1921">
        <v>93</v>
      </c>
    </row>
    <row r="1922" spans="3:4">
      <c r="C1922">
        <v>4274</v>
      </c>
      <c r="D1922">
        <v>95</v>
      </c>
    </row>
    <row r="1923" spans="3:4">
      <c r="C1923">
        <v>4275</v>
      </c>
      <c r="D1923">
        <v>93</v>
      </c>
    </row>
    <row r="1924" spans="3:4">
      <c r="C1924">
        <v>4278</v>
      </c>
      <c r="D1924">
        <v>93</v>
      </c>
    </row>
    <row r="1925" spans="3:4">
      <c r="C1925">
        <v>4281</v>
      </c>
      <c r="D1925">
        <v>89</v>
      </c>
    </row>
    <row r="1926" spans="3:4">
      <c r="C1926">
        <v>4283</v>
      </c>
      <c r="D1926">
        <v>90</v>
      </c>
    </row>
    <row r="1927" spans="3:4">
      <c r="C1927">
        <v>4284</v>
      </c>
      <c r="D1927">
        <v>89</v>
      </c>
    </row>
    <row r="1928" spans="3:4">
      <c r="C1928">
        <v>4285</v>
      </c>
      <c r="D1928">
        <v>90</v>
      </c>
    </row>
    <row r="1929" spans="3:4">
      <c r="C1929">
        <v>4286</v>
      </c>
      <c r="D1929">
        <v>89</v>
      </c>
    </row>
    <row r="1930" spans="3:4">
      <c r="C1930">
        <v>4287</v>
      </c>
      <c r="D1930">
        <v>91</v>
      </c>
    </row>
    <row r="1931" spans="3:4">
      <c r="C1931">
        <v>4288</v>
      </c>
      <c r="D1931">
        <v>91</v>
      </c>
    </row>
    <row r="1932" spans="3:4">
      <c r="C1932">
        <v>4300</v>
      </c>
      <c r="D1932">
        <v>93</v>
      </c>
    </row>
    <row r="1933" spans="3:4">
      <c r="C1933">
        <v>4301</v>
      </c>
      <c r="D1933">
        <v>93</v>
      </c>
    </row>
    <row r="1934" spans="3:4">
      <c r="C1934">
        <v>4311</v>
      </c>
      <c r="D1934">
        <v>91</v>
      </c>
    </row>
    <row r="1935" spans="3:4">
      <c r="C1935">
        <v>4320</v>
      </c>
      <c r="D1935">
        <v>92</v>
      </c>
    </row>
    <row r="1936" spans="3:4">
      <c r="C1936">
        <v>4321</v>
      </c>
      <c r="D1936">
        <v>92</v>
      </c>
    </row>
    <row r="1937" spans="3:4">
      <c r="C1937">
        <v>4324</v>
      </c>
      <c r="D1937">
        <v>91</v>
      </c>
    </row>
    <row r="1938" spans="3:4">
      <c r="C1938">
        <v>4325</v>
      </c>
      <c r="D1938">
        <v>90</v>
      </c>
    </row>
    <row r="1939" spans="3:4">
      <c r="C1939">
        <v>4326</v>
      </c>
      <c r="D1939">
        <v>90</v>
      </c>
    </row>
    <row r="1940" spans="3:4">
      <c r="C1940">
        <v>4327</v>
      </c>
      <c r="D1940">
        <v>91</v>
      </c>
    </row>
    <row r="1941" spans="3:4">
      <c r="C1941">
        <v>4331</v>
      </c>
      <c r="D1941">
        <v>91</v>
      </c>
    </row>
    <row r="1942" spans="3:4">
      <c r="C1942">
        <v>4332</v>
      </c>
      <c r="D1942">
        <v>92</v>
      </c>
    </row>
    <row r="1943" spans="3:4">
      <c r="C1943">
        <v>4333</v>
      </c>
      <c r="D1943">
        <v>95</v>
      </c>
    </row>
    <row r="1944" spans="3:4">
      <c r="C1944">
        <v>4334</v>
      </c>
      <c r="D1944">
        <v>93</v>
      </c>
    </row>
    <row r="1945" spans="3:4">
      <c r="C1945">
        <v>4335</v>
      </c>
      <c r="D1945">
        <v>91</v>
      </c>
    </row>
    <row r="1946" spans="3:4">
      <c r="C1946">
        <v>4336</v>
      </c>
      <c r="D1946">
        <v>92</v>
      </c>
    </row>
    <row r="1947" spans="3:4">
      <c r="C1947">
        <v>4337</v>
      </c>
      <c r="D1947">
        <v>96</v>
      </c>
    </row>
    <row r="1948" spans="3:4">
      <c r="C1948">
        <v>4338</v>
      </c>
      <c r="D1948">
        <v>92</v>
      </c>
    </row>
    <row r="1949" spans="3:4">
      <c r="C1949">
        <v>4341</v>
      </c>
      <c r="D1949">
        <v>94</v>
      </c>
    </row>
    <row r="1950" spans="3:4">
      <c r="C1950">
        <v>4342</v>
      </c>
      <c r="D1950">
        <v>94</v>
      </c>
    </row>
    <row r="1951" spans="3:4">
      <c r="C1951">
        <v>4343</v>
      </c>
      <c r="D1951">
        <v>93</v>
      </c>
    </row>
    <row r="1952" spans="3:4">
      <c r="C1952">
        <v>4351</v>
      </c>
      <c r="D1952">
        <v>93</v>
      </c>
    </row>
    <row r="1953" spans="3:4">
      <c r="C1953">
        <v>4352</v>
      </c>
      <c r="D1953">
        <v>94</v>
      </c>
    </row>
    <row r="1954" spans="3:4">
      <c r="C1954">
        <v>4353</v>
      </c>
      <c r="D1954">
        <v>96</v>
      </c>
    </row>
    <row r="1955" spans="3:4">
      <c r="C1955">
        <v>4354</v>
      </c>
      <c r="D1955">
        <v>97</v>
      </c>
    </row>
    <row r="1956" spans="3:4">
      <c r="C1956">
        <v>4355</v>
      </c>
      <c r="D1956">
        <v>96</v>
      </c>
    </row>
    <row r="1957" spans="3:4">
      <c r="C1957">
        <v>4356</v>
      </c>
      <c r="D1957">
        <v>95</v>
      </c>
    </row>
    <row r="1958" spans="3:4">
      <c r="C1958">
        <v>4361</v>
      </c>
      <c r="D1958">
        <v>91</v>
      </c>
    </row>
    <row r="1959" spans="3:4">
      <c r="C1959">
        <v>4362</v>
      </c>
      <c r="D1959">
        <v>90</v>
      </c>
    </row>
    <row r="1960" spans="3:4">
      <c r="C1960">
        <v>4363</v>
      </c>
      <c r="D1960">
        <v>90</v>
      </c>
    </row>
    <row r="1961" spans="3:4">
      <c r="C1961">
        <v>4365</v>
      </c>
      <c r="D1961">
        <v>90</v>
      </c>
    </row>
    <row r="1962" spans="3:4">
      <c r="C1962">
        <v>4371</v>
      </c>
      <c r="D1962">
        <v>90</v>
      </c>
    </row>
    <row r="1963" spans="3:4">
      <c r="C1963">
        <v>4372</v>
      </c>
      <c r="D1963">
        <v>91</v>
      </c>
    </row>
    <row r="1964" spans="3:4">
      <c r="C1964">
        <v>4373</v>
      </c>
      <c r="D1964">
        <v>92</v>
      </c>
    </row>
    <row r="1965" spans="3:4">
      <c r="C1965">
        <v>4374</v>
      </c>
      <c r="D1965">
        <v>90</v>
      </c>
    </row>
    <row r="1966" spans="3:4">
      <c r="C1966">
        <v>4375</v>
      </c>
      <c r="D1966">
        <v>92</v>
      </c>
    </row>
    <row r="1967" spans="3:4">
      <c r="C1967">
        <v>4376</v>
      </c>
      <c r="D1967">
        <v>94</v>
      </c>
    </row>
    <row r="1968" spans="3:4">
      <c r="C1968">
        <v>4400</v>
      </c>
      <c r="D1968">
        <v>75</v>
      </c>
    </row>
    <row r="1969" spans="3:4">
      <c r="C1969">
        <v>4401</v>
      </c>
      <c r="D1969">
        <v>75</v>
      </c>
    </row>
    <row r="1970" spans="3:4">
      <c r="C1970">
        <v>4402</v>
      </c>
      <c r="D1970">
        <v>75</v>
      </c>
    </row>
    <row r="1971" spans="3:4">
      <c r="C1971">
        <v>4403</v>
      </c>
      <c r="D1971">
        <v>75</v>
      </c>
    </row>
    <row r="1972" spans="3:4">
      <c r="C1972">
        <v>4404</v>
      </c>
      <c r="D1972">
        <v>75</v>
      </c>
    </row>
    <row r="1973" spans="3:4">
      <c r="C1973">
        <v>4405</v>
      </c>
      <c r="D1973">
        <v>72</v>
      </c>
    </row>
    <row r="1974" spans="3:4">
      <c r="C1974">
        <v>4406</v>
      </c>
      <c r="D1974">
        <v>75</v>
      </c>
    </row>
    <row r="1975" spans="3:4">
      <c r="C1975">
        <v>4407</v>
      </c>
      <c r="D1975">
        <v>75</v>
      </c>
    </row>
    <row r="1976" spans="3:4">
      <c r="C1976">
        <v>4410</v>
      </c>
      <c r="D1976">
        <v>75</v>
      </c>
    </row>
    <row r="1977" spans="3:4">
      <c r="C1977">
        <v>4411</v>
      </c>
      <c r="D1977">
        <v>75</v>
      </c>
    </row>
    <row r="1978" spans="3:4">
      <c r="C1978">
        <v>4413</v>
      </c>
      <c r="D1978">
        <v>75</v>
      </c>
    </row>
    <row r="1979" spans="3:4">
      <c r="C1979">
        <v>4430</v>
      </c>
      <c r="D1979">
        <v>75</v>
      </c>
    </row>
    <row r="1980" spans="3:4">
      <c r="C1980">
        <v>4431</v>
      </c>
      <c r="D1980">
        <v>74</v>
      </c>
    </row>
    <row r="1981" spans="3:4">
      <c r="C1981">
        <v>4432</v>
      </c>
      <c r="D1981">
        <v>75</v>
      </c>
    </row>
    <row r="1982" spans="3:4">
      <c r="C1982">
        <v>4433</v>
      </c>
      <c r="D1982">
        <v>75</v>
      </c>
    </row>
    <row r="1983" spans="3:4">
      <c r="C1983">
        <v>4434</v>
      </c>
      <c r="D1983">
        <v>94</v>
      </c>
    </row>
    <row r="1984" spans="3:4">
      <c r="C1984">
        <v>4440</v>
      </c>
      <c r="D1984">
        <v>93</v>
      </c>
    </row>
    <row r="1985" spans="3:4">
      <c r="C1985">
        <v>4441</v>
      </c>
      <c r="D1985">
        <v>93</v>
      </c>
    </row>
    <row r="1986" spans="3:4">
      <c r="C1986">
        <v>4444</v>
      </c>
      <c r="D1986">
        <v>93</v>
      </c>
    </row>
    <row r="1987" spans="3:4">
      <c r="C1987">
        <v>4445</v>
      </c>
      <c r="D1987">
        <v>96</v>
      </c>
    </row>
    <row r="1988" spans="3:4">
      <c r="C1988">
        <v>4446</v>
      </c>
      <c r="D1988">
        <v>91</v>
      </c>
    </row>
    <row r="1989" spans="3:4">
      <c r="C1989">
        <v>4447</v>
      </c>
      <c r="D1989">
        <v>91</v>
      </c>
    </row>
    <row r="1990" spans="3:4">
      <c r="C1990">
        <v>4448</v>
      </c>
      <c r="D1990">
        <v>91</v>
      </c>
    </row>
    <row r="1991" spans="3:4">
      <c r="C1991">
        <v>4450</v>
      </c>
      <c r="D1991">
        <v>94</v>
      </c>
    </row>
    <row r="1992" spans="3:4">
      <c r="C1992">
        <v>4451</v>
      </c>
      <c r="D1992">
        <v>94</v>
      </c>
    </row>
    <row r="1993" spans="3:4">
      <c r="C1993">
        <v>4455</v>
      </c>
      <c r="D1993">
        <v>91</v>
      </c>
    </row>
    <row r="1994" spans="3:4">
      <c r="C1994">
        <v>4456</v>
      </c>
      <c r="D1994">
        <v>94</v>
      </c>
    </row>
    <row r="1995" spans="3:4">
      <c r="C1995">
        <v>4460</v>
      </c>
      <c r="D1995">
        <v>75</v>
      </c>
    </row>
    <row r="1996" spans="3:4">
      <c r="C1996">
        <v>4461</v>
      </c>
      <c r="D1996">
        <v>95</v>
      </c>
    </row>
    <row r="1997" spans="3:4">
      <c r="C1997">
        <v>4462</v>
      </c>
      <c r="D1997">
        <v>90</v>
      </c>
    </row>
    <row r="1998" spans="3:4">
      <c r="C1998">
        <v>4463</v>
      </c>
      <c r="D1998">
        <v>90</v>
      </c>
    </row>
    <row r="1999" spans="3:4">
      <c r="C1999">
        <v>4464</v>
      </c>
      <c r="D1999">
        <v>92</v>
      </c>
    </row>
    <row r="2000" spans="3:4">
      <c r="C2000">
        <v>4465</v>
      </c>
      <c r="D2000">
        <v>94</v>
      </c>
    </row>
    <row r="2001" spans="3:4">
      <c r="C2001">
        <v>4466</v>
      </c>
      <c r="D2001">
        <v>93</v>
      </c>
    </row>
    <row r="2002" spans="3:4">
      <c r="C2002">
        <v>4467</v>
      </c>
      <c r="D2002">
        <v>94</v>
      </c>
    </row>
    <row r="2003" spans="3:4">
      <c r="C2003">
        <v>4468</v>
      </c>
      <c r="D2003">
        <v>96</v>
      </c>
    </row>
    <row r="2004" spans="3:4">
      <c r="C2004">
        <v>4471</v>
      </c>
      <c r="D2004">
        <v>92</v>
      </c>
    </row>
    <row r="2005" spans="3:4">
      <c r="C2005">
        <v>4472</v>
      </c>
      <c r="D2005">
        <v>94</v>
      </c>
    </row>
    <row r="2006" spans="3:4">
      <c r="C2006">
        <v>4474</v>
      </c>
      <c r="D2006">
        <v>92</v>
      </c>
    </row>
    <row r="2007" spans="3:4">
      <c r="C2007">
        <v>4475</v>
      </c>
      <c r="D2007">
        <v>91</v>
      </c>
    </row>
    <row r="2008" spans="3:4">
      <c r="C2008">
        <v>4481</v>
      </c>
      <c r="D2008">
        <v>75</v>
      </c>
    </row>
    <row r="2009" spans="3:4">
      <c r="C2009">
        <v>4482</v>
      </c>
      <c r="D2009">
        <v>97</v>
      </c>
    </row>
    <row r="2010" spans="3:4">
      <c r="C2010">
        <v>4483</v>
      </c>
      <c r="D2010">
        <v>91</v>
      </c>
    </row>
    <row r="2011" spans="3:4">
      <c r="C2011">
        <v>4484</v>
      </c>
      <c r="D2011">
        <v>90</v>
      </c>
    </row>
    <row r="2012" spans="3:4">
      <c r="C2012">
        <v>4485</v>
      </c>
      <c r="D2012">
        <v>92</v>
      </c>
    </row>
    <row r="2013" spans="3:4">
      <c r="C2013">
        <v>4486</v>
      </c>
      <c r="D2013">
        <v>89</v>
      </c>
    </row>
    <row r="2014" spans="3:4">
      <c r="C2014">
        <v>4487</v>
      </c>
      <c r="D2014">
        <v>89</v>
      </c>
    </row>
    <row r="2015" spans="3:4">
      <c r="C2015">
        <v>4488</v>
      </c>
      <c r="D2015">
        <v>89</v>
      </c>
    </row>
    <row r="2016" spans="3:4">
      <c r="C2016">
        <v>4491</v>
      </c>
      <c r="D2016">
        <v>89</v>
      </c>
    </row>
    <row r="2017" spans="3:4">
      <c r="C2017">
        <v>4492</v>
      </c>
      <c r="D2017">
        <v>90</v>
      </c>
    </row>
    <row r="2018" spans="3:4">
      <c r="C2018">
        <v>4493</v>
      </c>
      <c r="D2018">
        <v>89</v>
      </c>
    </row>
    <row r="2019" spans="3:4">
      <c r="C2019">
        <v>4494</v>
      </c>
      <c r="D2019">
        <v>90</v>
      </c>
    </row>
    <row r="2020" spans="3:4">
      <c r="C2020">
        <v>4495</v>
      </c>
      <c r="D2020">
        <v>89</v>
      </c>
    </row>
    <row r="2021" spans="3:4">
      <c r="C2021">
        <v>4496</v>
      </c>
      <c r="D2021">
        <v>89</v>
      </c>
    </row>
    <row r="2022" spans="3:4">
      <c r="C2022">
        <v>4500</v>
      </c>
      <c r="D2022">
        <v>89</v>
      </c>
    </row>
    <row r="2023" spans="3:4">
      <c r="C2023">
        <v>4501</v>
      </c>
      <c r="D2023">
        <v>91</v>
      </c>
    </row>
    <row r="2024" spans="3:4">
      <c r="C2024">
        <v>4502</v>
      </c>
      <c r="D2024">
        <v>89</v>
      </c>
    </row>
    <row r="2025" spans="3:4">
      <c r="C2025">
        <v>4503</v>
      </c>
      <c r="D2025">
        <v>90</v>
      </c>
    </row>
    <row r="2026" spans="3:4">
      <c r="C2026">
        <v>4511</v>
      </c>
      <c r="D2026">
        <v>89</v>
      </c>
    </row>
    <row r="2027" spans="3:4">
      <c r="C2027">
        <v>4512</v>
      </c>
      <c r="D2027">
        <v>89</v>
      </c>
    </row>
    <row r="2028" spans="3:4">
      <c r="C2028">
        <v>4515</v>
      </c>
      <c r="D2028">
        <v>89</v>
      </c>
    </row>
    <row r="2029" spans="3:4">
      <c r="C2029">
        <v>4516</v>
      </c>
      <c r="D2029">
        <v>89</v>
      </c>
    </row>
    <row r="2030" spans="3:4">
      <c r="C2030">
        <v>4517</v>
      </c>
      <c r="D2030">
        <v>89</v>
      </c>
    </row>
    <row r="2031" spans="3:4">
      <c r="C2031">
        <v>4521</v>
      </c>
      <c r="D2031">
        <v>89</v>
      </c>
    </row>
    <row r="2032" spans="3:4">
      <c r="C2032">
        <v>4522</v>
      </c>
      <c r="D2032">
        <v>92</v>
      </c>
    </row>
    <row r="2033" spans="3:4">
      <c r="C2033">
        <v>4523</v>
      </c>
      <c r="D2033">
        <v>89</v>
      </c>
    </row>
    <row r="2034" spans="3:4">
      <c r="C2034">
        <v>4524</v>
      </c>
      <c r="D2034">
        <v>90</v>
      </c>
    </row>
    <row r="2035" spans="3:4">
      <c r="C2035">
        <v>4525</v>
      </c>
      <c r="D2035">
        <v>90</v>
      </c>
    </row>
    <row r="2036" spans="3:4">
      <c r="C2036">
        <v>4531</v>
      </c>
      <c r="D2036">
        <v>74</v>
      </c>
    </row>
    <row r="2037" spans="3:4">
      <c r="C2037">
        <v>4532</v>
      </c>
      <c r="D2037">
        <v>95</v>
      </c>
    </row>
    <row r="2038" spans="3:4">
      <c r="C2038">
        <v>4533</v>
      </c>
      <c r="D2038">
        <v>92</v>
      </c>
    </row>
    <row r="2039" spans="3:4">
      <c r="C2039">
        <v>4534</v>
      </c>
      <c r="D2039">
        <v>89</v>
      </c>
    </row>
    <row r="2040" spans="3:4">
      <c r="C2040">
        <v>4535</v>
      </c>
      <c r="D2040">
        <v>90</v>
      </c>
    </row>
    <row r="2041" spans="3:4">
      <c r="C2041">
        <v>4536</v>
      </c>
      <c r="D2041">
        <v>89</v>
      </c>
    </row>
    <row r="2042" spans="3:4">
      <c r="C2042">
        <v>4537</v>
      </c>
      <c r="D2042">
        <v>91</v>
      </c>
    </row>
    <row r="2043" spans="3:4">
      <c r="C2043">
        <v>4541</v>
      </c>
      <c r="D2043">
        <v>91</v>
      </c>
    </row>
    <row r="2044" spans="3:4">
      <c r="C2044">
        <v>4542</v>
      </c>
      <c r="D2044">
        <v>91</v>
      </c>
    </row>
    <row r="2045" spans="3:4">
      <c r="C2045">
        <v>4543</v>
      </c>
      <c r="D2045">
        <v>90</v>
      </c>
    </row>
    <row r="2046" spans="3:4">
      <c r="C2046">
        <v>4544</v>
      </c>
      <c r="D2046">
        <v>89</v>
      </c>
    </row>
    <row r="2047" spans="3:4">
      <c r="C2047">
        <v>4545</v>
      </c>
      <c r="D2047">
        <v>89</v>
      </c>
    </row>
    <row r="2048" spans="3:4">
      <c r="C2048">
        <v>4546</v>
      </c>
      <c r="D2048">
        <v>90</v>
      </c>
    </row>
    <row r="2049" spans="3:4">
      <c r="C2049">
        <v>4547</v>
      </c>
      <c r="D2049">
        <v>90</v>
      </c>
    </row>
    <row r="2050" spans="3:4">
      <c r="C2050">
        <v>4551</v>
      </c>
      <c r="D2050">
        <v>70</v>
      </c>
    </row>
    <row r="2051" spans="3:4">
      <c r="C2051">
        <v>4552</v>
      </c>
      <c r="D2051">
        <v>92</v>
      </c>
    </row>
    <row r="2052" spans="3:4">
      <c r="C2052">
        <v>4553</v>
      </c>
      <c r="D2052">
        <v>91</v>
      </c>
    </row>
    <row r="2053" spans="3:4">
      <c r="C2053">
        <v>4554</v>
      </c>
      <c r="D2053">
        <v>91</v>
      </c>
    </row>
    <row r="2054" spans="3:4">
      <c r="C2054">
        <v>4555</v>
      </c>
      <c r="D2054">
        <v>89</v>
      </c>
    </row>
    <row r="2055" spans="3:4">
      <c r="C2055">
        <v>4556</v>
      </c>
      <c r="D2055">
        <v>92</v>
      </c>
    </row>
    <row r="2056" spans="3:4">
      <c r="C2056">
        <v>4557</v>
      </c>
      <c r="D2056">
        <v>90</v>
      </c>
    </row>
    <row r="2057" spans="3:4">
      <c r="C2057">
        <v>4558</v>
      </c>
      <c r="D2057">
        <v>90</v>
      </c>
    </row>
    <row r="2058" spans="3:4">
      <c r="C2058">
        <v>4561</v>
      </c>
      <c r="D2058">
        <v>91</v>
      </c>
    </row>
    <row r="2059" spans="3:4">
      <c r="C2059">
        <v>4562</v>
      </c>
      <c r="D2059">
        <v>91</v>
      </c>
    </row>
    <row r="2060" spans="3:4">
      <c r="C2060">
        <v>4563</v>
      </c>
      <c r="D2060">
        <v>90</v>
      </c>
    </row>
    <row r="2061" spans="3:4">
      <c r="C2061">
        <v>4564</v>
      </c>
      <c r="D2061">
        <v>89</v>
      </c>
    </row>
    <row r="2062" spans="3:4">
      <c r="C2062">
        <v>4565</v>
      </c>
      <c r="D2062">
        <v>89</v>
      </c>
    </row>
    <row r="2063" spans="3:4">
      <c r="C2063">
        <v>4566</v>
      </c>
      <c r="D2063">
        <v>96</v>
      </c>
    </row>
    <row r="2064" spans="3:4">
      <c r="C2064">
        <v>4567</v>
      </c>
      <c r="D2064">
        <v>94</v>
      </c>
    </row>
    <row r="2065" spans="3:4">
      <c r="C2065">
        <v>4600</v>
      </c>
      <c r="D2065">
        <v>91</v>
      </c>
    </row>
    <row r="2066" spans="3:4">
      <c r="C2066">
        <v>4601</v>
      </c>
      <c r="D2066">
        <v>91</v>
      </c>
    </row>
    <row r="2067" spans="3:4">
      <c r="C2067">
        <v>4603</v>
      </c>
      <c r="D2067">
        <v>91</v>
      </c>
    </row>
    <row r="2068" spans="3:4">
      <c r="C2068">
        <v>4611</v>
      </c>
      <c r="D2068">
        <v>89</v>
      </c>
    </row>
    <row r="2069" spans="3:4">
      <c r="C2069">
        <v>4621</v>
      </c>
      <c r="D2069">
        <v>89</v>
      </c>
    </row>
    <row r="2070" spans="3:4">
      <c r="C2070">
        <v>4622</v>
      </c>
      <c r="D2070">
        <v>89</v>
      </c>
    </row>
    <row r="2071" spans="3:4">
      <c r="C2071">
        <v>4623</v>
      </c>
      <c r="D2071">
        <v>89</v>
      </c>
    </row>
    <row r="2072" spans="3:4">
      <c r="C2072">
        <v>4624</v>
      </c>
      <c r="D2072">
        <v>91</v>
      </c>
    </row>
    <row r="2073" spans="3:4">
      <c r="C2073">
        <v>4625</v>
      </c>
      <c r="D2073">
        <v>92</v>
      </c>
    </row>
    <row r="2074" spans="3:4">
      <c r="C2074">
        <v>4627</v>
      </c>
      <c r="D2074">
        <v>91</v>
      </c>
    </row>
    <row r="2075" spans="3:4">
      <c r="C2075">
        <v>4628</v>
      </c>
      <c r="D2075">
        <v>90</v>
      </c>
    </row>
    <row r="2076" spans="3:4">
      <c r="C2076">
        <v>4631</v>
      </c>
      <c r="D2076">
        <v>89</v>
      </c>
    </row>
    <row r="2077" spans="3:4">
      <c r="C2077">
        <v>4632</v>
      </c>
      <c r="D2077">
        <v>89</v>
      </c>
    </row>
    <row r="2078" spans="3:4">
      <c r="C2078">
        <v>4633</v>
      </c>
      <c r="D2078">
        <v>89</v>
      </c>
    </row>
    <row r="2079" spans="3:4">
      <c r="C2079">
        <v>4634</v>
      </c>
      <c r="D2079">
        <v>96</v>
      </c>
    </row>
    <row r="2080" spans="3:4">
      <c r="C2080">
        <v>4635</v>
      </c>
      <c r="D2080">
        <v>94</v>
      </c>
    </row>
    <row r="2081" spans="3:4">
      <c r="C2081">
        <v>4641</v>
      </c>
      <c r="D2081">
        <v>90</v>
      </c>
    </row>
    <row r="2082" spans="3:4">
      <c r="C2082">
        <v>4642</v>
      </c>
      <c r="D2082">
        <v>90</v>
      </c>
    </row>
    <row r="2083" spans="3:4">
      <c r="C2083">
        <v>4643</v>
      </c>
      <c r="D2083">
        <v>89</v>
      </c>
    </row>
    <row r="2084" spans="3:4">
      <c r="C2084">
        <v>4644</v>
      </c>
      <c r="D2084">
        <v>89</v>
      </c>
    </row>
    <row r="2085" spans="3:4">
      <c r="C2085">
        <v>4645</v>
      </c>
      <c r="D2085">
        <v>89</v>
      </c>
    </row>
    <row r="2086" spans="3:4">
      <c r="C2086">
        <v>4646</v>
      </c>
      <c r="D2086">
        <v>89</v>
      </c>
    </row>
    <row r="2087" spans="3:4">
      <c r="C2087">
        <v>4700</v>
      </c>
      <c r="D2087">
        <v>96</v>
      </c>
    </row>
    <row r="2088" spans="3:4">
      <c r="C2088">
        <v>4701</v>
      </c>
      <c r="D2088">
        <v>96</v>
      </c>
    </row>
    <row r="2089" spans="3:4">
      <c r="C2089">
        <v>4702</v>
      </c>
      <c r="D2089">
        <v>96</v>
      </c>
    </row>
    <row r="2090" spans="3:4">
      <c r="C2090">
        <v>4721</v>
      </c>
      <c r="D2090">
        <v>95</v>
      </c>
    </row>
    <row r="2091" spans="3:4">
      <c r="C2091">
        <v>4722</v>
      </c>
      <c r="D2091">
        <v>96</v>
      </c>
    </row>
    <row r="2092" spans="3:4">
      <c r="C2092">
        <v>4731</v>
      </c>
      <c r="D2092">
        <v>96</v>
      </c>
    </row>
    <row r="2093" spans="3:4">
      <c r="C2093">
        <v>4732</v>
      </c>
      <c r="D2093">
        <v>92</v>
      </c>
    </row>
    <row r="2094" spans="3:4">
      <c r="C2094">
        <v>4733</v>
      </c>
      <c r="D2094">
        <v>92</v>
      </c>
    </row>
    <row r="2095" spans="3:4">
      <c r="C2095">
        <v>4734</v>
      </c>
      <c r="D2095">
        <v>92</v>
      </c>
    </row>
    <row r="2096" spans="3:4">
      <c r="C2096">
        <v>4735</v>
      </c>
      <c r="D2096">
        <v>94</v>
      </c>
    </row>
    <row r="2097" spans="3:4">
      <c r="C2097">
        <v>4737</v>
      </c>
      <c r="D2097">
        <v>90</v>
      </c>
    </row>
    <row r="2098" spans="3:4">
      <c r="C2098">
        <v>4741</v>
      </c>
      <c r="D2098">
        <v>92</v>
      </c>
    </row>
    <row r="2099" spans="3:4">
      <c r="C2099">
        <v>4742</v>
      </c>
      <c r="D2099">
        <v>92</v>
      </c>
    </row>
    <row r="2100" spans="3:4">
      <c r="C2100">
        <v>4743</v>
      </c>
      <c r="D2100">
        <v>89</v>
      </c>
    </row>
    <row r="2101" spans="3:4">
      <c r="C2101">
        <v>4744</v>
      </c>
      <c r="D2101">
        <v>89</v>
      </c>
    </row>
    <row r="2102" spans="3:4">
      <c r="C2102">
        <v>4745</v>
      </c>
      <c r="D2102">
        <v>91</v>
      </c>
    </row>
    <row r="2103" spans="3:4">
      <c r="C2103">
        <v>4746</v>
      </c>
      <c r="D2103">
        <v>91</v>
      </c>
    </row>
    <row r="2104" spans="3:4">
      <c r="C2104">
        <v>4751</v>
      </c>
      <c r="D2104">
        <v>96</v>
      </c>
    </row>
    <row r="2105" spans="3:4">
      <c r="C2105">
        <v>4752</v>
      </c>
      <c r="D2105">
        <v>97</v>
      </c>
    </row>
    <row r="2106" spans="3:4">
      <c r="C2106">
        <v>4753</v>
      </c>
      <c r="D2106">
        <v>94</v>
      </c>
    </row>
    <row r="2107" spans="3:4">
      <c r="C2107">
        <v>4754</v>
      </c>
      <c r="D2107">
        <v>94</v>
      </c>
    </row>
    <row r="2108" spans="3:4">
      <c r="C2108">
        <v>4755</v>
      </c>
      <c r="D2108">
        <v>96</v>
      </c>
    </row>
    <row r="2109" spans="3:4">
      <c r="C2109">
        <v>4756</v>
      </c>
      <c r="D2109">
        <v>94</v>
      </c>
    </row>
    <row r="2110" spans="3:4">
      <c r="C2110">
        <v>4761</v>
      </c>
      <c r="D2110">
        <v>91</v>
      </c>
    </row>
    <row r="2111" spans="3:4">
      <c r="C2111">
        <v>4762</v>
      </c>
      <c r="D2111">
        <v>93</v>
      </c>
    </row>
    <row r="2112" spans="3:4">
      <c r="C2112">
        <v>4763</v>
      </c>
      <c r="D2112">
        <v>94</v>
      </c>
    </row>
    <row r="2113" spans="3:4">
      <c r="C2113">
        <v>4764</v>
      </c>
      <c r="D2113">
        <v>94</v>
      </c>
    </row>
    <row r="2114" spans="3:4">
      <c r="C2114">
        <v>4765</v>
      </c>
      <c r="D2114">
        <v>95</v>
      </c>
    </row>
    <row r="2115" spans="3:4">
      <c r="C2115">
        <v>4766</v>
      </c>
      <c r="D2115">
        <v>93</v>
      </c>
    </row>
    <row r="2116" spans="3:4">
      <c r="C2116">
        <v>4767</v>
      </c>
      <c r="D2116">
        <v>92</v>
      </c>
    </row>
    <row r="2117" spans="3:4">
      <c r="C2117">
        <v>4800</v>
      </c>
      <c r="D2117">
        <v>97</v>
      </c>
    </row>
    <row r="2118" spans="3:4">
      <c r="C2118">
        <v>4801</v>
      </c>
      <c r="D2118">
        <v>97</v>
      </c>
    </row>
    <row r="2119" spans="3:4">
      <c r="C2119">
        <v>4803</v>
      </c>
      <c r="D2119">
        <v>96</v>
      </c>
    </row>
    <row r="2120" spans="3:4">
      <c r="C2120">
        <v>4804</v>
      </c>
      <c r="D2120">
        <v>94</v>
      </c>
    </row>
    <row r="2121" spans="3:4">
      <c r="C2121">
        <v>4811</v>
      </c>
      <c r="D2121">
        <v>95</v>
      </c>
    </row>
    <row r="2122" spans="3:4">
      <c r="C2122">
        <v>4812</v>
      </c>
      <c r="D2122">
        <v>97</v>
      </c>
    </row>
    <row r="2123" spans="3:4">
      <c r="C2123">
        <v>4813</v>
      </c>
      <c r="D2123">
        <v>95</v>
      </c>
    </row>
    <row r="2124" spans="3:4">
      <c r="C2124">
        <v>4821</v>
      </c>
      <c r="D2124">
        <v>92</v>
      </c>
    </row>
    <row r="2125" spans="3:4">
      <c r="C2125">
        <v>4822</v>
      </c>
      <c r="D2125">
        <v>91</v>
      </c>
    </row>
    <row r="2126" spans="3:4">
      <c r="C2126">
        <v>4823</v>
      </c>
      <c r="D2126">
        <v>90</v>
      </c>
    </row>
    <row r="2127" spans="3:4">
      <c r="C2127">
        <v>4824</v>
      </c>
      <c r="D2127">
        <v>94</v>
      </c>
    </row>
    <row r="2128" spans="3:4">
      <c r="C2128">
        <v>4826</v>
      </c>
      <c r="D2128">
        <v>97</v>
      </c>
    </row>
    <row r="2129" spans="3:4">
      <c r="C2129">
        <v>4831</v>
      </c>
      <c r="D2129">
        <v>95</v>
      </c>
    </row>
    <row r="2130" spans="3:4">
      <c r="C2130">
        <v>4832</v>
      </c>
      <c r="D2130">
        <v>96</v>
      </c>
    </row>
    <row r="2131" spans="3:4">
      <c r="C2131">
        <v>4833</v>
      </c>
      <c r="D2131">
        <v>97</v>
      </c>
    </row>
    <row r="2132" spans="3:4">
      <c r="C2132">
        <v>4834</v>
      </c>
      <c r="D2132">
        <v>96</v>
      </c>
    </row>
    <row r="2133" spans="3:4">
      <c r="C2133">
        <v>4835</v>
      </c>
      <c r="D2133">
        <v>96</v>
      </c>
    </row>
    <row r="2134" spans="3:4">
      <c r="C2134">
        <v>4836</v>
      </c>
      <c r="D2134">
        <v>95</v>
      </c>
    </row>
    <row r="2135" spans="3:4">
      <c r="C2135">
        <v>4841</v>
      </c>
      <c r="D2135">
        <v>96</v>
      </c>
    </row>
    <row r="2136" spans="3:4">
      <c r="C2136">
        <v>4842</v>
      </c>
      <c r="D2136">
        <v>96</v>
      </c>
    </row>
    <row r="2137" spans="3:4">
      <c r="C2137">
        <v>4843</v>
      </c>
      <c r="D2137">
        <v>96</v>
      </c>
    </row>
    <row r="2138" spans="3:4">
      <c r="C2138">
        <v>4844</v>
      </c>
      <c r="D2138">
        <v>96</v>
      </c>
    </row>
    <row r="2139" spans="3:4">
      <c r="C2139">
        <v>4845</v>
      </c>
      <c r="D2139">
        <v>95</v>
      </c>
    </row>
    <row r="2140" spans="3:4">
      <c r="C2140">
        <v>4900</v>
      </c>
      <c r="D2140">
        <v>94</v>
      </c>
    </row>
    <row r="2141" spans="3:4">
      <c r="C2141">
        <v>4901</v>
      </c>
      <c r="D2141">
        <v>94</v>
      </c>
    </row>
    <row r="2142" spans="3:4">
      <c r="C2142">
        <v>4911</v>
      </c>
      <c r="D2142">
        <v>96</v>
      </c>
    </row>
    <row r="2143" spans="3:4">
      <c r="C2143">
        <v>4912</v>
      </c>
      <c r="D2143">
        <v>93</v>
      </c>
    </row>
    <row r="2144" spans="3:4">
      <c r="C2144">
        <v>4913</v>
      </c>
      <c r="D2144">
        <v>92</v>
      </c>
    </row>
    <row r="2145" spans="3:4">
      <c r="C2145">
        <v>4914</v>
      </c>
      <c r="D2145">
        <v>92</v>
      </c>
    </row>
    <row r="2146" spans="3:4">
      <c r="C2146">
        <v>4921</v>
      </c>
      <c r="D2146">
        <v>92</v>
      </c>
    </row>
    <row r="2147" spans="3:4">
      <c r="C2147">
        <v>4922</v>
      </c>
      <c r="D2147">
        <v>92</v>
      </c>
    </row>
    <row r="2148" spans="3:4">
      <c r="C2148">
        <v>4931</v>
      </c>
      <c r="D2148">
        <v>96</v>
      </c>
    </row>
    <row r="2149" spans="3:4">
      <c r="C2149">
        <v>4932</v>
      </c>
      <c r="D2149">
        <v>96</v>
      </c>
    </row>
    <row r="2150" spans="3:4">
      <c r="C2150">
        <v>4933</v>
      </c>
      <c r="D2150">
        <v>96</v>
      </c>
    </row>
    <row r="2151" spans="3:4">
      <c r="C2151">
        <v>4934</v>
      </c>
      <c r="D2151">
        <v>97</v>
      </c>
    </row>
    <row r="2152" spans="3:4">
      <c r="C2152">
        <v>4935</v>
      </c>
      <c r="D2152">
        <v>96</v>
      </c>
    </row>
    <row r="2153" spans="3:4">
      <c r="C2153">
        <v>4936</v>
      </c>
      <c r="D2153">
        <v>96</v>
      </c>
    </row>
    <row r="2154" spans="3:4">
      <c r="C2154">
        <v>4937</v>
      </c>
      <c r="D2154">
        <v>96</v>
      </c>
    </row>
    <row r="2155" spans="3:4">
      <c r="C2155">
        <v>4941</v>
      </c>
      <c r="D2155">
        <v>91</v>
      </c>
    </row>
    <row r="2156" spans="3:4">
      <c r="C2156">
        <v>4942</v>
      </c>
      <c r="D2156">
        <v>91</v>
      </c>
    </row>
    <row r="2157" spans="3:4">
      <c r="C2157">
        <v>4943</v>
      </c>
      <c r="D2157">
        <v>90</v>
      </c>
    </row>
    <row r="2158" spans="3:4">
      <c r="C2158">
        <v>4944</v>
      </c>
      <c r="D2158">
        <v>89</v>
      </c>
    </row>
    <row r="2159" spans="3:4">
      <c r="C2159">
        <v>4945</v>
      </c>
      <c r="D2159">
        <v>89</v>
      </c>
    </row>
    <row r="2160" spans="3:4">
      <c r="C2160">
        <v>4946</v>
      </c>
      <c r="D2160">
        <v>89</v>
      </c>
    </row>
    <row r="2161" spans="3:4">
      <c r="C2161">
        <v>4947</v>
      </c>
      <c r="D2161">
        <v>89</v>
      </c>
    </row>
    <row r="2162" spans="3:4">
      <c r="C2162">
        <v>4948</v>
      </c>
      <c r="D2162">
        <v>89</v>
      </c>
    </row>
    <row r="2163" spans="3:4">
      <c r="C2163">
        <v>4951</v>
      </c>
      <c r="D2163">
        <v>89</v>
      </c>
    </row>
    <row r="2164" spans="3:4">
      <c r="C2164">
        <v>4952</v>
      </c>
      <c r="D2164">
        <v>89</v>
      </c>
    </row>
    <row r="2165" spans="3:4">
      <c r="C2165">
        <v>4953</v>
      </c>
      <c r="D2165">
        <v>89</v>
      </c>
    </row>
    <row r="2166" spans="3:4">
      <c r="C2166">
        <v>4954</v>
      </c>
      <c r="D2166">
        <v>89</v>
      </c>
    </row>
    <row r="2167" spans="3:4">
      <c r="C2167">
        <v>4955</v>
      </c>
      <c r="D2167">
        <v>89</v>
      </c>
    </row>
    <row r="2168" spans="3:4">
      <c r="C2168">
        <v>4956</v>
      </c>
      <c r="D2168">
        <v>89</v>
      </c>
    </row>
    <row r="2169" spans="3:4">
      <c r="C2169">
        <v>4959</v>
      </c>
      <c r="D2169">
        <v>89</v>
      </c>
    </row>
    <row r="2170" spans="3:4">
      <c r="C2170">
        <v>4961</v>
      </c>
      <c r="D2170">
        <v>92</v>
      </c>
    </row>
    <row r="2171" spans="3:4">
      <c r="C2171">
        <v>4962</v>
      </c>
      <c r="D2171">
        <v>91</v>
      </c>
    </row>
    <row r="2172" spans="3:4">
      <c r="C2172">
        <v>4963</v>
      </c>
      <c r="D2172">
        <v>90</v>
      </c>
    </row>
    <row r="2173" spans="3:4">
      <c r="C2173">
        <v>4964</v>
      </c>
      <c r="D2173">
        <v>90</v>
      </c>
    </row>
    <row r="2174" spans="3:4">
      <c r="C2174">
        <v>4965</v>
      </c>
      <c r="D2174">
        <v>89</v>
      </c>
    </row>
    <row r="2175" spans="3:4">
      <c r="C2175">
        <v>4966</v>
      </c>
      <c r="D2175">
        <v>90</v>
      </c>
    </row>
    <row r="2176" spans="3:4">
      <c r="C2176">
        <v>4967</v>
      </c>
      <c r="D2176">
        <v>89</v>
      </c>
    </row>
    <row r="2177" spans="3:4">
      <c r="C2177">
        <v>4968</v>
      </c>
      <c r="D2177">
        <v>89</v>
      </c>
    </row>
    <row r="2178" spans="3:4">
      <c r="C2178">
        <v>4969</v>
      </c>
      <c r="D2178">
        <v>89</v>
      </c>
    </row>
    <row r="2179" spans="3:4">
      <c r="C2179">
        <v>4971</v>
      </c>
      <c r="D2179">
        <v>89</v>
      </c>
    </row>
    <row r="2180" spans="3:4">
      <c r="C2180">
        <v>4972</v>
      </c>
      <c r="D2180">
        <v>89</v>
      </c>
    </row>
    <row r="2181" spans="3:4">
      <c r="C2181">
        <v>4973</v>
      </c>
      <c r="D2181">
        <v>90</v>
      </c>
    </row>
    <row r="2182" spans="3:4">
      <c r="C2182">
        <v>4974</v>
      </c>
      <c r="D2182">
        <v>89</v>
      </c>
    </row>
    <row r="2183" spans="3:4">
      <c r="C2183">
        <v>4975</v>
      </c>
      <c r="D2183">
        <v>89</v>
      </c>
    </row>
    <row r="2184" spans="3:4">
      <c r="C2184">
        <v>4976</v>
      </c>
      <c r="D2184">
        <v>89</v>
      </c>
    </row>
    <row r="2185" spans="3:4">
      <c r="C2185">
        <v>4977</v>
      </c>
      <c r="D2185">
        <v>89</v>
      </c>
    </row>
    <row r="2186" spans="3:4">
      <c r="C2186">
        <v>5000</v>
      </c>
      <c r="D2186">
        <v>47</v>
      </c>
    </row>
    <row r="2187" spans="3:4">
      <c r="C2187">
        <v>5001</v>
      </c>
      <c r="D2187">
        <v>47</v>
      </c>
    </row>
    <row r="2188" spans="3:4">
      <c r="C2188">
        <v>5002</v>
      </c>
      <c r="D2188">
        <v>47</v>
      </c>
    </row>
    <row r="2189" spans="3:4">
      <c r="C2189">
        <v>5003</v>
      </c>
      <c r="D2189">
        <v>47</v>
      </c>
    </row>
    <row r="2190" spans="3:4">
      <c r="C2190">
        <v>5004</v>
      </c>
      <c r="D2190">
        <v>47</v>
      </c>
    </row>
    <row r="2191" spans="3:4">
      <c r="C2191">
        <v>5005</v>
      </c>
      <c r="D2191">
        <v>47</v>
      </c>
    </row>
    <row r="2192" spans="3:4">
      <c r="C2192">
        <v>5006</v>
      </c>
      <c r="D2192">
        <v>47</v>
      </c>
    </row>
    <row r="2193" spans="3:4">
      <c r="C2193">
        <v>5007</v>
      </c>
      <c r="D2193">
        <v>47</v>
      </c>
    </row>
    <row r="2194" spans="3:4">
      <c r="C2194">
        <v>5008</v>
      </c>
      <c r="D2194">
        <v>48</v>
      </c>
    </row>
    <row r="2195" spans="3:4">
      <c r="C2195">
        <v>5009</v>
      </c>
      <c r="D2195">
        <v>47</v>
      </c>
    </row>
    <row r="2196" spans="3:4">
      <c r="C2196">
        <v>5031</v>
      </c>
      <c r="D2196">
        <v>47</v>
      </c>
    </row>
    <row r="2197" spans="3:4">
      <c r="C2197">
        <v>5049</v>
      </c>
      <c r="D2197">
        <v>47</v>
      </c>
    </row>
    <row r="2198" spans="3:4">
      <c r="C2198">
        <v>5050</v>
      </c>
      <c r="D2198">
        <v>47</v>
      </c>
    </row>
    <row r="2199" spans="3:4">
      <c r="C2199">
        <v>5051</v>
      </c>
      <c r="D2199">
        <v>90</v>
      </c>
    </row>
    <row r="2200" spans="3:4">
      <c r="C2200">
        <v>5052</v>
      </c>
      <c r="D2200">
        <v>92</v>
      </c>
    </row>
    <row r="2201" spans="3:4">
      <c r="C2201">
        <v>5053</v>
      </c>
      <c r="D2201">
        <v>90</v>
      </c>
    </row>
    <row r="2202" spans="3:4">
      <c r="C2202">
        <v>5054</v>
      </c>
      <c r="D2202">
        <v>89</v>
      </c>
    </row>
    <row r="2203" spans="3:4">
      <c r="C2203">
        <v>5055</v>
      </c>
      <c r="D2203">
        <v>90</v>
      </c>
    </row>
    <row r="2204" spans="3:4">
      <c r="C2204">
        <v>5061</v>
      </c>
      <c r="D2204">
        <v>91</v>
      </c>
    </row>
    <row r="2205" spans="3:4">
      <c r="C2205">
        <v>5062</v>
      </c>
      <c r="D2205">
        <v>92</v>
      </c>
    </row>
    <row r="2206" spans="3:4">
      <c r="C2206">
        <v>5063</v>
      </c>
      <c r="D2206">
        <v>92</v>
      </c>
    </row>
    <row r="2207" spans="3:4">
      <c r="C2207">
        <v>5064</v>
      </c>
      <c r="D2207">
        <v>92</v>
      </c>
    </row>
    <row r="2208" spans="3:4">
      <c r="C2208">
        <v>5065</v>
      </c>
      <c r="D2208">
        <v>94</v>
      </c>
    </row>
    <row r="2209" spans="3:4">
      <c r="C2209">
        <v>5071</v>
      </c>
      <c r="D2209">
        <v>91</v>
      </c>
    </row>
    <row r="2210" spans="3:4">
      <c r="C2210">
        <v>5072</v>
      </c>
      <c r="D2210">
        <v>91</v>
      </c>
    </row>
    <row r="2211" spans="3:4">
      <c r="C2211">
        <v>5081</v>
      </c>
      <c r="D2211">
        <v>93</v>
      </c>
    </row>
    <row r="2212" spans="3:4">
      <c r="C2212">
        <v>5082</v>
      </c>
      <c r="D2212">
        <v>92</v>
      </c>
    </row>
    <row r="2213" spans="3:4">
      <c r="C2213">
        <v>5083</v>
      </c>
      <c r="D2213">
        <v>91</v>
      </c>
    </row>
    <row r="2214" spans="3:4">
      <c r="C2214">
        <v>5084</v>
      </c>
      <c r="D2214">
        <v>91</v>
      </c>
    </row>
    <row r="2215" spans="3:4">
      <c r="C2215">
        <v>5085</v>
      </c>
      <c r="D2215">
        <v>92</v>
      </c>
    </row>
    <row r="2216" spans="3:4">
      <c r="C2216">
        <v>5091</v>
      </c>
      <c r="D2216">
        <v>90</v>
      </c>
    </row>
    <row r="2217" spans="3:4">
      <c r="C2217">
        <v>5092</v>
      </c>
      <c r="D2217">
        <v>92</v>
      </c>
    </row>
    <row r="2218" spans="3:4">
      <c r="C2218">
        <v>5093</v>
      </c>
      <c r="D2218">
        <v>92</v>
      </c>
    </row>
    <row r="2219" spans="3:4">
      <c r="C2219">
        <v>5094</v>
      </c>
      <c r="D2219">
        <v>91</v>
      </c>
    </row>
    <row r="2220" spans="3:4">
      <c r="C2220">
        <v>5095</v>
      </c>
      <c r="D2220">
        <v>92</v>
      </c>
    </row>
    <row r="2221" spans="3:4">
      <c r="C2221">
        <v>5100</v>
      </c>
      <c r="D2221">
        <v>90</v>
      </c>
    </row>
    <row r="2222" spans="3:4">
      <c r="C2222">
        <v>5101</v>
      </c>
      <c r="D2222">
        <v>89</v>
      </c>
    </row>
    <row r="2223" spans="3:4">
      <c r="C2223">
        <v>5102</v>
      </c>
      <c r="D2223">
        <v>89</v>
      </c>
    </row>
    <row r="2224" spans="3:4">
      <c r="C2224">
        <v>5111</v>
      </c>
      <c r="D2224">
        <v>91</v>
      </c>
    </row>
    <row r="2225" spans="3:4">
      <c r="C2225">
        <v>5121</v>
      </c>
      <c r="D2225">
        <v>89</v>
      </c>
    </row>
    <row r="2226" spans="3:4">
      <c r="C2226">
        <v>5122</v>
      </c>
      <c r="D2226">
        <v>89</v>
      </c>
    </row>
    <row r="2227" spans="3:4">
      <c r="C2227">
        <v>5123</v>
      </c>
      <c r="D2227">
        <v>91</v>
      </c>
    </row>
    <row r="2228" spans="3:4">
      <c r="C2228">
        <v>5124</v>
      </c>
      <c r="D2228">
        <v>91</v>
      </c>
    </row>
    <row r="2229" spans="3:4">
      <c r="C2229">
        <v>5125</v>
      </c>
      <c r="D2229">
        <v>90</v>
      </c>
    </row>
    <row r="2230" spans="3:4">
      <c r="C2230">
        <v>5126</v>
      </c>
      <c r="D2230">
        <v>92</v>
      </c>
    </row>
    <row r="2231" spans="3:4">
      <c r="C2231">
        <v>5130</v>
      </c>
      <c r="D2231">
        <v>91</v>
      </c>
    </row>
    <row r="2232" spans="3:4">
      <c r="C2232">
        <v>5131</v>
      </c>
      <c r="D2232">
        <v>93</v>
      </c>
    </row>
    <row r="2233" spans="3:4">
      <c r="C2233">
        <v>5135</v>
      </c>
      <c r="D2233">
        <v>91</v>
      </c>
    </row>
    <row r="2234" spans="3:4">
      <c r="C2234">
        <v>5136</v>
      </c>
      <c r="D2234">
        <v>90</v>
      </c>
    </row>
    <row r="2235" spans="3:4">
      <c r="C2235">
        <v>5137</v>
      </c>
      <c r="D2235">
        <v>93</v>
      </c>
    </row>
    <row r="2236" spans="3:4">
      <c r="C2236">
        <v>5141</v>
      </c>
      <c r="D2236">
        <v>89</v>
      </c>
    </row>
    <row r="2237" spans="3:4">
      <c r="C2237">
        <v>5142</v>
      </c>
      <c r="D2237">
        <v>89</v>
      </c>
    </row>
    <row r="2238" spans="3:4">
      <c r="C2238">
        <v>5143</v>
      </c>
      <c r="D2238">
        <v>89</v>
      </c>
    </row>
    <row r="2239" spans="3:4">
      <c r="C2239">
        <v>5144</v>
      </c>
      <c r="D2239">
        <v>89</v>
      </c>
    </row>
    <row r="2240" spans="3:4">
      <c r="C2240">
        <v>5151</v>
      </c>
      <c r="D2240">
        <v>89</v>
      </c>
    </row>
    <row r="2241" spans="3:4">
      <c r="C2241">
        <v>5152</v>
      </c>
      <c r="D2241">
        <v>89</v>
      </c>
    </row>
    <row r="2242" spans="3:4">
      <c r="C2242">
        <v>5200</v>
      </c>
      <c r="D2242">
        <v>94</v>
      </c>
    </row>
    <row r="2243" spans="3:4">
      <c r="C2243">
        <v>5201</v>
      </c>
      <c r="D2243">
        <v>93</v>
      </c>
    </row>
    <row r="2244" spans="3:4">
      <c r="C2244">
        <v>5210</v>
      </c>
      <c r="D2244">
        <v>93</v>
      </c>
    </row>
    <row r="2245" spans="3:4">
      <c r="C2245">
        <v>5211</v>
      </c>
      <c r="D2245">
        <v>92</v>
      </c>
    </row>
    <row r="2246" spans="3:4">
      <c r="C2246">
        <v>5212</v>
      </c>
      <c r="D2246">
        <v>93</v>
      </c>
    </row>
    <row r="2247" spans="3:4">
      <c r="C2247">
        <v>5213</v>
      </c>
      <c r="D2247">
        <v>93</v>
      </c>
    </row>
    <row r="2248" spans="3:4">
      <c r="C2248">
        <v>5222</v>
      </c>
      <c r="D2248">
        <v>93</v>
      </c>
    </row>
    <row r="2249" spans="3:4">
      <c r="C2249">
        <v>5231</v>
      </c>
      <c r="D2249">
        <v>94</v>
      </c>
    </row>
    <row r="2250" spans="3:4">
      <c r="C2250">
        <v>5232</v>
      </c>
      <c r="D2250">
        <v>91</v>
      </c>
    </row>
    <row r="2251" spans="3:4">
      <c r="C2251">
        <v>5233</v>
      </c>
      <c r="D2251">
        <v>89</v>
      </c>
    </row>
    <row r="2252" spans="3:4">
      <c r="C2252">
        <v>5234</v>
      </c>
      <c r="D2252">
        <v>90</v>
      </c>
    </row>
    <row r="2253" spans="3:4">
      <c r="C2253">
        <v>5235</v>
      </c>
      <c r="D2253">
        <v>89</v>
      </c>
    </row>
    <row r="2254" spans="3:4">
      <c r="C2254">
        <v>5238</v>
      </c>
      <c r="D2254">
        <v>89</v>
      </c>
    </row>
    <row r="2255" spans="3:4">
      <c r="C2255">
        <v>5240</v>
      </c>
      <c r="D2255">
        <v>89</v>
      </c>
    </row>
    <row r="2256" spans="3:4">
      <c r="C2256">
        <v>5241</v>
      </c>
      <c r="D2256">
        <v>89</v>
      </c>
    </row>
    <row r="2257" spans="3:4">
      <c r="C2257">
        <v>5242</v>
      </c>
      <c r="D2257">
        <v>89</v>
      </c>
    </row>
    <row r="2258" spans="3:4">
      <c r="C2258">
        <v>5243</v>
      </c>
      <c r="D2258">
        <v>89</v>
      </c>
    </row>
    <row r="2259" spans="3:4">
      <c r="C2259">
        <v>5244</v>
      </c>
      <c r="D2259">
        <v>89</v>
      </c>
    </row>
    <row r="2260" spans="3:4">
      <c r="C2260">
        <v>5254</v>
      </c>
      <c r="D2260">
        <v>89</v>
      </c>
    </row>
    <row r="2261" spans="3:4">
      <c r="C2261">
        <v>5300</v>
      </c>
      <c r="D2261">
        <v>91</v>
      </c>
    </row>
    <row r="2262" spans="3:4">
      <c r="C2262">
        <v>5301</v>
      </c>
      <c r="D2262">
        <v>91</v>
      </c>
    </row>
    <row r="2263" spans="3:4">
      <c r="C2263">
        <v>5302</v>
      </c>
      <c r="D2263">
        <v>91</v>
      </c>
    </row>
    <row r="2264" spans="3:4">
      <c r="C2264">
        <v>5308</v>
      </c>
      <c r="D2264">
        <v>91</v>
      </c>
    </row>
    <row r="2265" spans="3:4">
      <c r="C2265">
        <v>5309</v>
      </c>
      <c r="D2265">
        <v>94</v>
      </c>
    </row>
    <row r="2266" spans="3:4">
      <c r="C2266">
        <v>5310</v>
      </c>
      <c r="D2266">
        <v>92</v>
      </c>
    </row>
    <row r="2267" spans="3:4">
      <c r="C2267">
        <v>5311</v>
      </c>
      <c r="D2267">
        <v>92</v>
      </c>
    </row>
    <row r="2268" spans="3:4">
      <c r="C2268">
        <v>5321</v>
      </c>
      <c r="D2268">
        <v>89</v>
      </c>
    </row>
    <row r="2269" spans="3:4">
      <c r="C2269">
        <v>5322</v>
      </c>
      <c r="D2269">
        <v>89</v>
      </c>
    </row>
    <row r="2270" spans="3:4">
      <c r="C2270">
        <v>5323</v>
      </c>
      <c r="D2270">
        <v>89</v>
      </c>
    </row>
    <row r="2271" spans="3:4">
      <c r="C2271">
        <v>5324</v>
      </c>
      <c r="D2271">
        <v>89</v>
      </c>
    </row>
    <row r="2272" spans="3:4">
      <c r="C2272">
        <v>5331</v>
      </c>
      <c r="D2272">
        <v>90</v>
      </c>
    </row>
    <row r="2273" spans="3:4">
      <c r="C2273">
        <v>5340</v>
      </c>
      <c r="D2273">
        <v>90</v>
      </c>
    </row>
    <row r="2274" spans="3:4">
      <c r="C2274">
        <v>5341</v>
      </c>
      <c r="D2274">
        <v>90</v>
      </c>
    </row>
    <row r="2275" spans="3:4">
      <c r="C2275">
        <v>5349</v>
      </c>
      <c r="D2275">
        <v>90</v>
      </c>
    </row>
    <row r="2276" spans="3:4">
      <c r="C2276">
        <v>5350</v>
      </c>
      <c r="D2276">
        <v>89</v>
      </c>
    </row>
    <row r="2277" spans="3:4">
      <c r="C2277">
        <v>5351</v>
      </c>
      <c r="D2277">
        <v>89</v>
      </c>
    </row>
    <row r="2278" spans="3:4">
      <c r="C2278">
        <v>5352</v>
      </c>
      <c r="D2278">
        <v>89</v>
      </c>
    </row>
    <row r="2279" spans="3:4">
      <c r="C2279">
        <v>5358</v>
      </c>
      <c r="D2279">
        <v>89</v>
      </c>
    </row>
    <row r="2280" spans="3:4">
      <c r="C2280">
        <v>5359</v>
      </c>
      <c r="D2280">
        <v>89</v>
      </c>
    </row>
    <row r="2281" spans="3:4">
      <c r="C2281">
        <v>5361</v>
      </c>
      <c r="D2281">
        <v>89</v>
      </c>
    </row>
    <row r="2282" spans="3:4">
      <c r="C2282">
        <v>5362</v>
      </c>
      <c r="D2282">
        <v>89</v>
      </c>
    </row>
    <row r="2283" spans="3:4">
      <c r="C2283">
        <v>5363</v>
      </c>
      <c r="D2283">
        <v>89</v>
      </c>
    </row>
    <row r="2284" spans="3:4">
      <c r="C2284">
        <v>5400</v>
      </c>
      <c r="D2284">
        <v>91</v>
      </c>
    </row>
    <row r="2285" spans="3:4">
      <c r="C2285">
        <v>5401</v>
      </c>
      <c r="D2285">
        <v>91</v>
      </c>
    </row>
    <row r="2286" spans="3:4">
      <c r="C2286">
        <v>5403</v>
      </c>
      <c r="D2286">
        <v>91</v>
      </c>
    </row>
    <row r="2287" spans="3:4">
      <c r="C2287">
        <v>5404</v>
      </c>
      <c r="D2287">
        <v>91</v>
      </c>
    </row>
    <row r="2288" spans="3:4">
      <c r="C2288">
        <v>5411</v>
      </c>
      <c r="D2288">
        <v>92</v>
      </c>
    </row>
    <row r="2289" spans="3:4">
      <c r="C2289">
        <v>5412</v>
      </c>
      <c r="D2289">
        <v>93</v>
      </c>
    </row>
    <row r="2290" spans="3:4">
      <c r="C2290">
        <v>5420</v>
      </c>
      <c r="D2290">
        <v>95</v>
      </c>
    </row>
    <row r="2291" spans="3:4">
      <c r="C2291">
        <v>5421</v>
      </c>
      <c r="D2291">
        <v>95</v>
      </c>
    </row>
    <row r="2292" spans="3:4">
      <c r="C2292">
        <v>5430</v>
      </c>
      <c r="D2292">
        <v>91</v>
      </c>
    </row>
    <row r="2293" spans="3:4">
      <c r="C2293">
        <v>5431</v>
      </c>
      <c r="D2293">
        <v>90</v>
      </c>
    </row>
    <row r="2294" spans="3:4">
      <c r="C2294">
        <v>5432</v>
      </c>
      <c r="D2294">
        <v>90</v>
      </c>
    </row>
    <row r="2295" spans="3:4">
      <c r="C2295">
        <v>5435</v>
      </c>
      <c r="D2295">
        <v>92</v>
      </c>
    </row>
    <row r="2296" spans="3:4">
      <c r="C2296">
        <v>5440</v>
      </c>
      <c r="D2296">
        <v>89</v>
      </c>
    </row>
    <row r="2297" spans="3:4">
      <c r="C2297">
        <v>5441</v>
      </c>
      <c r="D2297">
        <v>89</v>
      </c>
    </row>
    <row r="2298" spans="3:4">
      <c r="C2298">
        <v>5449</v>
      </c>
      <c r="D2298">
        <v>90</v>
      </c>
    </row>
    <row r="2299" spans="3:4">
      <c r="C2299">
        <v>5451</v>
      </c>
      <c r="D2299">
        <v>91</v>
      </c>
    </row>
    <row r="2300" spans="3:4">
      <c r="C2300">
        <v>5452</v>
      </c>
      <c r="D2300">
        <v>91</v>
      </c>
    </row>
    <row r="2301" spans="3:4">
      <c r="C2301">
        <v>5453</v>
      </c>
      <c r="D2301">
        <v>94</v>
      </c>
    </row>
    <row r="2302" spans="3:4">
      <c r="C2302">
        <v>5461</v>
      </c>
      <c r="D2302">
        <v>90</v>
      </c>
    </row>
    <row r="2303" spans="3:4">
      <c r="C2303">
        <v>5462</v>
      </c>
      <c r="D2303">
        <v>91</v>
      </c>
    </row>
    <row r="2304" spans="3:4">
      <c r="C2304">
        <v>5463</v>
      </c>
      <c r="D2304">
        <v>89</v>
      </c>
    </row>
    <row r="2305" spans="3:4">
      <c r="C2305">
        <v>5464</v>
      </c>
      <c r="D2305">
        <v>89</v>
      </c>
    </row>
    <row r="2306" spans="3:4">
      <c r="C2306">
        <v>5465</v>
      </c>
      <c r="D2306">
        <v>89</v>
      </c>
    </row>
    <row r="2307" spans="3:4">
      <c r="C2307">
        <v>5471</v>
      </c>
      <c r="D2307">
        <v>89</v>
      </c>
    </row>
    <row r="2308" spans="3:4">
      <c r="C2308">
        <v>5472</v>
      </c>
      <c r="D2308">
        <v>89</v>
      </c>
    </row>
    <row r="2309" spans="3:4">
      <c r="C2309">
        <v>5473</v>
      </c>
      <c r="D2309">
        <v>93</v>
      </c>
    </row>
    <row r="2310" spans="3:4">
      <c r="C2310">
        <v>5474</v>
      </c>
      <c r="D2310">
        <v>89</v>
      </c>
    </row>
    <row r="2311" spans="3:4">
      <c r="C2311">
        <v>5475</v>
      </c>
      <c r="D2311">
        <v>89</v>
      </c>
    </row>
    <row r="2312" spans="3:4">
      <c r="C2312">
        <v>5476</v>
      </c>
      <c r="D2312">
        <v>89</v>
      </c>
    </row>
    <row r="2313" spans="3:4">
      <c r="C2313">
        <v>5500</v>
      </c>
      <c r="D2313">
        <v>94</v>
      </c>
    </row>
    <row r="2314" spans="3:4">
      <c r="C2314">
        <v>5501</v>
      </c>
      <c r="D2314">
        <v>93</v>
      </c>
    </row>
    <row r="2315" spans="3:4">
      <c r="C2315">
        <v>5502</v>
      </c>
      <c r="D2315">
        <v>93</v>
      </c>
    </row>
    <row r="2316" spans="3:4">
      <c r="C2316">
        <v>5510</v>
      </c>
      <c r="D2316">
        <v>95</v>
      </c>
    </row>
    <row r="2317" spans="3:4">
      <c r="C2317">
        <v>5515</v>
      </c>
      <c r="D2317">
        <v>94</v>
      </c>
    </row>
    <row r="2318" spans="3:4">
      <c r="C2318">
        <v>5516</v>
      </c>
      <c r="D2318">
        <v>90</v>
      </c>
    </row>
    <row r="2319" spans="3:4">
      <c r="C2319">
        <v>5520</v>
      </c>
      <c r="D2319">
        <v>91</v>
      </c>
    </row>
    <row r="2320" spans="3:4">
      <c r="C2320">
        <v>5521</v>
      </c>
      <c r="D2320">
        <v>91</v>
      </c>
    </row>
    <row r="2321" spans="3:4">
      <c r="C2321">
        <v>5525</v>
      </c>
      <c r="D2321">
        <v>95</v>
      </c>
    </row>
    <row r="2322" spans="3:4">
      <c r="C2322">
        <v>5526</v>
      </c>
      <c r="D2322">
        <v>93</v>
      </c>
    </row>
    <row r="2323" spans="3:4">
      <c r="C2323">
        <v>5527</v>
      </c>
      <c r="D2323">
        <v>94</v>
      </c>
    </row>
    <row r="2324" spans="3:4">
      <c r="C2324">
        <v>5530</v>
      </c>
      <c r="D2324">
        <v>91</v>
      </c>
    </row>
    <row r="2325" spans="3:4">
      <c r="C2325">
        <v>5534</v>
      </c>
      <c r="D2325">
        <v>93</v>
      </c>
    </row>
    <row r="2326" spans="3:4">
      <c r="C2326">
        <v>5535</v>
      </c>
      <c r="D2326">
        <v>93</v>
      </c>
    </row>
    <row r="2327" spans="3:4">
      <c r="C2327">
        <v>5536</v>
      </c>
      <c r="D2327">
        <v>96</v>
      </c>
    </row>
    <row r="2328" spans="3:4">
      <c r="C2328">
        <v>5537</v>
      </c>
      <c r="D2328">
        <v>92</v>
      </c>
    </row>
    <row r="2329" spans="3:4">
      <c r="C2329">
        <v>5538</v>
      </c>
      <c r="D2329">
        <v>92</v>
      </c>
    </row>
    <row r="2330" spans="3:4">
      <c r="C2330">
        <v>5539</v>
      </c>
      <c r="D2330">
        <v>93</v>
      </c>
    </row>
    <row r="2331" spans="3:4">
      <c r="C2331">
        <v>5540</v>
      </c>
      <c r="D2331">
        <v>93</v>
      </c>
    </row>
    <row r="2332" spans="3:4">
      <c r="C2332">
        <v>5541</v>
      </c>
      <c r="D2332">
        <v>93</v>
      </c>
    </row>
    <row r="2333" spans="3:4">
      <c r="C2333">
        <v>5551</v>
      </c>
      <c r="D2333">
        <v>90</v>
      </c>
    </row>
    <row r="2334" spans="3:4">
      <c r="C2334">
        <v>5552</v>
      </c>
      <c r="D2334">
        <v>91</v>
      </c>
    </row>
    <row r="2335" spans="3:4">
      <c r="C2335">
        <v>5553</v>
      </c>
      <c r="D2335">
        <v>91</v>
      </c>
    </row>
    <row r="2336" spans="3:4">
      <c r="C2336">
        <v>5555</v>
      </c>
      <c r="D2336">
        <v>92</v>
      </c>
    </row>
    <row r="2337" spans="3:4">
      <c r="C2337">
        <v>5556</v>
      </c>
      <c r="D2337">
        <v>92</v>
      </c>
    </row>
    <row r="2338" spans="3:4">
      <c r="C2338">
        <v>5561</v>
      </c>
      <c r="D2338">
        <v>90</v>
      </c>
    </row>
    <row r="2339" spans="3:4">
      <c r="C2339">
        <v>5600</v>
      </c>
      <c r="D2339">
        <v>95</v>
      </c>
    </row>
    <row r="2340" spans="3:4">
      <c r="C2340">
        <v>5601</v>
      </c>
      <c r="D2340">
        <v>95</v>
      </c>
    </row>
    <row r="2341" spans="3:4">
      <c r="C2341">
        <v>5602</v>
      </c>
      <c r="D2341">
        <v>95</v>
      </c>
    </row>
    <row r="2342" spans="3:4">
      <c r="C2342">
        <v>5603</v>
      </c>
      <c r="D2342">
        <v>95</v>
      </c>
    </row>
    <row r="2343" spans="3:4">
      <c r="C2343">
        <v>5604</v>
      </c>
      <c r="D2343">
        <v>95</v>
      </c>
    </row>
    <row r="2344" spans="3:4">
      <c r="C2344">
        <v>5605</v>
      </c>
      <c r="D2344">
        <v>95</v>
      </c>
    </row>
    <row r="2345" spans="3:4">
      <c r="C2345">
        <v>5609</v>
      </c>
      <c r="D2345">
        <v>92</v>
      </c>
    </row>
    <row r="2346" spans="3:4">
      <c r="C2346">
        <v>5619</v>
      </c>
      <c r="D2346">
        <v>92</v>
      </c>
    </row>
    <row r="2347" spans="3:4">
      <c r="C2347">
        <v>5621</v>
      </c>
      <c r="D2347">
        <v>91</v>
      </c>
    </row>
    <row r="2348" spans="3:4">
      <c r="C2348">
        <v>5622</v>
      </c>
      <c r="D2348">
        <v>89</v>
      </c>
    </row>
    <row r="2349" spans="3:4">
      <c r="C2349">
        <v>5623</v>
      </c>
      <c r="D2349">
        <v>95</v>
      </c>
    </row>
    <row r="2350" spans="3:4">
      <c r="C2350">
        <v>5624</v>
      </c>
      <c r="D2350">
        <v>92</v>
      </c>
    </row>
    <row r="2351" spans="3:4">
      <c r="C2351">
        <v>5625</v>
      </c>
      <c r="D2351">
        <v>92</v>
      </c>
    </row>
    <row r="2352" spans="3:4">
      <c r="C2352">
        <v>5630</v>
      </c>
      <c r="D2352">
        <v>95</v>
      </c>
    </row>
    <row r="2353" spans="3:4">
      <c r="C2353">
        <v>5631</v>
      </c>
      <c r="D2353">
        <v>95</v>
      </c>
    </row>
    <row r="2354" spans="3:4">
      <c r="C2354">
        <v>5641</v>
      </c>
      <c r="D2354">
        <v>92</v>
      </c>
    </row>
    <row r="2355" spans="3:4">
      <c r="C2355">
        <v>5642</v>
      </c>
      <c r="D2355">
        <v>92</v>
      </c>
    </row>
    <row r="2356" spans="3:4">
      <c r="C2356">
        <v>5643</v>
      </c>
      <c r="D2356">
        <v>92</v>
      </c>
    </row>
    <row r="2357" spans="3:4">
      <c r="C2357">
        <v>5646</v>
      </c>
      <c r="D2357">
        <v>92</v>
      </c>
    </row>
    <row r="2358" spans="3:4">
      <c r="C2358">
        <v>5650</v>
      </c>
      <c r="D2358">
        <v>93</v>
      </c>
    </row>
    <row r="2359" spans="3:4">
      <c r="C2359">
        <v>5661</v>
      </c>
      <c r="D2359">
        <v>92</v>
      </c>
    </row>
    <row r="2360" spans="3:4">
      <c r="C2360">
        <v>5662</v>
      </c>
      <c r="D2360">
        <v>89</v>
      </c>
    </row>
    <row r="2361" spans="3:4">
      <c r="C2361">
        <v>5663</v>
      </c>
      <c r="D2361">
        <v>90</v>
      </c>
    </row>
    <row r="2362" spans="3:4">
      <c r="C2362">
        <v>5664</v>
      </c>
      <c r="D2362">
        <v>90</v>
      </c>
    </row>
    <row r="2363" spans="3:4">
      <c r="C2363">
        <v>5665</v>
      </c>
      <c r="D2363">
        <v>91</v>
      </c>
    </row>
    <row r="2364" spans="3:4">
      <c r="C2364">
        <v>5666</v>
      </c>
      <c r="D2364">
        <v>90</v>
      </c>
    </row>
    <row r="2365" spans="3:4">
      <c r="C2365">
        <v>5667</v>
      </c>
      <c r="D2365">
        <v>91</v>
      </c>
    </row>
    <row r="2366" spans="3:4">
      <c r="C2366">
        <v>5668</v>
      </c>
      <c r="D2366">
        <v>90</v>
      </c>
    </row>
    <row r="2367" spans="3:4">
      <c r="C2367">
        <v>5671</v>
      </c>
      <c r="D2367">
        <v>93</v>
      </c>
    </row>
    <row r="2368" spans="3:4">
      <c r="C2368">
        <v>5672</v>
      </c>
      <c r="D2368">
        <v>93</v>
      </c>
    </row>
    <row r="2369" spans="3:4">
      <c r="C2369">
        <v>5673</v>
      </c>
      <c r="D2369">
        <v>92</v>
      </c>
    </row>
    <row r="2370" spans="3:4">
      <c r="C2370">
        <v>5674</v>
      </c>
      <c r="D2370">
        <v>93</v>
      </c>
    </row>
    <row r="2371" spans="3:4">
      <c r="C2371">
        <v>5675</v>
      </c>
      <c r="D2371">
        <v>92</v>
      </c>
    </row>
    <row r="2372" spans="3:4">
      <c r="C2372">
        <v>5700</v>
      </c>
      <c r="D2372">
        <v>96</v>
      </c>
    </row>
    <row r="2373" spans="3:4">
      <c r="C2373">
        <v>5701</v>
      </c>
      <c r="D2373">
        <v>92</v>
      </c>
    </row>
    <row r="2374" spans="3:4">
      <c r="C2374">
        <v>5702</v>
      </c>
      <c r="D2374">
        <v>92</v>
      </c>
    </row>
    <row r="2375" spans="3:4">
      <c r="C2375">
        <v>5703</v>
      </c>
      <c r="D2375">
        <v>92</v>
      </c>
    </row>
    <row r="2376" spans="3:4">
      <c r="C2376">
        <v>5711</v>
      </c>
      <c r="D2376">
        <v>92</v>
      </c>
    </row>
    <row r="2377" spans="3:4">
      <c r="C2377">
        <v>5712</v>
      </c>
      <c r="D2377">
        <v>95</v>
      </c>
    </row>
    <row r="2378" spans="3:4">
      <c r="C2378">
        <v>5720</v>
      </c>
      <c r="D2378">
        <v>90</v>
      </c>
    </row>
    <row r="2379" spans="3:4">
      <c r="C2379">
        <v>5721</v>
      </c>
      <c r="D2379">
        <v>90</v>
      </c>
    </row>
    <row r="2380" spans="3:4">
      <c r="C2380">
        <v>5722</v>
      </c>
      <c r="D2380">
        <v>90</v>
      </c>
    </row>
    <row r="2381" spans="3:4">
      <c r="C2381">
        <v>5725</v>
      </c>
      <c r="D2381">
        <v>90</v>
      </c>
    </row>
    <row r="2382" spans="3:4">
      <c r="C2382">
        <v>5726</v>
      </c>
      <c r="D2382">
        <v>90</v>
      </c>
    </row>
    <row r="2383" spans="3:4">
      <c r="C2383">
        <v>5727</v>
      </c>
      <c r="D2383">
        <v>91</v>
      </c>
    </row>
    <row r="2384" spans="3:4">
      <c r="C2384">
        <v>5731</v>
      </c>
      <c r="D2384">
        <v>90</v>
      </c>
    </row>
    <row r="2385" spans="3:4">
      <c r="C2385">
        <v>5732</v>
      </c>
      <c r="D2385">
        <v>92</v>
      </c>
    </row>
    <row r="2386" spans="3:4">
      <c r="C2386">
        <v>5734</v>
      </c>
      <c r="D2386">
        <v>92</v>
      </c>
    </row>
    <row r="2387" spans="3:4">
      <c r="C2387">
        <v>5740</v>
      </c>
      <c r="D2387">
        <v>92</v>
      </c>
    </row>
    <row r="2388" spans="3:4">
      <c r="C2388">
        <v>5741</v>
      </c>
      <c r="D2388">
        <v>94</v>
      </c>
    </row>
    <row r="2389" spans="3:4">
      <c r="C2389">
        <v>5742</v>
      </c>
      <c r="D2389">
        <v>92</v>
      </c>
    </row>
    <row r="2390" spans="3:4">
      <c r="C2390">
        <v>5743</v>
      </c>
      <c r="D2390">
        <v>91</v>
      </c>
    </row>
    <row r="2391" spans="3:4">
      <c r="C2391">
        <v>5744</v>
      </c>
      <c r="D2391">
        <v>90</v>
      </c>
    </row>
    <row r="2392" spans="3:4">
      <c r="C2392">
        <v>5745</v>
      </c>
      <c r="D2392">
        <v>90</v>
      </c>
    </row>
    <row r="2393" spans="3:4">
      <c r="C2393">
        <v>5746</v>
      </c>
      <c r="D2393">
        <v>90</v>
      </c>
    </row>
    <row r="2394" spans="3:4">
      <c r="C2394">
        <v>5747</v>
      </c>
      <c r="D2394">
        <v>90</v>
      </c>
    </row>
    <row r="2395" spans="3:4">
      <c r="C2395">
        <v>5751</v>
      </c>
      <c r="D2395">
        <v>90</v>
      </c>
    </row>
    <row r="2396" spans="3:4">
      <c r="C2396">
        <v>5752</v>
      </c>
      <c r="D2396">
        <v>90</v>
      </c>
    </row>
    <row r="2397" spans="3:4">
      <c r="C2397">
        <v>5800</v>
      </c>
      <c r="D2397">
        <v>93</v>
      </c>
    </row>
    <row r="2398" spans="3:4">
      <c r="C2398">
        <v>5801</v>
      </c>
      <c r="D2398">
        <v>93</v>
      </c>
    </row>
    <row r="2399" spans="3:4">
      <c r="C2399">
        <v>5802</v>
      </c>
      <c r="D2399">
        <v>93</v>
      </c>
    </row>
    <row r="2400" spans="3:4">
      <c r="C2400">
        <v>5811</v>
      </c>
      <c r="D2400">
        <v>90</v>
      </c>
    </row>
    <row r="2401" spans="3:4">
      <c r="C2401">
        <v>5820</v>
      </c>
      <c r="D2401">
        <v>90</v>
      </c>
    </row>
    <row r="2402" spans="3:4">
      <c r="C2402">
        <v>5821</v>
      </c>
      <c r="D2402">
        <v>90</v>
      </c>
    </row>
    <row r="2403" spans="3:4">
      <c r="C2403">
        <v>5830</v>
      </c>
      <c r="D2403">
        <v>90</v>
      </c>
    </row>
    <row r="2404" spans="3:4">
      <c r="C2404">
        <v>5836</v>
      </c>
      <c r="D2404">
        <v>89</v>
      </c>
    </row>
    <row r="2405" spans="3:4">
      <c r="C2405">
        <v>5837</v>
      </c>
      <c r="D2405">
        <v>89</v>
      </c>
    </row>
    <row r="2406" spans="3:4">
      <c r="C2406">
        <v>5838</v>
      </c>
      <c r="D2406">
        <v>90</v>
      </c>
    </row>
    <row r="2407" spans="3:4">
      <c r="C2407">
        <v>5900</v>
      </c>
      <c r="D2407">
        <v>89</v>
      </c>
    </row>
    <row r="2408" spans="3:4">
      <c r="C2408">
        <v>5901</v>
      </c>
      <c r="D2408">
        <v>89</v>
      </c>
    </row>
    <row r="2409" spans="3:4">
      <c r="C2409">
        <v>5902</v>
      </c>
      <c r="D2409">
        <v>89</v>
      </c>
    </row>
    <row r="2410" spans="3:4">
      <c r="C2410">
        <v>5903</v>
      </c>
      <c r="D2410">
        <v>89</v>
      </c>
    </row>
    <row r="2411" spans="3:4">
      <c r="C2411">
        <v>5904</v>
      </c>
      <c r="D2411">
        <v>89</v>
      </c>
    </row>
    <row r="2412" spans="3:4">
      <c r="C2412">
        <v>5905</v>
      </c>
      <c r="D2412">
        <v>90</v>
      </c>
    </row>
    <row r="2413" spans="3:4">
      <c r="C2413">
        <v>5906</v>
      </c>
      <c r="D2413">
        <v>89</v>
      </c>
    </row>
    <row r="2414" spans="3:4">
      <c r="C2414">
        <v>5908</v>
      </c>
      <c r="D2414">
        <v>89</v>
      </c>
    </row>
    <row r="2415" spans="3:4">
      <c r="C2415">
        <v>5909</v>
      </c>
      <c r="D2415">
        <v>89</v>
      </c>
    </row>
    <row r="2416" spans="3:4">
      <c r="C2416">
        <v>5911</v>
      </c>
      <c r="D2416">
        <v>89</v>
      </c>
    </row>
    <row r="2417" spans="3:4">
      <c r="C2417">
        <v>5919</v>
      </c>
      <c r="D2417">
        <v>89</v>
      </c>
    </row>
    <row r="2418" spans="3:4">
      <c r="C2418">
        <v>5920</v>
      </c>
      <c r="D2418">
        <v>90</v>
      </c>
    </row>
    <row r="2419" spans="3:4">
      <c r="C2419">
        <v>5925</v>
      </c>
      <c r="D2419">
        <v>90</v>
      </c>
    </row>
    <row r="2420" spans="3:4">
      <c r="C2420">
        <v>5931</v>
      </c>
      <c r="D2420">
        <v>91</v>
      </c>
    </row>
    <row r="2421" spans="3:4">
      <c r="C2421">
        <v>5932</v>
      </c>
      <c r="D2421">
        <v>89</v>
      </c>
    </row>
    <row r="2422" spans="3:4">
      <c r="C2422">
        <v>5940</v>
      </c>
      <c r="D2422">
        <v>90</v>
      </c>
    </row>
    <row r="2423" spans="3:4">
      <c r="C2423">
        <v>5945</v>
      </c>
      <c r="D2423">
        <v>91</v>
      </c>
    </row>
    <row r="2424" spans="3:4">
      <c r="C2424">
        <v>5946</v>
      </c>
      <c r="D2424">
        <v>89</v>
      </c>
    </row>
    <row r="2425" spans="3:4">
      <c r="C2425">
        <v>5947</v>
      </c>
      <c r="D2425">
        <v>90</v>
      </c>
    </row>
    <row r="2426" spans="3:4">
      <c r="C2426">
        <v>5948</v>
      </c>
      <c r="D2426">
        <v>90</v>
      </c>
    </row>
    <row r="2427" spans="3:4">
      <c r="C2427">
        <v>5949</v>
      </c>
      <c r="D2427">
        <v>90</v>
      </c>
    </row>
    <row r="2428" spans="3:4">
      <c r="C2428">
        <v>5990</v>
      </c>
      <c r="D2428">
        <v>90</v>
      </c>
    </row>
    <row r="2429" spans="3:4">
      <c r="C2429">
        <v>6000</v>
      </c>
      <c r="D2429">
        <v>96</v>
      </c>
    </row>
    <row r="2430" spans="3:4">
      <c r="C2430">
        <v>6001</v>
      </c>
      <c r="D2430">
        <v>96</v>
      </c>
    </row>
    <row r="2431" spans="3:4">
      <c r="C2431">
        <v>6002</v>
      </c>
      <c r="D2431">
        <v>96</v>
      </c>
    </row>
    <row r="2432" spans="3:4">
      <c r="C2432">
        <v>6003</v>
      </c>
      <c r="D2432">
        <v>96</v>
      </c>
    </row>
    <row r="2433" spans="3:4">
      <c r="C2433">
        <v>6004</v>
      </c>
      <c r="D2433">
        <v>96</v>
      </c>
    </row>
    <row r="2434" spans="3:4">
      <c r="C2434">
        <v>6005</v>
      </c>
      <c r="D2434">
        <v>96</v>
      </c>
    </row>
    <row r="2435" spans="3:4">
      <c r="C2435">
        <v>6006</v>
      </c>
      <c r="D2435">
        <v>96</v>
      </c>
    </row>
    <row r="2436" spans="3:4">
      <c r="C2436">
        <v>6007</v>
      </c>
      <c r="D2436">
        <v>96</v>
      </c>
    </row>
    <row r="2437" spans="3:4">
      <c r="C2437">
        <v>6008</v>
      </c>
      <c r="D2437">
        <v>95</v>
      </c>
    </row>
    <row r="2438" spans="3:4">
      <c r="C2438">
        <v>6010</v>
      </c>
      <c r="D2438">
        <v>96</v>
      </c>
    </row>
    <row r="2439" spans="3:4">
      <c r="C2439">
        <v>6031</v>
      </c>
      <c r="D2439">
        <v>95</v>
      </c>
    </row>
    <row r="2440" spans="3:4">
      <c r="C2440">
        <v>6032</v>
      </c>
      <c r="D2440">
        <v>94</v>
      </c>
    </row>
    <row r="2441" spans="3:4">
      <c r="C2441">
        <v>6033</v>
      </c>
      <c r="D2441">
        <v>92</v>
      </c>
    </row>
    <row r="2442" spans="3:4">
      <c r="C2442">
        <v>6034</v>
      </c>
      <c r="D2442">
        <v>94</v>
      </c>
    </row>
    <row r="2443" spans="3:4">
      <c r="C2443">
        <v>6035</v>
      </c>
      <c r="D2443">
        <v>94</v>
      </c>
    </row>
    <row r="2444" spans="3:4">
      <c r="C2444">
        <v>6036</v>
      </c>
      <c r="D2444">
        <v>94</v>
      </c>
    </row>
    <row r="2445" spans="3:4">
      <c r="C2445">
        <v>6040</v>
      </c>
      <c r="D2445">
        <v>94</v>
      </c>
    </row>
    <row r="2446" spans="3:4">
      <c r="C2446">
        <v>6041</v>
      </c>
      <c r="D2446">
        <v>96</v>
      </c>
    </row>
    <row r="2447" spans="3:4">
      <c r="C2447">
        <v>6042</v>
      </c>
      <c r="D2447">
        <v>94</v>
      </c>
    </row>
    <row r="2448" spans="3:4">
      <c r="C2448">
        <v>6043</v>
      </c>
      <c r="D2448">
        <v>96</v>
      </c>
    </row>
    <row r="2449" spans="3:4">
      <c r="C2449">
        <v>6044</v>
      </c>
      <c r="D2449">
        <v>96</v>
      </c>
    </row>
    <row r="2450" spans="3:4">
      <c r="C2450">
        <v>6045</v>
      </c>
      <c r="D2450">
        <v>96</v>
      </c>
    </row>
    <row r="2451" spans="3:4">
      <c r="C2451">
        <v>6050</v>
      </c>
      <c r="D2451">
        <v>94</v>
      </c>
    </row>
    <row r="2452" spans="3:4">
      <c r="C2452">
        <v>6055</v>
      </c>
      <c r="D2452">
        <v>62</v>
      </c>
    </row>
    <row r="2453" spans="3:4">
      <c r="C2453">
        <v>6060</v>
      </c>
      <c r="D2453">
        <v>93</v>
      </c>
    </row>
    <row r="2454" spans="3:4">
      <c r="C2454">
        <v>6061</v>
      </c>
      <c r="D2454">
        <v>93</v>
      </c>
    </row>
    <row r="2455" spans="3:4">
      <c r="C2455">
        <v>6062</v>
      </c>
      <c r="D2455">
        <v>93</v>
      </c>
    </row>
    <row r="2456" spans="3:4">
      <c r="C2456">
        <v>6063</v>
      </c>
      <c r="D2456">
        <v>93</v>
      </c>
    </row>
    <row r="2457" spans="3:4">
      <c r="C2457">
        <v>6064</v>
      </c>
      <c r="D2457">
        <v>93</v>
      </c>
    </row>
    <row r="2458" spans="3:4">
      <c r="C2458">
        <v>6065</v>
      </c>
      <c r="D2458">
        <v>95</v>
      </c>
    </row>
    <row r="2459" spans="3:4">
      <c r="C2459">
        <v>6066</v>
      </c>
      <c r="D2459">
        <v>90</v>
      </c>
    </row>
    <row r="2460" spans="3:4">
      <c r="C2460">
        <v>6067</v>
      </c>
      <c r="D2460">
        <v>89</v>
      </c>
    </row>
    <row r="2461" spans="3:4">
      <c r="C2461">
        <v>6070</v>
      </c>
      <c r="D2461">
        <v>92</v>
      </c>
    </row>
    <row r="2462" spans="3:4">
      <c r="C2462">
        <v>6072</v>
      </c>
      <c r="D2462">
        <v>92</v>
      </c>
    </row>
    <row r="2463" spans="3:4">
      <c r="C2463">
        <v>6075</v>
      </c>
      <c r="D2463">
        <v>91</v>
      </c>
    </row>
    <row r="2464" spans="3:4">
      <c r="C2464">
        <v>6076</v>
      </c>
      <c r="D2464">
        <v>95</v>
      </c>
    </row>
    <row r="2465" spans="3:4">
      <c r="C2465">
        <v>6077</v>
      </c>
      <c r="D2465">
        <v>93</v>
      </c>
    </row>
    <row r="2466" spans="3:4">
      <c r="C2466">
        <v>6078</v>
      </c>
      <c r="D2466">
        <v>93</v>
      </c>
    </row>
    <row r="2467" spans="3:4">
      <c r="C2467">
        <v>6080</v>
      </c>
      <c r="D2467">
        <v>94</v>
      </c>
    </row>
    <row r="2468" spans="3:4">
      <c r="C2468">
        <v>6085</v>
      </c>
      <c r="D2468">
        <v>93</v>
      </c>
    </row>
    <row r="2469" spans="3:4">
      <c r="C2469">
        <v>6086</v>
      </c>
      <c r="D2469">
        <v>70</v>
      </c>
    </row>
    <row r="2470" spans="3:4">
      <c r="C2470">
        <v>6087</v>
      </c>
      <c r="D2470">
        <v>70</v>
      </c>
    </row>
    <row r="2471" spans="3:4">
      <c r="C2471">
        <v>6088</v>
      </c>
      <c r="D2471">
        <v>90</v>
      </c>
    </row>
    <row r="2472" spans="3:4">
      <c r="C2472">
        <v>6090</v>
      </c>
      <c r="D2472">
        <v>93</v>
      </c>
    </row>
    <row r="2473" spans="3:4">
      <c r="C2473">
        <v>6093</v>
      </c>
      <c r="D2473">
        <v>93</v>
      </c>
    </row>
    <row r="2474" spans="3:4">
      <c r="C2474">
        <v>6094</v>
      </c>
      <c r="D2474">
        <v>93</v>
      </c>
    </row>
    <row r="2475" spans="3:4">
      <c r="C2475">
        <v>6095</v>
      </c>
      <c r="D2475">
        <v>93</v>
      </c>
    </row>
    <row r="2476" spans="3:4">
      <c r="C2476">
        <v>6096</v>
      </c>
      <c r="D2476">
        <v>91</v>
      </c>
    </row>
    <row r="2477" spans="3:4">
      <c r="C2477">
        <v>6097</v>
      </c>
      <c r="D2477">
        <v>93</v>
      </c>
    </row>
    <row r="2478" spans="3:4">
      <c r="C2478">
        <v>6098</v>
      </c>
      <c r="D2478">
        <v>69</v>
      </c>
    </row>
    <row r="2479" spans="3:4">
      <c r="C2479">
        <v>6100</v>
      </c>
      <c r="D2479">
        <v>89</v>
      </c>
    </row>
    <row r="2480" spans="3:4">
      <c r="C2480">
        <v>6101</v>
      </c>
      <c r="D2480">
        <v>89</v>
      </c>
    </row>
    <row r="2481" spans="3:4">
      <c r="C2481">
        <v>6102</v>
      </c>
      <c r="D2481">
        <v>89</v>
      </c>
    </row>
    <row r="2482" spans="3:4">
      <c r="C2482">
        <v>6111</v>
      </c>
      <c r="D2482">
        <v>91</v>
      </c>
    </row>
    <row r="2483" spans="3:4">
      <c r="C2483">
        <v>6112</v>
      </c>
      <c r="D2483">
        <v>90</v>
      </c>
    </row>
    <row r="2484" spans="3:4">
      <c r="C2484">
        <v>6113</v>
      </c>
      <c r="D2484">
        <v>89</v>
      </c>
    </row>
    <row r="2485" spans="3:4">
      <c r="C2485">
        <v>6114</v>
      </c>
      <c r="D2485">
        <v>90</v>
      </c>
    </row>
    <row r="2486" spans="3:4">
      <c r="C2486">
        <v>6115</v>
      </c>
      <c r="D2486">
        <v>90</v>
      </c>
    </row>
    <row r="2487" spans="3:4">
      <c r="C2487">
        <v>6116</v>
      </c>
      <c r="D2487">
        <v>90</v>
      </c>
    </row>
    <row r="2488" spans="3:4">
      <c r="C2488">
        <v>6120</v>
      </c>
      <c r="D2488">
        <v>89</v>
      </c>
    </row>
    <row r="2489" spans="3:4">
      <c r="C2489">
        <v>6131</v>
      </c>
      <c r="D2489">
        <v>89</v>
      </c>
    </row>
    <row r="2490" spans="3:4">
      <c r="C2490">
        <v>6132</v>
      </c>
      <c r="D2490">
        <v>89</v>
      </c>
    </row>
    <row r="2491" spans="3:4">
      <c r="C2491">
        <v>6133</v>
      </c>
      <c r="D2491">
        <v>89</v>
      </c>
    </row>
    <row r="2492" spans="3:4">
      <c r="C2492">
        <v>6134</v>
      </c>
      <c r="D2492">
        <v>90</v>
      </c>
    </row>
    <row r="2493" spans="3:4">
      <c r="C2493">
        <v>6135</v>
      </c>
      <c r="D2493">
        <v>91</v>
      </c>
    </row>
    <row r="2494" spans="3:4">
      <c r="C2494">
        <v>6136</v>
      </c>
      <c r="D2494">
        <v>90</v>
      </c>
    </row>
    <row r="2495" spans="3:4">
      <c r="C2495">
        <v>6137</v>
      </c>
      <c r="D2495">
        <v>90</v>
      </c>
    </row>
    <row r="2496" spans="3:4">
      <c r="C2496">
        <v>6196</v>
      </c>
      <c r="D2496">
        <v>90</v>
      </c>
    </row>
    <row r="2497" spans="3:4">
      <c r="C2497">
        <v>6200</v>
      </c>
      <c r="D2497">
        <v>92</v>
      </c>
    </row>
    <row r="2498" spans="3:4">
      <c r="C2498">
        <v>6201</v>
      </c>
      <c r="D2498">
        <v>92</v>
      </c>
    </row>
    <row r="2499" spans="3:4">
      <c r="C2499">
        <v>6211</v>
      </c>
      <c r="D2499">
        <v>90</v>
      </c>
    </row>
    <row r="2500" spans="3:4">
      <c r="C2500">
        <v>6221</v>
      </c>
      <c r="D2500">
        <v>93</v>
      </c>
    </row>
    <row r="2501" spans="3:4">
      <c r="C2501">
        <v>6222</v>
      </c>
      <c r="D2501">
        <v>95</v>
      </c>
    </row>
    <row r="2502" spans="3:4">
      <c r="C2502">
        <v>6223</v>
      </c>
      <c r="D2502">
        <v>93</v>
      </c>
    </row>
    <row r="2503" spans="3:4">
      <c r="C2503">
        <v>6224</v>
      </c>
      <c r="D2503">
        <v>92</v>
      </c>
    </row>
    <row r="2504" spans="3:4">
      <c r="C2504">
        <v>6226</v>
      </c>
      <c r="D2504">
        <v>92</v>
      </c>
    </row>
    <row r="2505" spans="3:4">
      <c r="C2505">
        <v>6230</v>
      </c>
      <c r="D2505">
        <v>89</v>
      </c>
    </row>
    <row r="2506" spans="3:4">
      <c r="C2506">
        <v>6235</v>
      </c>
      <c r="D2506">
        <v>89</v>
      </c>
    </row>
    <row r="2507" spans="3:4">
      <c r="C2507">
        <v>6236</v>
      </c>
      <c r="D2507">
        <v>89</v>
      </c>
    </row>
    <row r="2508" spans="3:4">
      <c r="C2508">
        <v>6237</v>
      </c>
      <c r="D2508">
        <v>90</v>
      </c>
    </row>
    <row r="2509" spans="3:4">
      <c r="C2509">
        <v>6238</v>
      </c>
      <c r="D2509">
        <v>89</v>
      </c>
    </row>
    <row r="2510" spans="3:4">
      <c r="C2510">
        <v>6239</v>
      </c>
      <c r="D2510">
        <v>90</v>
      </c>
    </row>
    <row r="2511" spans="3:4">
      <c r="C2511">
        <v>6243</v>
      </c>
      <c r="D2511">
        <v>90</v>
      </c>
    </row>
    <row r="2512" spans="3:4">
      <c r="C2512">
        <v>6263</v>
      </c>
      <c r="D2512">
        <v>96</v>
      </c>
    </row>
    <row r="2513" spans="3:4">
      <c r="C2513">
        <v>6273</v>
      </c>
      <c r="D2513">
        <v>96</v>
      </c>
    </row>
    <row r="2514" spans="3:4">
      <c r="C2514">
        <v>6299</v>
      </c>
      <c r="D2514">
        <v>96</v>
      </c>
    </row>
    <row r="2515" spans="3:4">
      <c r="C2515">
        <v>6300</v>
      </c>
      <c r="D2515">
        <v>89</v>
      </c>
    </row>
    <row r="2516" spans="3:4">
      <c r="C2516">
        <v>6301</v>
      </c>
      <c r="D2516">
        <v>89</v>
      </c>
    </row>
    <row r="2517" spans="3:4">
      <c r="C2517">
        <v>6311</v>
      </c>
      <c r="D2517">
        <v>89</v>
      </c>
    </row>
    <row r="2518" spans="3:4">
      <c r="C2518">
        <v>6320</v>
      </c>
      <c r="D2518">
        <v>91</v>
      </c>
    </row>
    <row r="2519" spans="3:4">
      <c r="C2519">
        <v>6321</v>
      </c>
      <c r="D2519">
        <v>92</v>
      </c>
    </row>
    <row r="2520" spans="3:4">
      <c r="C2520">
        <v>6323</v>
      </c>
      <c r="D2520">
        <v>90</v>
      </c>
    </row>
    <row r="2521" spans="3:4">
      <c r="C2521">
        <v>6325</v>
      </c>
      <c r="D2521">
        <v>92</v>
      </c>
    </row>
    <row r="2522" spans="3:4">
      <c r="C2522">
        <v>6326</v>
      </c>
      <c r="D2522">
        <v>92</v>
      </c>
    </row>
    <row r="2523" spans="3:4">
      <c r="C2523">
        <v>6327</v>
      </c>
      <c r="D2523">
        <v>92</v>
      </c>
    </row>
    <row r="2524" spans="3:4">
      <c r="C2524">
        <v>6328</v>
      </c>
      <c r="D2524">
        <v>91</v>
      </c>
    </row>
    <row r="2525" spans="3:4">
      <c r="C2525">
        <v>6329</v>
      </c>
      <c r="D2525">
        <v>91</v>
      </c>
    </row>
    <row r="2526" spans="3:4">
      <c r="C2526">
        <v>6330</v>
      </c>
      <c r="D2526">
        <v>91</v>
      </c>
    </row>
    <row r="2527" spans="3:4">
      <c r="C2527">
        <v>6331</v>
      </c>
      <c r="D2527">
        <v>92</v>
      </c>
    </row>
    <row r="2528" spans="3:4">
      <c r="C2528">
        <v>6332</v>
      </c>
      <c r="D2528">
        <v>91</v>
      </c>
    </row>
    <row r="2529" spans="3:4">
      <c r="C2529">
        <v>6333</v>
      </c>
      <c r="D2529">
        <v>93</v>
      </c>
    </row>
    <row r="2530" spans="3:4">
      <c r="C2530">
        <v>6334</v>
      </c>
      <c r="D2530">
        <v>94</v>
      </c>
    </row>
    <row r="2531" spans="3:4">
      <c r="C2531">
        <v>6335</v>
      </c>
      <c r="D2531">
        <v>93</v>
      </c>
    </row>
    <row r="2532" spans="3:4">
      <c r="C2532">
        <v>6336</v>
      </c>
      <c r="D2532">
        <v>89</v>
      </c>
    </row>
    <row r="2533" spans="3:4">
      <c r="C2533">
        <v>6337</v>
      </c>
      <c r="D2533">
        <v>92</v>
      </c>
    </row>
    <row r="2534" spans="3:4">
      <c r="C2534">
        <v>6341</v>
      </c>
      <c r="D2534">
        <v>89</v>
      </c>
    </row>
    <row r="2535" spans="3:4">
      <c r="C2535">
        <v>6342</v>
      </c>
      <c r="D2535">
        <v>89</v>
      </c>
    </row>
    <row r="2536" spans="3:4">
      <c r="C2536">
        <v>6343</v>
      </c>
      <c r="D2536">
        <v>89</v>
      </c>
    </row>
    <row r="2537" spans="3:4">
      <c r="C2537">
        <v>6344</v>
      </c>
      <c r="D2537">
        <v>92</v>
      </c>
    </row>
    <row r="2538" spans="3:4">
      <c r="C2538">
        <v>6345</v>
      </c>
      <c r="D2538">
        <v>92</v>
      </c>
    </row>
    <row r="2539" spans="3:4">
      <c r="C2539">
        <v>6346</v>
      </c>
      <c r="D2539">
        <v>96</v>
      </c>
    </row>
    <row r="2540" spans="3:4">
      <c r="C2540">
        <v>6347</v>
      </c>
      <c r="D2540">
        <v>97</v>
      </c>
    </row>
    <row r="2541" spans="3:4">
      <c r="C2541">
        <v>6348</v>
      </c>
      <c r="D2541">
        <v>93</v>
      </c>
    </row>
    <row r="2542" spans="3:4">
      <c r="C2542">
        <v>6349</v>
      </c>
      <c r="D2542">
        <v>93</v>
      </c>
    </row>
    <row r="2543" spans="3:4">
      <c r="C2543">
        <v>6351</v>
      </c>
      <c r="D2543">
        <v>90</v>
      </c>
    </row>
    <row r="2544" spans="3:4">
      <c r="C2544">
        <v>6352</v>
      </c>
      <c r="D2544">
        <v>91</v>
      </c>
    </row>
    <row r="2545" spans="3:4">
      <c r="C2545">
        <v>6353</v>
      </c>
      <c r="D2545">
        <v>91</v>
      </c>
    </row>
    <row r="2546" spans="3:4">
      <c r="C2546">
        <v>6354</v>
      </c>
      <c r="D2546">
        <v>91</v>
      </c>
    </row>
    <row r="2547" spans="3:4">
      <c r="C2547">
        <v>6394</v>
      </c>
      <c r="D2547">
        <v>91</v>
      </c>
    </row>
    <row r="2548" spans="3:4">
      <c r="C2548">
        <v>6400</v>
      </c>
      <c r="D2548">
        <v>91</v>
      </c>
    </row>
    <row r="2549" spans="3:4">
      <c r="C2549">
        <v>6401</v>
      </c>
      <c r="D2549">
        <v>91</v>
      </c>
    </row>
    <row r="2550" spans="3:4">
      <c r="C2550">
        <v>6411</v>
      </c>
      <c r="D2550">
        <v>92</v>
      </c>
    </row>
    <row r="2551" spans="3:4">
      <c r="C2551">
        <v>6412</v>
      </c>
      <c r="D2551">
        <v>91</v>
      </c>
    </row>
    <row r="2552" spans="3:4">
      <c r="C2552">
        <v>6413</v>
      </c>
      <c r="D2552">
        <v>90</v>
      </c>
    </row>
    <row r="2553" spans="3:4">
      <c r="C2553">
        <v>6414</v>
      </c>
      <c r="D2553">
        <v>90</v>
      </c>
    </row>
    <row r="2554" spans="3:4">
      <c r="C2554">
        <v>6421</v>
      </c>
      <c r="D2554">
        <v>92</v>
      </c>
    </row>
    <row r="2555" spans="3:4">
      <c r="C2555">
        <v>6422</v>
      </c>
      <c r="D2555">
        <v>93</v>
      </c>
    </row>
    <row r="2556" spans="3:4">
      <c r="C2556">
        <v>6423</v>
      </c>
      <c r="D2556">
        <v>90</v>
      </c>
    </row>
    <row r="2557" spans="3:4">
      <c r="C2557">
        <v>6424</v>
      </c>
      <c r="D2557">
        <v>97</v>
      </c>
    </row>
    <row r="2558" spans="3:4">
      <c r="C2558">
        <v>6425</v>
      </c>
      <c r="D2558">
        <v>97</v>
      </c>
    </row>
    <row r="2559" spans="3:4">
      <c r="C2559">
        <v>6428</v>
      </c>
      <c r="D2559">
        <v>97</v>
      </c>
    </row>
    <row r="2560" spans="3:4">
      <c r="C2560">
        <v>6430</v>
      </c>
      <c r="D2560">
        <v>94</v>
      </c>
    </row>
    <row r="2561" spans="3:4">
      <c r="C2561">
        <v>6435</v>
      </c>
      <c r="D2561">
        <v>94</v>
      </c>
    </row>
    <row r="2562" spans="3:4">
      <c r="C2562">
        <v>6440</v>
      </c>
      <c r="D2562">
        <v>91</v>
      </c>
    </row>
    <row r="2563" spans="3:4">
      <c r="C2563">
        <v>6444</v>
      </c>
      <c r="D2563">
        <v>90</v>
      </c>
    </row>
    <row r="2564" spans="3:4">
      <c r="C2564">
        <v>6445</v>
      </c>
      <c r="D2564">
        <v>91</v>
      </c>
    </row>
    <row r="2565" spans="3:4">
      <c r="C2565">
        <v>6446</v>
      </c>
      <c r="D2565">
        <v>94</v>
      </c>
    </row>
    <row r="2566" spans="3:4">
      <c r="C2566">
        <v>6447</v>
      </c>
      <c r="D2566">
        <v>95</v>
      </c>
    </row>
    <row r="2567" spans="3:4">
      <c r="C2567">
        <v>6448</v>
      </c>
      <c r="D2567">
        <v>94</v>
      </c>
    </row>
    <row r="2568" spans="3:4">
      <c r="C2568">
        <v>6449</v>
      </c>
      <c r="D2568">
        <v>92</v>
      </c>
    </row>
    <row r="2569" spans="3:4">
      <c r="C2569">
        <v>6451</v>
      </c>
      <c r="D2569">
        <v>93</v>
      </c>
    </row>
    <row r="2570" spans="3:4">
      <c r="C2570">
        <v>6452</v>
      </c>
      <c r="D2570">
        <v>92</v>
      </c>
    </row>
    <row r="2571" spans="3:4">
      <c r="C2571">
        <v>6453</v>
      </c>
      <c r="D2571">
        <v>94</v>
      </c>
    </row>
    <row r="2572" spans="3:4">
      <c r="C2572">
        <v>6454</v>
      </c>
      <c r="D2572">
        <v>94</v>
      </c>
    </row>
    <row r="2573" spans="3:4">
      <c r="C2573">
        <v>6455</v>
      </c>
      <c r="D2573">
        <v>90</v>
      </c>
    </row>
    <row r="2574" spans="3:4">
      <c r="C2574">
        <v>6456</v>
      </c>
      <c r="D2574">
        <v>93</v>
      </c>
    </row>
    <row r="2575" spans="3:4">
      <c r="C2575">
        <v>6500</v>
      </c>
      <c r="D2575">
        <v>93</v>
      </c>
    </row>
    <row r="2576" spans="3:4">
      <c r="C2576">
        <v>6501</v>
      </c>
      <c r="D2576">
        <v>93</v>
      </c>
    </row>
    <row r="2577" spans="3:4">
      <c r="C2577">
        <v>6502</v>
      </c>
      <c r="D2577">
        <v>93</v>
      </c>
    </row>
    <row r="2578" spans="3:4">
      <c r="C2578">
        <v>6503</v>
      </c>
      <c r="D2578">
        <v>97</v>
      </c>
    </row>
    <row r="2579" spans="3:4">
      <c r="C2579">
        <v>6511</v>
      </c>
      <c r="D2579">
        <v>95</v>
      </c>
    </row>
    <row r="2580" spans="3:4">
      <c r="C2580">
        <v>6512</v>
      </c>
      <c r="D2580">
        <v>96</v>
      </c>
    </row>
    <row r="2581" spans="3:4">
      <c r="C2581">
        <v>6513</v>
      </c>
      <c r="D2581">
        <v>94</v>
      </c>
    </row>
    <row r="2582" spans="3:4">
      <c r="C2582">
        <v>6520</v>
      </c>
      <c r="D2582">
        <v>94</v>
      </c>
    </row>
    <row r="2583" spans="3:4">
      <c r="C2583">
        <v>6521</v>
      </c>
      <c r="D2583">
        <v>94</v>
      </c>
    </row>
    <row r="2584" spans="3:4">
      <c r="C2584">
        <v>6522</v>
      </c>
      <c r="D2584">
        <v>96</v>
      </c>
    </row>
    <row r="2585" spans="3:4">
      <c r="C2585">
        <v>6523</v>
      </c>
      <c r="D2585">
        <v>93</v>
      </c>
    </row>
    <row r="2586" spans="3:4">
      <c r="C2586">
        <v>6524</v>
      </c>
      <c r="D2586">
        <v>94</v>
      </c>
    </row>
    <row r="2587" spans="3:4">
      <c r="C2587">
        <v>6525</v>
      </c>
      <c r="D2587">
        <v>95</v>
      </c>
    </row>
    <row r="2588" spans="3:4">
      <c r="C2588">
        <v>6527</v>
      </c>
      <c r="D2588">
        <v>92</v>
      </c>
    </row>
    <row r="2589" spans="3:4">
      <c r="C2589">
        <v>6528</v>
      </c>
      <c r="D2589">
        <v>92</v>
      </c>
    </row>
    <row r="2590" spans="3:4">
      <c r="C2590">
        <v>6565</v>
      </c>
      <c r="D2590">
        <v>96</v>
      </c>
    </row>
    <row r="2591" spans="3:4">
      <c r="C2591">
        <v>6600</v>
      </c>
      <c r="D2591">
        <v>90</v>
      </c>
    </row>
    <row r="2592" spans="3:4">
      <c r="C2592">
        <v>6601</v>
      </c>
      <c r="D2592">
        <v>90</v>
      </c>
    </row>
    <row r="2593" spans="3:4">
      <c r="C2593">
        <v>6602</v>
      </c>
      <c r="D2593">
        <v>90</v>
      </c>
    </row>
    <row r="2594" spans="3:4">
      <c r="C2594">
        <v>6603</v>
      </c>
      <c r="D2594">
        <v>90</v>
      </c>
    </row>
    <row r="2595" spans="3:4">
      <c r="C2595">
        <v>6611</v>
      </c>
      <c r="D2595">
        <v>90</v>
      </c>
    </row>
    <row r="2596" spans="3:4">
      <c r="C2596">
        <v>6612</v>
      </c>
      <c r="D2596">
        <v>89</v>
      </c>
    </row>
    <row r="2597" spans="3:4">
      <c r="C2597">
        <v>6613</v>
      </c>
      <c r="D2597">
        <v>90</v>
      </c>
    </row>
    <row r="2598" spans="3:4">
      <c r="C2598">
        <v>6615</v>
      </c>
      <c r="D2598">
        <v>90</v>
      </c>
    </row>
    <row r="2599" spans="3:4">
      <c r="C2599">
        <v>6621</v>
      </c>
      <c r="D2599">
        <v>92</v>
      </c>
    </row>
    <row r="2600" spans="3:4">
      <c r="C2600">
        <v>6622</v>
      </c>
      <c r="D2600">
        <v>89</v>
      </c>
    </row>
    <row r="2601" spans="3:4">
      <c r="C2601">
        <v>6623</v>
      </c>
      <c r="D2601">
        <v>90</v>
      </c>
    </row>
    <row r="2602" spans="3:4">
      <c r="C2602">
        <v>6624</v>
      </c>
      <c r="D2602">
        <v>91</v>
      </c>
    </row>
    <row r="2603" spans="3:4">
      <c r="C2603">
        <v>6625</v>
      </c>
      <c r="D2603">
        <v>89</v>
      </c>
    </row>
    <row r="2604" spans="3:4">
      <c r="C2604">
        <v>6630</v>
      </c>
      <c r="D2604">
        <v>89</v>
      </c>
    </row>
    <row r="2605" spans="3:4">
      <c r="C2605">
        <v>6635</v>
      </c>
      <c r="D2605">
        <v>92</v>
      </c>
    </row>
    <row r="2606" spans="3:4">
      <c r="C2606">
        <v>6636</v>
      </c>
      <c r="D2606">
        <v>90</v>
      </c>
    </row>
    <row r="2607" spans="3:4">
      <c r="C2607">
        <v>6640</v>
      </c>
      <c r="D2607">
        <v>91</v>
      </c>
    </row>
    <row r="2608" spans="3:4">
      <c r="C2608">
        <v>6641</v>
      </c>
      <c r="D2608">
        <v>90</v>
      </c>
    </row>
    <row r="2609" spans="3:4">
      <c r="C2609">
        <v>6642</v>
      </c>
      <c r="D2609">
        <v>90</v>
      </c>
    </row>
    <row r="2610" spans="3:4">
      <c r="C2610">
        <v>6645</v>
      </c>
      <c r="D2610">
        <v>90</v>
      </c>
    </row>
    <row r="2611" spans="3:4">
      <c r="C2611">
        <v>6646</v>
      </c>
      <c r="D2611">
        <v>90</v>
      </c>
    </row>
    <row r="2612" spans="3:4">
      <c r="C2612">
        <v>6647</v>
      </c>
      <c r="D2612">
        <v>92</v>
      </c>
    </row>
    <row r="2613" spans="3:4">
      <c r="C2613">
        <v>6648</v>
      </c>
      <c r="D2613">
        <v>90</v>
      </c>
    </row>
    <row r="2614" spans="3:4">
      <c r="C2614">
        <v>6650</v>
      </c>
      <c r="D2614">
        <v>90</v>
      </c>
    </row>
    <row r="2615" spans="3:4">
      <c r="C2615">
        <v>6696</v>
      </c>
      <c r="D2615">
        <v>90</v>
      </c>
    </row>
    <row r="2616" spans="3:4">
      <c r="C2616">
        <v>6700</v>
      </c>
      <c r="D2616">
        <v>86</v>
      </c>
    </row>
    <row r="2617" spans="3:4">
      <c r="C2617">
        <v>6701</v>
      </c>
      <c r="D2617">
        <v>86</v>
      </c>
    </row>
    <row r="2618" spans="3:4">
      <c r="C2618">
        <v>6702</v>
      </c>
      <c r="D2618">
        <v>86</v>
      </c>
    </row>
    <row r="2619" spans="3:4">
      <c r="C2619">
        <v>6703</v>
      </c>
      <c r="D2619">
        <v>86</v>
      </c>
    </row>
    <row r="2620" spans="3:4">
      <c r="C2620">
        <v>6704</v>
      </c>
      <c r="D2620">
        <v>86</v>
      </c>
    </row>
    <row r="2621" spans="3:4">
      <c r="C2621">
        <v>6705</v>
      </c>
      <c r="D2621">
        <v>86</v>
      </c>
    </row>
    <row r="2622" spans="3:4">
      <c r="C2622">
        <v>6706</v>
      </c>
      <c r="D2622">
        <v>86</v>
      </c>
    </row>
    <row r="2623" spans="3:4">
      <c r="C2623">
        <v>6707</v>
      </c>
      <c r="D2623">
        <v>86</v>
      </c>
    </row>
    <row r="2624" spans="3:4">
      <c r="C2624">
        <v>6708</v>
      </c>
      <c r="D2624">
        <v>86</v>
      </c>
    </row>
    <row r="2625" spans="3:4">
      <c r="C2625">
        <v>6709</v>
      </c>
      <c r="D2625">
        <v>86</v>
      </c>
    </row>
    <row r="2626" spans="3:4">
      <c r="C2626">
        <v>6710</v>
      </c>
      <c r="D2626">
        <v>85</v>
      </c>
    </row>
    <row r="2627" spans="3:4">
      <c r="C2627">
        <v>6712</v>
      </c>
      <c r="D2627">
        <v>86</v>
      </c>
    </row>
    <row r="2628" spans="3:4">
      <c r="C2628">
        <v>6713</v>
      </c>
      <c r="D2628">
        <v>86</v>
      </c>
    </row>
    <row r="2629" spans="3:4">
      <c r="C2629">
        <v>6718</v>
      </c>
      <c r="D2629">
        <v>86</v>
      </c>
    </row>
    <row r="2630" spans="3:4">
      <c r="C2630">
        <v>6720</v>
      </c>
      <c r="D2630">
        <v>85</v>
      </c>
    </row>
    <row r="2631" spans="3:4">
      <c r="C2631">
        <v>6721</v>
      </c>
      <c r="D2631">
        <v>86</v>
      </c>
    </row>
    <row r="2632" spans="3:4">
      <c r="C2632">
        <v>6722</v>
      </c>
      <c r="D2632">
        <v>85</v>
      </c>
    </row>
    <row r="2633" spans="3:4">
      <c r="C2633">
        <v>6723</v>
      </c>
      <c r="D2633">
        <v>84</v>
      </c>
    </row>
    <row r="2634" spans="3:4">
      <c r="C2634">
        <v>6724</v>
      </c>
      <c r="D2634">
        <v>84</v>
      </c>
    </row>
    <row r="2635" spans="3:4">
      <c r="C2635">
        <v>6725</v>
      </c>
      <c r="D2635">
        <v>84</v>
      </c>
    </row>
    <row r="2636" spans="3:4">
      <c r="C2636">
        <v>6726</v>
      </c>
      <c r="D2636">
        <v>83</v>
      </c>
    </row>
    <row r="2637" spans="3:4">
      <c r="C2637">
        <v>6727</v>
      </c>
      <c r="D2637">
        <v>83</v>
      </c>
    </row>
    <row r="2638" spans="3:4">
      <c r="C2638">
        <v>6728</v>
      </c>
      <c r="D2638">
        <v>86</v>
      </c>
    </row>
    <row r="2639" spans="3:4">
      <c r="C2639">
        <v>6729</v>
      </c>
      <c r="D2639">
        <v>83</v>
      </c>
    </row>
    <row r="2640" spans="3:4">
      <c r="C2640">
        <v>6732</v>
      </c>
      <c r="D2640">
        <v>83</v>
      </c>
    </row>
    <row r="2641" spans="3:4">
      <c r="C2641">
        <v>6737</v>
      </c>
      <c r="D2641">
        <v>83</v>
      </c>
    </row>
    <row r="2642" spans="3:4">
      <c r="C2642">
        <v>6740</v>
      </c>
      <c r="D2642">
        <v>86</v>
      </c>
    </row>
    <row r="2643" spans="3:4">
      <c r="C2643">
        <v>6741</v>
      </c>
      <c r="D2643">
        <v>86</v>
      </c>
    </row>
    <row r="2644" spans="3:4">
      <c r="C2644">
        <v>6742</v>
      </c>
      <c r="D2644">
        <v>86</v>
      </c>
    </row>
    <row r="2645" spans="3:4">
      <c r="C2645">
        <v>6743</v>
      </c>
      <c r="D2645">
        <v>86</v>
      </c>
    </row>
    <row r="2646" spans="3:4">
      <c r="C2646">
        <v>6744</v>
      </c>
      <c r="D2646">
        <v>86</v>
      </c>
    </row>
    <row r="2647" spans="3:4">
      <c r="C2647">
        <v>6745</v>
      </c>
      <c r="D2647">
        <v>86</v>
      </c>
    </row>
    <row r="2648" spans="3:4">
      <c r="C2648">
        <v>6746</v>
      </c>
      <c r="D2648">
        <v>86</v>
      </c>
    </row>
    <row r="2649" spans="3:4">
      <c r="C2649">
        <v>6747</v>
      </c>
      <c r="D2649">
        <v>86</v>
      </c>
    </row>
    <row r="2650" spans="3:4">
      <c r="C2650">
        <v>6750</v>
      </c>
      <c r="D2650">
        <v>81</v>
      </c>
    </row>
    <row r="2651" spans="3:4">
      <c r="C2651">
        <v>6753</v>
      </c>
      <c r="D2651">
        <v>86</v>
      </c>
    </row>
    <row r="2652" spans="3:4">
      <c r="C2652">
        <v>6754</v>
      </c>
      <c r="D2652">
        <v>97</v>
      </c>
    </row>
    <row r="2653" spans="3:4">
      <c r="C2653">
        <v>6755</v>
      </c>
      <c r="D2653">
        <v>92</v>
      </c>
    </row>
    <row r="2654" spans="3:4">
      <c r="C2654">
        <v>6756</v>
      </c>
      <c r="D2654">
        <v>97</v>
      </c>
    </row>
    <row r="2655" spans="3:4">
      <c r="C2655">
        <v>6757</v>
      </c>
      <c r="D2655">
        <v>83</v>
      </c>
    </row>
    <row r="2656" spans="3:4">
      <c r="C2656">
        <v>6758</v>
      </c>
      <c r="D2656">
        <v>92</v>
      </c>
    </row>
    <row r="2657" spans="3:4">
      <c r="C2657">
        <v>6760</v>
      </c>
      <c r="D2657">
        <v>89</v>
      </c>
    </row>
    <row r="2658" spans="3:4">
      <c r="C2658">
        <v>6762</v>
      </c>
      <c r="D2658">
        <v>93</v>
      </c>
    </row>
    <row r="2659" spans="3:4">
      <c r="C2659">
        <v>6763</v>
      </c>
      <c r="D2659">
        <v>93</v>
      </c>
    </row>
    <row r="2660" spans="3:4">
      <c r="C2660">
        <v>6764</v>
      </c>
      <c r="D2660">
        <v>90</v>
      </c>
    </row>
    <row r="2661" spans="3:4">
      <c r="C2661">
        <v>6765</v>
      </c>
      <c r="D2661">
        <v>89</v>
      </c>
    </row>
    <row r="2662" spans="3:4">
      <c r="C2662">
        <v>6766</v>
      </c>
      <c r="D2662">
        <v>93</v>
      </c>
    </row>
    <row r="2663" spans="3:4">
      <c r="C2663">
        <v>6767</v>
      </c>
      <c r="D2663">
        <v>95</v>
      </c>
    </row>
    <row r="2664" spans="3:4">
      <c r="C2664">
        <v>6768</v>
      </c>
      <c r="D2664">
        <v>91</v>
      </c>
    </row>
    <row r="2665" spans="3:4">
      <c r="C2665">
        <v>6769</v>
      </c>
      <c r="D2665">
        <v>91</v>
      </c>
    </row>
    <row r="2666" spans="3:4">
      <c r="C2666">
        <v>6771</v>
      </c>
      <c r="D2666">
        <v>83</v>
      </c>
    </row>
    <row r="2667" spans="3:4">
      <c r="C2667">
        <v>6772</v>
      </c>
      <c r="D2667">
        <v>95</v>
      </c>
    </row>
    <row r="2668" spans="3:4">
      <c r="C2668">
        <v>6773</v>
      </c>
      <c r="D2668">
        <v>89</v>
      </c>
    </row>
    <row r="2669" spans="3:4">
      <c r="C2669">
        <v>6774</v>
      </c>
      <c r="D2669">
        <v>89</v>
      </c>
    </row>
    <row r="2670" spans="3:4">
      <c r="C2670">
        <v>6775</v>
      </c>
      <c r="D2670">
        <v>89</v>
      </c>
    </row>
    <row r="2671" spans="3:4">
      <c r="C2671">
        <v>6776</v>
      </c>
      <c r="D2671">
        <v>89</v>
      </c>
    </row>
    <row r="2672" spans="3:4">
      <c r="C2672">
        <v>6777</v>
      </c>
      <c r="D2672">
        <v>89</v>
      </c>
    </row>
    <row r="2673" spans="3:4">
      <c r="C2673">
        <v>6781</v>
      </c>
      <c r="D2673">
        <v>92</v>
      </c>
    </row>
    <row r="2674" spans="3:4">
      <c r="C2674">
        <v>6782</v>
      </c>
      <c r="D2674">
        <v>90</v>
      </c>
    </row>
    <row r="2675" spans="3:4">
      <c r="C2675">
        <v>6783</v>
      </c>
      <c r="D2675">
        <v>89</v>
      </c>
    </row>
    <row r="2676" spans="3:4">
      <c r="C2676">
        <v>6784</v>
      </c>
      <c r="D2676">
        <v>89</v>
      </c>
    </row>
    <row r="2677" spans="3:4">
      <c r="C2677">
        <v>6785</v>
      </c>
      <c r="D2677">
        <v>89</v>
      </c>
    </row>
    <row r="2678" spans="3:4">
      <c r="C2678">
        <v>6786</v>
      </c>
      <c r="D2678">
        <v>89</v>
      </c>
    </row>
    <row r="2679" spans="3:4">
      <c r="C2679">
        <v>6787</v>
      </c>
      <c r="D2679">
        <v>91</v>
      </c>
    </row>
    <row r="2680" spans="3:4">
      <c r="C2680">
        <v>6791</v>
      </c>
      <c r="D2680">
        <v>83</v>
      </c>
    </row>
    <row r="2681" spans="3:4">
      <c r="C2681">
        <v>6792</v>
      </c>
      <c r="D2681">
        <v>92</v>
      </c>
    </row>
    <row r="2682" spans="3:4">
      <c r="C2682">
        <v>6793</v>
      </c>
      <c r="D2682">
        <v>89</v>
      </c>
    </row>
    <row r="2683" spans="3:4">
      <c r="C2683">
        <v>6794</v>
      </c>
      <c r="D2683">
        <v>93</v>
      </c>
    </row>
    <row r="2684" spans="3:4">
      <c r="C2684">
        <v>6795</v>
      </c>
      <c r="D2684">
        <v>90</v>
      </c>
    </row>
    <row r="2685" spans="3:4">
      <c r="C2685">
        <v>6796</v>
      </c>
      <c r="D2685">
        <v>90</v>
      </c>
    </row>
    <row r="2686" spans="3:4">
      <c r="C2686">
        <v>6798</v>
      </c>
      <c r="D2686">
        <v>90</v>
      </c>
    </row>
    <row r="2687" spans="3:4">
      <c r="C2687">
        <v>6800</v>
      </c>
      <c r="D2687">
        <v>89</v>
      </c>
    </row>
    <row r="2688" spans="3:4">
      <c r="C2688">
        <v>6801</v>
      </c>
      <c r="D2688">
        <v>89</v>
      </c>
    </row>
    <row r="2689" spans="3:4">
      <c r="C2689">
        <v>6802</v>
      </c>
      <c r="D2689">
        <v>89</v>
      </c>
    </row>
    <row r="2690" spans="3:4">
      <c r="C2690">
        <v>6803</v>
      </c>
      <c r="D2690">
        <v>89</v>
      </c>
    </row>
    <row r="2691" spans="3:4">
      <c r="C2691">
        <v>6804</v>
      </c>
      <c r="D2691">
        <v>89</v>
      </c>
    </row>
    <row r="2692" spans="3:4">
      <c r="C2692">
        <v>6805</v>
      </c>
      <c r="D2692">
        <v>89</v>
      </c>
    </row>
    <row r="2693" spans="3:4">
      <c r="C2693">
        <v>6806</v>
      </c>
      <c r="D2693">
        <v>90</v>
      </c>
    </row>
    <row r="2694" spans="3:4">
      <c r="C2694">
        <v>6808</v>
      </c>
      <c r="D2694">
        <v>89</v>
      </c>
    </row>
    <row r="2695" spans="3:4">
      <c r="C2695">
        <v>6811</v>
      </c>
      <c r="D2695">
        <v>89</v>
      </c>
    </row>
    <row r="2696" spans="3:4">
      <c r="C2696">
        <v>6821</v>
      </c>
      <c r="D2696">
        <v>92</v>
      </c>
    </row>
    <row r="2697" spans="3:4">
      <c r="C2697">
        <v>6900</v>
      </c>
      <c r="D2697">
        <v>89</v>
      </c>
    </row>
    <row r="2698" spans="3:4">
      <c r="C2698">
        <v>6901</v>
      </c>
      <c r="D2698">
        <v>89</v>
      </c>
    </row>
    <row r="2699" spans="3:4">
      <c r="C2699">
        <v>6902</v>
      </c>
      <c r="D2699">
        <v>89</v>
      </c>
    </row>
    <row r="2700" spans="3:4">
      <c r="C2700">
        <v>6903</v>
      </c>
      <c r="D2700">
        <v>90</v>
      </c>
    </row>
    <row r="2701" spans="3:4">
      <c r="C2701">
        <v>6911</v>
      </c>
      <c r="D2701">
        <v>89</v>
      </c>
    </row>
    <row r="2702" spans="3:4">
      <c r="C2702">
        <v>6912</v>
      </c>
      <c r="D2702">
        <v>89</v>
      </c>
    </row>
    <row r="2703" spans="3:4">
      <c r="C2703">
        <v>6913</v>
      </c>
      <c r="D2703">
        <v>89</v>
      </c>
    </row>
    <row r="2704" spans="3:4">
      <c r="C2704">
        <v>6914</v>
      </c>
      <c r="D2704">
        <v>90</v>
      </c>
    </row>
    <row r="2705" spans="3:4">
      <c r="C2705">
        <v>6915</v>
      </c>
      <c r="D2705">
        <v>90</v>
      </c>
    </row>
    <row r="2706" spans="3:4">
      <c r="C2706">
        <v>6916</v>
      </c>
      <c r="D2706">
        <v>91</v>
      </c>
    </row>
    <row r="2707" spans="3:4">
      <c r="C2707">
        <v>6917</v>
      </c>
      <c r="D2707">
        <v>92</v>
      </c>
    </row>
    <row r="2708" spans="3:4">
      <c r="C2708">
        <v>6921</v>
      </c>
      <c r="D2708">
        <v>89</v>
      </c>
    </row>
    <row r="2709" spans="3:4">
      <c r="C2709">
        <v>6922</v>
      </c>
      <c r="D2709">
        <v>89</v>
      </c>
    </row>
    <row r="2710" spans="3:4">
      <c r="C2710">
        <v>6923</v>
      </c>
      <c r="D2710">
        <v>89</v>
      </c>
    </row>
    <row r="2711" spans="3:4">
      <c r="C2711">
        <v>6926</v>
      </c>
      <c r="D2711">
        <v>89</v>
      </c>
    </row>
    <row r="2712" spans="3:4">
      <c r="C2712">
        <v>6931</v>
      </c>
      <c r="D2712">
        <v>89</v>
      </c>
    </row>
    <row r="2713" spans="3:4">
      <c r="C2713">
        <v>6932</v>
      </c>
      <c r="D2713">
        <v>89</v>
      </c>
    </row>
    <row r="2714" spans="3:4">
      <c r="C2714">
        <v>6933</v>
      </c>
      <c r="D2714">
        <v>89</v>
      </c>
    </row>
    <row r="2715" spans="3:4">
      <c r="C2715">
        <v>6934</v>
      </c>
      <c r="D2715">
        <v>89</v>
      </c>
    </row>
    <row r="2716" spans="3:4">
      <c r="C2716">
        <v>6940</v>
      </c>
      <c r="D2716">
        <v>89</v>
      </c>
    </row>
    <row r="2717" spans="3:4">
      <c r="C2717">
        <v>7000</v>
      </c>
      <c r="D2717">
        <v>91</v>
      </c>
    </row>
    <row r="2718" spans="3:4">
      <c r="C2718">
        <v>7001</v>
      </c>
      <c r="D2718">
        <v>91</v>
      </c>
    </row>
    <row r="2719" spans="3:4">
      <c r="C2719">
        <v>7002</v>
      </c>
      <c r="D2719">
        <v>91</v>
      </c>
    </row>
    <row r="2720" spans="3:4">
      <c r="C2720">
        <v>7003</v>
      </c>
      <c r="D2720">
        <v>91</v>
      </c>
    </row>
    <row r="2721" spans="3:4">
      <c r="C2721">
        <v>7010</v>
      </c>
      <c r="D2721">
        <v>91</v>
      </c>
    </row>
    <row r="2722" spans="3:4">
      <c r="C2722">
        <v>7011</v>
      </c>
      <c r="D2722">
        <v>91</v>
      </c>
    </row>
    <row r="2723" spans="3:4">
      <c r="C2723">
        <v>7012</v>
      </c>
      <c r="D2723">
        <v>92</v>
      </c>
    </row>
    <row r="2724" spans="3:4">
      <c r="C2724">
        <v>7013</v>
      </c>
      <c r="D2724">
        <v>92</v>
      </c>
    </row>
    <row r="2725" spans="3:4">
      <c r="C2725">
        <v>7014</v>
      </c>
      <c r="D2725">
        <v>91</v>
      </c>
    </row>
    <row r="2726" spans="3:4">
      <c r="C2726">
        <v>7015</v>
      </c>
      <c r="D2726">
        <v>90</v>
      </c>
    </row>
    <row r="2727" spans="3:4">
      <c r="C2727">
        <v>7016</v>
      </c>
      <c r="D2727">
        <v>91</v>
      </c>
    </row>
    <row r="2728" spans="3:4">
      <c r="C2728">
        <v>7017</v>
      </c>
      <c r="D2728">
        <v>90</v>
      </c>
    </row>
    <row r="2729" spans="3:4">
      <c r="C2729">
        <v>7018</v>
      </c>
      <c r="D2729">
        <v>91</v>
      </c>
    </row>
    <row r="2730" spans="3:4">
      <c r="C2730">
        <v>7019</v>
      </c>
      <c r="D2730">
        <v>91</v>
      </c>
    </row>
    <row r="2731" spans="3:4">
      <c r="C2731">
        <v>7020</v>
      </c>
      <c r="D2731">
        <v>61</v>
      </c>
    </row>
    <row r="2732" spans="3:4">
      <c r="C2732">
        <v>7021</v>
      </c>
      <c r="D2732">
        <v>61</v>
      </c>
    </row>
    <row r="2733" spans="3:4">
      <c r="C2733">
        <v>7025</v>
      </c>
      <c r="D2733">
        <v>94</v>
      </c>
    </row>
    <row r="2734" spans="3:4">
      <c r="C2734">
        <v>7026</v>
      </c>
      <c r="D2734">
        <v>96</v>
      </c>
    </row>
    <row r="2735" spans="3:4">
      <c r="C2735">
        <v>7027</v>
      </c>
      <c r="D2735">
        <v>96</v>
      </c>
    </row>
    <row r="2736" spans="3:4">
      <c r="C2736">
        <v>7030</v>
      </c>
      <c r="D2736">
        <v>96</v>
      </c>
    </row>
    <row r="2737" spans="3:4">
      <c r="C2737">
        <v>7031</v>
      </c>
      <c r="D2737">
        <v>96</v>
      </c>
    </row>
    <row r="2738" spans="3:4">
      <c r="C2738">
        <v>7032</v>
      </c>
      <c r="D2738">
        <v>96</v>
      </c>
    </row>
    <row r="2739" spans="3:4">
      <c r="C2739">
        <v>7038</v>
      </c>
      <c r="D2739">
        <v>95</v>
      </c>
    </row>
    <row r="2740" spans="3:4">
      <c r="C2740">
        <v>7039</v>
      </c>
      <c r="D2740">
        <v>94</v>
      </c>
    </row>
    <row r="2741" spans="3:4">
      <c r="C2741">
        <v>7041</v>
      </c>
      <c r="D2741">
        <v>93</v>
      </c>
    </row>
    <row r="2742" spans="3:4">
      <c r="C2742">
        <v>7042</v>
      </c>
      <c r="D2742">
        <v>94</v>
      </c>
    </row>
    <row r="2743" spans="3:4">
      <c r="C2743">
        <v>7043</v>
      </c>
      <c r="D2743">
        <v>94</v>
      </c>
    </row>
    <row r="2744" spans="3:4">
      <c r="C2744">
        <v>7044</v>
      </c>
      <c r="D2744">
        <v>94</v>
      </c>
    </row>
    <row r="2745" spans="3:4">
      <c r="C2745">
        <v>7045</v>
      </c>
      <c r="D2745">
        <v>94</v>
      </c>
    </row>
    <row r="2746" spans="3:4">
      <c r="C2746">
        <v>7047</v>
      </c>
      <c r="D2746">
        <v>94</v>
      </c>
    </row>
    <row r="2747" spans="3:4">
      <c r="C2747">
        <v>7051</v>
      </c>
      <c r="D2747">
        <v>94</v>
      </c>
    </row>
    <row r="2748" spans="3:4">
      <c r="C2748">
        <v>7052</v>
      </c>
      <c r="D2748">
        <v>92</v>
      </c>
    </row>
    <row r="2749" spans="3:4">
      <c r="C2749">
        <v>7053</v>
      </c>
      <c r="D2749">
        <v>93</v>
      </c>
    </row>
    <row r="2750" spans="3:4">
      <c r="C2750">
        <v>7054</v>
      </c>
      <c r="D2750">
        <v>93</v>
      </c>
    </row>
    <row r="2751" spans="3:4">
      <c r="C2751">
        <v>7055</v>
      </c>
      <c r="D2751">
        <v>93</v>
      </c>
    </row>
    <row r="2752" spans="3:4">
      <c r="C2752">
        <v>7056</v>
      </c>
      <c r="D2752">
        <v>97</v>
      </c>
    </row>
    <row r="2753" spans="3:4">
      <c r="C2753">
        <v>7057</v>
      </c>
      <c r="D2753">
        <v>94</v>
      </c>
    </row>
    <row r="2754" spans="3:4">
      <c r="C2754">
        <v>7061</v>
      </c>
      <c r="D2754">
        <v>91</v>
      </c>
    </row>
    <row r="2755" spans="3:4">
      <c r="C2755">
        <v>7062</v>
      </c>
      <c r="D2755">
        <v>90</v>
      </c>
    </row>
    <row r="2756" spans="3:4">
      <c r="C2756">
        <v>7063</v>
      </c>
      <c r="D2756">
        <v>91</v>
      </c>
    </row>
    <row r="2757" spans="3:4">
      <c r="C2757">
        <v>7064</v>
      </c>
      <c r="D2757">
        <v>90</v>
      </c>
    </row>
    <row r="2758" spans="3:4">
      <c r="C2758">
        <v>7065</v>
      </c>
      <c r="D2758">
        <v>90</v>
      </c>
    </row>
    <row r="2759" spans="3:4">
      <c r="C2759">
        <v>7066</v>
      </c>
      <c r="D2759">
        <v>90</v>
      </c>
    </row>
    <row r="2760" spans="3:4">
      <c r="C2760">
        <v>7067</v>
      </c>
      <c r="D2760">
        <v>91</v>
      </c>
    </row>
    <row r="2761" spans="3:4">
      <c r="C2761">
        <v>7068</v>
      </c>
      <c r="D2761">
        <v>94</v>
      </c>
    </row>
    <row r="2762" spans="3:4">
      <c r="C2762">
        <v>7069</v>
      </c>
      <c r="D2762">
        <v>94</v>
      </c>
    </row>
    <row r="2763" spans="3:4">
      <c r="C2763">
        <v>7071</v>
      </c>
      <c r="D2763">
        <v>91</v>
      </c>
    </row>
    <row r="2764" spans="3:4">
      <c r="C2764">
        <v>7072</v>
      </c>
      <c r="D2764">
        <v>91</v>
      </c>
    </row>
    <row r="2765" spans="3:4">
      <c r="C2765">
        <v>7081</v>
      </c>
      <c r="D2765">
        <v>89</v>
      </c>
    </row>
    <row r="2766" spans="3:4">
      <c r="C2766">
        <v>7082</v>
      </c>
      <c r="D2766">
        <v>90</v>
      </c>
    </row>
    <row r="2767" spans="3:4">
      <c r="C2767">
        <v>7083</v>
      </c>
      <c r="D2767">
        <v>89</v>
      </c>
    </row>
    <row r="2768" spans="3:4">
      <c r="C2768">
        <v>7084</v>
      </c>
      <c r="D2768">
        <v>91</v>
      </c>
    </row>
    <row r="2769" spans="3:4">
      <c r="C2769">
        <v>7085</v>
      </c>
      <c r="D2769">
        <v>90</v>
      </c>
    </row>
    <row r="2770" spans="3:4">
      <c r="C2770">
        <v>7086</v>
      </c>
      <c r="D2770">
        <v>89</v>
      </c>
    </row>
    <row r="2771" spans="3:4">
      <c r="C2771">
        <v>7087</v>
      </c>
      <c r="D2771">
        <v>89</v>
      </c>
    </row>
    <row r="2772" spans="3:4">
      <c r="C2772">
        <v>7090</v>
      </c>
      <c r="D2772">
        <v>90</v>
      </c>
    </row>
    <row r="2773" spans="3:4">
      <c r="C2773">
        <v>7091</v>
      </c>
      <c r="D2773">
        <v>89</v>
      </c>
    </row>
    <row r="2774" spans="3:4">
      <c r="C2774">
        <v>7092</v>
      </c>
      <c r="D2774">
        <v>89</v>
      </c>
    </row>
    <row r="2775" spans="3:4">
      <c r="C2775">
        <v>7093</v>
      </c>
      <c r="D2775">
        <v>89</v>
      </c>
    </row>
    <row r="2776" spans="3:4">
      <c r="C2776">
        <v>7094</v>
      </c>
      <c r="D2776">
        <v>89</v>
      </c>
    </row>
    <row r="2777" spans="3:4">
      <c r="C2777">
        <v>7095</v>
      </c>
      <c r="D2777">
        <v>89</v>
      </c>
    </row>
    <row r="2778" spans="3:4">
      <c r="C2778">
        <v>7097</v>
      </c>
      <c r="D2778">
        <v>89</v>
      </c>
    </row>
    <row r="2779" spans="3:4">
      <c r="C2779">
        <v>7098</v>
      </c>
      <c r="D2779">
        <v>90</v>
      </c>
    </row>
    <row r="2780" spans="3:4">
      <c r="C2780">
        <v>7099</v>
      </c>
      <c r="D2780">
        <v>90</v>
      </c>
    </row>
    <row r="2781" spans="3:4">
      <c r="C2781">
        <v>7100</v>
      </c>
      <c r="D2781">
        <v>29</v>
      </c>
    </row>
    <row r="2782" spans="3:4">
      <c r="C2782">
        <v>7101</v>
      </c>
      <c r="D2782">
        <v>29</v>
      </c>
    </row>
    <row r="2783" spans="3:4">
      <c r="C2783">
        <v>7102</v>
      </c>
      <c r="D2783">
        <v>29</v>
      </c>
    </row>
    <row r="2784" spans="3:4">
      <c r="C2784">
        <v>7103</v>
      </c>
      <c r="D2784">
        <v>29</v>
      </c>
    </row>
    <row r="2785" spans="3:4">
      <c r="C2785">
        <v>7121</v>
      </c>
      <c r="D2785">
        <v>94</v>
      </c>
    </row>
    <row r="2786" spans="3:4">
      <c r="C2786">
        <v>7122</v>
      </c>
      <c r="D2786">
        <v>94</v>
      </c>
    </row>
    <row r="2787" spans="3:4">
      <c r="C2787">
        <v>7130</v>
      </c>
      <c r="D2787">
        <v>95</v>
      </c>
    </row>
    <row r="2788" spans="3:4">
      <c r="C2788">
        <v>7131</v>
      </c>
      <c r="D2788">
        <v>94</v>
      </c>
    </row>
    <row r="2789" spans="3:4">
      <c r="C2789">
        <v>7132</v>
      </c>
      <c r="D2789">
        <v>93</v>
      </c>
    </row>
    <row r="2790" spans="3:4">
      <c r="C2790">
        <v>7133</v>
      </c>
      <c r="D2790">
        <v>93</v>
      </c>
    </row>
    <row r="2791" spans="3:4">
      <c r="C2791">
        <v>7134</v>
      </c>
      <c r="D2791">
        <v>95</v>
      </c>
    </row>
    <row r="2792" spans="3:4">
      <c r="C2792">
        <v>7135</v>
      </c>
      <c r="D2792">
        <v>94</v>
      </c>
    </row>
    <row r="2793" spans="3:4">
      <c r="C2793">
        <v>7136</v>
      </c>
      <c r="D2793">
        <v>94</v>
      </c>
    </row>
    <row r="2794" spans="3:4">
      <c r="C2794">
        <v>7139</v>
      </c>
      <c r="D2794">
        <v>94</v>
      </c>
    </row>
    <row r="2795" spans="3:4">
      <c r="C2795">
        <v>7140</v>
      </c>
      <c r="D2795">
        <v>94</v>
      </c>
    </row>
    <row r="2796" spans="3:4">
      <c r="C2796">
        <v>7142</v>
      </c>
      <c r="D2796">
        <v>95</v>
      </c>
    </row>
    <row r="2797" spans="3:4">
      <c r="C2797">
        <v>7143</v>
      </c>
      <c r="D2797">
        <v>95</v>
      </c>
    </row>
    <row r="2798" spans="3:4">
      <c r="C2798">
        <v>7144</v>
      </c>
      <c r="D2798">
        <v>94</v>
      </c>
    </row>
    <row r="2799" spans="3:4">
      <c r="C2799">
        <v>7145</v>
      </c>
      <c r="D2799">
        <v>95</v>
      </c>
    </row>
    <row r="2800" spans="3:4">
      <c r="C2800">
        <v>7146</v>
      </c>
      <c r="D2800">
        <v>94</v>
      </c>
    </row>
    <row r="2801" spans="3:4">
      <c r="C2801">
        <v>7147</v>
      </c>
      <c r="D2801">
        <v>94</v>
      </c>
    </row>
    <row r="2802" spans="3:4">
      <c r="C2802">
        <v>7148</v>
      </c>
      <c r="D2802">
        <v>94</v>
      </c>
    </row>
    <row r="2803" spans="3:4">
      <c r="C2803">
        <v>7149</v>
      </c>
      <c r="D2803">
        <v>95</v>
      </c>
    </row>
    <row r="2804" spans="3:4">
      <c r="C2804">
        <v>7150</v>
      </c>
      <c r="D2804">
        <v>95</v>
      </c>
    </row>
    <row r="2805" spans="3:4">
      <c r="C2805">
        <v>7151</v>
      </c>
      <c r="D2805">
        <v>92</v>
      </c>
    </row>
    <row r="2806" spans="3:4">
      <c r="C2806">
        <v>7153</v>
      </c>
      <c r="D2806">
        <v>92</v>
      </c>
    </row>
    <row r="2807" spans="3:4">
      <c r="C2807">
        <v>7158</v>
      </c>
      <c r="D2807">
        <v>92</v>
      </c>
    </row>
    <row r="2808" spans="3:4">
      <c r="C2808">
        <v>7159</v>
      </c>
      <c r="D2808">
        <v>92</v>
      </c>
    </row>
    <row r="2809" spans="3:4">
      <c r="C2809">
        <v>7161</v>
      </c>
      <c r="D2809">
        <v>93</v>
      </c>
    </row>
    <row r="2810" spans="3:4">
      <c r="C2810">
        <v>7162</v>
      </c>
      <c r="D2810">
        <v>94</v>
      </c>
    </row>
    <row r="2811" spans="3:4">
      <c r="C2811">
        <v>7163</v>
      </c>
      <c r="D2811">
        <v>93</v>
      </c>
    </row>
    <row r="2812" spans="3:4">
      <c r="C2812">
        <v>7164</v>
      </c>
      <c r="D2812">
        <v>93</v>
      </c>
    </row>
    <row r="2813" spans="3:4">
      <c r="C2813">
        <v>7165</v>
      </c>
      <c r="D2813">
        <v>93</v>
      </c>
    </row>
    <row r="2814" spans="3:4">
      <c r="C2814">
        <v>7171</v>
      </c>
      <c r="D2814">
        <v>95</v>
      </c>
    </row>
    <row r="2815" spans="3:4">
      <c r="C2815">
        <v>7172</v>
      </c>
      <c r="D2815">
        <v>97</v>
      </c>
    </row>
    <row r="2816" spans="3:4">
      <c r="C2816">
        <v>7173</v>
      </c>
      <c r="D2816">
        <v>95</v>
      </c>
    </row>
    <row r="2817" spans="3:4">
      <c r="C2817">
        <v>7174</v>
      </c>
      <c r="D2817">
        <v>95</v>
      </c>
    </row>
    <row r="2818" spans="3:4">
      <c r="C2818">
        <v>7175</v>
      </c>
      <c r="D2818">
        <v>94</v>
      </c>
    </row>
    <row r="2819" spans="3:4">
      <c r="C2819">
        <v>7176</v>
      </c>
      <c r="D2819">
        <v>94</v>
      </c>
    </row>
    <row r="2820" spans="3:4">
      <c r="C2820">
        <v>7181</v>
      </c>
      <c r="D2820">
        <v>92</v>
      </c>
    </row>
    <row r="2821" spans="3:4">
      <c r="C2821">
        <v>7182</v>
      </c>
      <c r="D2821">
        <v>93</v>
      </c>
    </row>
    <row r="2822" spans="3:4">
      <c r="C2822">
        <v>7183</v>
      </c>
      <c r="D2822">
        <v>92</v>
      </c>
    </row>
    <row r="2823" spans="3:4">
      <c r="C2823">
        <v>7184</v>
      </c>
      <c r="D2823">
        <v>92</v>
      </c>
    </row>
    <row r="2824" spans="3:4">
      <c r="C2824">
        <v>7185</v>
      </c>
      <c r="D2824">
        <v>92</v>
      </c>
    </row>
    <row r="2825" spans="3:4">
      <c r="C2825">
        <v>7186</v>
      </c>
      <c r="D2825">
        <v>91</v>
      </c>
    </row>
    <row r="2826" spans="3:4">
      <c r="C2826">
        <v>7187</v>
      </c>
      <c r="D2826">
        <v>92</v>
      </c>
    </row>
    <row r="2827" spans="3:4">
      <c r="C2827">
        <v>7188</v>
      </c>
      <c r="D2827">
        <v>92</v>
      </c>
    </row>
    <row r="2828" spans="3:4">
      <c r="C2828">
        <v>7190</v>
      </c>
      <c r="D2828">
        <v>92</v>
      </c>
    </row>
    <row r="2829" spans="3:4">
      <c r="C2829">
        <v>7191</v>
      </c>
      <c r="D2829">
        <v>92</v>
      </c>
    </row>
    <row r="2830" spans="3:4">
      <c r="C2830">
        <v>7192</v>
      </c>
      <c r="D2830">
        <v>91</v>
      </c>
    </row>
    <row r="2831" spans="3:4">
      <c r="C2831">
        <v>7193</v>
      </c>
      <c r="D2831">
        <v>90</v>
      </c>
    </row>
    <row r="2832" spans="3:4">
      <c r="C2832">
        <v>7194</v>
      </c>
      <c r="D2832">
        <v>91</v>
      </c>
    </row>
    <row r="2833" spans="3:4">
      <c r="C2833">
        <v>7195</v>
      </c>
      <c r="D2833">
        <v>91</v>
      </c>
    </row>
    <row r="2834" spans="3:4">
      <c r="C2834">
        <v>7200</v>
      </c>
      <c r="D2834">
        <v>95</v>
      </c>
    </row>
    <row r="2835" spans="3:4">
      <c r="C2835">
        <v>7201</v>
      </c>
      <c r="D2835">
        <v>95</v>
      </c>
    </row>
    <row r="2836" spans="3:4">
      <c r="C2836">
        <v>7202</v>
      </c>
      <c r="D2836">
        <v>95</v>
      </c>
    </row>
    <row r="2837" spans="3:4">
      <c r="C2837">
        <v>7203</v>
      </c>
      <c r="D2837">
        <v>95</v>
      </c>
    </row>
    <row r="2838" spans="3:4">
      <c r="C2838">
        <v>7211</v>
      </c>
      <c r="D2838">
        <v>92</v>
      </c>
    </row>
    <row r="2839" spans="3:4">
      <c r="C2839">
        <v>7212</v>
      </c>
      <c r="D2839">
        <v>90</v>
      </c>
    </row>
    <row r="2840" spans="3:4">
      <c r="C2840">
        <v>7213</v>
      </c>
      <c r="D2840">
        <v>90</v>
      </c>
    </row>
    <row r="2841" spans="3:4">
      <c r="C2841">
        <v>7214</v>
      </c>
      <c r="D2841">
        <v>91</v>
      </c>
    </row>
    <row r="2842" spans="3:4">
      <c r="C2842">
        <v>7215</v>
      </c>
      <c r="D2842">
        <v>92</v>
      </c>
    </row>
    <row r="2843" spans="3:4">
      <c r="C2843">
        <v>7224</v>
      </c>
      <c r="D2843">
        <v>92</v>
      </c>
    </row>
    <row r="2844" spans="3:4">
      <c r="C2844">
        <v>7225</v>
      </c>
      <c r="D2844">
        <v>92</v>
      </c>
    </row>
    <row r="2845" spans="3:4">
      <c r="C2845">
        <v>7226</v>
      </c>
      <c r="D2845">
        <v>91</v>
      </c>
    </row>
    <row r="2846" spans="3:4">
      <c r="C2846">
        <v>7227</v>
      </c>
      <c r="D2846">
        <v>91</v>
      </c>
    </row>
    <row r="2847" spans="3:4">
      <c r="C2847">
        <v>7228</v>
      </c>
      <c r="D2847">
        <v>92</v>
      </c>
    </row>
    <row r="2848" spans="3:4">
      <c r="C2848">
        <v>7244</v>
      </c>
      <c r="D2848">
        <v>92</v>
      </c>
    </row>
    <row r="2849" spans="3:4">
      <c r="C2849">
        <v>7251</v>
      </c>
      <c r="D2849">
        <v>94</v>
      </c>
    </row>
    <row r="2850" spans="3:4">
      <c r="C2850">
        <v>7252</v>
      </c>
      <c r="D2850">
        <v>96</v>
      </c>
    </row>
    <row r="2851" spans="3:4">
      <c r="C2851">
        <v>7253</v>
      </c>
      <c r="D2851">
        <v>99</v>
      </c>
    </row>
    <row r="2852" spans="3:4">
      <c r="C2852">
        <v>7255</v>
      </c>
      <c r="D2852">
        <v>94</v>
      </c>
    </row>
    <row r="2853" spans="3:4">
      <c r="C2853">
        <v>7256</v>
      </c>
      <c r="D2853">
        <v>97</v>
      </c>
    </row>
    <row r="2854" spans="3:4">
      <c r="C2854">
        <v>7257</v>
      </c>
      <c r="D2854">
        <v>94</v>
      </c>
    </row>
    <row r="2855" spans="3:4">
      <c r="C2855">
        <v>7258</v>
      </c>
      <c r="D2855">
        <v>93</v>
      </c>
    </row>
    <row r="2856" spans="3:4">
      <c r="C2856">
        <v>7259</v>
      </c>
      <c r="D2856">
        <v>93</v>
      </c>
    </row>
    <row r="2857" spans="3:4">
      <c r="C2857">
        <v>7261</v>
      </c>
      <c r="D2857">
        <v>38</v>
      </c>
    </row>
    <row r="2858" spans="3:4">
      <c r="C2858">
        <v>7271</v>
      </c>
      <c r="D2858">
        <v>93</v>
      </c>
    </row>
    <row r="2859" spans="3:4">
      <c r="C2859">
        <v>7272</v>
      </c>
      <c r="D2859">
        <v>94</v>
      </c>
    </row>
    <row r="2860" spans="3:4">
      <c r="C2860">
        <v>7273</v>
      </c>
      <c r="D2860">
        <v>92</v>
      </c>
    </row>
    <row r="2861" spans="3:4">
      <c r="C2861">
        <v>7274</v>
      </c>
      <c r="D2861">
        <v>92</v>
      </c>
    </row>
    <row r="2862" spans="3:4">
      <c r="C2862">
        <v>7275</v>
      </c>
      <c r="D2862">
        <v>91</v>
      </c>
    </row>
    <row r="2863" spans="3:4">
      <c r="C2863">
        <v>7276</v>
      </c>
      <c r="D2863">
        <v>91</v>
      </c>
    </row>
    <row r="2864" spans="3:4">
      <c r="C2864">
        <v>7277</v>
      </c>
      <c r="D2864">
        <v>91</v>
      </c>
    </row>
    <row r="2865" spans="3:4">
      <c r="C2865">
        <v>7279</v>
      </c>
      <c r="D2865">
        <v>94</v>
      </c>
    </row>
    <row r="2866" spans="3:4">
      <c r="C2866">
        <v>7281</v>
      </c>
      <c r="D2866">
        <v>89</v>
      </c>
    </row>
    <row r="2867" spans="3:4">
      <c r="C2867">
        <v>7282</v>
      </c>
      <c r="D2867">
        <v>90</v>
      </c>
    </row>
    <row r="2868" spans="3:4">
      <c r="C2868">
        <v>7283</v>
      </c>
      <c r="D2868">
        <v>90</v>
      </c>
    </row>
    <row r="2869" spans="3:4">
      <c r="C2869">
        <v>7284</v>
      </c>
      <c r="D2869">
        <v>90</v>
      </c>
    </row>
    <row r="2870" spans="3:4">
      <c r="C2870">
        <v>7285</v>
      </c>
      <c r="D2870">
        <v>89</v>
      </c>
    </row>
    <row r="2871" spans="3:4">
      <c r="C2871">
        <v>7286</v>
      </c>
      <c r="D2871">
        <v>89</v>
      </c>
    </row>
    <row r="2872" spans="3:4">
      <c r="C2872">
        <v>7300</v>
      </c>
      <c r="D2872">
        <v>37</v>
      </c>
    </row>
    <row r="2873" spans="3:4">
      <c r="C2873">
        <v>7301</v>
      </c>
      <c r="D2873">
        <v>36</v>
      </c>
    </row>
    <row r="2874" spans="3:4">
      <c r="C2874">
        <v>7302</v>
      </c>
      <c r="D2874">
        <v>36</v>
      </c>
    </row>
    <row r="2875" spans="3:4">
      <c r="C2875">
        <v>7303</v>
      </c>
      <c r="D2875">
        <v>36</v>
      </c>
    </row>
    <row r="2876" spans="3:4">
      <c r="C2876">
        <v>7304</v>
      </c>
      <c r="D2876">
        <v>39</v>
      </c>
    </row>
    <row r="2877" spans="3:4">
      <c r="C2877">
        <v>7305</v>
      </c>
      <c r="D2877">
        <v>36</v>
      </c>
    </row>
    <row r="2878" spans="3:4">
      <c r="C2878">
        <v>7306</v>
      </c>
      <c r="D2878">
        <v>36</v>
      </c>
    </row>
    <row r="2879" spans="3:4">
      <c r="C2879">
        <v>7308</v>
      </c>
      <c r="D2879">
        <v>36</v>
      </c>
    </row>
    <row r="2880" spans="3:4">
      <c r="C2880">
        <v>7309</v>
      </c>
      <c r="D2880">
        <v>36</v>
      </c>
    </row>
    <row r="2881" spans="3:4">
      <c r="C2881">
        <v>7331</v>
      </c>
      <c r="D2881">
        <v>38</v>
      </c>
    </row>
    <row r="2882" spans="3:4">
      <c r="C2882">
        <v>7332</v>
      </c>
      <c r="D2882">
        <v>37</v>
      </c>
    </row>
    <row r="2883" spans="3:4">
      <c r="C2883">
        <v>7333</v>
      </c>
      <c r="D2883">
        <v>91</v>
      </c>
    </row>
    <row r="2884" spans="3:4">
      <c r="C2884">
        <v>7334</v>
      </c>
      <c r="D2884">
        <v>91</v>
      </c>
    </row>
    <row r="2885" spans="3:4">
      <c r="C2885">
        <v>7341</v>
      </c>
      <c r="D2885">
        <v>94</v>
      </c>
    </row>
    <row r="2886" spans="3:4">
      <c r="C2886">
        <v>7342</v>
      </c>
      <c r="D2886">
        <v>92</v>
      </c>
    </row>
    <row r="2887" spans="3:4">
      <c r="C2887">
        <v>7343</v>
      </c>
      <c r="D2887">
        <v>91</v>
      </c>
    </row>
    <row r="2888" spans="3:4">
      <c r="C2888">
        <v>7344</v>
      </c>
      <c r="D2888">
        <v>91</v>
      </c>
    </row>
    <row r="2889" spans="3:4">
      <c r="C2889">
        <v>7345</v>
      </c>
      <c r="D2889">
        <v>92</v>
      </c>
    </row>
    <row r="2890" spans="3:4">
      <c r="C2890">
        <v>7346</v>
      </c>
      <c r="D2890">
        <v>91</v>
      </c>
    </row>
    <row r="2891" spans="3:4">
      <c r="C2891">
        <v>7347</v>
      </c>
      <c r="D2891">
        <v>91</v>
      </c>
    </row>
    <row r="2892" spans="3:4">
      <c r="C2892">
        <v>7348</v>
      </c>
      <c r="D2892">
        <v>91</v>
      </c>
    </row>
    <row r="2893" spans="3:4">
      <c r="C2893">
        <v>7349</v>
      </c>
      <c r="D2893">
        <v>91</v>
      </c>
    </row>
    <row r="2894" spans="3:4">
      <c r="C2894">
        <v>7351</v>
      </c>
      <c r="D2894">
        <v>91</v>
      </c>
    </row>
    <row r="2895" spans="3:4">
      <c r="C2895">
        <v>7352</v>
      </c>
      <c r="D2895">
        <v>91</v>
      </c>
    </row>
    <row r="2896" spans="3:4">
      <c r="C2896">
        <v>7353</v>
      </c>
      <c r="D2896">
        <v>91</v>
      </c>
    </row>
    <row r="2897" spans="3:4">
      <c r="C2897">
        <v>7354</v>
      </c>
      <c r="D2897">
        <v>92</v>
      </c>
    </row>
    <row r="2898" spans="3:4">
      <c r="C2898">
        <v>7355</v>
      </c>
      <c r="D2898">
        <v>90</v>
      </c>
    </row>
    <row r="2899" spans="3:4">
      <c r="C2899">
        <v>7356</v>
      </c>
      <c r="D2899">
        <v>91</v>
      </c>
    </row>
    <row r="2900" spans="3:4">
      <c r="C2900">
        <v>7357</v>
      </c>
      <c r="D2900">
        <v>91</v>
      </c>
    </row>
    <row r="2901" spans="3:4">
      <c r="C2901">
        <v>7361</v>
      </c>
      <c r="D2901">
        <v>96</v>
      </c>
    </row>
    <row r="2902" spans="3:4">
      <c r="C2902">
        <v>7362</v>
      </c>
      <c r="D2902">
        <v>93</v>
      </c>
    </row>
    <row r="2903" spans="3:4">
      <c r="C2903">
        <v>7370</v>
      </c>
      <c r="D2903">
        <v>95</v>
      </c>
    </row>
    <row r="2904" spans="3:4">
      <c r="C2904">
        <v>7381</v>
      </c>
      <c r="D2904">
        <v>95</v>
      </c>
    </row>
    <row r="2905" spans="3:4">
      <c r="C2905">
        <v>7383</v>
      </c>
      <c r="D2905">
        <v>93</v>
      </c>
    </row>
    <row r="2906" spans="3:4">
      <c r="C2906">
        <v>7384</v>
      </c>
      <c r="D2906">
        <v>94</v>
      </c>
    </row>
    <row r="2907" spans="3:4">
      <c r="C2907">
        <v>7385</v>
      </c>
      <c r="D2907">
        <v>93</v>
      </c>
    </row>
    <row r="2908" spans="3:4">
      <c r="C2908">
        <v>7386</v>
      </c>
      <c r="D2908">
        <v>94</v>
      </c>
    </row>
    <row r="2909" spans="3:4">
      <c r="C2909">
        <v>7391</v>
      </c>
      <c r="D2909">
        <v>94</v>
      </c>
    </row>
    <row r="2910" spans="3:4">
      <c r="C2910">
        <v>7393</v>
      </c>
      <c r="D2910">
        <v>94</v>
      </c>
    </row>
    <row r="2911" spans="3:4">
      <c r="C2911">
        <v>7394</v>
      </c>
      <c r="D2911">
        <v>94</v>
      </c>
    </row>
    <row r="2912" spans="3:4">
      <c r="C2912">
        <v>7396</v>
      </c>
      <c r="D2912">
        <v>37</v>
      </c>
    </row>
    <row r="2913" spans="3:4">
      <c r="C2913">
        <v>7400</v>
      </c>
      <c r="D2913">
        <v>27</v>
      </c>
    </row>
    <row r="2914" spans="3:4">
      <c r="C2914">
        <v>7401</v>
      </c>
      <c r="D2914">
        <v>27</v>
      </c>
    </row>
    <row r="2915" spans="3:4">
      <c r="C2915">
        <v>7402</v>
      </c>
      <c r="D2915">
        <v>27</v>
      </c>
    </row>
    <row r="2916" spans="3:4">
      <c r="C2916">
        <v>7403</v>
      </c>
      <c r="D2916">
        <v>27</v>
      </c>
    </row>
    <row r="2917" spans="3:4">
      <c r="C2917">
        <v>7404</v>
      </c>
      <c r="D2917">
        <v>27</v>
      </c>
    </row>
    <row r="2918" spans="3:4">
      <c r="C2918">
        <v>7405</v>
      </c>
      <c r="D2918">
        <v>27</v>
      </c>
    </row>
    <row r="2919" spans="3:4">
      <c r="C2919">
        <v>7406</v>
      </c>
      <c r="D2919">
        <v>27</v>
      </c>
    </row>
    <row r="2920" spans="3:4">
      <c r="C2920">
        <v>7407</v>
      </c>
      <c r="D2920">
        <v>27</v>
      </c>
    </row>
    <row r="2921" spans="3:4">
      <c r="C2921">
        <v>7408</v>
      </c>
      <c r="D2921">
        <v>27</v>
      </c>
    </row>
    <row r="2922" spans="3:4">
      <c r="C2922">
        <v>7409</v>
      </c>
      <c r="D2922">
        <v>27</v>
      </c>
    </row>
    <row r="2923" spans="3:4">
      <c r="C2923">
        <v>7431</v>
      </c>
      <c r="D2923">
        <v>39</v>
      </c>
    </row>
    <row r="2924" spans="3:4">
      <c r="C2924">
        <v>7432</v>
      </c>
      <c r="D2924">
        <v>93</v>
      </c>
    </row>
    <row r="2925" spans="3:4">
      <c r="C2925">
        <v>7434</v>
      </c>
      <c r="D2925">
        <v>95</v>
      </c>
    </row>
    <row r="2926" spans="3:4">
      <c r="C2926">
        <v>7435</v>
      </c>
      <c r="D2926">
        <v>92</v>
      </c>
    </row>
    <row r="2927" spans="3:4">
      <c r="C2927">
        <v>7436</v>
      </c>
      <c r="D2927">
        <v>92</v>
      </c>
    </row>
    <row r="2928" spans="3:4">
      <c r="C2928">
        <v>7439</v>
      </c>
      <c r="D2928">
        <v>92</v>
      </c>
    </row>
    <row r="2929" spans="3:4">
      <c r="C2929">
        <v>7441</v>
      </c>
      <c r="D2929">
        <v>94</v>
      </c>
    </row>
    <row r="2930" spans="3:4">
      <c r="C2930">
        <v>7442</v>
      </c>
      <c r="D2930">
        <v>93</v>
      </c>
    </row>
    <row r="2931" spans="3:4">
      <c r="C2931">
        <v>7443</v>
      </c>
      <c r="D2931">
        <v>93</v>
      </c>
    </row>
    <row r="2932" spans="3:4">
      <c r="C2932">
        <v>7444</v>
      </c>
      <c r="D2932">
        <v>92</v>
      </c>
    </row>
    <row r="2933" spans="3:4">
      <c r="C2933">
        <v>7451</v>
      </c>
      <c r="D2933">
        <v>26</v>
      </c>
    </row>
    <row r="2934" spans="3:4">
      <c r="C2934">
        <v>7452</v>
      </c>
      <c r="D2934">
        <v>92</v>
      </c>
    </row>
    <row r="2935" spans="3:4">
      <c r="C2935">
        <v>7453</v>
      </c>
      <c r="D2935">
        <v>92</v>
      </c>
    </row>
    <row r="2936" spans="3:4">
      <c r="C2936">
        <v>7454</v>
      </c>
      <c r="D2936">
        <v>92</v>
      </c>
    </row>
    <row r="2937" spans="3:4">
      <c r="C2937">
        <v>7455</v>
      </c>
      <c r="D2937">
        <v>92</v>
      </c>
    </row>
    <row r="2938" spans="3:4">
      <c r="C2938">
        <v>7456</v>
      </c>
      <c r="D2938">
        <v>92</v>
      </c>
    </row>
    <row r="2939" spans="3:4">
      <c r="C2939">
        <v>7457</v>
      </c>
      <c r="D2939">
        <v>92</v>
      </c>
    </row>
    <row r="2940" spans="3:4">
      <c r="C2940">
        <v>7458</v>
      </c>
      <c r="D2940">
        <v>92</v>
      </c>
    </row>
    <row r="2941" spans="3:4">
      <c r="C2941">
        <v>7461</v>
      </c>
      <c r="D2941">
        <v>26</v>
      </c>
    </row>
    <row r="2942" spans="3:4">
      <c r="C2942">
        <v>7463</v>
      </c>
      <c r="D2942">
        <v>92</v>
      </c>
    </row>
    <row r="2943" spans="3:4">
      <c r="C2943">
        <v>7464</v>
      </c>
      <c r="D2943">
        <v>91</v>
      </c>
    </row>
    <row r="2944" spans="3:4">
      <c r="C2944">
        <v>7465</v>
      </c>
      <c r="D2944">
        <v>92</v>
      </c>
    </row>
    <row r="2945" spans="3:4">
      <c r="C2945">
        <v>7471</v>
      </c>
      <c r="D2945">
        <v>91</v>
      </c>
    </row>
    <row r="2946" spans="3:4">
      <c r="C2946">
        <v>7472</v>
      </c>
      <c r="D2946">
        <v>36</v>
      </c>
    </row>
    <row r="2947" spans="3:4">
      <c r="C2947">
        <v>7473</v>
      </c>
      <c r="D2947">
        <v>94</v>
      </c>
    </row>
    <row r="2948" spans="3:4">
      <c r="C2948">
        <v>7474</v>
      </c>
      <c r="D2948">
        <v>38</v>
      </c>
    </row>
    <row r="2949" spans="3:4">
      <c r="C2949">
        <v>7475</v>
      </c>
      <c r="D2949">
        <v>38</v>
      </c>
    </row>
    <row r="2950" spans="3:4">
      <c r="C2950">
        <v>7476</v>
      </c>
      <c r="D2950">
        <v>38</v>
      </c>
    </row>
    <row r="2951" spans="3:4">
      <c r="C2951">
        <v>7477</v>
      </c>
      <c r="D2951">
        <v>92</v>
      </c>
    </row>
    <row r="2952" spans="3:4">
      <c r="C2952">
        <v>7478</v>
      </c>
      <c r="D2952">
        <v>92</v>
      </c>
    </row>
    <row r="2953" spans="3:4">
      <c r="C2953">
        <v>7479</v>
      </c>
      <c r="D2953">
        <v>38</v>
      </c>
    </row>
    <row r="2954" spans="3:4">
      <c r="C2954">
        <v>7500</v>
      </c>
      <c r="D2954">
        <v>94</v>
      </c>
    </row>
    <row r="2955" spans="3:4">
      <c r="C2955">
        <v>7501</v>
      </c>
      <c r="D2955">
        <v>94</v>
      </c>
    </row>
    <row r="2956" spans="3:4">
      <c r="C2956">
        <v>7511</v>
      </c>
      <c r="D2956">
        <v>91</v>
      </c>
    </row>
    <row r="2957" spans="3:4">
      <c r="C2957">
        <v>7512</v>
      </c>
      <c r="D2957">
        <v>94</v>
      </c>
    </row>
    <row r="2958" spans="3:4">
      <c r="C2958">
        <v>7513</v>
      </c>
      <c r="D2958">
        <v>93</v>
      </c>
    </row>
    <row r="2959" spans="3:4">
      <c r="C2959">
        <v>7514</v>
      </c>
      <c r="D2959">
        <v>93</v>
      </c>
    </row>
    <row r="2960" spans="3:4">
      <c r="C2960">
        <v>7515</v>
      </c>
      <c r="D2960">
        <v>92</v>
      </c>
    </row>
    <row r="2961" spans="3:4">
      <c r="C2961">
        <v>7516</v>
      </c>
      <c r="D2961">
        <v>93</v>
      </c>
    </row>
    <row r="2962" spans="3:4">
      <c r="C2962">
        <v>7517</v>
      </c>
      <c r="D2962">
        <v>93</v>
      </c>
    </row>
    <row r="2963" spans="3:4">
      <c r="C2963">
        <v>7521</v>
      </c>
      <c r="D2963">
        <v>37</v>
      </c>
    </row>
    <row r="2964" spans="3:4">
      <c r="C2964">
        <v>7522</v>
      </c>
      <c r="D2964">
        <v>38</v>
      </c>
    </row>
    <row r="2965" spans="3:4">
      <c r="C2965">
        <v>7523</v>
      </c>
      <c r="D2965">
        <v>92</v>
      </c>
    </row>
    <row r="2966" spans="3:4">
      <c r="C2966">
        <v>7524</v>
      </c>
      <c r="D2966">
        <v>92</v>
      </c>
    </row>
    <row r="2967" spans="3:4">
      <c r="C2967">
        <v>7525</v>
      </c>
      <c r="D2967">
        <v>92</v>
      </c>
    </row>
    <row r="2968" spans="3:4">
      <c r="C2968">
        <v>7526</v>
      </c>
      <c r="D2968">
        <v>94</v>
      </c>
    </row>
    <row r="2969" spans="3:4">
      <c r="C2969">
        <v>7527</v>
      </c>
      <c r="D2969">
        <v>93</v>
      </c>
    </row>
    <row r="2970" spans="3:4">
      <c r="C2970">
        <v>7529</v>
      </c>
      <c r="D2970">
        <v>93</v>
      </c>
    </row>
    <row r="2971" spans="3:4">
      <c r="C2971">
        <v>7530</v>
      </c>
      <c r="D2971">
        <v>94</v>
      </c>
    </row>
    <row r="2972" spans="3:4">
      <c r="C2972">
        <v>7531</v>
      </c>
      <c r="D2972">
        <v>94</v>
      </c>
    </row>
    <row r="2973" spans="3:4">
      <c r="C2973">
        <v>7532</v>
      </c>
      <c r="D2973">
        <v>94</v>
      </c>
    </row>
    <row r="2974" spans="3:4">
      <c r="C2974">
        <v>7533</v>
      </c>
      <c r="D2974">
        <v>94</v>
      </c>
    </row>
    <row r="2975" spans="3:4">
      <c r="C2975">
        <v>7534</v>
      </c>
      <c r="D2975">
        <v>94</v>
      </c>
    </row>
    <row r="2976" spans="3:4">
      <c r="C2976">
        <v>7535</v>
      </c>
      <c r="D2976">
        <v>94</v>
      </c>
    </row>
    <row r="2977" spans="3:4">
      <c r="C2977">
        <v>7536</v>
      </c>
      <c r="D2977">
        <v>94</v>
      </c>
    </row>
    <row r="2978" spans="3:4">
      <c r="C2978">
        <v>7537</v>
      </c>
      <c r="D2978">
        <v>94</v>
      </c>
    </row>
    <row r="2979" spans="3:4">
      <c r="C2979">
        <v>7538</v>
      </c>
      <c r="D2979">
        <v>94</v>
      </c>
    </row>
    <row r="2980" spans="3:4">
      <c r="C2980">
        <v>7539</v>
      </c>
      <c r="D2980">
        <v>96</v>
      </c>
    </row>
    <row r="2981" spans="3:4">
      <c r="C2981">
        <v>7541</v>
      </c>
      <c r="D2981">
        <v>92</v>
      </c>
    </row>
    <row r="2982" spans="3:4">
      <c r="C2982">
        <v>7542</v>
      </c>
      <c r="D2982">
        <v>92</v>
      </c>
    </row>
    <row r="2983" spans="3:4">
      <c r="C2983">
        <v>7543</v>
      </c>
      <c r="D2983">
        <v>92</v>
      </c>
    </row>
    <row r="2984" spans="3:4">
      <c r="C2984">
        <v>7544</v>
      </c>
      <c r="D2984">
        <v>92</v>
      </c>
    </row>
    <row r="2985" spans="3:4">
      <c r="C2985">
        <v>7545</v>
      </c>
      <c r="D2985">
        <v>93</v>
      </c>
    </row>
    <row r="2986" spans="3:4">
      <c r="C2986">
        <v>7551</v>
      </c>
      <c r="D2986">
        <v>94</v>
      </c>
    </row>
    <row r="2987" spans="3:4">
      <c r="C2987">
        <v>7552</v>
      </c>
      <c r="D2987">
        <v>94</v>
      </c>
    </row>
    <row r="2988" spans="3:4">
      <c r="C2988">
        <v>7553</v>
      </c>
      <c r="D2988">
        <v>94</v>
      </c>
    </row>
    <row r="2989" spans="3:4">
      <c r="C2989">
        <v>7554</v>
      </c>
      <c r="D2989">
        <v>94</v>
      </c>
    </row>
    <row r="2990" spans="3:4">
      <c r="C2990">
        <v>7555</v>
      </c>
      <c r="D2990">
        <v>94</v>
      </c>
    </row>
    <row r="2991" spans="3:4">
      <c r="C2991">
        <v>7556</v>
      </c>
      <c r="D2991">
        <v>94</v>
      </c>
    </row>
    <row r="2992" spans="3:4">
      <c r="C2992">
        <v>7557</v>
      </c>
      <c r="D2992">
        <v>96</v>
      </c>
    </row>
    <row r="2993" spans="3:4">
      <c r="C2993">
        <v>7561</v>
      </c>
      <c r="D2993">
        <v>93</v>
      </c>
    </row>
    <row r="2994" spans="3:4">
      <c r="C2994">
        <v>7562</v>
      </c>
      <c r="D2994">
        <v>92</v>
      </c>
    </row>
    <row r="2995" spans="3:4">
      <c r="C2995">
        <v>7563</v>
      </c>
      <c r="D2995">
        <v>92</v>
      </c>
    </row>
    <row r="2996" spans="3:4">
      <c r="C2996">
        <v>7564</v>
      </c>
      <c r="D2996">
        <v>92</v>
      </c>
    </row>
    <row r="2997" spans="3:4">
      <c r="C2997">
        <v>7565</v>
      </c>
      <c r="D2997">
        <v>92</v>
      </c>
    </row>
    <row r="2998" spans="3:4">
      <c r="C2998">
        <v>7570</v>
      </c>
      <c r="D2998">
        <v>96</v>
      </c>
    </row>
    <row r="2999" spans="3:4">
      <c r="C2999">
        <v>7571</v>
      </c>
      <c r="D2999">
        <v>96</v>
      </c>
    </row>
    <row r="3000" spans="3:4">
      <c r="C3000">
        <v>7572</v>
      </c>
      <c r="D3000">
        <v>96</v>
      </c>
    </row>
    <row r="3001" spans="3:4">
      <c r="C3001">
        <v>7582</v>
      </c>
      <c r="D3001">
        <v>95</v>
      </c>
    </row>
    <row r="3002" spans="3:4">
      <c r="C3002">
        <v>7584</v>
      </c>
      <c r="D3002">
        <v>94</v>
      </c>
    </row>
    <row r="3003" spans="3:4">
      <c r="C3003">
        <v>7585</v>
      </c>
      <c r="D3003">
        <v>92</v>
      </c>
    </row>
    <row r="3004" spans="3:4">
      <c r="C3004">
        <v>7586</v>
      </c>
      <c r="D3004">
        <v>93</v>
      </c>
    </row>
    <row r="3005" spans="3:4">
      <c r="C3005">
        <v>7587</v>
      </c>
      <c r="D3005">
        <v>93</v>
      </c>
    </row>
    <row r="3006" spans="3:4">
      <c r="C3006">
        <v>7588</v>
      </c>
      <c r="D3006">
        <v>93</v>
      </c>
    </row>
    <row r="3007" spans="3:4">
      <c r="C3007">
        <v>7589</v>
      </c>
      <c r="D3007">
        <v>92</v>
      </c>
    </row>
    <row r="3008" spans="3:4">
      <c r="C3008">
        <v>7600</v>
      </c>
      <c r="D3008">
        <v>33</v>
      </c>
    </row>
    <row r="3009" spans="3:4">
      <c r="C3009">
        <v>7601</v>
      </c>
      <c r="D3009">
        <v>33</v>
      </c>
    </row>
    <row r="3010" spans="3:4">
      <c r="C3010">
        <v>7602</v>
      </c>
      <c r="D3010">
        <v>33</v>
      </c>
    </row>
    <row r="3011" spans="3:4">
      <c r="C3011">
        <v>7603</v>
      </c>
      <c r="D3011">
        <v>33</v>
      </c>
    </row>
    <row r="3012" spans="3:4">
      <c r="C3012">
        <v>7604</v>
      </c>
      <c r="D3012">
        <v>33</v>
      </c>
    </row>
    <row r="3013" spans="3:4">
      <c r="C3013">
        <v>7605</v>
      </c>
      <c r="D3013">
        <v>33</v>
      </c>
    </row>
    <row r="3014" spans="3:4">
      <c r="C3014">
        <v>7606</v>
      </c>
      <c r="D3014">
        <v>33</v>
      </c>
    </row>
    <row r="3015" spans="3:4">
      <c r="C3015">
        <v>7607</v>
      </c>
      <c r="D3015">
        <v>33</v>
      </c>
    </row>
    <row r="3016" spans="3:4">
      <c r="C3016">
        <v>7608</v>
      </c>
      <c r="D3016">
        <v>33</v>
      </c>
    </row>
    <row r="3017" spans="3:4">
      <c r="C3017">
        <v>7609</v>
      </c>
      <c r="D3017">
        <v>33</v>
      </c>
    </row>
    <row r="3018" spans="3:4">
      <c r="C3018">
        <v>7610</v>
      </c>
      <c r="D3018">
        <v>33</v>
      </c>
    </row>
    <row r="3019" spans="3:4">
      <c r="C3019">
        <v>7611</v>
      </c>
      <c r="D3019">
        <v>33</v>
      </c>
    </row>
    <row r="3020" spans="3:4">
      <c r="C3020">
        <v>7612</v>
      </c>
      <c r="D3020">
        <v>33</v>
      </c>
    </row>
    <row r="3021" spans="3:4">
      <c r="C3021">
        <v>7613</v>
      </c>
      <c r="D3021">
        <v>33</v>
      </c>
    </row>
    <row r="3022" spans="3:4">
      <c r="C3022">
        <v>7614</v>
      </c>
      <c r="D3022">
        <v>33</v>
      </c>
    </row>
    <row r="3023" spans="3:4">
      <c r="C3023">
        <v>7615</v>
      </c>
      <c r="D3023">
        <v>33</v>
      </c>
    </row>
    <row r="3024" spans="3:4">
      <c r="C3024">
        <v>7616</v>
      </c>
      <c r="D3024">
        <v>33</v>
      </c>
    </row>
    <row r="3025" spans="3:4">
      <c r="C3025">
        <v>7617</v>
      </c>
      <c r="D3025">
        <v>33</v>
      </c>
    </row>
    <row r="3026" spans="3:4">
      <c r="C3026">
        <v>7618</v>
      </c>
      <c r="D3026">
        <v>33</v>
      </c>
    </row>
    <row r="3027" spans="3:4">
      <c r="C3027">
        <v>7619</v>
      </c>
      <c r="D3027">
        <v>33</v>
      </c>
    </row>
    <row r="3028" spans="3:4">
      <c r="C3028">
        <v>7620</v>
      </c>
      <c r="D3028">
        <v>33</v>
      </c>
    </row>
    <row r="3029" spans="3:4">
      <c r="C3029">
        <v>7621</v>
      </c>
      <c r="D3029">
        <v>32</v>
      </c>
    </row>
    <row r="3030" spans="3:4">
      <c r="C3030">
        <v>7622</v>
      </c>
      <c r="D3030">
        <v>30</v>
      </c>
    </row>
    <row r="3031" spans="3:4">
      <c r="C3031">
        <v>7623</v>
      </c>
      <c r="D3031">
        <v>31</v>
      </c>
    </row>
    <row r="3032" spans="3:4">
      <c r="C3032">
        <v>7624</v>
      </c>
      <c r="D3032">
        <v>31</v>
      </c>
    </row>
    <row r="3033" spans="3:4">
      <c r="C3033">
        <v>7625</v>
      </c>
      <c r="D3033">
        <v>33</v>
      </c>
    </row>
    <row r="3034" spans="3:4">
      <c r="C3034">
        <v>7626</v>
      </c>
      <c r="D3034">
        <v>33</v>
      </c>
    </row>
    <row r="3035" spans="3:4">
      <c r="C3035">
        <v>7627</v>
      </c>
      <c r="D3035">
        <v>31</v>
      </c>
    </row>
    <row r="3036" spans="3:4">
      <c r="C3036">
        <v>7628</v>
      </c>
      <c r="D3036">
        <v>33</v>
      </c>
    </row>
    <row r="3037" spans="3:4">
      <c r="C3037">
        <v>7629</v>
      </c>
      <c r="D3037">
        <v>31</v>
      </c>
    </row>
    <row r="3038" spans="3:4">
      <c r="C3038">
        <v>7630</v>
      </c>
      <c r="D3038">
        <v>29</v>
      </c>
    </row>
    <row r="3039" spans="3:4">
      <c r="C3039">
        <v>7631</v>
      </c>
      <c r="D3039">
        <v>29</v>
      </c>
    </row>
    <row r="3040" spans="3:4">
      <c r="C3040">
        <v>7632</v>
      </c>
      <c r="D3040">
        <v>28</v>
      </c>
    </row>
    <row r="3041" spans="3:4">
      <c r="C3041">
        <v>7633</v>
      </c>
      <c r="D3041">
        <v>32</v>
      </c>
    </row>
    <row r="3042" spans="3:4">
      <c r="C3042">
        <v>7634</v>
      </c>
      <c r="D3042">
        <v>32</v>
      </c>
    </row>
    <row r="3043" spans="3:4">
      <c r="C3043">
        <v>7635</v>
      </c>
      <c r="D3043">
        <v>32</v>
      </c>
    </row>
    <row r="3044" spans="3:4">
      <c r="C3044">
        <v>7636</v>
      </c>
      <c r="D3044">
        <v>26</v>
      </c>
    </row>
    <row r="3045" spans="3:4">
      <c r="C3045">
        <v>7637</v>
      </c>
      <c r="D3045">
        <v>26</v>
      </c>
    </row>
    <row r="3046" spans="3:4">
      <c r="C3046">
        <v>7639</v>
      </c>
      <c r="D3046">
        <v>37</v>
      </c>
    </row>
    <row r="3047" spans="3:4">
      <c r="C3047">
        <v>7642</v>
      </c>
      <c r="D3047">
        <v>33</v>
      </c>
    </row>
    <row r="3048" spans="3:4">
      <c r="C3048">
        <v>7643</v>
      </c>
      <c r="D3048">
        <v>33</v>
      </c>
    </row>
    <row r="3049" spans="3:4">
      <c r="C3049">
        <v>7645</v>
      </c>
      <c r="D3049">
        <v>33</v>
      </c>
    </row>
    <row r="3050" spans="3:4">
      <c r="C3050">
        <v>7646</v>
      </c>
      <c r="D3050">
        <v>33</v>
      </c>
    </row>
    <row r="3051" spans="3:4">
      <c r="C3051">
        <v>7647</v>
      </c>
      <c r="D3051">
        <v>33</v>
      </c>
    </row>
    <row r="3052" spans="3:4">
      <c r="C3052">
        <v>7654</v>
      </c>
      <c r="D3052">
        <v>33</v>
      </c>
    </row>
    <row r="3053" spans="3:4">
      <c r="C3053">
        <v>7661</v>
      </c>
      <c r="D3053">
        <v>96</v>
      </c>
    </row>
    <row r="3054" spans="3:4">
      <c r="C3054">
        <v>7663</v>
      </c>
      <c r="D3054">
        <v>94</v>
      </c>
    </row>
    <row r="3055" spans="3:4">
      <c r="C3055">
        <v>7664</v>
      </c>
      <c r="D3055">
        <v>41</v>
      </c>
    </row>
    <row r="3056" spans="3:4">
      <c r="C3056">
        <v>7666</v>
      </c>
      <c r="D3056">
        <v>39</v>
      </c>
    </row>
    <row r="3057" spans="3:4">
      <c r="C3057">
        <v>7668</v>
      </c>
      <c r="D3057">
        <v>42</v>
      </c>
    </row>
    <row r="3058" spans="3:4">
      <c r="C3058">
        <v>7671</v>
      </c>
      <c r="D3058">
        <v>99</v>
      </c>
    </row>
    <row r="3059" spans="3:4">
      <c r="C3059">
        <v>7672</v>
      </c>
      <c r="D3059">
        <v>94</v>
      </c>
    </row>
    <row r="3060" spans="3:4">
      <c r="C3060">
        <v>7673</v>
      </c>
      <c r="D3060">
        <v>42</v>
      </c>
    </row>
    <row r="3061" spans="3:4">
      <c r="C3061">
        <v>7674</v>
      </c>
      <c r="D3061">
        <v>42</v>
      </c>
    </row>
    <row r="3062" spans="3:4">
      <c r="C3062">
        <v>7675</v>
      </c>
      <c r="D3062">
        <v>42</v>
      </c>
    </row>
    <row r="3063" spans="3:4">
      <c r="C3063">
        <v>7677</v>
      </c>
      <c r="D3063">
        <v>42</v>
      </c>
    </row>
    <row r="3064" spans="3:4">
      <c r="C3064">
        <v>7678</v>
      </c>
      <c r="D3064">
        <v>98</v>
      </c>
    </row>
    <row r="3065" spans="3:4">
      <c r="C3065">
        <v>7681</v>
      </c>
      <c r="D3065">
        <v>94</v>
      </c>
    </row>
    <row r="3066" spans="3:4">
      <c r="C3066">
        <v>7682</v>
      </c>
      <c r="D3066">
        <v>94</v>
      </c>
    </row>
    <row r="3067" spans="3:4">
      <c r="C3067">
        <v>7683</v>
      </c>
      <c r="D3067">
        <v>95</v>
      </c>
    </row>
    <row r="3068" spans="3:4">
      <c r="C3068">
        <v>7691</v>
      </c>
      <c r="D3068">
        <v>31</v>
      </c>
    </row>
    <row r="3069" spans="3:4">
      <c r="C3069">
        <v>7693</v>
      </c>
      <c r="D3069">
        <v>30</v>
      </c>
    </row>
    <row r="3070" spans="3:4">
      <c r="C3070">
        <v>7694</v>
      </c>
      <c r="D3070">
        <v>36</v>
      </c>
    </row>
    <row r="3071" spans="3:4">
      <c r="C3071">
        <v>7695</v>
      </c>
      <c r="D3071">
        <v>96</v>
      </c>
    </row>
    <row r="3072" spans="3:4">
      <c r="C3072">
        <v>7696</v>
      </c>
      <c r="D3072">
        <v>95</v>
      </c>
    </row>
    <row r="3073" spans="3:4">
      <c r="C3073">
        <v>7700</v>
      </c>
      <c r="D3073">
        <v>94</v>
      </c>
    </row>
    <row r="3074" spans="3:4">
      <c r="C3074">
        <v>7701</v>
      </c>
      <c r="D3074">
        <v>94</v>
      </c>
    </row>
    <row r="3075" spans="3:4">
      <c r="C3075">
        <v>7702</v>
      </c>
      <c r="D3075">
        <v>94</v>
      </c>
    </row>
    <row r="3076" spans="3:4">
      <c r="C3076">
        <v>7711</v>
      </c>
      <c r="D3076">
        <v>93</v>
      </c>
    </row>
    <row r="3077" spans="3:4">
      <c r="C3077">
        <v>7712</v>
      </c>
      <c r="D3077">
        <v>96</v>
      </c>
    </row>
    <row r="3078" spans="3:4">
      <c r="C3078">
        <v>7713</v>
      </c>
      <c r="D3078">
        <v>96</v>
      </c>
    </row>
    <row r="3079" spans="3:4">
      <c r="C3079">
        <v>7714</v>
      </c>
      <c r="D3079">
        <v>93</v>
      </c>
    </row>
    <row r="3080" spans="3:4">
      <c r="C3080">
        <v>7715</v>
      </c>
      <c r="D3080">
        <v>92</v>
      </c>
    </row>
    <row r="3081" spans="3:4">
      <c r="C3081">
        <v>7716</v>
      </c>
      <c r="D3081">
        <v>93</v>
      </c>
    </row>
    <row r="3082" spans="3:4">
      <c r="C3082">
        <v>7717</v>
      </c>
      <c r="D3082">
        <v>93</v>
      </c>
    </row>
    <row r="3083" spans="3:4">
      <c r="C3083">
        <v>7718</v>
      </c>
      <c r="D3083">
        <v>93</v>
      </c>
    </row>
    <row r="3084" spans="3:4">
      <c r="C3084">
        <v>7720</v>
      </c>
      <c r="D3084">
        <v>38</v>
      </c>
    </row>
    <row r="3085" spans="3:4">
      <c r="C3085">
        <v>7722</v>
      </c>
      <c r="D3085">
        <v>96</v>
      </c>
    </row>
    <row r="3086" spans="3:4">
      <c r="C3086">
        <v>7723</v>
      </c>
      <c r="D3086">
        <v>96</v>
      </c>
    </row>
    <row r="3087" spans="3:4">
      <c r="C3087">
        <v>7724</v>
      </c>
      <c r="D3087">
        <v>92</v>
      </c>
    </row>
    <row r="3088" spans="3:4">
      <c r="C3088">
        <v>7725</v>
      </c>
      <c r="D3088">
        <v>94</v>
      </c>
    </row>
    <row r="3089" spans="3:4">
      <c r="C3089">
        <v>7726</v>
      </c>
      <c r="D3089">
        <v>93</v>
      </c>
    </row>
    <row r="3090" spans="3:4">
      <c r="C3090">
        <v>7727</v>
      </c>
      <c r="D3090">
        <v>94</v>
      </c>
    </row>
    <row r="3091" spans="3:4">
      <c r="C3091">
        <v>7728</v>
      </c>
      <c r="D3091">
        <v>95</v>
      </c>
    </row>
    <row r="3092" spans="3:4">
      <c r="C3092">
        <v>7729</v>
      </c>
      <c r="D3092">
        <v>95</v>
      </c>
    </row>
    <row r="3093" spans="3:4">
      <c r="C3093">
        <v>7731</v>
      </c>
      <c r="D3093">
        <v>96</v>
      </c>
    </row>
    <row r="3094" spans="3:4">
      <c r="C3094">
        <v>7732</v>
      </c>
      <c r="D3094">
        <v>96</v>
      </c>
    </row>
    <row r="3095" spans="3:4">
      <c r="C3095">
        <v>7733</v>
      </c>
      <c r="D3095">
        <v>92</v>
      </c>
    </row>
    <row r="3096" spans="3:4">
      <c r="C3096">
        <v>7735</v>
      </c>
      <c r="D3096">
        <v>94</v>
      </c>
    </row>
    <row r="3097" spans="3:4">
      <c r="C3097">
        <v>7737</v>
      </c>
      <c r="D3097">
        <v>98</v>
      </c>
    </row>
    <row r="3098" spans="3:4">
      <c r="C3098">
        <v>7741</v>
      </c>
      <c r="D3098">
        <v>39</v>
      </c>
    </row>
    <row r="3099" spans="3:4">
      <c r="C3099">
        <v>7742</v>
      </c>
      <c r="D3099">
        <v>41</v>
      </c>
    </row>
    <row r="3100" spans="3:4">
      <c r="C3100">
        <v>7743</v>
      </c>
      <c r="D3100">
        <v>41</v>
      </c>
    </row>
    <row r="3101" spans="3:4">
      <c r="C3101">
        <v>7744</v>
      </c>
      <c r="D3101">
        <v>96</v>
      </c>
    </row>
    <row r="3102" spans="3:4">
      <c r="C3102">
        <v>7745</v>
      </c>
      <c r="D3102">
        <v>92</v>
      </c>
    </row>
    <row r="3103" spans="3:4">
      <c r="C3103">
        <v>7747</v>
      </c>
      <c r="D3103">
        <v>92</v>
      </c>
    </row>
    <row r="3104" spans="3:4">
      <c r="C3104">
        <v>7751</v>
      </c>
      <c r="D3104">
        <v>92</v>
      </c>
    </row>
    <row r="3105" spans="3:4">
      <c r="C3105">
        <v>7752</v>
      </c>
      <c r="D3105">
        <v>92</v>
      </c>
    </row>
    <row r="3106" spans="3:4">
      <c r="C3106">
        <v>7753</v>
      </c>
      <c r="D3106">
        <v>92</v>
      </c>
    </row>
    <row r="3107" spans="3:4">
      <c r="C3107">
        <v>7754</v>
      </c>
      <c r="D3107">
        <v>90</v>
      </c>
    </row>
    <row r="3108" spans="3:4">
      <c r="C3108">
        <v>7755</v>
      </c>
      <c r="D3108">
        <v>91</v>
      </c>
    </row>
    <row r="3109" spans="3:4">
      <c r="C3109">
        <v>7756</v>
      </c>
      <c r="D3109">
        <v>91</v>
      </c>
    </row>
    <row r="3110" spans="3:4">
      <c r="C3110">
        <v>7757</v>
      </c>
      <c r="D3110">
        <v>93</v>
      </c>
    </row>
    <row r="3111" spans="3:4">
      <c r="C3111">
        <v>7758</v>
      </c>
      <c r="D3111">
        <v>96</v>
      </c>
    </row>
    <row r="3112" spans="3:4">
      <c r="C3112">
        <v>7759</v>
      </c>
      <c r="D3112">
        <v>95</v>
      </c>
    </row>
    <row r="3113" spans="3:4">
      <c r="C3113">
        <v>7761</v>
      </c>
      <c r="D3113">
        <v>39</v>
      </c>
    </row>
    <row r="3114" spans="3:4">
      <c r="C3114">
        <v>7762</v>
      </c>
      <c r="D3114">
        <v>39</v>
      </c>
    </row>
    <row r="3115" spans="3:4">
      <c r="C3115">
        <v>7763</v>
      </c>
      <c r="D3115">
        <v>40</v>
      </c>
    </row>
    <row r="3116" spans="3:4">
      <c r="C3116">
        <v>7766</v>
      </c>
      <c r="D3116">
        <v>92</v>
      </c>
    </row>
    <row r="3117" spans="3:4">
      <c r="C3117">
        <v>7767</v>
      </c>
      <c r="D3117">
        <v>92</v>
      </c>
    </row>
    <row r="3118" spans="3:4">
      <c r="C3118">
        <v>7768</v>
      </c>
      <c r="D3118">
        <v>90</v>
      </c>
    </row>
    <row r="3119" spans="3:4">
      <c r="C3119">
        <v>7771</v>
      </c>
      <c r="D3119">
        <v>91</v>
      </c>
    </row>
    <row r="3120" spans="3:4">
      <c r="C3120">
        <v>7772</v>
      </c>
      <c r="D3120">
        <v>92</v>
      </c>
    </row>
    <row r="3121" spans="3:4">
      <c r="C3121">
        <v>7773</v>
      </c>
      <c r="D3121">
        <v>91</v>
      </c>
    </row>
    <row r="3122" spans="3:4">
      <c r="C3122">
        <v>7774</v>
      </c>
      <c r="D3122">
        <v>91</v>
      </c>
    </row>
    <row r="3123" spans="3:4">
      <c r="C3123">
        <v>7775</v>
      </c>
      <c r="D3123">
        <v>91</v>
      </c>
    </row>
    <row r="3124" spans="3:4">
      <c r="C3124">
        <v>7781</v>
      </c>
      <c r="D3124">
        <v>91</v>
      </c>
    </row>
    <row r="3125" spans="3:4">
      <c r="C3125">
        <v>7782</v>
      </c>
      <c r="D3125">
        <v>91</v>
      </c>
    </row>
    <row r="3126" spans="3:4">
      <c r="C3126">
        <v>7783</v>
      </c>
      <c r="D3126">
        <v>92</v>
      </c>
    </row>
    <row r="3127" spans="3:4">
      <c r="C3127">
        <v>7784</v>
      </c>
      <c r="D3127">
        <v>93</v>
      </c>
    </row>
    <row r="3128" spans="3:4">
      <c r="C3128">
        <v>7785</v>
      </c>
      <c r="D3128">
        <v>93</v>
      </c>
    </row>
    <row r="3129" spans="3:4">
      <c r="C3129">
        <v>7786</v>
      </c>
      <c r="D3129">
        <v>93</v>
      </c>
    </row>
    <row r="3130" spans="3:4">
      <c r="C3130">
        <v>7800</v>
      </c>
      <c r="D3130">
        <v>91</v>
      </c>
    </row>
    <row r="3131" spans="3:4">
      <c r="C3131">
        <v>7801</v>
      </c>
      <c r="D3131">
        <v>91</v>
      </c>
    </row>
    <row r="3132" spans="3:4">
      <c r="C3132">
        <v>7811</v>
      </c>
      <c r="D3132">
        <v>91</v>
      </c>
    </row>
    <row r="3133" spans="3:4">
      <c r="C3133">
        <v>7812</v>
      </c>
      <c r="D3133">
        <v>91</v>
      </c>
    </row>
    <row r="3134" spans="3:4">
      <c r="C3134">
        <v>7813</v>
      </c>
      <c r="D3134">
        <v>91</v>
      </c>
    </row>
    <row r="3135" spans="3:4">
      <c r="C3135">
        <v>7814</v>
      </c>
      <c r="D3135">
        <v>93</v>
      </c>
    </row>
    <row r="3136" spans="3:4">
      <c r="C3136">
        <v>7815</v>
      </c>
      <c r="D3136">
        <v>92</v>
      </c>
    </row>
    <row r="3137" spans="3:4">
      <c r="C3137">
        <v>7817</v>
      </c>
      <c r="D3137">
        <v>92</v>
      </c>
    </row>
    <row r="3138" spans="3:4">
      <c r="C3138">
        <v>7818</v>
      </c>
      <c r="D3138">
        <v>92</v>
      </c>
    </row>
    <row r="3139" spans="3:4">
      <c r="C3139">
        <v>7821</v>
      </c>
      <c r="D3139">
        <v>91</v>
      </c>
    </row>
    <row r="3140" spans="3:4">
      <c r="C3140">
        <v>7822</v>
      </c>
      <c r="D3140">
        <v>93</v>
      </c>
    </row>
    <row r="3141" spans="3:4">
      <c r="C3141">
        <v>7823</v>
      </c>
      <c r="D3141">
        <v>92</v>
      </c>
    </row>
    <row r="3142" spans="3:4">
      <c r="C3142">
        <v>7824</v>
      </c>
      <c r="D3142">
        <v>89</v>
      </c>
    </row>
    <row r="3143" spans="3:4">
      <c r="C3143">
        <v>7825</v>
      </c>
      <c r="D3143">
        <v>89</v>
      </c>
    </row>
    <row r="3144" spans="3:4">
      <c r="C3144">
        <v>7826</v>
      </c>
      <c r="D3144">
        <v>89</v>
      </c>
    </row>
    <row r="3145" spans="3:4">
      <c r="C3145">
        <v>7827</v>
      </c>
      <c r="D3145">
        <v>91</v>
      </c>
    </row>
    <row r="3146" spans="3:4">
      <c r="C3146">
        <v>7831</v>
      </c>
      <c r="D3146">
        <v>43</v>
      </c>
    </row>
    <row r="3147" spans="3:4">
      <c r="C3147">
        <v>7833</v>
      </c>
      <c r="D3147">
        <v>99</v>
      </c>
    </row>
    <row r="3148" spans="3:4">
      <c r="C3148">
        <v>7834</v>
      </c>
      <c r="D3148">
        <v>98</v>
      </c>
    </row>
    <row r="3149" spans="3:4">
      <c r="C3149">
        <v>7835</v>
      </c>
      <c r="D3149">
        <v>91</v>
      </c>
    </row>
    <row r="3150" spans="3:4">
      <c r="C3150">
        <v>7836</v>
      </c>
      <c r="D3150">
        <v>92</v>
      </c>
    </row>
    <row r="3151" spans="3:4">
      <c r="C3151">
        <v>7837</v>
      </c>
      <c r="D3151">
        <v>93</v>
      </c>
    </row>
    <row r="3152" spans="3:4">
      <c r="C3152">
        <v>7838</v>
      </c>
      <c r="D3152">
        <v>92</v>
      </c>
    </row>
    <row r="3153" spans="3:4">
      <c r="C3153">
        <v>7839</v>
      </c>
      <c r="D3153">
        <v>92</v>
      </c>
    </row>
    <row r="3154" spans="3:4">
      <c r="C3154">
        <v>7841</v>
      </c>
      <c r="D3154">
        <v>91</v>
      </c>
    </row>
    <row r="3155" spans="3:4">
      <c r="C3155">
        <v>7843</v>
      </c>
      <c r="D3155">
        <v>92</v>
      </c>
    </row>
    <row r="3156" spans="3:4">
      <c r="C3156">
        <v>7846</v>
      </c>
      <c r="D3156">
        <v>91</v>
      </c>
    </row>
    <row r="3157" spans="3:4">
      <c r="C3157">
        <v>7847</v>
      </c>
      <c r="D3157">
        <v>92</v>
      </c>
    </row>
    <row r="3158" spans="3:4">
      <c r="C3158">
        <v>7849</v>
      </c>
      <c r="D3158">
        <v>91</v>
      </c>
    </row>
    <row r="3159" spans="3:4">
      <c r="C3159">
        <v>7850</v>
      </c>
      <c r="D3159">
        <v>91</v>
      </c>
    </row>
    <row r="3160" spans="3:4">
      <c r="C3160">
        <v>7851</v>
      </c>
      <c r="D3160">
        <v>91</v>
      </c>
    </row>
    <row r="3161" spans="3:4">
      <c r="C3161">
        <v>7853</v>
      </c>
      <c r="D3161">
        <v>91</v>
      </c>
    </row>
    <row r="3162" spans="3:4">
      <c r="C3162">
        <v>7854</v>
      </c>
      <c r="D3162">
        <v>90</v>
      </c>
    </row>
    <row r="3163" spans="3:4">
      <c r="C3163">
        <v>7891</v>
      </c>
      <c r="D3163">
        <v>90</v>
      </c>
    </row>
    <row r="3164" spans="3:4">
      <c r="C3164">
        <v>7900</v>
      </c>
      <c r="D3164">
        <v>93</v>
      </c>
    </row>
    <row r="3165" spans="3:4">
      <c r="C3165">
        <v>7901</v>
      </c>
      <c r="D3165">
        <v>93</v>
      </c>
    </row>
    <row r="3166" spans="3:4">
      <c r="C3166">
        <v>7911</v>
      </c>
      <c r="D3166">
        <v>93</v>
      </c>
    </row>
    <row r="3167" spans="3:4">
      <c r="C3167">
        <v>7912</v>
      </c>
      <c r="D3167">
        <v>93</v>
      </c>
    </row>
    <row r="3168" spans="3:4">
      <c r="C3168">
        <v>7913</v>
      </c>
      <c r="D3168">
        <v>93</v>
      </c>
    </row>
    <row r="3169" spans="3:4">
      <c r="C3169">
        <v>7914</v>
      </c>
      <c r="D3169">
        <v>93</v>
      </c>
    </row>
    <row r="3170" spans="3:4">
      <c r="C3170">
        <v>7915</v>
      </c>
      <c r="D3170">
        <v>93</v>
      </c>
    </row>
    <row r="3171" spans="3:4">
      <c r="C3171">
        <v>7918</v>
      </c>
      <c r="D3171">
        <v>93</v>
      </c>
    </row>
    <row r="3172" spans="3:4">
      <c r="C3172">
        <v>7921</v>
      </c>
      <c r="D3172">
        <v>93</v>
      </c>
    </row>
    <row r="3173" spans="3:4">
      <c r="C3173">
        <v>7922</v>
      </c>
      <c r="D3173">
        <v>93</v>
      </c>
    </row>
    <row r="3174" spans="3:4">
      <c r="C3174">
        <v>7923</v>
      </c>
      <c r="D3174">
        <v>94</v>
      </c>
    </row>
    <row r="3175" spans="3:4">
      <c r="C3175">
        <v>7924</v>
      </c>
      <c r="D3175">
        <v>92</v>
      </c>
    </row>
    <row r="3176" spans="3:4">
      <c r="C3176">
        <v>7925</v>
      </c>
      <c r="D3176">
        <v>92</v>
      </c>
    </row>
    <row r="3177" spans="3:4">
      <c r="C3177">
        <v>7926</v>
      </c>
      <c r="D3177">
        <v>92</v>
      </c>
    </row>
    <row r="3178" spans="3:4">
      <c r="C3178">
        <v>7931</v>
      </c>
      <c r="D3178">
        <v>92</v>
      </c>
    </row>
    <row r="3179" spans="3:4">
      <c r="C3179">
        <v>7932</v>
      </c>
      <c r="D3179">
        <v>92</v>
      </c>
    </row>
    <row r="3180" spans="3:4">
      <c r="C3180">
        <v>7934</v>
      </c>
      <c r="D3180">
        <v>93</v>
      </c>
    </row>
    <row r="3181" spans="3:4">
      <c r="C3181">
        <v>7935</v>
      </c>
      <c r="D3181">
        <v>93</v>
      </c>
    </row>
    <row r="3182" spans="3:4">
      <c r="C3182">
        <v>7936</v>
      </c>
      <c r="D3182">
        <v>92</v>
      </c>
    </row>
    <row r="3183" spans="3:4">
      <c r="C3183">
        <v>7937</v>
      </c>
      <c r="D3183">
        <v>92</v>
      </c>
    </row>
    <row r="3184" spans="3:4">
      <c r="C3184">
        <v>7938</v>
      </c>
      <c r="D3184">
        <v>92</v>
      </c>
    </row>
    <row r="3185" spans="3:4">
      <c r="C3185">
        <v>7940</v>
      </c>
      <c r="D3185">
        <v>95</v>
      </c>
    </row>
    <row r="3186" spans="3:4">
      <c r="C3186">
        <v>7951</v>
      </c>
      <c r="D3186">
        <v>93</v>
      </c>
    </row>
    <row r="3187" spans="3:4">
      <c r="C3187">
        <v>7952</v>
      </c>
      <c r="D3187">
        <v>93</v>
      </c>
    </row>
    <row r="3188" spans="3:4">
      <c r="C3188">
        <v>7953</v>
      </c>
      <c r="D3188">
        <v>93</v>
      </c>
    </row>
    <row r="3189" spans="3:4">
      <c r="C3189">
        <v>7954</v>
      </c>
      <c r="D3189">
        <v>93</v>
      </c>
    </row>
    <row r="3190" spans="3:4">
      <c r="C3190">
        <v>7956</v>
      </c>
      <c r="D3190">
        <v>92</v>
      </c>
    </row>
    <row r="3191" spans="3:4">
      <c r="C3191">
        <v>7957</v>
      </c>
      <c r="D3191">
        <v>92</v>
      </c>
    </row>
    <row r="3192" spans="3:4">
      <c r="C3192">
        <v>7958</v>
      </c>
      <c r="D3192">
        <v>92</v>
      </c>
    </row>
    <row r="3193" spans="3:4">
      <c r="C3193">
        <v>7960</v>
      </c>
      <c r="D3193">
        <v>91</v>
      </c>
    </row>
    <row r="3194" spans="3:4">
      <c r="C3194">
        <v>7964</v>
      </c>
      <c r="D3194">
        <v>92</v>
      </c>
    </row>
    <row r="3195" spans="3:4">
      <c r="C3195">
        <v>7965</v>
      </c>
      <c r="D3195">
        <v>96</v>
      </c>
    </row>
    <row r="3196" spans="3:4">
      <c r="C3196">
        <v>7966</v>
      </c>
      <c r="D3196">
        <v>92</v>
      </c>
    </row>
    <row r="3197" spans="3:4">
      <c r="C3197">
        <v>7967</v>
      </c>
      <c r="D3197">
        <v>92</v>
      </c>
    </row>
    <row r="3198" spans="3:4">
      <c r="C3198">
        <v>7968</v>
      </c>
      <c r="D3198">
        <v>92</v>
      </c>
    </row>
    <row r="3199" spans="3:4">
      <c r="C3199">
        <v>7971</v>
      </c>
      <c r="D3199">
        <v>92</v>
      </c>
    </row>
    <row r="3200" spans="3:4">
      <c r="C3200">
        <v>7972</v>
      </c>
      <c r="D3200">
        <v>97</v>
      </c>
    </row>
    <row r="3201" spans="3:4">
      <c r="C3201">
        <v>7973</v>
      </c>
      <c r="D3201">
        <v>93</v>
      </c>
    </row>
    <row r="3202" spans="3:4">
      <c r="C3202">
        <v>7975</v>
      </c>
      <c r="D3202">
        <v>94</v>
      </c>
    </row>
    <row r="3203" spans="3:4">
      <c r="C3203">
        <v>7976</v>
      </c>
      <c r="D3203">
        <v>94</v>
      </c>
    </row>
    <row r="3204" spans="3:4">
      <c r="C3204">
        <v>7977</v>
      </c>
      <c r="D3204">
        <v>94</v>
      </c>
    </row>
    <row r="3205" spans="3:4">
      <c r="C3205">
        <v>7979</v>
      </c>
      <c r="D3205">
        <v>95</v>
      </c>
    </row>
    <row r="3206" spans="3:4">
      <c r="C3206">
        <v>7980</v>
      </c>
      <c r="D3206">
        <v>94</v>
      </c>
    </row>
    <row r="3207" spans="3:4">
      <c r="C3207">
        <v>7981</v>
      </c>
      <c r="D3207">
        <v>94</v>
      </c>
    </row>
    <row r="3208" spans="3:4">
      <c r="C3208">
        <v>7985</v>
      </c>
      <c r="D3208">
        <v>95</v>
      </c>
    </row>
    <row r="3209" spans="3:4">
      <c r="C3209">
        <v>7986</v>
      </c>
      <c r="D3209">
        <v>95</v>
      </c>
    </row>
    <row r="3210" spans="3:4">
      <c r="C3210">
        <v>7987</v>
      </c>
      <c r="D3210">
        <v>95</v>
      </c>
    </row>
    <row r="3211" spans="3:4">
      <c r="C3211">
        <v>7988</v>
      </c>
      <c r="D3211">
        <v>95</v>
      </c>
    </row>
    <row r="3212" spans="3:4">
      <c r="C3212">
        <v>8000</v>
      </c>
      <c r="D3212">
        <v>30</v>
      </c>
    </row>
    <row r="3213" spans="3:4">
      <c r="C3213">
        <v>8001</v>
      </c>
      <c r="D3213">
        <v>30</v>
      </c>
    </row>
    <row r="3214" spans="3:4">
      <c r="C3214">
        <v>8002</v>
      </c>
      <c r="D3214">
        <v>30</v>
      </c>
    </row>
    <row r="3215" spans="3:4">
      <c r="C3215">
        <v>8003</v>
      </c>
      <c r="D3215">
        <v>30</v>
      </c>
    </row>
    <row r="3216" spans="3:4">
      <c r="C3216">
        <v>8004</v>
      </c>
      <c r="D3216">
        <v>30</v>
      </c>
    </row>
    <row r="3217" spans="3:4">
      <c r="C3217">
        <v>8005</v>
      </c>
      <c r="D3217">
        <v>30</v>
      </c>
    </row>
    <row r="3218" spans="3:4">
      <c r="C3218">
        <v>8006</v>
      </c>
      <c r="D3218">
        <v>30</v>
      </c>
    </row>
    <row r="3219" spans="3:4">
      <c r="C3219">
        <v>8007</v>
      </c>
      <c r="D3219">
        <v>30</v>
      </c>
    </row>
    <row r="3220" spans="3:4">
      <c r="C3220">
        <v>8008</v>
      </c>
      <c r="D3220">
        <v>30</v>
      </c>
    </row>
    <row r="3221" spans="3:4">
      <c r="C3221">
        <v>8019</v>
      </c>
      <c r="D3221">
        <v>30</v>
      </c>
    </row>
    <row r="3222" spans="3:4">
      <c r="C3222">
        <v>8024</v>
      </c>
      <c r="D3222">
        <v>30</v>
      </c>
    </row>
    <row r="3223" spans="3:4">
      <c r="C3223">
        <v>8041</v>
      </c>
      <c r="D3223">
        <v>96</v>
      </c>
    </row>
    <row r="3224" spans="3:4">
      <c r="C3224">
        <v>8042</v>
      </c>
      <c r="D3224">
        <v>41</v>
      </c>
    </row>
    <row r="3225" spans="3:4">
      <c r="C3225">
        <v>8043</v>
      </c>
      <c r="D3225">
        <v>41</v>
      </c>
    </row>
    <row r="3226" spans="3:4">
      <c r="C3226">
        <v>8044</v>
      </c>
      <c r="D3226">
        <v>90</v>
      </c>
    </row>
    <row r="3227" spans="3:4">
      <c r="C3227">
        <v>8045</v>
      </c>
      <c r="D3227">
        <v>92</v>
      </c>
    </row>
    <row r="3228" spans="3:4">
      <c r="C3228">
        <v>8046</v>
      </c>
      <c r="D3228">
        <v>92</v>
      </c>
    </row>
    <row r="3229" spans="3:4">
      <c r="C3229">
        <v>8051</v>
      </c>
      <c r="D3229">
        <v>41</v>
      </c>
    </row>
    <row r="3230" spans="3:4">
      <c r="C3230">
        <v>8052</v>
      </c>
      <c r="D3230">
        <v>91</v>
      </c>
    </row>
    <row r="3231" spans="3:4">
      <c r="C3231">
        <v>8053</v>
      </c>
      <c r="D3231">
        <v>90</v>
      </c>
    </row>
    <row r="3232" spans="3:4">
      <c r="C3232">
        <v>8054</v>
      </c>
      <c r="D3232">
        <v>92</v>
      </c>
    </row>
    <row r="3233" spans="3:4">
      <c r="C3233">
        <v>8055</v>
      </c>
      <c r="D3233">
        <v>93</v>
      </c>
    </row>
    <row r="3234" spans="3:4">
      <c r="C3234">
        <v>8056</v>
      </c>
      <c r="D3234">
        <v>93</v>
      </c>
    </row>
    <row r="3235" spans="3:4">
      <c r="C3235">
        <v>8060</v>
      </c>
      <c r="D3235">
        <v>91</v>
      </c>
    </row>
    <row r="3236" spans="3:4">
      <c r="C3236">
        <v>8061</v>
      </c>
      <c r="D3236">
        <v>91</v>
      </c>
    </row>
    <row r="3237" spans="3:4">
      <c r="C3237">
        <v>8062</v>
      </c>
      <c r="D3237">
        <v>91</v>
      </c>
    </row>
    <row r="3238" spans="3:4">
      <c r="C3238">
        <v>8065</v>
      </c>
      <c r="D3238">
        <v>92</v>
      </c>
    </row>
    <row r="3239" spans="3:4">
      <c r="C3239">
        <v>8066</v>
      </c>
      <c r="D3239">
        <v>90</v>
      </c>
    </row>
    <row r="3240" spans="3:4">
      <c r="C3240">
        <v>8071</v>
      </c>
      <c r="D3240">
        <v>91</v>
      </c>
    </row>
    <row r="3241" spans="3:4">
      <c r="C3241">
        <v>8072</v>
      </c>
      <c r="D3241">
        <v>91</v>
      </c>
    </row>
    <row r="3242" spans="3:4">
      <c r="C3242">
        <v>8073</v>
      </c>
      <c r="D3242">
        <v>91</v>
      </c>
    </row>
    <row r="3243" spans="3:4">
      <c r="C3243">
        <v>8074</v>
      </c>
      <c r="D3243">
        <v>92</v>
      </c>
    </row>
    <row r="3244" spans="3:4">
      <c r="C3244">
        <v>8080</v>
      </c>
      <c r="D3244">
        <v>92</v>
      </c>
    </row>
    <row r="3245" spans="3:4">
      <c r="C3245">
        <v>8081</v>
      </c>
      <c r="D3245">
        <v>97</v>
      </c>
    </row>
    <row r="3246" spans="3:4">
      <c r="C3246">
        <v>8082</v>
      </c>
      <c r="D3246">
        <v>94</v>
      </c>
    </row>
    <row r="3247" spans="3:4">
      <c r="C3247">
        <v>8083</v>
      </c>
      <c r="D3247">
        <v>93</v>
      </c>
    </row>
    <row r="3248" spans="3:4">
      <c r="C3248">
        <v>8084</v>
      </c>
      <c r="D3248">
        <v>93</v>
      </c>
    </row>
    <row r="3249" spans="3:4">
      <c r="C3249">
        <v>8085</v>
      </c>
      <c r="D3249">
        <v>95</v>
      </c>
    </row>
    <row r="3250" spans="3:4">
      <c r="C3250">
        <v>8086</v>
      </c>
      <c r="D3250">
        <v>95</v>
      </c>
    </row>
    <row r="3251" spans="3:4">
      <c r="C3251">
        <v>8087</v>
      </c>
      <c r="D3251">
        <v>95</v>
      </c>
    </row>
    <row r="3252" spans="3:4">
      <c r="C3252">
        <v>8088</v>
      </c>
      <c r="D3252">
        <v>96</v>
      </c>
    </row>
    <row r="3253" spans="3:4">
      <c r="C3253">
        <v>8089</v>
      </c>
      <c r="D3253">
        <v>97</v>
      </c>
    </row>
    <row r="3254" spans="3:4">
      <c r="C3254">
        <v>8092</v>
      </c>
      <c r="D3254">
        <v>97</v>
      </c>
    </row>
    <row r="3255" spans="3:4">
      <c r="C3255">
        <v>8093</v>
      </c>
      <c r="D3255">
        <v>97</v>
      </c>
    </row>
    <row r="3256" spans="3:4">
      <c r="C3256">
        <v>8095</v>
      </c>
      <c r="D3256">
        <v>37</v>
      </c>
    </row>
    <row r="3257" spans="3:4">
      <c r="C3257">
        <v>8096</v>
      </c>
      <c r="D3257">
        <v>37</v>
      </c>
    </row>
    <row r="3258" spans="3:4">
      <c r="C3258">
        <v>8097</v>
      </c>
      <c r="D3258">
        <v>92</v>
      </c>
    </row>
    <row r="3259" spans="3:4">
      <c r="C3259">
        <v>8100</v>
      </c>
      <c r="D3259">
        <v>91</v>
      </c>
    </row>
    <row r="3260" spans="3:4">
      <c r="C3260">
        <v>8101</v>
      </c>
      <c r="D3260">
        <v>91</v>
      </c>
    </row>
    <row r="3261" spans="3:4">
      <c r="C3261">
        <v>8102</v>
      </c>
      <c r="D3261">
        <v>91</v>
      </c>
    </row>
    <row r="3262" spans="3:4">
      <c r="C3262">
        <v>8103</v>
      </c>
      <c r="D3262">
        <v>90</v>
      </c>
    </row>
    <row r="3263" spans="3:4">
      <c r="C3263">
        <v>8104</v>
      </c>
      <c r="D3263">
        <v>91</v>
      </c>
    </row>
    <row r="3264" spans="3:4">
      <c r="C3264">
        <v>8105</v>
      </c>
      <c r="D3264">
        <v>90</v>
      </c>
    </row>
    <row r="3265" spans="3:4">
      <c r="C3265">
        <v>8109</v>
      </c>
      <c r="D3265">
        <v>93</v>
      </c>
    </row>
    <row r="3266" spans="3:4">
      <c r="C3266">
        <v>8111</v>
      </c>
      <c r="D3266">
        <v>91</v>
      </c>
    </row>
    <row r="3267" spans="3:4">
      <c r="C3267">
        <v>8112</v>
      </c>
      <c r="D3267">
        <v>90</v>
      </c>
    </row>
    <row r="3268" spans="3:4">
      <c r="C3268">
        <v>8113</v>
      </c>
      <c r="D3268">
        <v>90</v>
      </c>
    </row>
    <row r="3269" spans="3:4">
      <c r="C3269">
        <v>8121</v>
      </c>
      <c r="D3269">
        <v>90</v>
      </c>
    </row>
    <row r="3270" spans="3:4">
      <c r="C3270">
        <v>8122</v>
      </c>
      <c r="D3270">
        <v>89</v>
      </c>
    </row>
    <row r="3271" spans="3:4">
      <c r="C3271">
        <v>8123</v>
      </c>
      <c r="D3271">
        <v>89</v>
      </c>
    </row>
    <row r="3272" spans="3:4">
      <c r="C3272">
        <v>8124</v>
      </c>
      <c r="D3272">
        <v>89</v>
      </c>
    </row>
    <row r="3273" spans="3:4">
      <c r="C3273">
        <v>8125</v>
      </c>
      <c r="D3273">
        <v>89</v>
      </c>
    </row>
    <row r="3274" spans="3:4">
      <c r="C3274">
        <v>8126</v>
      </c>
      <c r="D3274">
        <v>89</v>
      </c>
    </row>
    <row r="3275" spans="3:4">
      <c r="C3275">
        <v>8127</v>
      </c>
      <c r="D3275">
        <v>89</v>
      </c>
    </row>
    <row r="3276" spans="3:4">
      <c r="C3276">
        <v>8128</v>
      </c>
      <c r="D3276">
        <v>89</v>
      </c>
    </row>
    <row r="3277" spans="3:4">
      <c r="C3277">
        <v>8130</v>
      </c>
      <c r="D3277">
        <v>91</v>
      </c>
    </row>
    <row r="3278" spans="3:4">
      <c r="C3278">
        <v>8131</v>
      </c>
      <c r="D3278">
        <v>91</v>
      </c>
    </row>
    <row r="3279" spans="3:4">
      <c r="C3279">
        <v>8132</v>
      </c>
      <c r="D3279">
        <v>90</v>
      </c>
    </row>
    <row r="3280" spans="3:4">
      <c r="C3280">
        <v>8133</v>
      </c>
      <c r="D3280">
        <v>89</v>
      </c>
    </row>
    <row r="3281" spans="3:4">
      <c r="C3281">
        <v>8134</v>
      </c>
      <c r="D3281">
        <v>90</v>
      </c>
    </row>
    <row r="3282" spans="3:4">
      <c r="C3282">
        <v>8135</v>
      </c>
      <c r="D3282">
        <v>92</v>
      </c>
    </row>
    <row r="3283" spans="3:4">
      <c r="C3283">
        <v>8136</v>
      </c>
      <c r="D3283">
        <v>90</v>
      </c>
    </row>
    <row r="3284" spans="3:4">
      <c r="C3284">
        <v>8137</v>
      </c>
      <c r="D3284">
        <v>91</v>
      </c>
    </row>
    <row r="3285" spans="3:4">
      <c r="C3285">
        <v>8138</v>
      </c>
      <c r="D3285">
        <v>91</v>
      </c>
    </row>
    <row r="3286" spans="3:4">
      <c r="C3286">
        <v>8139</v>
      </c>
      <c r="D3286">
        <v>91</v>
      </c>
    </row>
    <row r="3287" spans="3:4">
      <c r="C3287">
        <v>8141</v>
      </c>
      <c r="D3287">
        <v>41</v>
      </c>
    </row>
    <row r="3288" spans="3:4">
      <c r="C3288">
        <v>8142</v>
      </c>
      <c r="D3288">
        <v>96</v>
      </c>
    </row>
    <row r="3289" spans="3:4">
      <c r="C3289">
        <v>8143</v>
      </c>
      <c r="D3289">
        <v>41</v>
      </c>
    </row>
    <row r="3290" spans="3:4">
      <c r="C3290">
        <v>8144</v>
      </c>
      <c r="D3290">
        <v>41</v>
      </c>
    </row>
    <row r="3291" spans="3:4">
      <c r="C3291">
        <v>8145</v>
      </c>
      <c r="D3291">
        <v>96</v>
      </c>
    </row>
    <row r="3292" spans="3:4">
      <c r="C3292">
        <v>8146</v>
      </c>
      <c r="D3292">
        <v>96</v>
      </c>
    </row>
    <row r="3293" spans="3:4">
      <c r="C3293">
        <v>8147</v>
      </c>
      <c r="D3293">
        <v>91</v>
      </c>
    </row>
    <row r="3294" spans="3:4">
      <c r="C3294">
        <v>8148</v>
      </c>
      <c r="D3294">
        <v>91</v>
      </c>
    </row>
    <row r="3295" spans="3:4">
      <c r="C3295">
        <v>8151</v>
      </c>
      <c r="D3295">
        <v>95</v>
      </c>
    </row>
    <row r="3296" spans="3:4">
      <c r="C3296">
        <v>8152</v>
      </c>
      <c r="D3296">
        <v>41</v>
      </c>
    </row>
    <row r="3297" spans="3:4">
      <c r="C3297">
        <v>8153</v>
      </c>
      <c r="D3297">
        <v>96</v>
      </c>
    </row>
    <row r="3298" spans="3:4">
      <c r="C3298">
        <v>8154</v>
      </c>
      <c r="D3298">
        <v>97</v>
      </c>
    </row>
    <row r="3299" spans="3:4">
      <c r="C3299">
        <v>8155</v>
      </c>
      <c r="D3299">
        <v>91</v>
      </c>
    </row>
    <row r="3300" spans="3:4">
      <c r="C3300">
        <v>8156</v>
      </c>
      <c r="D3300">
        <v>90</v>
      </c>
    </row>
    <row r="3301" spans="3:4">
      <c r="C3301">
        <v>8157</v>
      </c>
      <c r="D3301">
        <v>96</v>
      </c>
    </row>
    <row r="3302" spans="3:4">
      <c r="C3302">
        <v>8161</v>
      </c>
      <c r="D3302">
        <v>89</v>
      </c>
    </row>
    <row r="3303" spans="3:4">
      <c r="C3303">
        <v>8162</v>
      </c>
      <c r="D3303">
        <v>94</v>
      </c>
    </row>
    <row r="3304" spans="3:4">
      <c r="C3304">
        <v>8163</v>
      </c>
      <c r="D3304">
        <v>94</v>
      </c>
    </row>
    <row r="3305" spans="3:4">
      <c r="C3305">
        <v>8164</v>
      </c>
      <c r="D3305">
        <v>61</v>
      </c>
    </row>
    <row r="3306" spans="3:4">
      <c r="C3306">
        <v>8171</v>
      </c>
      <c r="D3306">
        <v>61</v>
      </c>
    </row>
    <row r="3307" spans="3:4">
      <c r="C3307">
        <v>8172</v>
      </c>
      <c r="D3307">
        <v>61</v>
      </c>
    </row>
    <row r="3308" spans="3:4">
      <c r="C3308">
        <v>8174</v>
      </c>
      <c r="D3308">
        <v>63</v>
      </c>
    </row>
    <row r="3309" spans="3:4">
      <c r="C3309">
        <v>8175</v>
      </c>
      <c r="D3309">
        <v>63</v>
      </c>
    </row>
    <row r="3310" spans="3:4">
      <c r="C3310">
        <v>8181</v>
      </c>
      <c r="D3310">
        <v>89</v>
      </c>
    </row>
    <row r="3311" spans="3:4">
      <c r="C3311">
        <v>8182</v>
      </c>
      <c r="D3311">
        <v>92</v>
      </c>
    </row>
    <row r="3312" spans="3:4">
      <c r="C3312">
        <v>8183</v>
      </c>
      <c r="D3312">
        <v>96</v>
      </c>
    </row>
    <row r="3313" spans="3:4">
      <c r="C3313">
        <v>8184</v>
      </c>
      <c r="D3313">
        <v>63</v>
      </c>
    </row>
    <row r="3314" spans="3:4">
      <c r="C3314">
        <v>8190</v>
      </c>
      <c r="D3314">
        <v>63</v>
      </c>
    </row>
    <row r="3315" spans="3:4">
      <c r="C3315">
        <v>8191</v>
      </c>
      <c r="D3315">
        <v>91</v>
      </c>
    </row>
    <row r="3316" spans="3:4">
      <c r="C3316">
        <v>8192</v>
      </c>
      <c r="D3316">
        <v>62</v>
      </c>
    </row>
    <row r="3317" spans="3:4">
      <c r="C3317">
        <v>8193</v>
      </c>
      <c r="D3317">
        <v>95</v>
      </c>
    </row>
    <row r="3318" spans="3:4">
      <c r="C3318">
        <v>8194</v>
      </c>
      <c r="D3318">
        <v>96</v>
      </c>
    </row>
    <row r="3319" spans="3:4">
      <c r="C3319">
        <v>8195</v>
      </c>
      <c r="D3319">
        <v>63</v>
      </c>
    </row>
    <row r="3320" spans="3:4">
      <c r="C3320">
        <v>8196</v>
      </c>
      <c r="D3320">
        <v>96</v>
      </c>
    </row>
    <row r="3321" spans="3:4">
      <c r="C3321">
        <v>8200</v>
      </c>
      <c r="D3321">
        <v>85</v>
      </c>
    </row>
    <row r="3322" spans="3:4">
      <c r="C3322">
        <v>8201</v>
      </c>
      <c r="D3322">
        <v>85</v>
      </c>
    </row>
    <row r="3323" spans="3:4">
      <c r="C3323">
        <v>8202</v>
      </c>
      <c r="D3323">
        <v>85</v>
      </c>
    </row>
    <row r="3324" spans="3:4">
      <c r="C3324">
        <v>8204</v>
      </c>
      <c r="D3324">
        <v>85</v>
      </c>
    </row>
    <row r="3325" spans="3:4">
      <c r="C3325">
        <v>8205</v>
      </c>
      <c r="D3325">
        <v>85</v>
      </c>
    </row>
    <row r="3326" spans="3:4">
      <c r="C3326">
        <v>8206</v>
      </c>
      <c r="D3326">
        <v>85</v>
      </c>
    </row>
    <row r="3327" spans="3:4">
      <c r="C3327">
        <v>8207</v>
      </c>
      <c r="D3327">
        <v>85</v>
      </c>
    </row>
    <row r="3328" spans="3:4">
      <c r="C3328">
        <v>8209</v>
      </c>
      <c r="D3328">
        <v>85</v>
      </c>
    </row>
    <row r="3329" spans="3:4">
      <c r="C3329">
        <v>8220</v>
      </c>
      <c r="D3329">
        <v>63</v>
      </c>
    </row>
    <row r="3330" spans="3:4">
      <c r="C3330">
        <v>8221</v>
      </c>
      <c r="D3330">
        <v>63</v>
      </c>
    </row>
    <row r="3331" spans="3:4">
      <c r="C3331">
        <v>8222</v>
      </c>
      <c r="D3331">
        <v>63</v>
      </c>
    </row>
    <row r="3332" spans="3:4">
      <c r="C3332">
        <v>8223</v>
      </c>
      <c r="D3332">
        <v>63</v>
      </c>
    </row>
    <row r="3333" spans="3:4">
      <c r="C3333">
        <v>8225</v>
      </c>
      <c r="D3333">
        <v>94</v>
      </c>
    </row>
    <row r="3334" spans="3:4">
      <c r="C3334">
        <v>8226</v>
      </c>
      <c r="D3334">
        <v>61</v>
      </c>
    </row>
    <row r="3335" spans="3:4">
      <c r="C3335">
        <v>8227</v>
      </c>
      <c r="D3335">
        <v>94</v>
      </c>
    </row>
    <row r="3336" spans="3:4">
      <c r="C3336">
        <v>8228</v>
      </c>
      <c r="D3336">
        <v>94</v>
      </c>
    </row>
    <row r="3337" spans="3:4">
      <c r="C3337">
        <v>8229</v>
      </c>
      <c r="D3337">
        <v>60</v>
      </c>
    </row>
    <row r="3338" spans="3:4">
      <c r="C3338">
        <v>8230</v>
      </c>
      <c r="D3338">
        <v>92</v>
      </c>
    </row>
    <row r="3339" spans="3:4">
      <c r="C3339">
        <v>8231</v>
      </c>
      <c r="D3339">
        <v>92</v>
      </c>
    </row>
    <row r="3340" spans="3:4">
      <c r="C3340">
        <v>8232</v>
      </c>
      <c r="D3340">
        <v>92</v>
      </c>
    </row>
    <row r="3341" spans="3:4">
      <c r="C3341">
        <v>8233</v>
      </c>
      <c r="D3341">
        <v>92</v>
      </c>
    </row>
    <row r="3342" spans="3:4">
      <c r="C3342">
        <v>8235</v>
      </c>
      <c r="D3342">
        <v>92</v>
      </c>
    </row>
    <row r="3343" spans="3:4">
      <c r="C3343">
        <v>8236</v>
      </c>
      <c r="D3343">
        <v>92</v>
      </c>
    </row>
    <row r="3344" spans="3:4">
      <c r="C3344">
        <v>8237</v>
      </c>
      <c r="D3344">
        <v>91</v>
      </c>
    </row>
    <row r="3345" spans="3:4">
      <c r="C3345">
        <v>8241</v>
      </c>
      <c r="D3345">
        <v>92</v>
      </c>
    </row>
    <row r="3346" spans="3:4">
      <c r="C3346">
        <v>8242</v>
      </c>
      <c r="D3346">
        <v>91</v>
      </c>
    </row>
    <row r="3347" spans="3:4">
      <c r="C3347">
        <v>8243</v>
      </c>
      <c r="D3347">
        <v>92</v>
      </c>
    </row>
    <row r="3348" spans="3:4">
      <c r="C3348">
        <v>8244</v>
      </c>
      <c r="D3348">
        <v>90</v>
      </c>
    </row>
    <row r="3349" spans="3:4">
      <c r="C3349">
        <v>8245</v>
      </c>
      <c r="D3349">
        <v>92</v>
      </c>
    </row>
    <row r="3350" spans="3:4">
      <c r="C3350">
        <v>8246</v>
      </c>
      <c r="D3350">
        <v>92</v>
      </c>
    </row>
    <row r="3351" spans="3:4">
      <c r="C3351">
        <v>8247</v>
      </c>
      <c r="D3351">
        <v>92</v>
      </c>
    </row>
    <row r="3352" spans="3:4">
      <c r="C3352">
        <v>8248</v>
      </c>
      <c r="D3352">
        <v>92</v>
      </c>
    </row>
    <row r="3353" spans="3:4">
      <c r="C3353">
        <v>8250</v>
      </c>
      <c r="D3353">
        <v>91</v>
      </c>
    </row>
    <row r="3354" spans="3:4">
      <c r="C3354">
        <v>8251</v>
      </c>
      <c r="D3354">
        <v>91</v>
      </c>
    </row>
    <row r="3355" spans="3:4">
      <c r="C3355">
        <v>8252</v>
      </c>
      <c r="D3355">
        <v>92</v>
      </c>
    </row>
    <row r="3356" spans="3:4">
      <c r="C3356">
        <v>8253</v>
      </c>
      <c r="D3356">
        <v>89</v>
      </c>
    </row>
    <row r="3357" spans="3:4">
      <c r="C3357">
        <v>8254</v>
      </c>
      <c r="D3357">
        <v>89</v>
      </c>
    </row>
    <row r="3358" spans="3:4">
      <c r="C3358">
        <v>8255</v>
      </c>
      <c r="D3358">
        <v>90</v>
      </c>
    </row>
    <row r="3359" spans="3:4">
      <c r="C3359">
        <v>8256</v>
      </c>
      <c r="D3359">
        <v>91</v>
      </c>
    </row>
    <row r="3360" spans="3:4">
      <c r="C3360">
        <v>8257</v>
      </c>
      <c r="D3360">
        <v>91</v>
      </c>
    </row>
    <row r="3361" spans="3:4">
      <c r="C3361">
        <v>8258</v>
      </c>
      <c r="D3361">
        <v>94</v>
      </c>
    </row>
    <row r="3362" spans="3:4">
      <c r="C3362">
        <v>8261</v>
      </c>
      <c r="D3362">
        <v>92</v>
      </c>
    </row>
    <row r="3363" spans="3:4">
      <c r="C3363">
        <v>8262</v>
      </c>
      <c r="D3363">
        <v>92</v>
      </c>
    </row>
    <row r="3364" spans="3:4">
      <c r="C3364">
        <v>8263</v>
      </c>
      <c r="D3364">
        <v>93</v>
      </c>
    </row>
    <row r="3365" spans="3:4">
      <c r="C3365">
        <v>8264</v>
      </c>
      <c r="D3365">
        <v>93</v>
      </c>
    </row>
    <row r="3366" spans="3:4">
      <c r="C3366">
        <v>8265</v>
      </c>
      <c r="D3366">
        <v>91</v>
      </c>
    </row>
    <row r="3367" spans="3:4">
      <c r="C3367">
        <v>8271</v>
      </c>
      <c r="D3367">
        <v>91</v>
      </c>
    </row>
    <row r="3368" spans="3:4">
      <c r="C3368">
        <v>8272</v>
      </c>
      <c r="D3368">
        <v>90</v>
      </c>
    </row>
    <row r="3369" spans="3:4">
      <c r="C3369">
        <v>8273</v>
      </c>
      <c r="D3369">
        <v>90</v>
      </c>
    </row>
    <row r="3370" spans="3:4">
      <c r="C3370">
        <v>8274</v>
      </c>
      <c r="D3370">
        <v>89</v>
      </c>
    </row>
    <row r="3371" spans="3:4">
      <c r="C3371">
        <v>8275</v>
      </c>
      <c r="D3371">
        <v>89</v>
      </c>
    </row>
    <row r="3372" spans="3:4">
      <c r="C3372">
        <v>8281</v>
      </c>
      <c r="D3372">
        <v>89</v>
      </c>
    </row>
    <row r="3373" spans="3:4">
      <c r="C3373">
        <v>8282</v>
      </c>
      <c r="D3373">
        <v>89</v>
      </c>
    </row>
    <row r="3374" spans="3:4">
      <c r="C3374">
        <v>8283</v>
      </c>
      <c r="D3374">
        <v>90</v>
      </c>
    </row>
    <row r="3375" spans="3:4">
      <c r="C3375">
        <v>8284</v>
      </c>
      <c r="D3375">
        <v>92</v>
      </c>
    </row>
    <row r="3376" spans="3:4">
      <c r="C3376">
        <v>8285</v>
      </c>
      <c r="D3376">
        <v>92</v>
      </c>
    </row>
    <row r="3377" spans="3:4">
      <c r="C3377">
        <v>8286</v>
      </c>
      <c r="D3377">
        <v>92</v>
      </c>
    </row>
    <row r="3378" spans="3:4">
      <c r="C3378">
        <v>8291</v>
      </c>
      <c r="D3378">
        <v>92</v>
      </c>
    </row>
    <row r="3379" spans="3:4">
      <c r="C3379">
        <v>8292</v>
      </c>
      <c r="D3379">
        <v>89</v>
      </c>
    </row>
    <row r="3380" spans="3:4">
      <c r="C3380">
        <v>8293</v>
      </c>
      <c r="D3380">
        <v>92</v>
      </c>
    </row>
    <row r="3381" spans="3:4">
      <c r="C3381">
        <v>8294</v>
      </c>
      <c r="D3381">
        <v>89</v>
      </c>
    </row>
    <row r="3382" spans="3:4">
      <c r="C3382">
        <v>8295</v>
      </c>
      <c r="D3382">
        <v>89</v>
      </c>
    </row>
    <row r="3383" spans="3:4">
      <c r="C3383">
        <v>8296</v>
      </c>
      <c r="D3383">
        <v>89</v>
      </c>
    </row>
    <row r="3384" spans="3:4">
      <c r="C3384">
        <v>8297</v>
      </c>
      <c r="D3384">
        <v>90</v>
      </c>
    </row>
    <row r="3385" spans="3:4">
      <c r="C3385">
        <v>8300</v>
      </c>
      <c r="D3385">
        <v>92</v>
      </c>
    </row>
    <row r="3386" spans="3:4">
      <c r="C3386">
        <v>8301</v>
      </c>
      <c r="D3386">
        <v>90</v>
      </c>
    </row>
    <row r="3387" spans="3:4">
      <c r="C3387">
        <v>8303</v>
      </c>
      <c r="D3387">
        <v>90</v>
      </c>
    </row>
    <row r="3388" spans="3:4">
      <c r="C3388">
        <v>8306</v>
      </c>
      <c r="D3388">
        <v>90</v>
      </c>
    </row>
    <row r="3389" spans="3:4">
      <c r="C3389">
        <v>8308</v>
      </c>
      <c r="D3389">
        <v>89</v>
      </c>
    </row>
    <row r="3390" spans="3:4">
      <c r="C3390">
        <v>8311</v>
      </c>
      <c r="D3390">
        <v>92</v>
      </c>
    </row>
    <row r="3391" spans="3:4">
      <c r="C3391">
        <v>8312</v>
      </c>
      <c r="D3391">
        <v>91</v>
      </c>
    </row>
    <row r="3392" spans="3:4">
      <c r="C3392">
        <v>8313</v>
      </c>
      <c r="D3392">
        <v>94</v>
      </c>
    </row>
    <row r="3393" spans="3:4">
      <c r="C3393">
        <v>8314</v>
      </c>
      <c r="D3393">
        <v>92</v>
      </c>
    </row>
    <row r="3394" spans="3:4">
      <c r="C3394">
        <v>8315</v>
      </c>
      <c r="D3394">
        <v>96</v>
      </c>
    </row>
    <row r="3395" spans="3:4">
      <c r="C3395">
        <v>8316</v>
      </c>
      <c r="D3395">
        <v>94</v>
      </c>
    </row>
    <row r="3396" spans="3:4">
      <c r="C3396">
        <v>8317</v>
      </c>
      <c r="D3396">
        <v>94</v>
      </c>
    </row>
    <row r="3397" spans="3:4">
      <c r="C3397">
        <v>8318</v>
      </c>
      <c r="D3397">
        <v>92</v>
      </c>
    </row>
    <row r="3398" spans="3:4">
      <c r="C3398">
        <v>8319</v>
      </c>
      <c r="D3398">
        <v>93</v>
      </c>
    </row>
    <row r="3399" spans="3:4">
      <c r="C3399">
        <v>8320</v>
      </c>
      <c r="D3399">
        <v>93</v>
      </c>
    </row>
    <row r="3400" spans="3:4">
      <c r="C3400">
        <v>8321</v>
      </c>
      <c r="D3400">
        <v>92</v>
      </c>
    </row>
    <row r="3401" spans="3:4">
      <c r="C3401">
        <v>8328</v>
      </c>
      <c r="D3401">
        <v>92</v>
      </c>
    </row>
    <row r="3402" spans="3:4">
      <c r="C3402">
        <v>8330</v>
      </c>
      <c r="D3402">
        <v>92</v>
      </c>
    </row>
    <row r="3403" spans="3:4">
      <c r="C3403">
        <v>8331</v>
      </c>
      <c r="D3403">
        <v>92</v>
      </c>
    </row>
    <row r="3404" spans="3:4">
      <c r="C3404">
        <v>8341</v>
      </c>
      <c r="D3404">
        <v>91</v>
      </c>
    </row>
    <row r="3405" spans="3:4">
      <c r="C3405">
        <v>8342</v>
      </c>
      <c r="D3405">
        <v>91</v>
      </c>
    </row>
    <row r="3406" spans="3:4">
      <c r="C3406">
        <v>8343</v>
      </c>
      <c r="D3406">
        <v>92</v>
      </c>
    </row>
    <row r="3407" spans="3:4">
      <c r="C3407">
        <v>8344</v>
      </c>
      <c r="D3407">
        <v>91</v>
      </c>
    </row>
    <row r="3408" spans="3:4">
      <c r="C3408">
        <v>8345</v>
      </c>
      <c r="D3408">
        <v>91</v>
      </c>
    </row>
    <row r="3409" spans="3:4">
      <c r="C3409">
        <v>8346</v>
      </c>
      <c r="D3409">
        <v>91</v>
      </c>
    </row>
    <row r="3410" spans="3:4">
      <c r="C3410">
        <v>8347</v>
      </c>
      <c r="D3410">
        <v>92</v>
      </c>
    </row>
    <row r="3411" spans="3:4">
      <c r="C3411">
        <v>8348</v>
      </c>
      <c r="D3411">
        <v>92</v>
      </c>
    </row>
    <row r="3412" spans="3:4">
      <c r="C3412">
        <v>8349</v>
      </c>
      <c r="D3412">
        <v>92</v>
      </c>
    </row>
    <row r="3413" spans="3:4">
      <c r="C3413">
        <v>8351</v>
      </c>
      <c r="D3413">
        <v>91</v>
      </c>
    </row>
    <row r="3414" spans="3:4">
      <c r="C3414">
        <v>8352</v>
      </c>
      <c r="D3414">
        <v>91</v>
      </c>
    </row>
    <row r="3415" spans="3:4">
      <c r="C3415">
        <v>8353</v>
      </c>
      <c r="D3415">
        <v>94</v>
      </c>
    </row>
    <row r="3416" spans="3:4">
      <c r="C3416">
        <v>8354</v>
      </c>
      <c r="D3416">
        <v>95</v>
      </c>
    </row>
    <row r="3417" spans="3:4">
      <c r="C3417">
        <v>8355</v>
      </c>
      <c r="D3417">
        <v>91</v>
      </c>
    </row>
    <row r="3418" spans="3:4">
      <c r="C3418">
        <v>8356</v>
      </c>
      <c r="D3418">
        <v>91</v>
      </c>
    </row>
    <row r="3419" spans="3:4">
      <c r="C3419">
        <v>8357</v>
      </c>
      <c r="D3419">
        <v>91</v>
      </c>
    </row>
    <row r="3420" spans="3:4">
      <c r="C3420">
        <v>8360</v>
      </c>
      <c r="D3420">
        <v>94</v>
      </c>
    </row>
    <row r="3421" spans="3:4">
      <c r="C3421">
        <v>8361</v>
      </c>
      <c r="D3421">
        <v>94</v>
      </c>
    </row>
    <row r="3422" spans="3:4">
      <c r="C3422">
        <v>8362</v>
      </c>
      <c r="D3422">
        <v>94</v>
      </c>
    </row>
    <row r="3423" spans="3:4">
      <c r="C3423">
        <v>8363</v>
      </c>
      <c r="D3423">
        <v>94</v>
      </c>
    </row>
    <row r="3424" spans="3:4">
      <c r="C3424">
        <v>8364</v>
      </c>
      <c r="D3424">
        <v>73</v>
      </c>
    </row>
    <row r="3425" spans="3:4">
      <c r="C3425">
        <v>8369</v>
      </c>
      <c r="D3425">
        <v>94</v>
      </c>
    </row>
    <row r="3426" spans="3:4">
      <c r="C3426">
        <v>8371</v>
      </c>
      <c r="D3426">
        <v>93</v>
      </c>
    </row>
    <row r="3427" spans="3:4">
      <c r="C3427">
        <v>8372</v>
      </c>
      <c r="D3427">
        <v>97</v>
      </c>
    </row>
    <row r="3428" spans="3:4">
      <c r="C3428">
        <v>8373</v>
      </c>
      <c r="D3428">
        <v>94</v>
      </c>
    </row>
    <row r="3429" spans="3:4">
      <c r="C3429">
        <v>8380</v>
      </c>
      <c r="D3429">
        <v>94</v>
      </c>
    </row>
    <row r="3430" spans="3:4">
      <c r="C3430">
        <v>8381</v>
      </c>
      <c r="D3430">
        <v>94</v>
      </c>
    </row>
    <row r="3431" spans="3:4">
      <c r="C3431">
        <v>8391</v>
      </c>
      <c r="D3431">
        <v>96</v>
      </c>
    </row>
    <row r="3432" spans="3:4">
      <c r="C3432">
        <v>8392</v>
      </c>
      <c r="D3432">
        <v>96</v>
      </c>
    </row>
    <row r="3433" spans="3:4">
      <c r="C3433">
        <v>8393</v>
      </c>
      <c r="D3433">
        <v>94</v>
      </c>
    </row>
    <row r="3434" spans="3:4">
      <c r="C3434">
        <v>8394</v>
      </c>
      <c r="D3434">
        <v>94</v>
      </c>
    </row>
    <row r="3435" spans="3:4">
      <c r="C3435">
        <v>8395</v>
      </c>
      <c r="D3435">
        <v>94</v>
      </c>
    </row>
    <row r="3436" spans="3:4">
      <c r="C3436">
        <v>8396</v>
      </c>
      <c r="D3436">
        <v>94</v>
      </c>
    </row>
    <row r="3437" spans="3:4">
      <c r="C3437">
        <v>8400</v>
      </c>
      <c r="D3437">
        <v>90</v>
      </c>
    </row>
    <row r="3438" spans="3:4">
      <c r="C3438">
        <v>8401</v>
      </c>
      <c r="D3438">
        <v>90</v>
      </c>
    </row>
    <row r="3439" spans="3:4">
      <c r="C3439">
        <v>8403</v>
      </c>
      <c r="D3439">
        <v>90</v>
      </c>
    </row>
    <row r="3440" spans="3:4">
      <c r="C3440">
        <v>8404</v>
      </c>
      <c r="D3440">
        <v>90</v>
      </c>
    </row>
    <row r="3441" spans="3:4">
      <c r="C3441">
        <v>8407</v>
      </c>
      <c r="D3441">
        <v>90</v>
      </c>
    </row>
    <row r="3442" spans="3:4">
      <c r="C3442">
        <v>8409</v>
      </c>
      <c r="D3442">
        <v>93</v>
      </c>
    </row>
    <row r="3443" spans="3:4">
      <c r="C3443">
        <v>8411</v>
      </c>
      <c r="D3443">
        <v>83</v>
      </c>
    </row>
    <row r="3444" spans="3:4">
      <c r="C3444">
        <v>8412</v>
      </c>
      <c r="D3444">
        <v>85</v>
      </c>
    </row>
    <row r="3445" spans="3:4">
      <c r="C3445">
        <v>8413</v>
      </c>
      <c r="D3445">
        <v>59</v>
      </c>
    </row>
    <row r="3446" spans="3:4">
      <c r="C3446">
        <v>8414</v>
      </c>
      <c r="D3446">
        <v>93</v>
      </c>
    </row>
    <row r="3447" spans="3:4">
      <c r="C3447">
        <v>8415</v>
      </c>
      <c r="D3447">
        <v>94</v>
      </c>
    </row>
    <row r="3448" spans="3:4">
      <c r="C3448">
        <v>8416</v>
      </c>
      <c r="D3448">
        <v>97</v>
      </c>
    </row>
    <row r="3449" spans="3:4">
      <c r="C3449">
        <v>8417</v>
      </c>
      <c r="D3449">
        <v>96</v>
      </c>
    </row>
    <row r="3450" spans="3:4">
      <c r="C3450">
        <v>8418</v>
      </c>
      <c r="D3450">
        <v>94</v>
      </c>
    </row>
    <row r="3451" spans="3:4">
      <c r="C3451">
        <v>8419</v>
      </c>
      <c r="D3451">
        <v>92</v>
      </c>
    </row>
    <row r="3452" spans="3:4">
      <c r="C3452">
        <v>8420</v>
      </c>
      <c r="D3452">
        <v>91</v>
      </c>
    </row>
    <row r="3453" spans="3:4">
      <c r="C3453">
        <v>8422</v>
      </c>
      <c r="D3453">
        <v>97</v>
      </c>
    </row>
    <row r="3454" spans="3:4">
      <c r="C3454">
        <v>8423</v>
      </c>
      <c r="D3454">
        <v>96</v>
      </c>
    </row>
    <row r="3455" spans="3:4">
      <c r="C3455">
        <v>8424</v>
      </c>
      <c r="D3455">
        <v>96</v>
      </c>
    </row>
    <row r="3456" spans="3:4">
      <c r="C3456">
        <v>8425</v>
      </c>
      <c r="D3456">
        <v>92</v>
      </c>
    </row>
    <row r="3457" spans="3:4">
      <c r="C3457">
        <v>8426</v>
      </c>
      <c r="D3457">
        <v>91</v>
      </c>
    </row>
    <row r="3458" spans="3:4">
      <c r="C3458">
        <v>8427</v>
      </c>
      <c r="D3458">
        <v>91</v>
      </c>
    </row>
    <row r="3459" spans="3:4">
      <c r="C3459">
        <v>8428</v>
      </c>
      <c r="D3459">
        <v>92</v>
      </c>
    </row>
    <row r="3460" spans="3:4">
      <c r="C3460">
        <v>8429</v>
      </c>
      <c r="D3460">
        <v>91</v>
      </c>
    </row>
    <row r="3461" spans="3:4">
      <c r="C3461">
        <v>8430</v>
      </c>
      <c r="D3461">
        <v>92</v>
      </c>
    </row>
    <row r="3462" spans="3:4">
      <c r="C3462">
        <v>8431</v>
      </c>
      <c r="D3462">
        <v>91</v>
      </c>
    </row>
    <row r="3463" spans="3:4">
      <c r="C3463">
        <v>8432</v>
      </c>
      <c r="D3463">
        <v>91</v>
      </c>
    </row>
    <row r="3464" spans="3:4">
      <c r="C3464">
        <v>8433</v>
      </c>
      <c r="D3464">
        <v>91</v>
      </c>
    </row>
    <row r="3465" spans="3:4">
      <c r="C3465">
        <v>8434</v>
      </c>
      <c r="D3465">
        <v>91</v>
      </c>
    </row>
    <row r="3466" spans="3:4">
      <c r="C3466">
        <v>8435</v>
      </c>
      <c r="D3466">
        <v>90</v>
      </c>
    </row>
    <row r="3467" spans="3:4">
      <c r="C3467">
        <v>8436</v>
      </c>
      <c r="D3467">
        <v>91</v>
      </c>
    </row>
    <row r="3468" spans="3:4">
      <c r="C3468">
        <v>8437</v>
      </c>
      <c r="D3468">
        <v>91</v>
      </c>
    </row>
    <row r="3469" spans="3:4">
      <c r="C3469">
        <v>8438</v>
      </c>
      <c r="D3469">
        <v>92</v>
      </c>
    </row>
    <row r="3470" spans="3:4">
      <c r="C3470">
        <v>8439</v>
      </c>
      <c r="D3470">
        <v>92</v>
      </c>
    </row>
    <row r="3471" spans="3:4">
      <c r="C3471">
        <v>8440</v>
      </c>
      <c r="D3471">
        <v>91</v>
      </c>
    </row>
    <row r="3472" spans="3:4">
      <c r="C3472">
        <v>8441</v>
      </c>
      <c r="D3472">
        <v>60</v>
      </c>
    </row>
    <row r="3473" spans="3:4">
      <c r="C3473">
        <v>8442</v>
      </c>
      <c r="D3473">
        <v>93</v>
      </c>
    </row>
    <row r="3474" spans="3:4">
      <c r="C3474">
        <v>8443</v>
      </c>
      <c r="D3474">
        <v>60</v>
      </c>
    </row>
    <row r="3475" spans="3:4">
      <c r="C3475">
        <v>8444</v>
      </c>
      <c r="D3475">
        <v>92</v>
      </c>
    </row>
    <row r="3476" spans="3:4">
      <c r="C3476">
        <v>8445</v>
      </c>
      <c r="D3476">
        <v>89</v>
      </c>
    </row>
    <row r="3477" spans="3:4">
      <c r="C3477">
        <v>8446</v>
      </c>
      <c r="D3477">
        <v>90</v>
      </c>
    </row>
    <row r="3478" spans="3:4">
      <c r="C3478">
        <v>8447</v>
      </c>
      <c r="D3478">
        <v>90</v>
      </c>
    </row>
    <row r="3479" spans="3:4">
      <c r="C3479">
        <v>8448</v>
      </c>
      <c r="D3479">
        <v>90</v>
      </c>
    </row>
    <row r="3480" spans="3:4">
      <c r="C3480">
        <v>8449</v>
      </c>
      <c r="D3480">
        <v>90</v>
      </c>
    </row>
    <row r="3481" spans="3:4">
      <c r="C3481">
        <v>8451</v>
      </c>
      <c r="D3481">
        <v>89</v>
      </c>
    </row>
    <row r="3482" spans="3:4">
      <c r="C3482">
        <v>8452</v>
      </c>
      <c r="D3482">
        <v>89</v>
      </c>
    </row>
    <row r="3483" spans="3:4">
      <c r="C3483">
        <v>8454</v>
      </c>
      <c r="D3483">
        <v>89</v>
      </c>
    </row>
    <row r="3484" spans="3:4">
      <c r="C3484">
        <v>8455</v>
      </c>
      <c r="D3484">
        <v>90</v>
      </c>
    </row>
    <row r="3485" spans="3:4">
      <c r="C3485">
        <v>8456</v>
      </c>
      <c r="D3485">
        <v>91</v>
      </c>
    </row>
    <row r="3486" spans="3:4">
      <c r="C3486">
        <v>8457</v>
      </c>
      <c r="D3486">
        <v>91</v>
      </c>
    </row>
    <row r="3487" spans="3:4">
      <c r="C3487">
        <v>8458</v>
      </c>
      <c r="D3487">
        <v>91</v>
      </c>
    </row>
    <row r="3488" spans="3:4">
      <c r="C3488">
        <v>8460</v>
      </c>
      <c r="D3488">
        <v>91</v>
      </c>
    </row>
    <row r="3489" spans="3:4">
      <c r="C3489">
        <v>8461</v>
      </c>
      <c r="D3489">
        <v>91</v>
      </c>
    </row>
    <row r="3490" spans="3:4">
      <c r="C3490">
        <v>8468</v>
      </c>
      <c r="D3490">
        <v>89</v>
      </c>
    </row>
    <row r="3491" spans="3:4">
      <c r="C3491">
        <v>8469</v>
      </c>
      <c r="D3491">
        <v>93</v>
      </c>
    </row>
    <row r="3492" spans="3:4">
      <c r="C3492">
        <v>8471</v>
      </c>
      <c r="D3492">
        <v>92</v>
      </c>
    </row>
    <row r="3493" spans="3:4">
      <c r="C3493">
        <v>8473</v>
      </c>
      <c r="D3493">
        <v>91</v>
      </c>
    </row>
    <row r="3494" spans="3:4">
      <c r="C3494">
        <v>8474</v>
      </c>
      <c r="D3494">
        <v>91</v>
      </c>
    </row>
    <row r="3495" spans="3:4">
      <c r="C3495">
        <v>8475</v>
      </c>
      <c r="D3495">
        <v>92</v>
      </c>
    </row>
    <row r="3496" spans="3:4">
      <c r="C3496">
        <v>8476</v>
      </c>
      <c r="D3496">
        <v>92</v>
      </c>
    </row>
    <row r="3497" spans="3:4">
      <c r="C3497">
        <v>8477</v>
      </c>
      <c r="D3497">
        <v>92</v>
      </c>
    </row>
    <row r="3498" spans="3:4">
      <c r="C3498">
        <v>8478</v>
      </c>
      <c r="D3498">
        <v>97</v>
      </c>
    </row>
    <row r="3499" spans="3:4">
      <c r="C3499">
        <v>8479</v>
      </c>
      <c r="D3499">
        <v>92</v>
      </c>
    </row>
    <row r="3500" spans="3:4">
      <c r="C3500">
        <v>8481</v>
      </c>
      <c r="D3500">
        <v>93</v>
      </c>
    </row>
    <row r="3501" spans="3:4">
      <c r="C3501">
        <v>8482</v>
      </c>
      <c r="D3501">
        <v>91</v>
      </c>
    </row>
    <row r="3502" spans="3:4">
      <c r="C3502">
        <v>8483</v>
      </c>
      <c r="D3502">
        <v>92</v>
      </c>
    </row>
    <row r="3503" spans="3:4">
      <c r="C3503">
        <v>8484</v>
      </c>
      <c r="D3503">
        <v>91</v>
      </c>
    </row>
    <row r="3504" spans="3:4">
      <c r="C3504">
        <v>8485</v>
      </c>
      <c r="D3504">
        <v>91</v>
      </c>
    </row>
    <row r="3505" spans="3:4">
      <c r="C3505">
        <v>8491</v>
      </c>
      <c r="D3505">
        <v>93</v>
      </c>
    </row>
    <row r="3506" spans="3:4">
      <c r="C3506">
        <v>8492</v>
      </c>
      <c r="D3506">
        <v>93</v>
      </c>
    </row>
    <row r="3507" spans="3:4">
      <c r="C3507">
        <v>8493</v>
      </c>
      <c r="D3507">
        <v>94</v>
      </c>
    </row>
    <row r="3508" spans="3:4">
      <c r="C3508">
        <v>8494</v>
      </c>
      <c r="D3508">
        <v>94</v>
      </c>
    </row>
    <row r="3509" spans="3:4">
      <c r="C3509">
        <v>8495</v>
      </c>
      <c r="D3509">
        <v>92</v>
      </c>
    </row>
    <row r="3510" spans="3:4">
      <c r="C3510">
        <v>8496</v>
      </c>
      <c r="D3510">
        <v>92</v>
      </c>
    </row>
    <row r="3511" spans="3:4">
      <c r="C3511">
        <v>8497</v>
      </c>
      <c r="D3511">
        <v>91</v>
      </c>
    </row>
    <row r="3512" spans="3:4">
      <c r="C3512">
        <v>8500</v>
      </c>
      <c r="D3512">
        <v>94</v>
      </c>
    </row>
    <row r="3513" spans="3:4">
      <c r="C3513">
        <v>8501</v>
      </c>
      <c r="D3513">
        <v>94</v>
      </c>
    </row>
    <row r="3514" spans="3:4">
      <c r="C3514">
        <v>8502</v>
      </c>
      <c r="D3514">
        <v>94</v>
      </c>
    </row>
    <row r="3515" spans="3:4">
      <c r="C3515">
        <v>8503</v>
      </c>
      <c r="D3515">
        <v>94</v>
      </c>
    </row>
    <row r="3516" spans="3:4">
      <c r="C3516">
        <v>8505</v>
      </c>
      <c r="D3516">
        <v>94</v>
      </c>
    </row>
    <row r="3517" spans="3:4">
      <c r="C3517">
        <v>8511</v>
      </c>
      <c r="D3517">
        <v>92</v>
      </c>
    </row>
    <row r="3518" spans="3:4">
      <c r="C3518">
        <v>8512</v>
      </c>
      <c r="D3518">
        <v>91</v>
      </c>
    </row>
    <row r="3519" spans="3:4">
      <c r="C3519">
        <v>8513</v>
      </c>
      <c r="D3519">
        <v>93</v>
      </c>
    </row>
    <row r="3520" spans="3:4">
      <c r="C3520">
        <v>8514</v>
      </c>
      <c r="D3520">
        <v>92</v>
      </c>
    </row>
    <row r="3521" spans="3:4">
      <c r="C3521">
        <v>8515</v>
      </c>
      <c r="D3521">
        <v>92</v>
      </c>
    </row>
    <row r="3522" spans="3:4">
      <c r="C3522">
        <v>8516</v>
      </c>
      <c r="D3522">
        <v>92</v>
      </c>
    </row>
    <row r="3523" spans="3:4">
      <c r="C3523">
        <v>8517</v>
      </c>
      <c r="D3523">
        <v>91</v>
      </c>
    </row>
    <row r="3524" spans="3:4">
      <c r="C3524">
        <v>8518</v>
      </c>
      <c r="D3524">
        <v>91</v>
      </c>
    </row>
    <row r="3525" spans="3:4">
      <c r="C3525">
        <v>8521</v>
      </c>
      <c r="D3525">
        <v>92</v>
      </c>
    </row>
    <row r="3526" spans="3:4">
      <c r="C3526">
        <v>8522</v>
      </c>
      <c r="D3526">
        <v>91</v>
      </c>
    </row>
    <row r="3527" spans="3:4">
      <c r="C3527">
        <v>8523</v>
      </c>
      <c r="D3527">
        <v>91</v>
      </c>
    </row>
    <row r="3528" spans="3:4">
      <c r="C3528">
        <v>8531</v>
      </c>
      <c r="D3528">
        <v>92</v>
      </c>
    </row>
    <row r="3529" spans="3:4">
      <c r="C3529">
        <v>8532</v>
      </c>
      <c r="D3529">
        <v>92</v>
      </c>
    </row>
    <row r="3530" spans="3:4">
      <c r="C3530">
        <v>8533</v>
      </c>
      <c r="D3530">
        <v>91</v>
      </c>
    </row>
    <row r="3531" spans="3:4">
      <c r="C3531">
        <v>8534</v>
      </c>
      <c r="D3531">
        <v>90</v>
      </c>
    </row>
    <row r="3532" spans="3:4">
      <c r="C3532">
        <v>8535</v>
      </c>
      <c r="D3532">
        <v>90</v>
      </c>
    </row>
    <row r="3533" spans="3:4">
      <c r="C3533">
        <v>8541</v>
      </c>
      <c r="D3533">
        <v>91</v>
      </c>
    </row>
    <row r="3534" spans="3:4">
      <c r="C3534">
        <v>8542</v>
      </c>
      <c r="D3534">
        <v>89</v>
      </c>
    </row>
    <row r="3535" spans="3:4">
      <c r="C3535">
        <v>8543</v>
      </c>
      <c r="D3535">
        <v>90</v>
      </c>
    </row>
    <row r="3536" spans="3:4">
      <c r="C3536">
        <v>8544</v>
      </c>
      <c r="D3536">
        <v>90</v>
      </c>
    </row>
    <row r="3537" spans="3:4">
      <c r="C3537">
        <v>8545</v>
      </c>
      <c r="D3537">
        <v>90</v>
      </c>
    </row>
    <row r="3538" spans="3:4">
      <c r="C3538">
        <v>8551</v>
      </c>
      <c r="D3538">
        <v>91</v>
      </c>
    </row>
    <row r="3539" spans="3:4">
      <c r="C3539">
        <v>8552</v>
      </c>
      <c r="D3539">
        <v>90</v>
      </c>
    </row>
    <row r="3540" spans="3:4">
      <c r="C3540">
        <v>8553</v>
      </c>
      <c r="D3540">
        <v>90</v>
      </c>
    </row>
    <row r="3541" spans="3:4">
      <c r="C3541">
        <v>8554</v>
      </c>
      <c r="D3541">
        <v>90</v>
      </c>
    </row>
    <row r="3542" spans="3:4">
      <c r="C3542">
        <v>8555</v>
      </c>
      <c r="D3542">
        <v>90</v>
      </c>
    </row>
    <row r="3543" spans="3:4">
      <c r="C3543">
        <v>8556</v>
      </c>
      <c r="D3543">
        <v>90</v>
      </c>
    </row>
    <row r="3544" spans="3:4">
      <c r="C3544">
        <v>8557</v>
      </c>
      <c r="D3544">
        <v>90</v>
      </c>
    </row>
    <row r="3545" spans="3:4">
      <c r="C3545">
        <v>8558</v>
      </c>
      <c r="D3545">
        <v>91</v>
      </c>
    </row>
    <row r="3546" spans="3:4">
      <c r="C3546">
        <v>8559</v>
      </c>
      <c r="D3546">
        <v>91</v>
      </c>
    </row>
    <row r="3547" spans="3:4">
      <c r="C3547">
        <v>8561</v>
      </c>
      <c r="D3547">
        <v>91</v>
      </c>
    </row>
    <row r="3548" spans="3:4">
      <c r="C3548">
        <v>8562</v>
      </c>
      <c r="D3548">
        <v>91</v>
      </c>
    </row>
    <row r="3549" spans="3:4">
      <c r="C3549">
        <v>8563</v>
      </c>
      <c r="D3549">
        <v>91</v>
      </c>
    </row>
    <row r="3550" spans="3:4">
      <c r="C3550">
        <v>8564</v>
      </c>
      <c r="D3550">
        <v>92</v>
      </c>
    </row>
    <row r="3551" spans="3:4">
      <c r="C3551">
        <v>8565</v>
      </c>
      <c r="D3551">
        <v>91</v>
      </c>
    </row>
    <row r="3552" spans="3:4">
      <c r="C3552">
        <v>8571</v>
      </c>
      <c r="D3552">
        <v>91</v>
      </c>
    </row>
    <row r="3553" spans="3:4">
      <c r="C3553">
        <v>8572</v>
      </c>
      <c r="D3553">
        <v>91</v>
      </c>
    </row>
    <row r="3554" spans="3:4">
      <c r="C3554">
        <v>8581</v>
      </c>
      <c r="D3554">
        <v>90</v>
      </c>
    </row>
    <row r="3555" spans="3:4">
      <c r="C3555">
        <v>8582</v>
      </c>
      <c r="D3555">
        <v>90</v>
      </c>
    </row>
    <row r="3556" spans="3:4">
      <c r="C3556">
        <v>8591</v>
      </c>
      <c r="D3556">
        <v>92</v>
      </c>
    </row>
    <row r="3557" spans="3:4">
      <c r="C3557">
        <v>8592</v>
      </c>
      <c r="D3557">
        <v>92</v>
      </c>
    </row>
    <row r="3558" spans="3:4">
      <c r="C3558">
        <v>8593</v>
      </c>
      <c r="D3558">
        <v>92</v>
      </c>
    </row>
    <row r="3559" spans="3:4">
      <c r="C3559">
        <v>8594</v>
      </c>
      <c r="D3559">
        <v>92</v>
      </c>
    </row>
    <row r="3560" spans="3:4">
      <c r="C3560">
        <v>8595</v>
      </c>
      <c r="D3560">
        <v>91</v>
      </c>
    </row>
    <row r="3561" spans="3:4">
      <c r="C3561">
        <v>8596</v>
      </c>
      <c r="D3561">
        <v>92</v>
      </c>
    </row>
    <row r="3562" spans="3:4">
      <c r="C3562">
        <v>8597</v>
      </c>
      <c r="D3562">
        <v>91</v>
      </c>
    </row>
    <row r="3563" spans="3:4">
      <c r="C3563">
        <v>8598</v>
      </c>
      <c r="D3563">
        <v>92</v>
      </c>
    </row>
    <row r="3564" spans="3:4">
      <c r="C3564">
        <v>8600</v>
      </c>
      <c r="D3564">
        <v>96</v>
      </c>
    </row>
    <row r="3565" spans="3:4">
      <c r="C3565">
        <v>8601</v>
      </c>
      <c r="D3565">
        <v>96</v>
      </c>
    </row>
    <row r="3566" spans="3:4">
      <c r="C3566">
        <v>8602</v>
      </c>
      <c r="D3566">
        <v>96</v>
      </c>
    </row>
    <row r="3567" spans="3:4">
      <c r="C3567">
        <v>8603</v>
      </c>
      <c r="D3567">
        <v>96</v>
      </c>
    </row>
    <row r="3568" spans="3:4">
      <c r="C3568">
        <v>8604</v>
      </c>
      <c r="D3568">
        <v>96</v>
      </c>
    </row>
    <row r="3569" spans="3:4">
      <c r="C3569">
        <v>8609</v>
      </c>
      <c r="D3569">
        <v>96</v>
      </c>
    </row>
    <row r="3570" spans="3:4">
      <c r="C3570">
        <v>8611</v>
      </c>
      <c r="D3570">
        <v>96</v>
      </c>
    </row>
    <row r="3571" spans="3:4">
      <c r="C3571">
        <v>8612</v>
      </c>
      <c r="D3571">
        <v>95</v>
      </c>
    </row>
    <row r="3572" spans="3:4">
      <c r="C3572">
        <v>8613</v>
      </c>
      <c r="D3572">
        <v>62</v>
      </c>
    </row>
    <row r="3573" spans="3:4">
      <c r="C3573">
        <v>8614</v>
      </c>
      <c r="D3573">
        <v>92</v>
      </c>
    </row>
    <row r="3574" spans="3:4">
      <c r="C3574">
        <v>8617</v>
      </c>
      <c r="D3574">
        <v>92</v>
      </c>
    </row>
    <row r="3575" spans="3:4">
      <c r="C3575">
        <v>8618</v>
      </c>
      <c r="D3575">
        <v>92</v>
      </c>
    </row>
    <row r="3576" spans="3:4">
      <c r="C3576">
        <v>8619</v>
      </c>
      <c r="D3576">
        <v>92</v>
      </c>
    </row>
    <row r="3577" spans="3:4">
      <c r="C3577">
        <v>8621</v>
      </c>
      <c r="D3577">
        <v>62</v>
      </c>
    </row>
    <row r="3578" spans="3:4">
      <c r="C3578">
        <v>8622</v>
      </c>
      <c r="D3578">
        <v>59</v>
      </c>
    </row>
    <row r="3579" spans="3:4">
      <c r="C3579">
        <v>8623</v>
      </c>
      <c r="D3579">
        <v>91</v>
      </c>
    </row>
    <row r="3580" spans="3:4">
      <c r="C3580">
        <v>8624</v>
      </c>
      <c r="D3580">
        <v>92</v>
      </c>
    </row>
    <row r="3581" spans="3:4">
      <c r="C3581">
        <v>8625</v>
      </c>
      <c r="D3581">
        <v>92</v>
      </c>
    </row>
    <row r="3582" spans="3:4">
      <c r="C3582">
        <v>8626</v>
      </c>
      <c r="D3582">
        <v>93</v>
      </c>
    </row>
    <row r="3583" spans="3:4">
      <c r="C3583">
        <v>8627</v>
      </c>
      <c r="D3583">
        <v>93</v>
      </c>
    </row>
    <row r="3584" spans="3:4">
      <c r="C3584">
        <v>8628</v>
      </c>
      <c r="D3584">
        <v>94</v>
      </c>
    </row>
    <row r="3585" spans="3:4">
      <c r="C3585">
        <v>8630</v>
      </c>
      <c r="D3585">
        <v>91</v>
      </c>
    </row>
    <row r="3586" spans="3:4">
      <c r="C3586">
        <v>8635</v>
      </c>
      <c r="D3586">
        <v>92</v>
      </c>
    </row>
    <row r="3587" spans="3:4">
      <c r="C3587">
        <v>8636</v>
      </c>
      <c r="D3587">
        <v>93</v>
      </c>
    </row>
    <row r="3588" spans="3:4">
      <c r="C3588">
        <v>8637</v>
      </c>
      <c r="D3588">
        <v>92</v>
      </c>
    </row>
    <row r="3589" spans="3:4">
      <c r="C3589">
        <v>8638</v>
      </c>
      <c r="D3589">
        <v>96</v>
      </c>
    </row>
    <row r="3590" spans="3:4">
      <c r="C3590">
        <v>8639</v>
      </c>
      <c r="D3590">
        <v>96</v>
      </c>
    </row>
    <row r="3591" spans="3:4">
      <c r="C3591">
        <v>8640</v>
      </c>
      <c r="D3591">
        <v>93</v>
      </c>
    </row>
    <row r="3592" spans="3:4">
      <c r="C3592">
        <v>8641</v>
      </c>
      <c r="D3592">
        <v>93</v>
      </c>
    </row>
    <row r="3593" spans="3:4">
      <c r="C3593">
        <v>8642</v>
      </c>
      <c r="D3593">
        <v>93</v>
      </c>
    </row>
    <row r="3594" spans="3:4">
      <c r="C3594">
        <v>8643</v>
      </c>
      <c r="D3594">
        <v>93</v>
      </c>
    </row>
    <row r="3595" spans="3:4">
      <c r="C3595">
        <v>8644</v>
      </c>
      <c r="D3595">
        <v>93</v>
      </c>
    </row>
    <row r="3596" spans="3:4">
      <c r="C3596">
        <v>8646</v>
      </c>
      <c r="D3596">
        <v>94</v>
      </c>
    </row>
    <row r="3597" spans="3:4">
      <c r="C3597">
        <v>8647</v>
      </c>
      <c r="D3597">
        <v>93</v>
      </c>
    </row>
    <row r="3598" spans="3:4">
      <c r="C3598">
        <v>8648</v>
      </c>
      <c r="D3598">
        <v>92</v>
      </c>
    </row>
    <row r="3599" spans="3:4">
      <c r="C3599">
        <v>8649</v>
      </c>
      <c r="D3599">
        <v>93</v>
      </c>
    </row>
    <row r="3600" spans="3:4">
      <c r="C3600">
        <v>8651</v>
      </c>
      <c r="D3600">
        <v>63</v>
      </c>
    </row>
    <row r="3601" spans="3:4">
      <c r="C3601">
        <v>8652</v>
      </c>
      <c r="D3601">
        <v>96</v>
      </c>
    </row>
    <row r="3602" spans="3:4">
      <c r="C3602">
        <v>8653</v>
      </c>
      <c r="D3602">
        <v>96</v>
      </c>
    </row>
    <row r="3603" spans="3:4">
      <c r="C3603">
        <v>8654</v>
      </c>
      <c r="D3603">
        <v>96</v>
      </c>
    </row>
    <row r="3604" spans="3:4">
      <c r="C3604">
        <v>8655</v>
      </c>
      <c r="D3604">
        <v>95</v>
      </c>
    </row>
    <row r="3605" spans="3:4">
      <c r="C3605">
        <v>8656</v>
      </c>
      <c r="D3605">
        <v>97</v>
      </c>
    </row>
    <row r="3606" spans="3:4">
      <c r="C3606">
        <v>8657</v>
      </c>
      <c r="D3606">
        <v>95</v>
      </c>
    </row>
    <row r="3607" spans="3:4">
      <c r="C3607">
        <v>8658</v>
      </c>
      <c r="D3607">
        <v>89</v>
      </c>
    </row>
    <row r="3608" spans="3:4">
      <c r="C3608">
        <v>8660</v>
      </c>
      <c r="D3608">
        <v>90</v>
      </c>
    </row>
    <row r="3609" spans="3:4">
      <c r="C3609">
        <v>8665</v>
      </c>
      <c r="D3609">
        <v>97</v>
      </c>
    </row>
    <row r="3610" spans="3:4">
      <c r="C3610">
        <v>8666</v>
      </c>
      <c r="D3610">
        <v>89</v>
      </c>
    </row>
    <row r="3611" spans="3:4">
      <c r="C3611">
        <v>8667</v>
      </c>
      <c r="D3611">
        <v>89</v>
      </c>
    </row>
    <row r="3612" spans="3:4">
      <c r="C3612">
        <v>8668</v>
      </c>
      <c r="D3612">
        <v>89</v>
      </c>
    </row>
    <row r="3613" spans="3:4">
      <c r="C3613">
        <v>8669</v>
      </c>
      <c r="D3613">
        <v>89</v>
      </c>
    </row>
    <row r="3614" spans="3:4">
      <c r="C3614">
        <v>8671</v>
      </c>
      <c r="D3614">
        <v>90</v>
      </c>
    </row>
    <row r="3615" spans="3:4">
      <c r="C3615">
        <v>8672</v>
      </c>
      <c r="D3615">
        <v>89</v>
      </c>
    </row>
    <row r="3616" spans="3:4">
      <c r="C3616">
        <v>8673</v>
      </c>
      <c r="D3616">
        <v>92</v>
      </c>
    </row>
    <row r="3617" spans="3:4">
      <c r="C3617">
        <v>8674</v>
      </c>
      <c r="D3617">
        <v>89</v>
      </c>
    </row>
    <row r="3618" spans="3:4">
      <c r="C3618">
        <v>8675</v>
      </c>
      <c r="D3618">
        <v>90</v>
      </c>
    </row>
    <row r="3619" spans="3:4">
      <c r="C3619">
        <v>8676</v>
      </c>
      <c r="D3619">
        <v>90</v>
      </c>
    </row>
    <row r="3620" spans="3:4">
      <c r="C3620">
        <v>8681</v>
      </c>
      <c r="D3620">
        <v>94</v>
      </c>
    </row>
    <row r="3621" spans="3:4">
      <c r="C3621">
        <v>8683</v>
      </c>
      <c r="D3621">
        <v>93</v>
      </c>
    </row>
    <row r="3622" spans="3:4">
      <c r="C3622">
        <v>8684</v>
      </c>
      <c r="D3622">
        <v>93</v>
      </c>
    </row>
    <row r="3623" spans="3:4">
      <c r="C3623">
        <v>8685</v>
      </c>
      <c r="D3623">
        <v>92</v>
      </c>
    </row>
    <row r="3624" spans="3:4">
      <c r="C3624">
        <v>8691</v>
      </c>
      <c r="D3624">
        <v>93</v>
      </c>
    </row>
    <row r="3625" spans="3:4">
      <c r="C3625">
        <v>8692</v>
      </c>
      <c r="D3625">
        <v>91</v>
      </c>
    </row>
    <row r="3626" spans="3:4">
      <c r="C3626">
        <v>8693</v>
      </c>
      <c r="D3626">
        <v>89</v>
      </c>
    </row>
    <row r="3627" spans="3:4">
      <c r="C3627">
        <v>8694</v>
      </c>
      <c r="D3627">
        <v>90</v>
      </c>
    </row>
    <row r="3628" spans="3:4">
      <c r="C3628">
        <v>8695</v>
      </c>
      <c r="D3628">
        <v>90</v>
      </c>
    </row>
    <row r="3629" spans="3:4">
      <c r="C3629">
        <v>8696</v>
      </c>
      <c r="D3629">
        <v>90</v>
      </c>
    </row>
    <row r="3630" spans="3:4">
      <c r="C3630">
        <v>8697</v>
      </c>
      <c r="D3630">
        <v>90</v>
      </c>
    </row>
    <row r="3631" spans="3:4">
      <c r="C3631">
        <v>8698</v>
      </c>
      <c r="D3631">
        <v>90</v>
      </c>
    </row>
    <row r="3632" spans="3:4">
      <c r="C3632">
        <v>8699</v>
      </c>
      <c r="D3632">
        <v>90</v>
      </c>
    </row>
    <row r="3633" spans="3:4">
      <c r="C3633">
        <v>8700</v>
      </c>
      <c r="D3633">
        <v>90</v>
      </c>
    </row>
    <row r="3634" spans="3:4">
      <c r="C3634">
        <v>8701</v>
      </c>
      <c r="D3634">
        <v>90</v>
      </c>
    </row>
    <row r="3635" spans="3:4">
      <c r="C3635">
        <v>8702</v>
      </c>
      <c r="D3635">
        <v>90</v>
      </c>
    </row>
    <row r="3636" spans="3:4">
      <c r="C3636">
        <v>8705</v>
      </c>
      <c r="D3636">
        <v>90</v>
      </c>
    </row>
    <row r="3637" spans="3:4">
      <c r="C3637">
        <v>8706</v>
      </c>
      <c r="D3637">
        <v>90</v>
      </c>
    </row>
    <row r="3638" spans="3:4">
      <c r="C3638">
        <v>8707</v>
      </c>
      <c r="D3638">
        <v>90</v>
      </c>
    </row>
    <row r="3639" spans="3:4">
      <c r="C3639">
        <v>8708</v>
      </c>
      <c r="D3639">
        <v>90</v>
      </c>
    </row>
    <row r="3640" spans="3:4">
      <c r="C3640">
        <v>8709</v>
      </c>
      <c r="D3640">
        <v>90</v>
      </c>
    </row>
    <row r="3641" spans="3:4">
      <c r="C3641">
        <v>8710</v>
      </c>
      <c r="D3641">
        <v>96</v>
      </c>
    </row>
    <row r="3642" spans="3:4">
      <c r="C3642">
        <v>8711</v>
      </c>
      <c r="D3642">
        <v>92</v>
      </c>
    </row>
    <row r="3643" spans="3:4">
      <c r="C3643">
        <v>8712</v>
      </c>
      <c r="D3643">
        <v>90</v>
      </c>
    </row>
    <row r="3644" spans="3:4">
      <c r="C3644">
        <v>8713</v>
      </c>
      <c r="D3644">
        <v>91</v>
      </c>
    </row>
    <row r="3645" spans="3:4">
      <c r="C3645">
        <v>8714</v>
      </c>
      <c r="D3645">
        <v>90</v>
      </c>
    </row>
    <row r="3646" spans="3:4">
      <c r="C3646">
        <v>8715</v>
      </c>
      <c r="D3646">
        <v>90</v>
      </c>
    </row>
    <row r="3647" spans="3:4">
      <c r="C3647">
        <v>8716</v>
      </c>
      <c r="D3647">
        <v>90</v>
      </c>
    </row>
    <row r="3648" spans="3:4">
      <c r="C3648">
        <v>8717</v>
      </c>
      <c r="D3648">
        <v>90</v>
      </c>
    </row>
    <row r="3649" spans="3:4">
      <c r="C3649">
        <v>8718</v>
      </c>
      <c r="D3649">
        <v>91</v>
      </c>
    </row>
    <row r="3650" spans="3:4">
      <c r="C3650">
        <v>8719</v>
      </c>
      <c r="D3650">
        <v>90</v>
      </c>
    </row>
    <row r="3651" spans="3:4">
      <c r="C3651">
        <v>8721</v>
      </c>
      <c r="D3651">
        <v>91</v>
      </c>
    </row>
    <row r="3652" spans="3:4">
      <c r="C3652">
        <v>8722</v>
      </c>
      <c r="D3652">
        <v>92</v>
      </c>
    </row>
    <row r="3653" spans="3:4">
      <c r="C3653">
        <v>8723</v>
      </c>
      <c r="D3653">
        <v>94</v>
      </c>
    </row>
    <row r="3654" spans="3:4">
      <c r="C3654">
        <v>8724</v>
      </c>
      <c r="D3654">
        <v>92</v>
      </c>
    </row>
    <row r="3655" spans="3:4">
      <c r="C3655">
        <v>8725</v>
      </c>
      <c r="D3655">
        <v>91</v>
      </c>
    </row>
    <row r="3656" spans="3:4">
      <c r="C3656">
        <v>8726</v>
      </c>
      <c r="D3656">
        <v>92</v>
      </c>
    </row>
    <row r="3657" spans="3:4">
      <c r="C3657">
        <v>8728</v>
      </c>
      <c r="D3657">
        <v>92</v>
      </c>
    </row>
    <row r="3658" spans="3:4">
      <c r="C3658">
        <v>8731</v>
      </c>
      <c r="D3658">
        <v>91</v>
      </c>
    </row>
    <row r="3659" spans="3:4">
      <c r="C3659">
        <v>8732</v>
      </c>
      <c r="D3659">
        <v>91</v>
      </c>
    </row>
    <row r="3660" spans="3:4">
      <c r="C3660">
        <v>8733</v>
      </c>
      <c r="D3660">
        <v>91</v>
      </c>
    </row>
    <row r="3661" spans="3:4">
      <c r="C3661">
        <v>8734</v>
      </c>
      <c r="D3661">
        <v>91</v>
      </c>
    </row>
    <row r="3662" spans="3:4">
      <c r="C3662">
        <v>8735</v>
      </c>
      <c r="D3662">
        <v>92</v>
      </c>
    </row>
    <row r="3663" spans="3:4">
      <c r="C3663">
        <v>8736</v>
      </c>
      <c r="D3663">
        <v>92</v>
      </c>
    </row>
    <row r="3664" spans="3:4">
      <c r="C3664">
        <v>8737</v>
      </c>
      <c r="D3664">
        <v>94</v>
      </c>
    </row>
    <row r="3665" spans="3:4">
      <c r="C3665">
        <v>8738</v>
      </c>
      <c r="D3665">
        <v>92</v>
      </c>
    </row>
    <row r="3666" spans="3:4">
      <c r="C3666">
        <v>8739</v>
      </c>
      <c r="D3666">
        <v>91</v>
      </c>
    </row>
    <row r="3667" spans="3:4">
      <c r="C3667">
        <v>8741</v>
      </c>
      <c r="D3667">
        <v>94</v>
      </c>
    </row>
    <row r="3668" spans="3:4">
      <c r="C3668">
        <v>8742</v>
      </c>
      <c r="D3668">
        <v>96</v>
      </c>
    </row>
    <row r="3669" spans="3:4">
      <c r="C3669">
        <v>8743</v>
      </c>
      <c r="D3669">
        <v>93</v>
      </c>
    </row>
    <row r="3670" spans="3:4">
      <c r="C3670">
        <v>8744</v>
      </c>
      <c r="D3670">
        <v>94</v>
      </c>
    </row>
    <row r="3671" spans="3:4">
      <c r="C3671">
        <v>8745</v>
      </c>
      <c r="D3671">
        <v>97</v>
      </c>
    </row>
    <row r="3672" spans="3:4">
      <c r="C3672">
        <v>8746</v>
      </c>
      <c r="D3672">
        <v>93</v>
      </c>
    </row>
    <row r="3673" spans="3:4">
      <c r="C3673">
        <v>8747</v>
      </c>
      <c r="D3673">
        <v>96</v>
      </c>
    </row>
    <row r="3674" spans="3:4">
      <c r="C3674">
        <v>8749</v>
      </c>
      <c r="D3674">
        <v>93</v>
      </c>
    </row>
    <row r="3675" spans="3:4">
      <c r="C3675">
        <v>8751</v>
      </c>
      <c r="D3675">
        <v>92</v>
      </c>
    </row>
    <row r="3676" spans="3:4">
      <c r="C3676">
        <v>8752</v>
      </c>
      <c r="D3676">
        <v>97</v>
      </c>
    </row>
    <row r="3677" spans="3:4">
      <c r="C3677">
        <v>8753</v>
      </c>
      <c r="D3677">
        <v>92</v>
      </c>
    </row>
    <row r="3678" spans="3:4">
      <c r="C3678">
        <v>8754</v>
      </c>
      <c r="D3678">
        <v>92</v>
      </c>
    </row>
    <row r="3679" spans="3:4">
      <c r="C3679">
        <v>8755</v>
      </c>
      <c r="D3679">
        <v>92</v>
      </c>
    </row>
    <row r="3680" spans="3:4">
      <c r="C3680">
        <v>8756</v>
      </c>
      <c r="D3680">
        <v>92</v>
      </c>
    </row>
    <row r="3681" spans="3:4">
      <c r="C3681">
        <v>8761</v>
      </c>
      <c r="D3681">
        <v>97</v>
      </c>
    </row>
    <row r="3682" spans="3:4">
      <c r="C3682">
        <v>8762</v>
      </c>
      <c r="D3682">
        <v>94</v>
      </c>
    </row>
    <row r="3683" spans="3:4">
      <c r="C3683">
        <v>8764</v>
      </c>
      <c r="D3683">
        <v>97</v>
      </c>
    </row>
    <row r="3684" spans="3:4">
      <c r="C3684">
        <v>8765</v>
      </c>
      <c r="D3684">
        <v>96</v>
      </c>
    </row>
    <row r="3685" spans="3:4">
      <c r="C3685">
        <v>8767</v>
      </c>
      <c r="D3685">
        <v>97</v>
      </c>
    </row>
    <row r="3686" spans="3:4">
      <c r="C3686">
        <v>8768</v>
      </c>
      <c r="D3686">
        <v>97</v>
      </c>
    </row>
    <row r="3687" spans="3:4">
      <c r="C3687">
        <v>8769</v>
      </c>
      <c r="D3687">
        <v>97</v>
      </c>
    </row>
    <row r="3688" spans="3:4">
      <c r="C3688">
        <v>8771</v>
      </c>
      <c r="D3688">
        <v>91</v>
      </c>
    </row>
    <row r="3689" spans="3:4">
      <c r="C3689">
        <v>8772</v>
      </c>
      <c r="D3689">
        <v>91</v>
      </c>
    </row>
    <row r="3690" spans="3:4">
      <c r="C3690">
        <v>8773</v>
      </c>
      <c r="D3690">
        <v>92</v>
      </c>
    </row>
    <row r="3691" spans="3:4">
      <c r="C3691">
        <v>8774</v>
      </c>
      <c r="D3691">
        <v>93</v>
      </c>
    </row>
    <row r="3692" spans="3:4">
      <c r="C3692">
        <v>8775</v>
      </c>
      <c r="D3692">
        <v>93</v>
      </c>
    </row>
    <row r="3693" spans="3:4">
      <c r="C3693">
        <v>8776</v>
      </c>
      <c r="D3693">
        <v>91</v>
      </c>
    </row>
    <row r="3694" spans="3:4">
      <c r="C3694">
        <v>8777</v>
      </c>
      <c r="D3694">
        <v>89</v>
      </c>
    </row>
    <row r="3695" spans="3:4">
      <c r="C3695">
        <v>8778</v>
      </c>
      <c r="D3695">
        <v>89</v>
      </c>
    </row>
    <row r="3696" spans="3:4">
      <c r="C3696">
        <v>8781</v>
      </c>
      <c r="D3696">
        <v>94</v>
      </c>
    </row>
    <row r="3697" spans="3:4">
      <c r="C3697">
        <v>8782</v>
      </c>
      <c r="D3697">
        <v>89</v>
      </c>
    </row>
    <row r="3698" spans="3:4">
      <c r="C3698">
        <v>8783</v>
      </c>
      <c r="D3698">
        <v>92</v>
      </c>
    </row>
    <row r="3699" spans="3:4">
      <c r="C3699">
        <v>8784</v>
      </c>
      <c r="D3699">
        <v>91</v>
      </c>
    </row>
    <row r="3700" spans="3:4">
      <c r="C3700">
        <v>8785</v>
      </c>
      <c r="D3700">
        <v>92</v>
      </c>
    </row>
    <row r="3701" spans="3:4">
      <c r="C3701">
        <v>8786</v>
      </c>
      <c r="D3701">
        <v>91</v>
      </c>
    </row>
    <row r="3702" spans="3:4">
      <c r="C3702">
        <v>8787</v>
      </c>
      <c r="D3702">
        <v>92</v>
      </c>
    </row>
    <row r="3703" spans="3:4">
      <c r="C3703">
        <v>8788</v>
      </c>
      <c r="D3703">
        <v>91</v>
      </c>
    </row>
    <row r="3704" spans="3:4">
      <c r="C3704">
        <v>8789</v>
      </c>
      <c r="D3704">
        <v>91</v>
      </c>
    </row>
    <row r="3705" spans="3:4">
      <c r="C3705">
        <v>8790</v>
      </c>
      <c r="D3705">
        <v>91</v>
      </c>
    </row>
    <row r="3706" spans="3:4">
      <c r="C3706">
        <v>8792</v>
      </c>
      <c r="D3706">
        <v>91</v>
      </c>
    </row>
    <row r="3707" spans="3:4">
      <c r="C3707">
        <v>8793</v>
      </c>
      <c r="D3707">
        <v>91</v>
      </c>
    </row>
    <row r="3708" spans="3:4">
      <c r="C3708">
        <v>8795</v>
      </c>
      <c r="D3708">
        <v>91</v>
      </c>
    </row>
    <row r="3709" spans="3:4">
      <c r="C3709">
        <v>8796</v>
      </c>
      <c r="D3709">
        <v>91</v>
      </c>
    </row>
    <row r="3710" spans="3:4">
      <c r="C3710">
        <v>8797</v>
      </c>
      <c r="D3710">
        <v>91</v>
      </c>
    </row>
    <row r="3711" spans="3:4">
      <c r="C3711">
        <v>8798</v>
      </c>
      <c r="D3711">
        <v>91</v>
      </c>
    </row>
    <row r="3712" spans="3:4">
      <c r="C3712">
        <v>8799</v>
      </c>
      <c r="D3712">
        <v>91</v>
      </c>
    </row>
    <row r="3713" spans="3:4">
      <c r="C3713">
        <v>8800</v>
      </c>
      <c r="D3713">
        <v>81</v>
      </c>
    </row>
    <row r="3714" spans="3:4">
      <c r="C3714">
        <v>8801</v>
      </c>
      <c r="D3714">
        <v>81</v>
      </c>
    </row>
    <row r="3715" spans="3:4">
      <c r="C3715">
        <v>8802</v>
      </c>
      <c r="D3715">
        <v>81</v>
      </c>
    </row>
    <row r="3716" spans="3:4">
      <c r="C3716">
        <v>8803</v>
      </c>
      <c r="D3716">
        <v>81</v>
      </c>
    </row>
    <row r="3717" spans="3:4">
      <c r="C3717">
        <v>8804</v>
      </c>
      <c r="D3717">
        <v>81</v>
      </c>
    </row>
    <row r="3718" spans="3:4">
      <c r="C3718">
        <v>8808</v>
      </c>
      <c r="D3718">
        <v>78</v>
      </c>
    </row>
    <row r="3719" spans="3:4">
      <c r="C3719">
        <v>8809</v>
      </c>
      <c r="D3719">
        <v>80</v>
      </c>
    </row>
    <row r="3720" spans="3:4">
      <c r="C3720">
        <v>8821</v>
      </c>
      <c r="D3720">
        <v>91</v>
      </c>
    </row>
    <row r="3721" spans="3:4">
      <c r="C3721">
        <v>8822</v>
      </c>
      <c r="D3721">
        <v>92</v>
      </c>
    </row>
    <row r="3722" spans="3:4">
      <c r="C3722">
        <v>8823</v>
      </c>
      <c r="D3722">
        <v>81</v>
      </c>
    </row>
    <row r="3723" spans="3:4">
      <c r="C3723">
        <v>8824</v>
      </c>
      <c r="D3723">
        <v>92</v>
      </c>
    </row>
    <row r="3724" spans="3:4">
      <c r="C3724">
        <v>8825</v>
      </c>
      <c r="D3724">
        <v>92</v>
      </c>
    </row>
    <row r="3725" spans="3:4">
      <c r="C3725">
        <v>8827</v>
      </c>
      <c r="D3725">
        <v>92</v>
      </c>
    </row>
    <row r="3726" spans="3:4">
      <c r="C3726">
        <v>8831</v>
      </c>
      <c r="D3726">
        <v>80</v>
      </c>
    </row>
    <row r="3727" spans="3:4">
      <c r="C3727">
        <v>8832</v>
      </c>
      <c r="D3727">
        <v>81</v>
      </c>
    </row>
    <row r="3728" spans="3:4">
      <c r="C3728">
        <v>8833</v>
      </c>
      <c r="D3728">
        <v>92</v>
      </c>
    </row>
    <row r="3729" spans="3:4">
      <c r="C3729">
        <v>8834</v>
      </c>
      <c r="D3729">
        <v>91</v>
      </c>
    </row>
    <row r="3730" spans="3:4">
      <c r="C3730">
        <v>8835</v>
      </c>
      <c r="D3730">
        <v>92</v>
      </c>
    </row>
    <row r="3731" spans="3:4">
      <c r="C3731">
        <v>8840</v>
      </c>
      <c r="D3731">
        <v>92</v>
      </c>
    </row>
    <row r="3732" spans="3:4">
      <c r="C3732">
        <v>8849</v>
      </c>
      <c r="D3732">
        <v>92</v>
      </c>
    </row>
    <row r="3733" spans="3:4">
      <c r="C3733">
        <v>8851</v>
      </c>
      <c r="D3733">
        <v>91</v>
      </c>
    </row>
    <row r="3734" spans="3:4">
      <c r="C3734">
        <v>8852</v>
      </c>
      <c r="D3734">
        <v>90</v>
      </c>
    </row>
    <row r="3735" spans="3:4">
      <c r="C3735">
        <v>8853</v>
      </c>
      <c r="D3735">
        <v>90</v>
      </c>
    </row>
    <row r="3736" spans="3:4">
      <c r="C3736">
        <v>8854</v>
      </c>
      <c r="D3736">
        <v>90</v>
      </c>
    </row>
    <row r="3737" spans="3:4">
      <c r="C3737">
        <v>8855</v>
      </c>
      <c r="D3737">
        <v>92</v>
      </c>
    </row>
    <row r="3738" spans="3:4">
      <c r="C3738">
        <v>8856</v>
      </c>
      <c r="D3738">
        <v>92</v>
      </c>
    </row>
    <row r="3739" spans="3:4">
      <c r="C3739">
        <v>8857</v>
      </c>
      <c r="D3739">
        <v>92</v>
      </c>
    </row>
    <row r="3740" spans="3:4">
      <c r="C3740">
        <v>8858</v>
      </c>
      <c r="D3740">
        <v>92</v>
      </c>
    </row>
    <row r="3741" spans="3:4">
      <c r="C3741">
        <v>8861</v>
      </c>
      <c r="D3741">
        <v>91</v>
      </c>
    </row>
    <row r="3742" spans="3:4">
      <c r="C3742">
        <v>8862</v>
      </c>
      <c r="D3742">
        <v>90</v>
      </c>
    </row>
    <row r="3743" spans="3:4">
      <c r="C3743">
        <v>8863</v>
      </c>
      <c r="D3743">
        <v>90</v>
      </c>
    </row>
    <row r="3744" spans="3:4">
      <c r="C3744">
        <v>8864</v>
      </c>
      <c r="D3744">
        <v>90</v>
      </c>
    </row>
    <row r="3745" spans="3:4">
      <c r="C3745">
        <v>8865</v>
      </c>
      <c r="D3745">
        <v>90</v>
      </c>
    </row>
    <row r="3746" spans="3:4">
      <c r="C3746">
        <v>8866</v>
      </c>
      <c r="D3746">
        <v>91</v>
      </c>
    </row>
    <row r="3747" spans="3:4">
      <c r="C3747">
        <v>8868</v>
      </c>
      <c r="D3747">
        <v>91</v>
      </c>
    </row>
    <row r="3748" spans="3:4">
      <c r="C3748">
        <v>8871</v>
      </c>
      <c r="D3748">
        <v>91</v>
      </c>
    </row>
    <row r="3749" spans="3:4">
      <c r="C3749">
        <v>8872</v>
      </c>
      <c r="D3749">
        <v>90</v>
      </c>
    </row>
    <row r="3750" spans="3:4">
      <c r="C3750">
        <v>8873</v>
      </c>
      <c r="D3750">
        <v>90</v>
      </c>
    </row>
    <row r="3751" spans="3:4">
      <c r="C3751">
        <v>8874</v>
      </c>
      <c r="D3751">
        <v>90</v>
      </c>
    </row>
    <row r="3752" spans="3:4">
      <c r="C3752">
        <v>8876</v>
      </c>
      <c r="D3752">
        <v>89</v>
      </c>
    </row>
    <row r="3753" spans="3:4">
      <c r="C3753">
        <v>8877</v>
      </c>
      <c r="D3753">
        <v>89</v>
      </c>
    </row>
    <row r="3754" spans="3:4">
      <c r="C3754">
        <v>8878</v>
      </c>
      <c r="D3754">
        <v>89</v>
      </c>
    </row>
    <row r="3755" spans="3:4">
      <c r="C3755">
        <v>8879</v>
      </c>
      <c r="D3755">
        <v>89</v>
      </c>
    </row>
    <row r="3756" spans="3:4">
      <c r="C3756">
        <v>8881</v>
      </c>
      <c r="D3756">
        <v>92</v>
      </c>
    </row>
    <row r="3757" spans="3:4">
      <c r="C3757">
        <v>8882</v>
      </c>
      <c r="D3757">
        <v>91</v>
      </c>
    </row>
    <row r="3758" spans="3:4">
      <c r="C3758">
        <v>8883</v>
      </c>
      <c r="D3758">
        <v>90</v>
      </c>
    </row>
    <row r="3759" spans="3:4">
      <c r="C3759">
        <v>8884</v>
      </c>
      <c r="D3759">
        <v>92</v>
      </c>
    </row>
    <row r="3760" spans="3:4">
      <c r="C3760">
        <v>8885</v>
      </c>
      <c r="D3760">
        <v>92</v>
      </c>
    </row>
    <row r="3761" spans="3:4">
      <c r="C3761">
        <v>8886</v>
      </c>
      <c r="D3761">
        <v>90</v>
      </c>
    </row>
    <row r="3762" spans="3:4">
      <c r="C3762">
        <v>8887</v>
      </c>
      <c r="D3762">
        <v>90</v>
      </c>
    </row>
    <row r="3763" spans="3:4">
      <c r="C3763">
        <v>8888</v>
      </c>
      <c r="D3763">
        <v>92</v>
      </c>
    </row>
    <row r="3764" spans="3:4">
      <c r="C3764">
        <v>8891</v>
      </c>
      <c r="D3764">
        <v>90</v>
      </c>
    </row>
    <row r="3765" spans="3:4">
      <c r="C3765">
        <v>8893</v>
      </c>
      <c r="D3765">
        <v>91</v>
      </c>
    </row>
    <row r="3766" spans="3:4">
      <c r="C3766">
        <v>8895</v>
      </c>
      <c r="D3766">
        <v>90</v>
      </c>
    </row>
    <row r="3767" spans="3:4">
      <c r="C3767">
        <v>8896</v>
      </c>
      <c r="D3767">
        <v>92</v>
      </c>
    </row>
    <row r="3768" spans="3:4">
      <c r="C3768">
        <v>8897</v>
      </c>
      <c r="D3768">
        <v>92</v>
      </c>
    </row>
    <row r="3769" spans="3:4">
      <c r="C3769">
        <v>8900</v>
      </c>
      <c r="D3769">
        <v>83</v>
      </c>
    </row>
    <row r="3770" spans="3:4">
      <c r="C3770">
        <v>8901</v>
      </c>
      <c r="D3770">
        <v>83</v>
      </c>
    </row>
    <row r="3771" spans="3:4">
      <c r="C3771">
        <v>8902</v>
      </c>
      <c r="D3771">
        <v>83</v>
      </c>
    </row>
    <row r="3772" spans="3:4">
      <c r="C3772">
        <v>8903</v>
      </c>
      <c r="D3772">
        <v>83</v>
      </c>
    </row>
    <row r="3773" spans="3:4">
      <c r="C3773">
        <v>8904</v>
      </c>
      <c r="D3773">
        <v>83</v>
      </c>
    </row>
    <row r="3774" spans="3:4">
      <c r="C3774">
        <v>8905</v>
      </c>
      <c r="D3774">
        <v>83</v>
      </c>
    </row>
    <row r="3775" spans="3:4">
      <c r="C3775">
        <v>8906</v>
      </c>
      <c r="D3775">
        <v>83</v>
      </c>
    </row>
    <row r="3776" spans="3:4">
      <c r="C3776">
        <v>8907</v>
      </c>
      <c r="D3776">
        <v>83</v>
      </c>
    </row>
    <row r="3777" spans="3:4">
      <c r="C3777">
        <v>8908</v>
      </c>
      <c r="D3777">
        <v>83</v>
      </c>
    </row>
    <row r="3778" spans="3:4">
      <c r="C3778">
        <v>8909</v>
      </c>
      <c r="D3778">
        <v>83</v>
      </c>
    </row>
    <row r="3779" spans="3:4">
      <c r="C3779">
        <v>8911</v>
      </c>
      <c r="D3779">
        <v>60</v>
      </c>
    </row>
    <row r="3780" spans="3:4">
      <c r="C3780">
        <v>8912</v>
      </c>
      <c r="D3780">
        <v>60</v>
      </c>
    </row>
    <row r="3781" spans="3:4">
      <c r="C3781">
        <v>8913</v>
      </c>
      <c r="D3781">
        <v>60</v>
      </c>
    </row>
    <row r="3782" spans="3:4">
      <c r="C3782">
        <v>8914</v>
      </c>
      <c r="D3782">
        <v>93</v>
      </c>
    </row>
    <row r="3783" spans="3:4">
      <c r="C3783">
        <v>8915</v>
      </c>
      <c r="D3783">
        <v>96</v>
      </c>
    </row>
    <row r="3784" spans="3:4">
      <c r="C3784">
        <v>8916</v>
      </c>
      <c r="D3784">
        <v>57</v>
      </c>
    </row>
    <row r="3785" spans="3:4">
      <c r="C3785">
        <v>8917</v>
      </c>
      <c r="D3785">
        <v>90</v>
      </c>
    </row>
    <row r="3786" spans="3:4">
      <c r="C3786">
        <v>8918</v>
      </c>
      <c r="D3786">
        <v>91</v>
      </c>
    </row>
    <row r="3787" spans="3:4">
      <c r="C3787">
        <v>8919</v>
      </c>
      <c r="D3787">
        <v>92</v>
      </c>
    </row>
    <row r="3788" spans="3:4">
      <c r="C3788">
        <v>8921</v>
      </c>
      <c r="D3788">
        <v>62</v>
      </c>
    </row>
    <row r="3789" spans="3:4">
      <c r="C3789">
        <v>8922</v>
      </c>
      <c r="D3789">
        <v>83</v>
      </c>
    </row>
    <row r="3790" spans="3:4">
      <c r="C3790">
        <v>8923</v>
      </c>
      <c r="D3790">
        <v>95</v>
      </c>
    </row>
    <row r="3791" spans="3:4">
      <c r="C3791">
        <v>8924</v>
      </c>
      <c r="D3791">
        <v>63</v>
      </c>
    </row>
    <row r="3792" spans="3:4">
      <c r="C3792">
        <v>8925</v>
      </c>
      <c r="D3792">
        <v>59</v>
      </c>
    </row>
    <row r="3793" spans="3:4">
      <c r="C3793">
        <v>8926</v>
      </c>
      <c r="D3793">
        <v>59</v>
      </c>
    </row>
    <row r="3794" spans="3:4">
      <c r="C3794">
        <v>8927</v>
      </c>
      <c r="D3794">
        <v>83</v>
      </c>
    </row>
    <row r="3795" spans="3:4">
      <c r="C3795">
        <v>8928</v>
      </c>
      <c r="D3795">
        <v>59</v>
      </c>
    </row>
    <row r="3796" spans="3:4">
      <c r="C3796">
        <v>8929</v>
      </c>
      <c r="D3796">
        <v>93</v>
      </c>
    </row>
    <row r="3797" spans="3:4">
      <c r="C3797">
        <v>8931</v>
      </c>
      <c r="D3797">
        <v>94</v>
      </c>
    </row>
    <row r="3798" spans="3:4">
      <c r="C3798">
        <v>8932</v>
      </c>
      <c r="D3798">
        <v>94</v>
      </c>
    </row>
    <row r="3799" spans="3:4">
      <c r="C3799">
        <v>8933</v>
      </c>
      <c r="D3799">
        <v>83</v>
      </c>
    </row>
    <row r="3800" spans="3:4">
      <c r="C3800">
        <v>8934</v>
      </c>
      <c r="D3800">
        <v>96</v>
      </c>
    </row>
    <row r="3801" spans="3:4">
      <c r="C3801">
        <v>8935</v>
      </c>
      <c r="D3801">
        <v>92</v>
      </c>
    </row>
    <row r="3802" spans="3:4">
      <c r="C3802">
        <v>8936</v>
      </c>
      <c r="D3802">
        <v>96</v>
      </c>
    </row>
    <row r="3803" spans="3:4">
      <c r="C3803">
        <v>8941</v>
      </c>
      <c r="D3803">
        <v>83</v>
      </c>
    </row>
    <row r="3804" spans="3:4">
      <c r="C3804">
        <v>8942</v>
      </c>
      <c r="D3804">
        <v>59</v>
      </c>
    </row>
    <row r="3805" spans="3:4">
      <c r="C3805">
        <v>8943</v>
      </c>
      <c r="D3805">
        <v>59</v>
      </c>
    </row>
    <row r="3806" spans="3:4">
      <c r="C3806">
        <v>8944</v>
      </c>
      <c r="D3806">
        <v>59</v>
      </c>
    </row>
    <row r="3807" spans="3:4">
      <c r="C3807">
        <v>8945</v>
      </c>
      <c r="D3807">
        <v>92</v>
      </c>
    </row>
    <row r="3808" spans="3:4">
      <c r="C3808">
        <v>8946</v>
      </c>
      <c r="D3808">
        <v>92</v>
      </c>
    </row>
    <row r="3809" spans="3:4">
      <c r="C3809">
        <v>8947</v>
      </c>
      <c r="D3809">
        <v>92</v>
      </c>
    </row>
    <row r="3810" spans="3:4">
      <c r="C3810">
        <v>8948</v>
      </c>
      <c r="D3810">
        <v>89</v>
      </c>
    </row>
    <row r="3811" spans="3:4">
      <c r="C3811">
        <v>8949</v>
      </c>
      <c r="D3811">
        <v>89</v>
      </c>
    </row>
    <row r="3812" spans="3:4">
      <c r="C3812">
        <v>8951</v>
      </c>
      <c r="D3812">
        <v>89</v>
      </c>
    </row>
    <row r="3813" spans="3:4">
      <c r="C3813">
        <v>8953</v>
      </c>
      <c r="D3813">
        <v>89</v>
      </c>
    </row>
    <row r="3814" spans="3:4">
      <c r="C3814">
        <v>8954</v>
      </c>
      <c r="D3814">
        <v>89</v>
      </c>
    </row>
    <row r="3815" spans="3:4">
      <c r="C3815">
        <v>8956</v>
      </c>
      <c r="D3815">
        <v>90</v>
      </c>
    </row>
    <row r="3816" spans="3:4">
      <c r="C3816">
        <v>8957</v>
      </c>
      <c r="D3816">
        <v>89</v>
      </c>
    </row>
    <row r="3817" spans="3:4">
      <c r="C3817">
        <v>8958</v>
      </c>
      <c r="D3817">
        <v>89</v>
      </c>
    </row>
    <row r="3818" spans="3:4">
      <c r="C3818">
        <v>8960</v>
      </c>
      <c r="D3818">
        <v>89</v>
      </c>
    </row>
    <row r="3819" spans="3:4">
      <c r="C3819">
        <v>8961</v>
      </c>
      <c r="D3819">
        <v>89</v>
      </c>
    </row>
    <row r="3820" spans="3:4">
      <c r="C3820">
        <v>8966</v>
      </c>
      <c r="D3820">
        <v>89</v>
      </c>
    </row>
    <row r="3821" spans="3:4">
      <c r="C3821">
        <v>8967</v>
      </c>
      <c r="D3821">
        <v>89</v>
      </c>
    </row>
    <row r="3822" spans="3:4">
      <c r="C3822">
        <v>8969</v>
      </c>
      <c r="D3822">
        <v>89</v>
      </c>
    </row>
    <row r="3823" spans="3:4">
      <c r="C3823">
        <v>8971</v>
      </c>
      <c r="D3823">
        <v>89</v>
      </c>
    </row>
    <row r="3824" spans="3:4">
      <c r="C3824">
        <v>8973</v>
      </c>
      <c r="D3824">
        <v>90</v>
      </c>
    </row>
    <row r="3825" spans="3:4">
      <c r="C3825">
        <v>8974</v>
      </c>
      <c r="D3825">
        <v>59</v>
      </c>
    </row>
    <row r="3826" spans="3:4">
      <c r="C3826">
        <v>8975</v>
      </c>
      <c r="D3826">
        <v>89</v>
      </c>
    </row>
    <row r="3827" spans="3:4">
      <c r="C3827">
        <v>8976</v>
      </c>
      <c r="D3827">
        <v>89</v>
      </c>
    </row>
    <row r="3828" spans="3:4">
      <c r="C3828">
        <v>8977</v>
      </c>
      <c r="D3828">
        <v>90</v>
      </c>
    </row>
    <row r="3829" spans="3:4">
      <c r="C3829">
        <v>8978</v>
      </c>
      <c r="D3829">
        <v>89</v>
      </c>
    </row>
    <row r="3830" spans="3:4">
      <c r="C3830">
        <v>8981</v>
      </c>
      <c r="D3830">
        <v>92</v>
      </c>
    </row>
    <row r="3831" spans="3:4">
      <c r="C3831">
        <v>8983</v>
      </c>
      <c r="D3831">
        <v>57</v>
      </c>
    </row>
    <row r="3832" spans="3:4">
      <c r="C3832">
        <v>8984</v>
      </c>
      <c r="D3832">
        <v>91</v>
      </c>
    </row>
    <row r="3833" spans="3:4">
      <c r="C3833">
        <v>8985</v>
      </c>
      <c r="D3833">
        <v>91</v>
      </c>
    </row>
    <row r="3834" spans="3:4">
      <c r="C3834">
        <v>8986</v>
      </c>
      <c r="D3834">
        <v>91</v>
      </c>
    </row>
    <row r="3835" spans="3:4">
      <c r="C3835">
        <v>8988</v>
      </c>
      <c r="D3835">
        <v>90</v>
      </c>
    </row>
    <row r="3836" spans="3:4">
      <c r="C3836">
        <v>8989</v>
      </c>
      <c r="D3836">
        <v>91</v>
      </c>
    </row>
    <row r="3837" spans="3:4">
      <c r="C3837">
        <v>8990</v>
      </c>
      <c r="D3837">
        <v>58</v>
      </c>
    </row>
    <row r="3838" spans="3:4">
      <c r="C3838">
        <v>8991</v>
      </c>
      <c r="D3838">
        <v>58</v>
      </c>
    </row>
    <row r="3839" spans="3:4">
      <c r="C3839">
        <v>8992</v>
      </c>
      <c r="D3839">
        <v>59</v>
      </c>
    </row>
    <row r="3840" spans="3:4">
      <c r="C3840">
        <v>8994</v>
      </c>
      <c r="D3840">
        <v>92</v>
      </c>
    </row>
    <row r="3841" spans="3:4">
      <c r="C3841">
        <v>8995</v>
      </c>
      <c r="D3841">
        <v>92</v>
      </c>
    </row>
    <row r="3842" spans="3:4">
      <c r="C3842">
        <v>8996</v>
      </c>
      <c r="D3842">
        <v>91</v>
      </c>
    </row>
    <row r="3843" spans="3:4">
      <c r="C3843">
        <v>8997</v>
      </c>
      <c r="D3843">
        <v>92</v>
      </c>
    </row>
    <row r="3844" spans="3:4">
      <c r="C3844">
        <v>8998</v>
      </c>
      <c r="D3844">
        <v>91</v>
      </c>
    </row>
    <row r="3845" spans="3:4">
      <c r="C3845">
        <v>8999</v>
      </c>
      <c r="D3845">
        <v>92</v>
      </c>
    </row>
    <row r="3846" spans="3:4">
      <c r="C3846">
        <v>9000</v>
      </c>
      <c r="D3846">
        <v>53</v>
      </c>
    </row>
    <row r="3847" spans="3:4">
      <c r="C3847">
        <v>9001</v>
      </c>
      <c r="D3847">
        <v>53</v>
      </c>
    </row>
    <row r="3848" spans="3:4">
      <c r="C3848">
        <v>9002</v>
      </c>
      <c r="D3848">
        <v>53</v>
      </c>
    </row>
    <row r="3849" spans="3:4">
      <c r="C3849">
        <v>9003</v>
      </c>
      <c r="D3849">
        <v>53</v>
      </c>
    </row>
    <row r="3850" spans="3:4">
      <c r="C3850">
        <v>9004</v>
      </c>
      <c r="D3850">
        <v>53</v>
      </c>
    </row>
    <row r="3851" spans="3:4">
      <c r="C3851">
        <v>9005</v>
      </c>
      <c r="D3851">
        <v>53</v>
      </c>
    </row>
    <row r="3852" spans="3:4">
      <c r="C3852">
        <v>9006</v>
      </c>
      <c r="D3852">
        <v>53</v>
      </c>
    </row>
    <row r="3853" spans="3:4">
      <c r="C3853">
        <v>9007</v>
      </c>
      <c r="D3853">
        <v>53</v>
      </c>
    </row>
    <row r="3854" spans="3:4">
      <c r="C3854">
        <v>9008</v>
      </c>
      <c r="D3854">
        <v>53</v>
      </c>
    </row>
    <row r="3855" spans="3:4">
      <c r="C3855">
        <v>9009</v>
      </c>
      <c r="D3855">
        <v>53</v>
      </c>
    </row>
    <row r="3856" spans="3:4">
      <c r="C3856">
        <v>9010</v>
      </c>
      <c r="D3856">
        <v>53</v>
      </c>
    </row>
    <row r="3857" spans="3:4">
      <c r="C3857">
        <v>9011</v>
      </c>
      <c r="D3857">
        <v>53</v>
      </c>
    </row>
    <row r="3858" spans="3:4">
      <c r="C3858">
        <v>9012</v>
      </c>
      <c r="D3858">
        <v>50</v>
      </c>
    </row>
    <row r="3859" spans="3:4">
      <c r="C3859">
        <v>9013</v>
      </c>
      <c r="D3859">
        <v>53</v>
      </c>
    </row>
    <row r="3860" spans="3:4">
      <c r="C3860">
        <v>9018</v>
      </c>
      <c r="D3860">
        <v>53</v>
      </c>
    </row>
    <row r="3861" spans="3:4">
      <c r="C3861">
        <v>9019</v>
      </c>
      <c r="D3861">
        <v>49</v>
      </c>
    </row>
    <row r="3862" spans="3:4">
      <c r="C3862">
        <v>9020</v>
      </c>
      <c r="D3862">
        <v>53</v>
      </c>
    </row>
    <row r="3863" spans="3:4">
      <c r="C3863">
        <v>9021</v>
      </c>
      <c r="D3863">
        <v>53</v>
      </c>
    </row>
    <row r="3864" spans="3:4">
      <c r="C3864">
        <v>9022</v>
      </c>
      <c r="D3864">
        <v>48</v>
      </c>
    </row>
    <row r="3865" spans="3:4">
      <c r="C3865">
        <v>9023</v>
      </c>
      <c r="D3865">
        <v>50</v>
      </c>
    </row>
    <row r="3866" spans="3:4">
      <c r="C3866">
        <v>9024</v>
      </c>
      <c r="D3866">
        <v>52</v>
      </c>
    </row>
    <row r="3867" spans="3:4">
      <c r="C3867">
        <v>9025</v>
      </c>
      <c r="D3867">
        <v>46</v>
      </c>
    </row>
    <row r="3868" spans="3:4">
      <c r="C3868">
        <v>9026</v>
      </c>
      <c r="D3868">
        <v>50</v>
      </c>
    </row>
    <row r="3869" spans="3:4">
      <c r="C3869">
        <v>9027</v>
      </c>
      <c r="D3869">
        <v>49</v>
      </c>
    </row>
    <row r="3870" spans="3:4">
      <c r="C3870">
        <v>9028</v>
      </c>
      <c r="D3870">
        <v>50</v>
      </c>
    </row>
    <row r="3871" spans="3:4">
      <c r="C3871">
        <v>9029</v>
      </c>
      <c r="D3871">
        <v>49</v>
      </c>
    </row>
    <row r="3872" spans="3:4">
      <c r="C3872">
        <v>9030</v>
      </c>
      <c r="D3872">
        <v>52</v>
      </c>
    </row>
    <row r="3873" spans="3:4">
      <c r="C3873">
        <v>9040</v>
      </c>
      <c r="D3873">
        <v>53</v>
      </c>
    </row>
    <row r="3874" spans="3:4">
      <c r="C3874">
        <v>9051</v>
      </c>
      <c r="D3874">
        <v>53</v>
      </c>
    </row>
    <row r="3875" spans="3:4">
      <c r="C3875">
        <v>9054</v>
      </c>
      <c r="D3875">
        <v>53</v>
      </c>
    </row>
    <row r="3876" spans="3:4">
      <c r="C3876">
        <v>9060</v>
      </c>
      <c r="D3876">
        <v>53</v>
      </c>
    </row>
    <row r="3877" spans="3:4">
      <c r="C3877">
        <v>9061</v>
      </c>
      <c r="D3877">
        <v>61</v>
      </c>
    </row>
    <row r="3878" spans="3:4">
      <c r="C3878">
        <v>9062</v>
      </c>
      <c r="D3878">
        <v>96</v>
      </c>
    </row>
    <row r="3879" spans="3:4">
      <c r="C3879">
        <v>9063</v>
      </c>
      <c r="D3879">
        <v>95</v>
      </c>
    </row>
    <row r="3880" spans="3:4">
      <c r="C3880">
        <v>9064</v>
      </c>
      <c r="D3880">
        <v>61</v>
      </c>
    </row>
    <row r="3881" spans="3:4">
      <c r="C3881">
        <v>9071</v>
      </c>
      <c r="D3881">
        <v>96</v>
      </c>
    </row>
    <row r="3882" spans="3:4">
      <c r="C3882">
        <v>9072</v>
      </c>
      <c r="D3882">
        <v>96</v>
      </c>
    </row>
    <row r="3883" spans="3:4">
      <c r="C3883">
        <v>9073</v>
      </c>
      <c r="D3883">
        <v>96</v>
      </c>
    </row>
    <row r="3884" spans="3:4">
      <c r="C3884">
        <v>9074</v>
      </c>
      <c r="D3884">
        <v>96</v>
      </c>
    </row>
    <row r="3885" spans="3:4">
      <c r="C3885">
        <v>9081</v>
      </c>
      <c r="D3885">
        <v>92</v>
      </c>
    </row>
    <row r="3886" spans="3:4">
      <c r="C3886">
        <v>9082</v>
      </c>
      <c r="D3886">
        <v>96</v>
      </c>
    </row>
    <row r="3887" spans="3:4">
      <c r="C3887">
        <v>9083</v>
      </c>
      <c r="D3887">
        <v>89</v>
      </c>
    </row>
    <row r="3888" spans="3:4">
      <c r="C3888">
        <v>9084</v>
      </c>
      <c r="D3888">
        <v>93</v>
      </c>
    </row>
    <row r="3889" spans="3:4">
      <c r="C3889">
        <v>9085</v>
      </c>
      <c r="D3889">
        <v>93</v>
      </c>
    </row>
    <row r="3890" spans="3:4">
      <c r="C3890">
        <v>9086</v>
      </c>
      <c r="D3890">
        <v>96</v>
      </c>
    </row>
    <row r="3891" spans="3:4">
      <c r="C3891">
        <v>9088</v>
      </c>
      <c r="D3891">
        <v>91</v>
      </c>
    </row>
    <row r="3892" spans="3:4">
      <c r="C3892">
        <v>9089</v>
      </c>
      <c r="D3892">
        <v>91</v>
      </c>
    </row>
    <row r="3893" spans="3:4">
      <c r="C3893">
        <v>9090</v>
      </c>
      <c r="D3893">
        <v>91</v>
      </c>
    </row>
    <row r="3894" spans="3:4">
      <c r="C3894">
        <v>9091</v>
      </c>
      <c r="D3894">
        <v>92</v>
      </c>
    </row>
    <row r="3895" spans="3:4">
      <c r="C3895">
        <v>9092</v>
      </c>
      <c r="D3895">
        <v>91</v>
      </c>
    </row>
    <row r="3896" spans="3:4">
      <c r="C3896">
        <v>9093</v>
      </c>
      <c r="D3896">
        <v>91</v>
      </c>
    </row>
    <row r="3897" spans="3:4">
      <c r="C3897">
        <v>9094</v>
      </c>
      <c r="D3897">
        <v>92</v>
      </c>
    </row>
    <row r="3898" spans="3:4">
      <c r="C3898">
        <v>9095</v>
      </c>
      <c r="D3898">
        <v>91</v>
      </c>
    </row>
    <row r="3899" spans="3:4">
      <c r="C3899">
        <v>9096</v>
      </c>
      <c r="D3899">
        <v>92</v>
      </c>
    </row>
    <row r="3900" spans="3:4">
      <c r="C3900">
        <v>9097</v>
      </c>
      <c r="D3900">
        <v>96</v>
      </c>
    </row>
    <row r="3901" spans="3:4">
      <c r="C3901">
        <v>9098</v>
      </c>
      <c r="D3901">
        <v>96</v>
      </c>
    </row>
    <row r="3902" spans="3:4">
      <c r="C3902">
        <v>9099</v>
      </c>
      <c r="D3902">
        <v>96</v>
      </c>
    </row>
    <row r="3903" spans="3:4">
      <c r="C3903">
        <v>9100</v>
      </c>
      <c r="D3903">
        <v>93</v>
      </c>
    </row>
    <row r="3904" spans="3:4">
      <c r="C3904">
        <v>9111</v>
      </c>
      <c r="D3904">
        <v>89</v>
      </c>
    </row>
    <row r="3905" spans="3:4">
      <c r="C3905">
        <v>9112</v>
      </c>
      <c r="D3905">
        <v>91</v>
      </c>
    </row>
    <row r="3906" spans="3:4">
      <c r="C3906">
        <v>9113</v>
      </c>
      <c r="D3906">
        <v>97</v>
      </c>
    </row>
    <row r="3907" spans="3:4">
      <c r="C3907">
        <v>9120</v>
      </c>
      <c r="D3907">
        <v>97</v>
      </c>
    </row>
    <row r="3908" spans="3:4">
      <c r="C3908">
        <v>9121</v>
      </c>
      <c r="D3908">
        <v>89</v>
      </c>
    </row>
    <row r="3909" spans="3:4">
      <c r="C3909">
        <v>9122</v>
      </c>
      <c r="D3909">
        <v>91</v>
      </c>
    </row>
    <row r="3910" spans="3:4">
      <c r="C3910">
        <v>9123</v>
      </c>
      <c r="D3910">
        <v>90</v>
      </c>
    </row>
    <row r="3911" spans="3:4">
      <c r="C3911">
        <v>9124</v>
      </c>
      <c r="D3911">
        <v>91</v>
      </c>
    </row>
    <row r="3912" spans="3:4">
      <c r="C3912">
        <v>9125</v>
      </c>
      <c r="D3912">
        <v>90</v>
      </c>
    </row>
    <row r="3913" spans="3:4">
      <c r="C3913">
        <v>9126</v>
      </c>
      <c r="D3913">
        <v>90</v>
      </c>
    </row>
    <row r="3914" spans="3:4">
      <c r="C3914">
        <v>9127</v>
      </c>
      <c r="D3914">
        <v>90</v>
      </c>
    </row>
    <row r="3915" spans="3:4">
      <c r="C3915">
        <v>9131</v>
      </c>
      <c r="D3915">
        <v>91</v>
      </c>
    </row>
    <row r="3916" spans="3:4">
      <c r="C3916">
        <v>9132</v>
      </c>
      <c r="D3916">
        <v>92</v>
      </c>
    </row>
    <row r="3917" spans="3:4">
      <c r="C3917">
        <v>9133</v>
      </c>
      <c r="D3917">
        <v>93</v>
      </c>
    </row>
    <row r="3918" spans="3:4">
      <c r="C3918">
        <v>9134</v>
      </c>
      <c r="D3918">
        <v>93</v>
      </c>
    </row>
    <row r="3919" spans="3:4">
      <c r="C3919">
        <v>9135</v>
      </c>
      <c r="D3919">
        <v>96</v>
      </c>
    </row>
    <row r="3920" spans="3:4">
      <c r="C3920">
        <v>9136</v>
      </c>
      <c r="D3920">
        <v>93</v>
      </c>
    </row>
    <row r="3921" spans="3:4">
      <c r="C3921">
        <v>9141</v>
      </c>
      <c r="D3921">
        <v>61</v>
      </c>
    </row>
    <row r="3922" spans="3:4">
      <c r="C3922">
        <v>9142</v>
      </c>
      <c r="D3922">
        <v>63</v>
      </c>
    </row>
    <row r="3923" spans="3:4">
      <c r="C3923">
        <v>9143</v>
      </c>
      <c r="D3923">
        <v>98</v>
      </c>
    </row>
    <row r="3924" spans="3:4">
      <c r="C3924">
        <v>9144</v>
      </c>
      <c r="D3924">
        <v>95</v>
      </c>
    </row>
    <row r="3925" spans="3:4">
      <c r="C3925">
        <v>9145</v>
      </c>
      <c r="D3925">
        <v>94</v>
      </c>
    </row>
    <row r="3926" spans="3:4">
      <c r="C3926">
        <v>9146</v>
      </c>
      <c r="D3926">
        <v>92</v>
      </c>
    </row>
    <row r="3927" spans="3:4">
      <c r="C3927">
        <v>9147</v>
      </c>
      <c r="D3927">
        <v>93</v>
      </c>
    </row>
    <row r="3928" spans="3:4">
      <c r="C3928">
        <v>9151</v>
      </c>
      <c r="D3928">
        <v>61</v>
      </c>
    </row>
    <row r="3929" spans="3:4">
      <c r="C3929">
        <v>9152</v>
      </c>
      <c r="D3929">
        <v>62</v>
      </c>
    </row>
    <row r="3930" spans="3:4">
      <c r="C3930">
        <v>9153</v>
      </c>
      <c r="D3930">
        <v>64</v>
      </c>
    </row>
    <row r="3931" spans="3:4">
      <c r="C3931">
        <v>9154</v>
      </c>
      <c r="D3931">
        <v>61</v>
      </c>
    </row>
    <row r="3932" spans="3:4">
      <c r="C3932">
        <v>9155</v>
      </c>
      <c r="D3932">
        <v>95</v>
      </c>
    </row>
    <row r="3933" spans="3:4">
      <c r="C3933">
        <v>9161</v>
      </c>
      <c r="D3933">
        <v>94</v>
      </c>
    </row>
    <row r="3934" spans="3:4">
      <c r="C3934">
        <v>9162</v>
      </c>
      <c r="D3934">
        <v>94</v>
      </c>
    </row>
    <row r="3935" spans="3:4">
      <c r="C3935">
        <v>9163</v>
      </c>
      <c r="D3935">
        <v>94</v>
      </c>
    </row>
    <row r="3936" spans="3:4">
      <c r="C3936">
        <v>9164</v>
      </c>
      <c r="D3936">
        <v>94</v>
      </c>
    </row>
    <row r="3937" spans="3:4">
      <c r="C3937">
        <v>9165</v>
      </c>
      <c r="D3937">
        <v>94</v>
      </c>
    </row>
    <row r="3938" spans="3:4">
      <c r="C3938">
        <v>9167</v>
      </c>
      <c r="D3938">
        <v>94</v>
      </c>
    </row>
    <row r="3939" spans="3:4">
      <c r="C3939">
        <v>9168</v>
      </c>
      <c r="D3939">
        <v>98</v>
      </c>
    </row>
    <row r="3940" spans="3:4">
      <c r="C3940">
        <v>9169</v>
      </c>
      <c r="D3940">
        <v>94</v>
      </c>
    </row>
    <row r="3941" spans="3:4">
      <c r="C3941">
        <v>9171</v>
      </c>
      <c r="D3941">
        <v>60</v>
      </c>
    </row>
    <row r="3942" spans="3:4">
      <c r="C3942">
        <v>9172</v>
      </c>
      <c r="D3942">
        <v>97</v>
      </c>
    </row>
    <row r="3943" spans="3:4">
      <c r="C3943">
        <v>9173</v>
      </c>
      <c r="D3943">
        <v>99</v>
      </c>
    </row>
    <row r="3944" spans="3:4">
      <c r="C3944">
        <v>9174</v>
      </c>
      <c r="D3944">
        <v>97</v>
      </c>
    </row>
    <row r="3945" spans="3:4">
      <c r="C3945">
        <v>9175</v>
      </c>
      <c r="D3945">
        <v>97</v>
      </c>
    </row>
    <row r="3946" spans="3:4">
      <c r="C3946">
        <v>9176</v>
      </c>
      <c r="D3946">
        <v>94</v>
      </c>
    </row>
    <row r="3947" spans="3:4">
      <c r="C3947">
        <v>9177</v>
      </c>
      <c r="D3947">
        <v>97</v>
      </c>
    </row>
    <row r="3948" spans="3:4">
      <c r="C3948">
        <v>9178</v>
      </c>
      <c r="D3948">
        <v>92</v>
      </c>
    </row>
    <row r="3949" spans="3:4">
      <c r="C3949">
        <v>9181</v>
      </c>
      <c r="D3949">
        <v>60</v>
      </c>
    </row>
    <row r="3950" spans="3:4">
      <c r="C3950">
        <v>9182</v>
      </c>
      <c r="D3950">
        <v>61</v>
      </c>
    </row>
    <row r="3951" spans="3:4">
      <c r="C3951">
        <v>9183</v>
      </c>
      <c r="D3951">
        <v>61</v>
      </c>
    </row>
    <row r="3952" spans="3:4">
      <c r="C3952">
        <v>9184</v>
      </c>
      <c r="D3952">
        <v>64</v>
      </c>
    </row>
    <row r="3953" spans="3:4">
      <c r="C3953">
        <v>9200</v>
      </c>
      <c r="D3953">
        <v>95</v>
      </c>
    </row>
    <row r="3954" spans="3:4">
      <c r="C3954">
        <v>9201</v>
      </c>
      <c r="D3954">
        <v>95</v>
      </c>
    </row>
    <row r="3955" spans="3:4">
      <c r="C3955">
        <v>9202</v>
      </c>
      <c r="D3955">
        <v>59</v>
      </c>
    </row>
    <row r="3956" spans="3:4">
      <c r="C3956">
        <v>9203</v>
      </c>
      <c r="D3956">
        <v>95</v>
      </c>
    </row>
    <row r="3957" spans="3:4">
      <c r="C3957">
        <v>9211</v>
      </c>
      <c r="D3957">
        <v>93</v>
      </c>
    </row>
    <row r="3958" spans="3:4">
      <c r="C3958">
        <v>9221</v>
      </c>
      <c r="D3958">
        <v>60</v>
      </c>
    </row>
    <row r="3959" spans="3:4">
      <c r="C3959">
        <v>9222</v>
      </c>
      <c r="D3959">
        <v>59</v>
      </c>
    </row>
    <row r="3960" spans="3:4">
      <c r="C3960">
        <v>9223</v>
      </c>
      <c r="D3960">
        <v>61</v>
      </c>
    </row>
    <row r="3961" spans="3:4">
      <c r="C3961">
        <v>9224</v>
      </c>
      <c r="D3961">
        <v>59</v>
      </c>
    </row>
    <row r="3962" spans="3:4">
      <c r="C3962">
        <v>9225</v>
      </c>
      <c r="D3962">
        <v>92</v>
      </c>
    </row>
    <row r="3963" spans="3:4">
      <c r="C3963">
        <v>9226</v>
      </c>
      <c r="D3963">
        <v>91</v>
      </c>
    </row>
    <row r="3964" spans="3:4">
      <c r="C3964">
        <v>9227</v>
      </c>
      <c r="D3964">
        <v>91</v>
      </c>
    </row>
    <row r="3965" spans="3:4">
      <c r="C3965">
        <v>9228</v>
      </c>
      <c r="D3965">
        <v>92</v>
      </c>
    </row>
    <row r="3966" spans="3:4">
      <c r="C3966">
        <v>9231</v>
      </c>
      <c r="D3966">
        <v>59</v>
      </c>
    </row>
    <row r="3967" spans="3:4">
      <c r="C3967">
        <v>9232</v>
      </c>
      <c r="D3967">
        <v>91</v>
      </c>
    </row>
    <row r="3968" spans="3:4">
      <c r="C3968">
        <v>9233</v>
      </c>
      <c r="D3968">
        <v>94</v>
      </c>
    </row>
    <row r="3969" spans="3:4">
      <c r="C3969">
        <v>9234</v>
      </c>
      <c r="D3969">
        <v>91</v>
      </c>
    </row>
    <row r="3970" spans="3:4">
      <c r="C3970">
        <v>9235</v>
      </c>
      <c r="D3970">
        <v>92</v>
      </c>
    </row>
    <row r="3971" spans="3:4">
      <c r="C3971">
        <v>9241</v>
      </c>
      <c r="D3971">
        <v>96</v>
      </c>
    </row>
    <row r="3972" spans="3:4">
      <c r="C3972">
        <v>9242</v>
      </c>
      <c r="D3972">
        <v>94</v>
      </c>
    </row>
    <row r="3973" spans="3:4">
      <c r="C3973">
        <v>9243</v>
      </c>
      <c r="D3973">
        <v>94</v>
      </c>
    </row>
    <row r="3974" spans="3:4">
      <c r="C3974">
        <v>9244</v>
      </c>
      <c r="D3974">
        <v>61</v>
      </c>
    </row>
    <row r="3975" spans="3:4">
      <c r="C3975">
        <v>9245</v>
      </c>
      <c r="D3975">
        <v>60</v>
      </c>
    </row>
    <row r="3976" spans="3:4">
      <c r="C3976">
        <v>9246</v>
      </c>
      <c r="D3976">
        <v>60</v>
      </c>
    </row>
    <row r="3977" spans="3:4">
      <c r="C3977">
        <v>9277</v>
      </c>
      <c r="D3977">
        <v>60</v>
      </c>
    </row>
    <row r="3978" spans="3:4">
      <c r="C3978">
        <v>9300</v>
      </c>
      <c r="D3978">
        <v>94</v>
      </c>
    </row>
    <row r="3979" spans="3:4">
      <c r="C3979">
        <v>9301</v>
      </c>
      <c r="D3979">
        <v>94</v>
      </c>
    </row>
    <row r="3980" spans="3:4">
      <c r="C3980">
        <v>9311</v>
      </c>
      <c r="D3980">
        <v>93</v>
      </c>
    </row>
    <row r="3981" spans="3:4">
      <c r="C3981">
        <v>9312</v>
      </c>
      <c r="D3981">
        <v>92</v>
      </c>
    </row>
    <row r="3982" spans="3:4">
      <c r="C3982">
        <v>9313</v>
      </c>
      <c r="D3982">
        <v>91</v>
      </c>
    </row>
    <row r="3983" spans="3:4">
      <c r="C3983">
        <v>9314</v>
      </c>
      <c r="D3983">
        <v>91</v>
      </c>
    </row>
    <row r="3984" spans="3:4">
      <c r="C3984">
        <v>9315</v>
      </c>
      <c r="D3984">
        <v>91</v>
      </c>
    </row>
    <row r="3985" spans="3:4">
      <c r="C3985">
        <v>9316</v>
      </c>
      <c r="D3985">
        <v>91</v>
      </c>
    </row>
    <row r="3986" spans="3:4">
      <c r="C3986">
        <v>9317</v>
      </c>
      <c r="D3986">
        <v>90</v>
      </c>
    </row>
    <row r="3987" spans="3:4">
      <c r="C3987">
        <v>9321</v>
      </c>
      <c r="D3987">
        <v>94</v>
      </c>
    </row>
    <row r="3988" spans="3:4">
      <c r="C3988">
        <v>9322</v>
      </c>
      <c r="D3988">
        <v>94</v>
      </c>
    </row>
    <row r="3989" spans="3:4">
      <c r="C3989">
        <v>9323</v>
      </c>
      <c r="D3989">
        <v>94</v>
      </c>
    </row>
    <row r="3990" spans="3:4">
      <c r="C3990">
        <v>9324</v>
      </c>
      <c r="D3990">
        <v>94</v>
      </c>
    </row>
    <row r="3991" spans="3:4">
      <c r="C3991">
        <v>9325</v>
      </c>
      <c r="D3991">
        <v>92</v>
      </c>
    </row>
    <row r="3992" spans="3:4">
      <c r="C3992">
        <v>9326</v>
      </c>
      <c r="D3992">
        <v>91</v>
      </c>
    </row>
    <row r="3993" spans="3:4">
      <c r="C3993">
        <v>9327</v>
      </c>
      <c r="D3993">
        <v>91</v>
      </c>
    </row>
    <row r="3994" spans="3:4">
      <c r="C3994">
        <v>9330</v>
      </c>
      <c r="D3994">
        <v>95</v>
      </c>
    </row>
    <row r="3995" spans="3:4">
      <c r="C3995">
        <v>9331</v>
      </c>
      <c r="D3995">
        <v>95</v>
      </c>
    </row>
    <row r="3996" spans="3:4">
      <c r="C3996">
        <v>9339</v>
      </c>
      <c r="D3996">
        <v>95</v>
      </c>
    </row>
    <row r="3997" spans="3:4">
      <c r="C3997">
        <v>9341</v>
      </c>
      <c r="D3997">
        <v>95</v>
      </c>
    </row>
    <row r="3998" spans="3:4">
      <c r="C3998">
        <v>9342</v>
      </c>
      <c r="D3998">
        <v>94</v>
      </c>
    </row>
    <row r="3999" spans="3:4">
      <c r="C3999">
        <v>9343</v>
      </c>
      <c r="D3999">
        <v>92</v>
      </c>
    </row>
    <row r="4000" spans="3:4">
      <c r="C4000">
        <v>9344</v>
      </c>
      <c r="D4000">
        <v>91</v>
      </c>
    </row>
    <row r="4001" spans="3:4">
      <c r="C4001">
        <v>9345</v>
      </c>
      <c r="D4001">
        <v>90</v>
      </c>
    </row>
    <row r="4002" spans="3:4">
      <c r="C4002">
        <v>9346</v>
      </c>
      <c r="D4002">
        <v>92</v>
      </c>
    </row>
    <row r="4003" spans="3:4">
      <c r="C4003">
        <v>9351</v>
      </c>
      <c r="D4003">
        <v>92</v>
      </c>
    </row>
    <row r="4004" spans="3:4">
      <c r="C4004">
        <v>9352</v>
      </c>
      <c r="D4004">
        <v>97</v>
      </c>
    </row>
    <row r="4005" spans="3:4">
      <c r="C4005">
        <v>9353</v>
      </c>
      <c r="D4005">
        <v>96</v>
      </c>
    </row>
    <row r="4006" spans="3:4">
      <c r="C4006">
        <v>9354</v>
      </c>
      <c r="D4006">
        <v>97</v>
      </c>
    </row>
    <row r="4007" spans="3:4">
      <c r="C4007">
        <v>9361</v>
      </c>
      <c r="D4007">
        <v>95</v>
      </c>
    </row>
    <row r="4008" spans="3:4">
      <c r="C4008">
        <v>9362</v>
      </c>
      <c r="D4008">
        <v>93</v>
      </c>
    </row>
    <row r="4009" spans="3:4">
      <c r="C4009">
        <v>9363</v>
      </c>
      <c r="D4009">
        <v>93</v>
      </c>
    </row>
    <row r="4010" spans="3:4">
      <c r="C4010">
        <v>9364</v>
      </c>
      <c r="D4010">
        <v>93</v>
      </c>
    </row>
    <row r="4011" spans="3:4">
      <c r="C4011">
        <v>9365</v>
      </c>
      <c r="D4011">
        <v>92</v>
      </c>
    </row>
    <row r="4012" spans="3:4">
      <c r="C4012">
        <v>9371</v>
      </c>
      <c r="D4012">
        <v>92</v>
      </c>
    </row>
    <row r="4013" spans="3:4">
      <c r="C4013">
        <v>9372</v>
      </c>
      <c r="D4013">
        <v>94</v>
      </c>
    </row>
    <row r="4014" spans="3:4">
      <c r="C4014">
        <v>9373</v>
      </c>
      <c r="D4014">
        <v>95</v>
      </c>
    </row>
    <row r="4015" spans="3:4">
      <c r="C4015">
        <v>9374</v>
      </c>
      <c r="D4015">
        <v>96</v>
      </c>
    </row>
    <row r="4016" spans="3:4">
      <c r="C4016">
        <v>9375</v>
      </c>
      <c r="D4016">
        <v>95</v>
      </c>
    </row>
    <row r="4017" spans="3:4">
      <c r="C4017">
        <v>9400</v>
      </c>
      <c r="D4017">
        <v>95</v>
      </c>
    </row>
    <row r="4018" spans="3:4">
      <c r="C4018">
        <v>9401</v>
      </c>
      <c r="D4018">
        <v>97</v>
      </c>
    </row>
    <row r="4019" spans="3:4">
      <c r="C4019">
        <v>9402</v>
      </c>
      <c r="D4019">
        <v>97</v>
      </c>
    </row>
    <row r="4020" spans="3:4">
      <c r="C4020">
        <v>9403</v>
      </c>
      <c r="D4020">
        <v>97</v>
      </c>
    </row>
    <row r="4021" spans="3:4">
      <c r="C4021">
        <v>9404</v>
      </c>
      <c r="D4021">
        <v>97</v>
      </c>
    </row>
    <row r="4022" spans="3:4">
      <c r="C4022">
        <v>9405</v>
      </c>
      <c r="D4022">
        <v>97</v>
      </c>
    </row>
    <row r="4023" spans="3:4">
      <c r="C4023">
        <v>9406</v>
      </c>
      <c r="D4023">
        <v>97</v>
      </c>
    </row>
    <row r="4024" spans="3:4">
      <c r="C4024">
        <v>9407</v>
      </c>
      <c r="D4024">
        <v>99</v>
      </c>
    </row>
    <row r="4025" spans="3:4">
      <c r="C4025">
        <v>9408</v>
      </c>
      <c r="D4025">
        <v>98</v>
      </c>
    </row>
    <row r="4026" spans="3:4">
      <c r="C4026">
        <v>9409</v>
      </c>
      <c r="D4026">
        <v>98</v>
      </c>
    </row>
    <row r="4027" spans="3:4">
      <c r="C4027">
        <v>9421</v>
      </c>
      <c r="D4027">
        <v>97</v>
      </c>
    </row>
    <row r="4028" spans="3:4">
      <c r="C4028">
        <v>9422</v>
      </c>
      <c r="D4028">
        <v>96</v>
      </c>
    </row>
    <row r="4029" spans="3:4">
      <c r="C4029">
        <v>9423</v>
      </c>
      <c r="D4029">
        <v>99</v>
      </c>
    </row>
    <row r="4030" spans="3:4">
      <c r="C4030">
        <v>9425</v>
      </c>
      <c r="D4030">
        <v>99</v>
      </c>
    </row>
    <row r="4031" spans="3:4">
      <c r="C4031">
        <v>9431</v>
      </c>
      <c r="D4031">
        <v>97</v>
      </c>
    </row>
    <row r="4032" spans="3:4">
      <c r="C4032">
        <v>9432</v>
      </c>
      <c r="D4032">
        <v>97</v>
      </c>
    </row>
    <row r="4033" spans="3:4">
      <c r="C4033">
        <v>9433</v>
      </c>
      <c r="D4033">
        <v>97</v>
      </c>
    </row>
    <row r="4034" spans="3:4">
      <c r="C4034">
        <v>9434</v>
      </c>
      <c r="D4034">
        <v>97</v>
      </c>
    </row>
    <row r="4035" spans="3:4">
      <c r="C4035">
        <v>9435</v>
      </c>
      <c r="D4035">
        <v>94</v>
      </c>
    </row>
    <row r="4036" spans="3:4">
      <c r="C4036">
        <v>9436</v>
      </c>
      <c r="D4036">
        <v>96</v>
      </c>
    </row>
    <row r="4037" spans="3:4">
      <c r="C4037">
        <v>9437</v>
      </c>
      <c r="D4037">
        <v>96</v>
      </c>
    </row>
    <row r="4038" spans="3:4">
      <c r="C4038">
        <v>9438</v>
      </c>
      <c r="D4038">
        <v>96</v>
      </c>
    </row>
    <row r="4039" spans="3:4">
      <c r="C4039">
        <v>9441</v>
      </c>
      <c r="D4039">
        <v>94</v>
      </c>
    </row>
    <row r="4040" spans="3:4">
      <c r="C4040">
        <v>9442</v>
      </c>
      <c r="D4040">
        <v>97</v>
      </c>
    </row>
    <row r="4041" spans="3:4">
      <c r="C4041">
        <v>9443</v>
      </c>
      <c r="D4041">
        <v>99</v>
      </c>
    </row>
    <row r="4042" spans="3:4">
      <c r="C4042">
        <v>9444</v>
      </c>
      <c r="D4042">
        <v>97</v>
      </c>
    </row>
    <row r="4043" spans="3:4">
      <c r="C4043">
        <v>9446</v>
      </c>
      <c r="D4043">
        <v>97</v>
      </c>
    </row>
    <row r="4044" spans="3:4">
      <c r="C4044">
        <v>9451</v>
      </c>
      <c r="D4044">
        <v>97</v>
      </c>
    </row>
    <row r="4045" spans="3:4">
      <c r="C4045">
        <v>9461</v>
      </c>
      <c r="D4045">
        <v>98</v>
      </c>
    </row>
    <row r="4046" spans="3:4">
      <c r="C4046">
        <v>9462</v>
      </c>
      <c r="D4046">
        <v>96</v>
      </c>
    </row>
    <row r="4047" spans="3:4">
      <c r="C4047">
        <v>9463</v>
      </c>
      <c r="D4047">
        <v>93</v>
      </c>
    </row>
    <row r="4048" spans="3:4">
      <c r="C4048">
        <v>9464</v>
      </c>
      <c r="D4048">
        <v>94</v>
      </c>
    </row>
    <row r="4049" spans="3:4">
      <c r="C4049">
        <v>9471</v>
      </c>
      <c r="D4049">
        <v>97</v>
      </c>
    </row>
    <row r="4050" spans="3:4">
      <c r="C4050">
        <v>9472</v>
      </c>
      <c r="D4050">
        <v>96</v>
      </c>
    </row>
    <row r="4051" spans="3:4">
      <c r="C4051">
        <v>9473</v>
      </c>
      <c r="D4051">
        <v>95</v>
      </c>
    </row>
    <row r="4052" spans="3:4">
      <c r="C4052">
        <v>9474</v>
      </c>
      <c r="D4052">
        <v>93</v>
      </c>
    </row>
    <row r="4053" spans="3:4">
      <c r="C4053">
        <v>9475</v>
      </c>
      <c r="D4053">
        <v>93</v>
      </c>
    </row>
    <row r="4054" spans="3:4">
      <c r="C4054">
        <v>9476</v>
      </c>
      <c r="D4054">
        <v>92</v>
      </c>
    </row>
    <row r="4055" spans="3:4">
      <c r="C4055">
        <v>9481</v>
      </c>
      <c r="D4055">
        <v>97</v>
      </c>
    </row>
    <row r="4056" spans="3:4">
      <c r="C4056">
        <v>9482</v>
      </c>
      <c r="D4056">
        <v>97</v>
      </c>
    </row>
    <row r="4057" spans="3:4">
      <c r="C4057">
        <v>9483</v>
      </c>
      <c r="D4057">
        <v>96</v>
      </c>
    </row>
    <row r="4058" spans="3:4">
      <c r="C4058">
        <v>9484</v>
      </c>
      <c r="D4058">
        <v>99</v>
      </c>
    </row>
    <row r="4059" spans="3:4">
      <c r="C4059">
        <v>9485</v>
      </c>
      <c r="D4059">
        <v>97</v>
      </c>
    </row>
    <row r="4060" spans="3:4">
      <c r="C4060">
        <v>9491</v>
      </c>
      <c r="D4060">
        <v>97</v>
      </c>
    </row>
    <row r="4061" spans="3:4">
      <c r="C4061">
        <v>9492</v>
      </c>
      <c r="D4061">
        <v>98</v>
      </c>
    </row>
    <row r="4062" spans="3:4">
      <c r="C4062">
        <v>9493</v>
      </c>
      <c r="D4062">
        <v>97</v>
      </c>
    </row>
    <row r="4063" spans="3:4">
      <c r="C4063">
        <v>9494</v>
      </c>
      <c r="D4063">
        <v>97</v>
      </c>
    </row>
    <row r="4064" spans="3:4">
      <c r="C4064">
        <v>9495</v>
      </c>
      <c r="D4064">
        <v>96</v>
      </c>
    </row>
    <row r="4065" spans="3:4">
      <c r="C4065">
        <v>9500</v>
      </c>
      <c r="D4065">
        <v>94</v>
      </c>
    </row>
    <row r="4066" spans="3:4">
      <c r="C4066">
        <v>9501</v>
      </c>
      <c r="D4066">
        <v>94</v>
      </c>
    </row>
    <row r="4067" spans="3:4">
      <c r="C4067">
        <v>9502</v>
      </c>
      <c r="D4067">
        <v>94</v>
      </c>
    </row>
    <row r="4068" spans="3:4">
      <c r="C4068">
        <v>9503</v>
      </c>
      <c r="D4068">
        <v>94</v>
      </c>
    </row>
    <row r="4069" spans="3:4">
      <c r="C4069">
        <v>9511</v>
      </c>
      <c r="D4069">
        <v>94</v>
      </c>
    </row>
    <row r="4070" spans="3:4">
      <c r="C4070">
        <v>9512</v>
      </c>
      <c r="D4070">
        <v>94</v>
      </c>
    </row>
    <row r="4071" spans="3:4">
      <c r="C4071">
        <v>9513</v>
      </c>
      <c r="D4071">
        <v>93</v>
      </c>
    </row>
    <row r="4072" spans="3:4">
      <c r="C4072">
        <v>9514</v>
      </c>
      <c r="D4072">
        <v>93</v>
      </c>
    </row>
    <row r="4073" spans="3:4">
      <c r="C4073">
        <v>9515</v>
      </c>
      <c r="D4073">
        <v>92</v>
      </c>
    </row>
    <row r="4074" spans="3:4">
      <c r="C4074">
        <v>9516</v>
      </c>
      <c r="D4074">
        <v>93</v>
      </c>
    </row>
    <row r="4075" spans="3:4">
      <c r="C4075">
        <v>9517</v>
      </c>
      <c r="D4075">
        <v>94</v>
      </c>
    </row>
    <row r="4076" spans="3:4">
      <c r="C4076">
        <v>9521</v>
      </c>
      <c r="D4076">
        <v>94</v>
      </c>
    </row>
    <row r="4077" spans="3:4">
      <c r="C4077">
        <v>9522</v>
      </c>
      <c r="D4077">
        <v>93</v>
      </c>
    </row>
    <row r="4078" spans="3:4">
      <c r="C4078">
        <v>9523</v>
      </c>
      <c r="D4078">
        <v>93</v>
      </c>
    </row>
    <row r="4079" spans="3:4">
      <c r="C4079">
        <v>9525</v>
      </c>
      <c r="D4079">
        <v>93</v>
      </c>
    </row>
    <row r="4080" spans="3:4">
      <c r="C4080">
        <v>9531</v>
      </c>
      <c r="D4080">
        <v>94</v>
      </c>
    </row>
    <row r="4081" spans="3:4">
      <c r="C4081">
        <v>9532</v>
      </c>
      <c r="D4081">
        <v>92</v>
      </c>
    </row>
    <row r="4082" spans="3:4">
      <c r="C4082">
        <v>9533</v>
      </c>
      <c r="D4082">
        <v>91</v>
      </c>
    </row>
    <row r="4083" spans="3:4">
      <c r="C4083">
        <v>9534</v>
      </c>
      <c r="D4083">
        <v>92</v>
      </c>
    </row>
    <row r="4084" spans="3:4">
      <c r="C4084">
        <v>9541</v>
      </c>
      <c r="D4084">
        <v>92</v>
      </c>
    </row>
    <row r="4085" spans="3:4">
      <c r="C4085">
        <v>9542</v>
      </c>
      <c r="D4085">
        <v>94</v>
      </c>
    </row>
    <row r="4086" spans="3:4">
      <c r="C4086">
        <v>9544</v>
      </c>
      <c r="D4086">
        <v>95</v>
      </c>
    </row>
    <row r="4087" spans="3:4">
      <c r="C4087">
        <v>9545</v>
      </c>
      <c r="D4087">
        <v>94</v>
      </c>
    </row>
    <row r="4088" spans="3:4">
      <c r="C4088">
        <v>9547</v>
      </c>
      <c r="D4088">
        <v>97</v>
      </c>
    </row>
    <row r="4089" spans="3:4">
      <c r="C4089">
        <v>9548</v>
      </c>
      <c r="D4089">
        <v>94</v>
      </c>
    </row>
    <row r="4090" spans="3:4">
      <c r="C4090">
        <v>9549</v>
      </c>
      <c r="D4090">
        <v>94</v>
      </c>
    </row>
    <row r="4091" spans="3:4">
      <c r="C4091">
        <v>9551</v>
      </c>
      <c r="D4091">
        <v>94</v>
      </c>
    </row>
    <row r="4092" spans="3:4">
      <c r="C4092">
        <v>9552</v>
      </c>
      <c r="D4092">
        <v>91</v>
      </c>
    </row>
    <row r="4093" spans="3:4">
      <c r="C4093">
        <v>9553</v>
      </c>
      <c r="D4093">
        <v>93</v>
      </c>
    </row>
    <row r="4094" spans="3:4">
      <c r="C4094">
        <v>9554</v>
      </c>
      <c r="D4094">
        <v>94</v>
      </c>
    </row>
    <row r="4095" spans="3:4">
      <c r="C4095">
        <v>9555</v>
      </c>
      <c r="D4095">
        <v>94</v>
      </c>
    </row>
    <row r="4096" spans="3:4">
      <c r="C4096">
        <v>9556</v>
      </c>
      <c r="D4096">
        <v>94</v>
      </c>
    </row>
    <row r="4097" spans="3:4">
      <c r="C4097">
        <v>9561</v>
      </c>
      <c r="D4097">
        <v>94</v>
      </c>
    </row>
    <row r="4098" spans="3:4">
      <c r="C4098">
        <v>9563</v>
      </c>
      <c r="D4098">
        <v>94</v>
      </c>
    </row>
    <row r="4099" spans="3:4">
      <c r="C4099">
        <v>9565</v>
      </c>
      <c r="D4099">
        <v>94</v>
      </c>
    </row>
    <row r="4100" spans="3:4">
      <c r="C4100">
        <v>9580</v>
      </c>
      <c r="D4100">
        <v>94</v>
      </c>
    </row>
    <row r="4101" spans="3:4">
      <c r="C4101">
        <v>9594</v>
      </c>
      <c r="D4101">
        <v>94</v>
      </c>
    </row>
    <row r="4102" spans="3:4">
      <c r="C4102">
        <v>9600</v>
      </c>
      <c r="D4102">
        <v>90</v>
      </c>
    </row>
    <row r="4103" spans="3:4">
      <c r="C4103">
        <v>9601</v>
      </c>
      <c r="D4103">
        <v>90</v>
      </c>
    </row>
    <row r="4104" spans="3:4">
      <c r="C4104">
        <v>9602</v>
      </c>
      <c r="D4104">
        <v>90</v>
      </c>
    </row>
    <row r="4105" spans="3:4">
      <c r="C4105">
        <v>9608</v>
      </c>
      <c r="D4105">
        <v>96</v>
      </c>
    </row>
    <row r="4106" spans="3:4">
      <c r="C4106">
        <v>9609</v>
      </c>
      <c r="D4106">
        <v>91</v>
      </c>
    </row>
    <row r="4107" spans="3:4">
      <c r="C4107">
        <v>9611</v>
      </c>
      <c r="D4107">
        <v>89</v>
      </c>
    </row>
    <row r="4108" spans="3:4">
      <c r="C4108">
        <v>9612</v>
      </c>
      <c r="D4108">
        <v>89</v>
      </c>
    </row>
    <row r="4109" spans="3:4">
      <c r="C4109">
        <v>9621</v>
      </c>
      <c r="D4109">
        <v>90</v>
      </c>
    </row>
    <row r="4110" spans="3:4">
      <c r="C4110">
        <v>9622</v>
      </c>
      <c r="D4110">
        <v>90</v>
      </c>
    </row>
    <row r="4111" spans="3:4">
      <c r="C4111">
        <v>9623</v>
      </c>
      <c r="D4111">
        <v>93</v>
      </c>
    </row>
    <row r="4112" spans="3:4">
      <c r="C4112">
        <v>9624</v>
      </c>
      <c r="D4112">
        <v>94</v>
      </c>
    </row>
    <row r="4113" spans="3:4">
      <c r="C4113">
        <v>9625</v>
      </c>
      <c r="D4113">
        <v>92</v>
      </c>
    </row>
    <row r="4114" spans="3:4">
      <c r="C4114">
        <v>9631</v>
      </c>
      <c r="D4114">
        <v>93</v>
      </c>
    </row>
    <row r="4115" spans="3:4">
      <c r="C4115">
        <v>9632</v>
      </c>
      <c r="D4115">
        <v>93</v>
      </c>
    </row>
    <row r="4116" spans="3:4">
      <c r="C4116">
        <v>9633</v>
      </c>
      <c r="D4116">
        <v>94</v>
      </c>
    </row>
    <row r="4117" spans="3:4">
      <c r="C4117">
        <v>9634</v>
      </c>
      <c r="D4117">
        <v>94</v>
      </c>
    </row>
    <row r="4118" spans="3:4">
      <c r="C4118">
        <v>9635</v>
      </c>
      <c r="D4118">
        <v>91</v>
      </c>
    </row>
    <row r="4119" spans="3:4">
      <c r="C4119">
        <v>9636</v>
      </c>
      <c r="D4119">
        <v>91</v>
      </c>
    </row>
    <row r="4120" spans="3:4">
      <c r="C4120">
        <v>9641</v>
      </c>
      <c r="D4120">
        <v>92</v>
      </c>
    </row>
    <row r="4121" spans="3:4">
      <c r="C4121">
        <v>9642</v>
      </c>
      <c r="D4121">
        <v>92</v>
      </c>
    </row>
    <row r="4122" spans="3:4">
      <c r="C4122">
        <v>9643</v>
      </c>
      <c r="D4122">
        <v>92</v>
      </c>
    </row>
    <row r="4123" spans="3:4">
      <c r="C4123">
        <v>9651</v>
      </c>
      <c r="D4123">
        <v>92</v>
      </c>
    </row>
    <row r="4124" spans="3:4">
      <c r="C4124">
        <v>9652</v>
      </c>
      <c r="D4124">
        <v>91</v>
      </c>
    </row>
    <row r="4125" spans="3:4">
      <c r="C4125">
        <v>9653</v>
      </c>
      <c r="D4125">
        <v>91</v>
      </c>
    </row>
    <row r="4126" spans="3:4">
      <c r="C4126">
        <v>9654</v>
      </c>
      <c r="D4126">
        <v>91</v>
      </c>
    </row>
    <row r="4127" spans="3:4">
      <c r="C4127">
        <v>9661</v>
      </c>
      <c r="D4127">
        <v>91</v>
      </c>
    </row>
    <row r="4128" spans="3:4">
      <c r="C4128">
        <v>9662</v>
      </c>
      <c r="D4128">
        <v>93</v>
      </c>
    </row>
    <row r="4129" spans="3:4">
      <c r="C4129">
        <v>9663</v>
      </c>
      <c r="D4129">
        <v>94</v>
      </c>
    </row>
    <row r="4130" spans="3:4">
      <c r="C4130">
        <v>9664</v>
      </c>
      <c r="D4130">
        <v>93</v>
      </c>
    </row>
    <row r="4131" spans="3:4">
      <c r="C4131">
        <v>9665</v>
      </c>
      <c r="D4131">
        <v>91</v>
      </c>
    </row>
    <row r="4132" spans="3:4">
      <c r="C4132">
        <v>9671</v>
      </c>
      <c r="D4132">
        <v>91</v>
      </c>
    </row>
    <row r="4133" spans="3:4">
      <c r="C4133">
        <v>9672</v>
      </c>
      <c r="D4133">
        <v>90</v>
      </c>
    </row>
    <row r="4134" spans="3:4">
      <c r="C4134">
        <v>9673</v>
      </c>
      <c r="D4134">
        <v>91</v>
      </c>
    </row>
    <row r="4135" spans="3:4">
      <c r="C4135">
        <v>9674</v>
      </c>
      <c r="D4135">
        <v>92</v>
      </c>
    </row>
    <row r="4136" spans="3:4">
      <c r="C4136">
        <v>9675</v>
      </c>
      <c r="D4136">
        <v>92</v>
      </c>
    </row>
    <row r="4137" spans="3:4">
      <c r="C4137">
        <v>9676</v>
      </c>
      <c r="D4137">
        <v>92</v>
      </c>
    </row>
    <row r="4138" spans="3:4">
      <c r="C4138">
        <v>9681</v>
      </c>
      <c r="D4138">
        <v>90</v>
      </c>
    </row>
    <row r="4139" spans="3:4">
      <c r="C4139">
        <v>9682</v>
      </c>
      <c r="D4139">
        <v>90</v>
      </c>
    </row>
    <row r="4140" spans="3:4">
      <c r="C4140">
        <v>9683</v>
      </c>
      <c r="D4140">
        <v>91</v>
      </c>
    </row>
    <row r="4141" spans="3:4">
      <c r="C4141">
        <v>9684</v>
      </c>
      <c r="D4141">
        <v>92</v>
      </c>
    </row>
    <row r="4142" spans="3:4">
      <c r="C4142">
        <v>9685</v>
      </c>
      <c r="D4142">
        <v>92</v>
      </c>
    </row>
    <row r="4143" spans="3:4">
      <c r="C4143">
        <v>9700</v>
      </c>
      <c r="D4143">
        <v>96</v>
      </c>
    </row>
    <row r="4144" spans="3:4">
      <c r="C4144">
        <v>9701</v>
      </c>
      <c r="D4144">
        <v>96</v>
      </c>
    </row>
    <row r="4145" spans="3:4">
      <c r="C4145">
        <v>9702</v>
      </c>
      <c r="D4145">
        <v>96</v>
      </c>
    </row>
    <row r="4146" spans="3:4">
      <c r="C4146">
        <v>9703</v>
      </c>
      <c r="D4146">
        <v>96</v>
      </c>
    </row>
    <row r="4147" spans="3:4">
      <c r="C4147">
        <v>9704</v>
      </c>
      <c r="D4147">
        <v>96</v>
      </c>
    </row>
    <row r="4148" spans="3:4">
      <c r="C4148">
        <v>9705</v>
      </c>
      <c r="D4148">
        <v>96</v>
      </c>
    </row>
    <row r="4149" spans="3:4">
      <c r="C4149">
        <v>9706</v>
      </c>
      <c r="D4149">
        <v>96</v>
      </c>
    </row>
    <row r="4150" spans="3:4">
      <c r="C4150">
        <v>9707</v>
      </c>
      <c r="D4150">
        <v>92</v>
      </c>
    </row>
    <row r="4151" spans="3:4">
      <c r="C4151">
        <v>9708</v>
      </c>
      <c r="D4151">
        <v>96</v>
      </c>
    </row>
    <row r="4152" spans="3:4">
      <c r="C4152">
        <v>9709</v>
      </c>
      <c r="D4152">
        <v>96</v>
      </c>
    </row>
    <row r="4153" spans="3:4">
      <c r="C4153">
        <v>9710</v>
      </c>
      <c r="D4153">
        <v>96</v>
      </c>
    </row>
    <row r="4154" spans="3:4">
      <c r="C4154">
        <v>9719</v>
      </c>
      <c r="D4154">
        <v>92</v>
      </c>
    </row>
    <row r="4155" spans="3:4">
      <c r="C4155">
        <v>9721</v>
      </c>
      <c r="D4155">
        <v>92</v>
      </c>
    </row>
    <row r="4156" spans="3:4">
      <c r="C4156">
        <v>9722</v>
      </c>
      <c r="D4156">
        <v>94</v>
      </c>
    </row>
    <row r="4157" spans="3:4">
      <c r="C4157">
        <v>9723</v>
      </c>
      <c r="D4157">
        <v>96</v>
      </c>
    </row>
    <row r="4158" spans="3:4">
      <c r="C4158">
        <v>9724</v>
      </c>
      <c r="D4158">
        <v>92</v>
      </c>
    </row>
    <row r="4159" spans="3:4">
      <c r="C4159">
        <v>9725</v>
      </c>
      <c r="D4159">
        <v>95</v>
      </c>
    </row>
    <row r="4160" spans="3:4">
      <c r="C4160">
        <v>9726</v>
      </c>
      <c r="D4160">
        <v>97</v>
      </c>
    </row>
    <row r="4161" spans="3:4">
      <c r="C4161">
        <v>9727</v>
      </c>
      <c r="D4161">
        <v>94</v>
      </c>
    </row>
    <row r="4162" spans="3:4">
      <c r="C4162">
        <v>9730</v>
      </c>
      <c r="D4162">
        <v>94</v>
      </c>
    </row>
    <row r="4163" spans="3:4">
      <c r="C4163">
        <v>9731</v>
      </c>
      <c r="D4163">
        <v>92</v>
      </c>
    </row>
    <row r="4164" spans="3:4">
      <c r="C4164">
        <v>9732</v>
      </c>
      <c r="D4164">
        <v>92</v>
      </c>
    </row>
    <row r="4165" spans="3:4">
      <c r="C4165">
        <v>9733</v>
      </c>
      <c r="D4165">
        <v>92</v>
      </c>
    </row>
    <row r="4166" spans="3:4">
      <c r="C4166">
        <v>9734</v>
      </c>
      <c r="D4166">
        <v>92</v>
      </c>
    </row>
    <row r="4167" spans="3:4">
      <c r="C4167">
        <v>9735</v>
      </c>
      <c r="D4167">
        <v>92</v>
      </c>
    </row>
    <row r="4168" spans="3:4">
      <c r="C4168">
        <v>9736</v>
      </c>
      <c r="D4168">
        <v>93</v>
      </c>
    </row>
    <row r="4169" spans="3:4">
      <c r="C4169">
        <v>9737</v>
      </c>
      <c r="D4169">
        <v>92</v>
      </c>
    </row>
    <row r="4170" spans="3:4">
      <c r="C4170">
        <v>9738</v>
      </c>
      <c r="D4170">
        <v>92</v>
      </c>
    </row>
    <row r="4171" spans="3:4">
      <c r="C4171">
        <v>9739</v>
      </c>
      <c r="D4171">
        <v>93</v>
      </c>
    </row>
    <row r="4172" spans="3:4">
      <c r="C4172">
        <v>9740</v>
      </c>
      <c r="D4172">
        <v>90</v>
      </c>
    </row>
    <row r="4173" spans="3:4">
      <c r="C4173">
        <v>9741</v>
      </c>
      <c r="D4173">
        <v>94</v>
      </c>
    </row>
    <row r="4174" spans="3:4">
      <c r="C4174">
        <v>9742</v>
      </c>
      <c r="D4174">
        <v>94</v>
      </c>
    </row>
    <row r="4175" spans="3:4">
      <c r="C4175">
        <v>9743</v>
      </c>
      <c r="D4175">
        <v>95</v>
      </c>
    </row>
    <row r="4176" spans="3:4">
      <c r="C4176">
        <v>9744</v>
      </c>
      <c r="D4176">
        <v>95</v>
      </c>
    </row>
    <row r="4177" spans="3:4">
      <c r="C4177">
        <v>9745</v>
      </c>
      <c r="D4177">
        <v>95</v>
      </c>
    </row>
    <row r="4178" spans="3:4">
      <c r="C4178">
        <v>9746</v>
      </c>
      <c r="D4178">
        <v>95</v>
      </c>
    </row>
    <row r="4179" spans="3:4">
      <c r="C4179">
        <v>9747</v>
      </c>
      <c r="D4179">
        <v>94</v>
      </c>
    </row>
    <row r="4180" spans="3:4">
      <c r="C4180">
        <v>9748</v>
      </c>
      <c r="D4180">
        <v>94</v>
      </c>
    </row>
    <row r="4181" spans="3:4">
      <c r="C4181">
        <v>9749</v>
      </c>
      <c r="D4181">
        <v>93</v>
      </c>
    </row>
    <row r="4182" spans="3:4">
      <c r="C4182">
        <v>9751</v>
      </c>
      <c r="D4182">
        <v>93</v>
      </c>
    </row>
    <row r="4183" spans="3:4">
      <c r="C4183">
        <v>9752</v>
      </c>
      <c r="D4183">
        <v>93</v>
      </c>
    </row>
    <row r="4184" spans="3:4">
      <c r="C4184">
        <v>9754</v>
      </c>
      <c r="D4184">
        <v>90</v>
      </c>
    </row>
    <row r="4185" spans="3:4">
      <c r="C4185">
        <v>9756</v>
      </c>
      <c r="D4185">
        <v>90</v>
      </c>
    </row>
    <row r="4186" spans="3:4">
      <c r="C4186">
        <v>9757</v>
      </c>
      <c r="D4186">
        <v>90</v>
      </c>
    </row>
    <row r="4187" spans="3:4">
      <c r="C4187">
        <v>9758</v>
      </c>
      <c r="D4187">
        <v>90</v>
      </c>
    </row>
    <row r="4188" spans="3:4">
      <c r="C4188">
        <v>9760</v>
      </c>
      <c r="D4188">
        <v>90</v>
      </c>
    </row>
    <row r="4189" spans="3:4">
      <c r="C4189">
        <v>9761</v>
      </c>
      <c r="D4189">
        <v>94</v>
      </c>
    </row>
    <row r="4190" spans="3:4">
      <c r="C4190">
        <v>9762</v>
      </c>
      <c r="D4190">
        <v>94</v>
      </c>
    </row>
    <row r="4191" spans="3:4">
      <c r="C4191">
        <v>9763</v>
      </c>
      <c r="D4191">
        <v>93</v>
      </c>
    </row>
    <row r="4192" spans="3:4">
      <c r="C4192">
        <v>9764</v>
      </c>
      <c r="D4192">
        <v>95</v>
      </c>
    </row>
    <row r="4193" spans="3:4">
      <c r="C4193">
        <v>9765</v>
      </c>
      <c r="D4193">
        <v>96</v>
      </c>
    </row>
    <row r="4194" spans="3:4">
      <c r="C4194">
        <v>9766</v>
      </c>
      <c r="D4194">
        <v>96</v>
      </c>
    </row>
    <row r="4195" spans="3:4">
      <c r="C4195">
        <v>9771</v>
      </c>
      <c r="D4195">
        <v>95</v>
      </c>
    </row>
    <row r="4196" spans="3:4">
      <c r="C4196">
        <v>9772</v>
      </c>
      <c r="D4196">
        <v>96</v>
      </c>
    </row>
    <row r="4197" spans="3:4">
      <c r="C4197">
        <v>9773</v>
      </c>
      <c r="D4197">
        <v>96</v>
      </c>
    </row>
    <row r="4198" spans="3:4">
      <c r="C4198">
        <v>9774</v>
      </c>
      <c r="D4198">
        <v>96</v>
      </c>
    </row>
    <row r="4199" spans="3:4">
      <c r="C4199">
        <v>9775</v>
      </c>
      <c r="D4199">
        <v>94</v>
      </c>
    </row>
    <row r="4200" spans="3:4">
      <c r="C4200">
        <v>9776</v>
      </c>
      <c r="D4200">
        <v>92</v>
      </c>
    </row>
    <row r="4201" spans="3:4">
      <c r="C4201">
        <v>9777</v>
      </c>
      <c r="D4201">
        <v>92</v>
      </c>
    </row>
    <row r="4202" spans="3:4">
      <c r="C4202">
        <v>9780</v>
      </c>
      <c r="D4202">
        <v>92</v>
      </c>
    </row>
    <row r="4203" spans="3:4">
      <c r="C4203">
        <v>9781</v>
      </c>
      <c r="D4203">
        <v>91</v>
      </c>
    </row>
    <row r="4204" spans="3:4">
      <c r="C4204">
        <v>9782</v>
      </c>
      <c r="D4204">
        <v>91</v>
      </c>
    </row>
    <row r="4205" spans="3:4">
      <c r="C4205">
        <v>9783</v>
      </c>
      <c r="D4205">
        <v>91</v>
      </c>
    </row>
    <row r="4206" spans="3:4">
      <c r="C4206">
        <v>9784</v>
      </c>
      <c r="D4206">
        <v>90</v>
      </c>
    </row>
    <row r="4207" spans="3:4">
      <c r="C4207">
        <v>9789</v>
      </c>
      <c r="D4207">
        <v>97</v>
      </c>
    </row>
    <row r="4208" spans="3:4">
      <c r="C4208">
        <v>9790</v>
      </c>
      <c r="D4208">
        <v>97</v>
      </c>
    </row>
    <row r="4209" spans="3:4">
      <c r="C4209">
        <v>9791</v>
      </c>
      <c r="D4209">
        <v>97</v>
      </c>
    </row>
    <row r="4210" spans="3:4">
      <c r="C4210">
        <v>9792</v>
      </c>
      <c r="D4210">
        <v>96</v>
      </c>
    </row>
    <row r="4211" spans="3:4">
      <c r="C4211">
        <v>9793</v>
      </c>
      <c r="D4211">
        <v>97</v>
      </c>
    </row>
    <row r="4212" spans="3:4">
      <c r="C4212">
        <v>9794</v>
      </c>
      <c r="D4212">
        <v>97</v>
      </c>
    </row>
    <row r="4213" spans="3:4">
      <c r="C4213">
        <v>9795</v>
      </c>
      <c r="D4213">
        <v>98</v>
      </c>
    </row>
    <row r="4214" spans="3:4">
      <c r="C4214">
        <v>9796</v>
      </c>
      <c r="D4214">
        <v>97</v>
      </c>
    </row>
    <row r="4215" spans="3:4">
      <c r="C4215">
        <v>9797</v>
      </c>
      <c r="D4215">
        <v>97</v>
      </c>
    </row>
    <row r="4216" spans="3:4">
      <c r="C4216">
        <v>9798</v>
      </c>
      <c r="D4216">
        <v>96</v>
      </c>
    </row>
    <row r="4217" spans="3:4">
      <c r="C4217">
        <v>9799</v>
      </c>
      <c r="D4217">
        <v>94</v>
      </c>
    </row>
    <row r="4218" spans="3:4">
      <c r="C4218">
        <v>9800</v>
      </c>
      <c r="D4218">
        <v>92</v>
      </c>
    </row>
    <row r="4219" spans="3:4">
      <c r="C4219">
        <v>9801</v>
      </c>
      <c r="D4219">
        <v>92</v>
      </c>
    </row>
    <row r="4220" spans="3:4">
      <c r="C4220">
        <v>9811</v>
      </c>
      <c r="D4220">
        <v>91</v>
      </c>
    </row>
    <row r="4221" spans="3:4">
      <c r="C4221">
        <v>9812</v>
      </c>
      <c r="D4221">
        <v>91</v>
      </c>
    </row>
    <row r="4222" spans="3:4">
      <c r="C4222">
        <v>9813</v>
      </c>
      <c r="D4222">
        <v>91</v>
      </c>
    </row>
    <row r="4223" spans="3:4">
      <c r="C4223">
        <v>9814</v>
      </c>
      <c r="D4223">
        <v>89</v>
      </c>
    </row>
    <row r="4224" spans="3:4">
      <c r="C4224">
        <v>9821</v>
      </c>
      <c r="D4224">
        <v>92</v>
      </c>
    </row>
    <row r="4225" spans="3:4">
      <c r="C4225">
        <v>9823</v>
      </c>
      <c r="D4225">
        <v>94</v>
      </c>
    </row>
    <row r="4226" spans="3:4">
      <c r="C4226">
        <v>9824</v>
      </c>
      <c r="D4226">
        <v>92</v>
      </c>
    </row>
    <row r="4227" spans="3:4">
      <c r="C4227">
        <v>9825</v>
      </c>
      <c r="D4227">
        <v>92</v>
      </c>
    </row>
    <row r="4228" spans="3:4">
      <c r="C4228">
        <v>9826</v>
      </c>
      <c r="D4228">
        <v>91</v>
      </c>
    </row>
    <row r="4229" spans="3:4">
      <c r="C4229">
        <v>9831</v>
      </c>
      <c r="D4229">
        <v>92</v>
      </c>
    </row>
    <row r="4230" spans="3:4">
      <c r="C4230">
        <v>9832</v>
      </c>
      <c r="D4230">
        <v>92</v>
      </c>
    </row>
    <row r="4231" spans="3:4">
      <c r="C4231">
        <v>9833</v>
      </c>
      <c r="D4231">
        <v>92</v>
      </c>
    </row>
    <row r="4232" spans="3:4">
      <c r="C4232">
        <v>9834</v>
      </c>
      <c r="D4232">
        <v>92</v>
      </c>
    </row>
    <row r="4233" spans="3:4">
      <c r="C4233">
        <v>9835</v>
      </c>
      <c r="D4233">
        <v>94</v>
      </c>
    </row>
    <row r="4234" spans="3:4">
      <c r="C4234">
        <v>9836</v>
      </c>
      <c r="D4234">
        <v>92</v>
      </c>
    </row>
    <row r="4235" spans="3:4">
      <c r="C4235">
        <v>9840</v>
      </c>
      <c r="D4235">
        <v>92</v>
      </c>
    </row>
    <row r="4236" spans="3:4">
      <c r="C4236">
        <v>9841</v>
      </c>
      <c r="D4236">
        <v>92</v>
      </c>
    </row>
    <row r="4237" spans="3:4">
      <c r="C4237">
        <v>9842</v>
      </c>
      <c r="D4237">
        <v>91</v>
      </c>
    </row>
    <row r="4238" spans="3:4">
      <c r="C4238">
        <v>9872</v>
      </c>
      <c r="D4238">
        <v>91</v>
      </c>
    </row>
    <row r="4239" spans="3:4">
      <c r="C4239">
        <v>9900</v>
      </c>
      <c r="D4239">
        <v>91</v>
      </c>
    </row>
    <row r="4240" spans="3:4">
      <c r="C4240">
        <v>9901</v>
      </c>
      <c r="D4240">
        <v>91</v>
      </c>
    </row>
    <row r="4241" spans="3:4">
      <c r="C4241">
        <v>9909</v>
      </c>
      <c r="D4241">
        <v>89</v>
      </c>
    </row>
    <row r="4242" spans="3:4">
      <c r="C4242">
        <v>9910</v>
      </c>
      <c r="D4242">
        <v>89</v>
      </c>
    </row>
    <row r="4243" spans="3:4">
      <c r="C4243">
        <v>9911</v>
      </c>
      <c r="D4243">
        <v>90</v>
      </c>
    </row>
    <row r="4244" spans="3:4">
      <c r="C4244">
        <v>9912</v>
      </c>
      <c r="D4244">
        <v>90</v>
      </c>
    </row>
    <row r="4245" spans="3:4">
      <c r="C4245">
        <v>9913</v>
      </c>
      <c r="D4245">
        <v>90</v>
      </c>
    </row>
    <row r="4246" spans="3:4">
      <c r="C4246">
        <v>9914</v>
      </c>
      <c r="D4246">
        <v>90</v>
      </c>
    </row>
    <row r="4247" spans="3:4">
      <c r="C4247">
        <v>9915</v>
      </c>
      <c r="D4247">
        <v>89</v>
      </c>
    </row>
    <row r="4248" spans="3:4">
      <c r="C4248">
        <v>9917</v>
      </c>
      <c r="D4248">
        <v>89</v>
      </c>
    </row>
    <row r="4249" spans="3:4">
      <c r="C4249">
        <v>9918</v>
      </c>
      <c r="D4249">
        <v>89</v>
      </c>
    </row>
    <row r="4250" spans="3:4">
      <c r="C4250">
        <v>9919</v>
      </c>
      <c r="D4250">
        <v>89</v>
      </c>
    </row>
    <row r="4251" spans="3:4">
      <c r="C4251">
        <v>9921</v>
      </c>
      <c r="D4251">
        <v>89</v>
      </c>
    </row>
    <row r="4252" spans="3:4">
      <c r="C4252">
        <v>9922</v>
      </c>
      <c r="D4252">
        <v>89</v>
      </c>
    </row>
    <row r="4253" spans="3:4">
      <c r="C4253">
        <v>9923</v>
      </c>
      <c r="D4253">
        <v>89</v>
      </c>
    </row>
    <row r="4254" spans="3:4">
      <c r="C4254">
        <v>9931</v>
      </c>
      <c r="D4254">
        <v>89</v>
      </c>
    </row>
    <row r="4255" spans="3:4">
      <c r="C4255">
        <v>9932</v>
      </c>
      <c r="D4255">
        <v>89</v>
      </c>
    </row>
    <row r="4256" spans="3:4">
      <c r="C4256">
        <v>9933</v>
      </c>
      <c r="D4256">
        <v>89</v>
      </c>
    </row>
    <row r="4257" spans="3:4">
      <c r="C4257">
        <v>9934</v>
      </c>
      <c r="D4257">
        <v>89</v>
      </c>
    </row>
    <row r="4258" spans="3:4">
      <c r="C4258">
        <v>9935</v>
      </c>
      <c r="D4258">
        <v>89</v>
      </c>
    </row>
    <row r="4259" spans="3:4">
      <c r="C4259">
        <v>9936</v>
      </c>
      <c r="D4259">
        <v>89</v>
      </c>
    </row>
    <row r="4260" spans="3:4">
      <c r="C4260">
        <v>9937</v>
      </c>
      <c r="D4260">
        <v>89</v>
      </c>
    </row>
    <row r="4261" spans="3:4">
      <c r="C4261">
        <v>9938</v>
      </c>
      <c r="D4261">
        <v>89</v>
      </c>
    </row>
    <row r="4262" spans="3:4">
      <c r="C4262">
        <v>9941</v>
      </c>
      <c r="D4262">
        <v>89</v>
      </c>
    </row>
    <row r="4263" spans="3:4">
      <c r="C4263">
        <v>9942</v>
      </c>
      <c r="D4263">
        <v>89</v>
      </c>
    </row>
    <row r="4264" spans="3:4">
      <c r="C4264">
        <v>9943</v>
      </c>
      <c r="D4264">
        <v>89</v>
      </c>
    </row>
    <row r="4265" spans="3:4">
      <c r="C4265">
        <v>9944</v>
      </c>
      <c r="D4265">
        <v>89</v>
      </c>
    </row>
    <row r="4266" spans="3:4">
      <c r="C4266">
        <v>9945</v>
      </c>
      <c r="D4266">
        <v>89</v>
      </c>
    </row>
    <row r="4267" spans="3:4">
      <c r="C4267">
        <v>9946</v>
      </c>
      <c r="D4267">
        <v>89</v>
      </c>
    </row>
    <row r="4268" spans="3:4">
      <c r="C4268">
        <v>9951</v>
      </c>
      <c r="D4268">
        <v>89</v>
      </c>
    </row>
    <row r="4269" spans="3:4">
      <c r="C4269">
        <v>9952</v>
      </c>
      <c r="D4269">
        <v>89</v>
      </c>
    </row>
    <row r="4270" spans="3:4">
      <c r="C4270">
        <v>9953</v>
      </c>
      <c r="D4270">
        <v>89</v>
      </c>
    </row>
    <row r="4271" spans="3:4">
      <c r="C4271">
        <v>9954</v>
      </c>
      <c r="D4271">
        <v>89</v>
      </c>
    </row>
    <row r="4272" spans="3:4">
      <c r="C4272">
        <v>9955</v>
      </c>
      <c r="D4272">
        <v>89</v>
      </c>
    </row>
    <row r="4273" spans="3:4">
      <c r="C4273">
        <v>9961</v>
      </c>
      <c r="D4273">
        <v>89</v>
      </c>
    </row>
    <row r="4274" spans="3:4">
      <c r="C4274">
        <v>9962</v>
      </c>
      <c r="D4274">
        <v>89</v>
      </c>
    </row>
    <row r="4275" spans="3:4">
      <c r="C4275">
        <v>9963</v>
      </c>
      <c r="D4275">
        <v>89</v>
      </c>
    </row>
    <row r="4276" spans="3:4">
      <c r="C4276">
        <v>9970</v>
      </c>
      <c r="D4276">
        <v>89</v>
      </c>
    </row>
    <row r="4277" spans="3:4">
      <c r="C4277">
        <v>9971</v>
      </c>
      <c r="D4277">
        <v>89</v>
      </c>
    </row>
    <row r="4278" spans="3:4">
      <c r="C4278">
        <v>9981</v>
      </c>
      <c r="D4278">
        <v>89</v>
      </c>
    </row>
    <row r="4279" spans="3:4">
      <c r="C4279">
        <v>9982</v>
      </c>
      <c r="D4279">
        <v>89</v>
      </c>
    </row>
    <row r="4280" spans="3:4">
      <c r="C4280">
        <v>9983</v>
      </c>
      <c r="D4280">
        <v>89</v>
      </c>
    </row>
    <row r="4281" spans="3:4">
      <c r="C4281">
        <v>9985</v>
      </c>
      <c r="D4281">
        <v>89</v>
      </c>
    </row>
    <row r="4282" spans="3:4">
      <c r="C4282">
        <v>9999</v>
      </c>
      <c r="D4282">
        <v>89</v>
      </c>
    </row>
  </sheetData>
  <sheetProtection password="D2A1" sheet="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o D A A B Q S w M E F A A C A A g A n b Z i T c E m A h e q A A A A + g A A A B I A H A B D b 2 5 m a W c v U G F j a 2 F n Z S 5 4 b W w g o h g A K K A U A A A A A A A A A A A A A A A A A A A A A A A A A A A A h Y + x D o I w G I R f h X S n f 1 u M G v J T B h c H S U y M x p V A h U Y o h h b h 3 R x 8 J F 9 B E k X d H O / u u + T u c b t j P N S V d 1 W t 1 Y 2 J C K e M e M p k T a 5 N E Z H O n f w l i S V u 0 + y c F s o b Y W P D w e q I l M 5 d Q o C + 7 2 k f 0 K Y t Q D D G 4 Z h s d l m p 6 t T X x r r U Z I p 8 W v n / F p F 4 e I 2 R g s 4 D G o i F o D P G G U e Y A k y 0 + U J i 3 E w Z w o + J q 6 5 y X a t k 2 f n r P c I k E d 4 / 5 B N Q S w M E F A A C A A g A n b Z i T 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2 2 Y k 0 o i k e 4 D g A A A B E A A A A T A B w A R m 9 y b X V s Y X M v U 2 V j d G l v b j E u b S C i G A A o o B Q A A A A A A A A A A A A A A A A A A A A A A A A A A A A r T k 0 u y c z P U w i G 0 I b W A F B L A Q I t A B Q A A g A I A J 2 2 Y k 3 B J g I X q g A A A P o A A A A S A A A A A A A A A A A A A A A A A A A A A A B D b 2 5 m a W c v U G F j a 2 F n Z S 5 4 b W x Q S w E C L Q A U A A I A C A C d t m J N D 8 r p q 6 Q A A A D p A A A A E w A A A A A A A A A A A A A A A A D 2 A A A A W 0 N v b n R l b n R f V H l w Z X N d L n h t b F B L A Q I t A B Q A A g A I A J 2 2 Y k 0 o i k e 4 D g A A A B E A A A A T A A A A A A A A A A A A A A A A A O c B A A B G b 3 J t d W x h c y 9 T Z W N 0 a W 9 u M S 5 t U E s F B g A A A A A D A A M A w g A A A E I 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c v C r X V B v p R p K E 8 8 4 4 w U + s A A A A A A I A A A A A A B B m A A A A A Q A A I A A A A L u F 4 S h O F q 2 R 3 3 5 A 2 5 9 v F Q C F o r t Y H e 1 Y 0 8 t c 2 T t T D 7 / y A A A A A A 6 A A A A A A g A A I A A A A B X j R R s 0 m 8 v G U T b m a t i 0 y V d 6 e q U L h p k M Q c C l o S F k c R 4 J U A A A A E z C K k C X b j u G F K K y l j h z s N + B 2 x i U q 8 Q N s W q k J F a k y A + E / r x B W a G y m O V h 9 n D S C T G s J f f P s + G s h k P V h B 4 v 2 g B Q P H A 2 Q r h N M T 2 e c c u K G d l v H O 4 g Q A A A A E F G U E b j J L r 2 + Q / C 9 c k E 5 o E m 8 N q m z w q M x t Y a 9 a J N h f r Y S Q m s 4 I R m Y X b I F f M V Z J p s L d q c l 9 d R 3 R k B y k 5 G M C 0 p M Q 8 = < / D a t a M a s h u p > 
</file>

<file path=customXml/itemProps1.xml><?xml version="1.0" encoding="utf-8"?>
<ds:datastoreItem xmlns:ds="http://schemas.openxmlformats.org/officeDocument/2006/customXml" ds:itemID="{2B88F5C4-FDBF-442B-86B0-D9A16FADA7C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14</vt:i4>
      </vt:variant>
    </vt:vector>
  </HeadingPairs>
  <TitlesOfParts>
    <vt:vector size="14" baseType="lpstr">
      <vt:lpstr>KÖBE</vt:lpstr>
      <vt:lpstr>Signal</vt:lpstr>
      <vt:lpstr>GROUPAMA</vt:lpstr>
      <vt:lpstr>Generali</vt:lpstr>
      <vt:lpstr>NDK</vt:lpstr>
      <vt:lpstr>KÉRDÉSEK</vt:lpstr>
      <vt:lpstr>Díjkínálat</vt:lpstr>
      <vt:lpstr>Infók</vt:lpstr>
      <vt:lpstr>GP területek</vt:lpstr>
      <vt:lpstr>UNION</vt:lpstr>
      <vt:lpstr>Posta</vt:lpstr>
      <vt:lpstr>CIG</vt:lpstr>
      <vt:lpstr>Allianz</vt:lpstr>
      <vt:lpstr>Wáberer</vt:lpstr>
    </vt:vector>
  </TitlesOfParts>
  <Company>Pch Biztositási Alkusz Kft.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Pch Biztositási Alkusz Kft.</dc:creator>
  <cp:lastModifiedBy>Menios</cp:lastModifiedBy>
  <cp:lastPrinted>2018-11-07T20:11:13Z</cp:lastPrinted>
  <dcterms:created xsi:type="dcterms:W3CDTF">2003-11-21T09:36:02Z</dcterms:created>
  <dcterms:modified xsi:type="dcterms:W3CDTF">2020-11-11T14:14:46Z</dcterms:modified>
</cp:coreProperties>
</file>